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metadata.xml" ContentType="application/vnd.openxmlformats-officedocument.spreadsheetml.sheetMetadata+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WXWORK\WXWork\1688858149709598\WeDrive\有临医药\商务运营\报价工具\"/>
    </mc:Choice>
  </mc:AlternateContent>
  <bookViews>
    <workbookView windowWidth="23040" windowHeight="9180" tabRatio="890" firstSheet="2" activeTab="13"/>
  </bookViews>
  <sheets>
    <sheet name="工具维护记录" sheetId="32" state="hidden" r:id="rId1"/>
    <sheet name="模板注意事项" sheetId="33" state="hidden" r:id="rId2"/>
    <sheet name="签批页" sheetId="17" r:id="rId3"/>
    <sheet name="Rebid记录" sheetId="29" state="hidden" r:id="rId4"/>
    <sheet name="合同变更记录" sheetId="28" state="hidden" r:id="rId5"/>
    <sheet name="封面" sheetId="26" r:id="rId6"/>
    <sheet name="项目参数" sheetId="1" r:id="rId7"/>
    <sheet name="费用摘要" sheetId="14" r:id="rId8"/>
    <sheet name="Ballpark报价单" sheetId="10" state="hidden" r:id="rId9"/>
    <sheet name="服务费明细" sheetId="4" r:id="rId10"/>
    <sheet name="服务费底表" sheetId="3" r:id="rId11"/>
    <sheet name="其他费用明细" sheetId="9" r:id="rId12"/>
    <sheet name="注册申报明细" sheetId="31" r:id="rId13"/>
    <sheet name="注册申报底表" sheetId="30" r:id="rId14"/>
    <sheet name="项目时间计划" sheetId="2" r:id="rId15"/>
    <sheet name="增减中心" sheetId="36" state="hidden" r:id="rId16"/>
    <sheet name="增减例数" sheetId="37" state="hidden" r:id="rId17"/>
    <sheet name="增减月数" sheetId="38" state="hidden" r:id="rId18"/>
    <sheet name="SOW-ERP导入表" sheetId="27" state="hidden" r:id="rId19"/>
    <sheet name="数统二级标签" sheetId="35" state="hidden" r:id="rId20"/>
    <sheet name="二三级标准" sheetId="5" state="hidden" r:id="rId21"/>
    <sheet name="服务费底表透视" sheetId="21" state="hidden" r:id="rId22"/>
    <sheet name="其他费用编码对照" sheetId="34" state="hidden" r:id="rId23"/>
    <sheet name="Rate Card" sheetId="6" state="hidden" r:id="rId24"/>
  </sheets>
  <definedNames>
    <definedName name="_xlnm._FilterDatabase" localSheetId="6" hidden="1">项目参数!$A$18:$F$103</definedName>
    <definedName name="_xlnm._FilterDatabase" localSheetId="9" hidden="1">服务费明细!$B$3:$AI$256</definedName>
    <definedName name="_xlnm._FilterDatabase" localSheetId="11" hidden="1">其他费用明细!$A$3:$Y$75</definedName>
    <definedName name="_xlnm._FilterDatabase" localSheetId="12" hidden="1">注册申报明细!$A$3:$XFC$124</definedName>
    <definedName name="_xlnm._FilterDatabase" localSheetId="13" hidden="1">注册申报底表!$A$2:$AY$203</definedName>
    <definedName name="_xlnm._FilterDatabase" localSheetId="14" hidden="1">项目时间计划!$C$2:$K$20</definedName>
    <definedName name="_xlnm._FilterDatabase" localSheetId="18" hidden="1">'SOW-ERP导入表'!$E$1:$O$556</definedName>
    <definedName name="_xlnm._FilterDatabase" localSheetId="19" hidden="1">数统二级标签!$A$2:$L$384</definedName>
    <definedName name="_xlnm._FilterDatabase" localSheetId="20" hidden="1">二三级标准!$A$3:$AC$942</definedName>
    <definedName name="_xlnm._FilterDatabase" localSheetId="23" hidden="1">'Rate Card'!$A$2:$W$34</definedName>
    <definedName name="_xlnm._FilterDatabase" localSheetId="10" hidden="1">服务费底表!$A$2:$AZ$2</definedName>
    <definedName name="ADaM或衍生数据集个数">项目参数!$C$84</definedName>
    <definedName name="ClinicalTrials翻译YN">服务费明细!$D$32</definedName>
    <definedName name="CMP撰写YN">服务费明细!$D$72</definedName>
    <definedName name="CRA和中心的医学支持YN">服务费明细!$D$100</definedName>
    <definedName name="CRA人数">项目参数!$C$51</definedName>
    <definedName name="CRF唯一页面数">项目参数!$C$66</definedName>
    <definedName name="CRF重复页面数">项目参数!$C$67</definedName>
    <definedName name="CRF总页数_每例">项目时间计划!$D$61</definedName>
    <definedName name="CSR月">项目时间计划!$G$17</definedName>
    <definedName name="CSR撰写YN">服务费明细!$D$222</definedName>
    <definedName name="Dry_Run_YN">服务费明细!$D$156</definedName>
    <definedName name="Dry_Run次数">项目参数!$C$95</definedName>
    <definedName name="DSMB_DMC_IDMC次数">项目参数!$C$98</definedName>
    <definedName name="DSMB_DMC_IDMC统计TFLs_Dry_Run">服务费明细!$D$167</definedName>
    <definedName name="DSMB_DMC_IDMC项目管理">服务费明细!$D$170</definedName>
    <definedName name="DSMB重复TLFs数">项目参数!#REF!</definedName>
    <definedName name="DSUR_TLFs数">项目参数!#REF!</definedName>
    <definedName name="DSUR递交YN">服务费明细!$D$215</definedName>
    <definedName name="DSUR翻译YN">服务费明细!$D$214</definedName>
    <definedName name="DSUR数">项目参数!$C$103</definedName>
    <definedName name="DSUR医学审核YN">服务费明细!$D$110</definedName>
    <definedName name="DSUR撰写_中文YN">服务费明细!$D$213</definedName>
    <definedName name="EDC">项目参数!$C$65</definedName>
    <definedName name="EDC上线前测试YN">服务费明细!$D$28</definedName>
    <definedName name="EDC数据列表审核YN">服务费明细!$D$105</definedName>
    <definedName name="IB更新YN">服务费明细!$D$221</definedName>
    <definedName name="ICSR报告处理YN">服务费明细!$D$211</definedName>
    <definedName name="ICSR报告流程培训YN">服务费明细!$D$210</definedName>
    <definedName name="IPMP审核YN">服务费明细!$D$74</definedName>
    <definedName name="IRC稽查YN">服务费明细!$D$245</definedName>
    <definedName name="IRC日常沟通YN">服务费明细!$D$82</definedName>
    <definedName name="MMP撰写YN">服务费明细!$D$98</definedName>
    <definedName name="MMR_TLFs数">项目参数!#REF!</definedName>
    <definedName name="PD分析">服务费明细!$D$185</definedName>
    <definedName name="PK分析">服务费明细!$D$184</definedName>
    <definedName name="PK列表">项目参数!$C$94</definedName>
    <definedName name="PMP撰写YN">服务费明细!$D$71</definedName>
    <definedName name="Pop报告撰写YN">服务费明细!$D$194</definedName>
    <definedName name="Pop计划撰写YN">服务费明细!$D$191</definedName>
    <definedName name="Pop建模与模拟YN">服务费明细!$D$193</definedName>
    <definedName name="_xlnm.Print_Area" localSheetId="23">'Rate Card'!#REF!</definedName>
    <definedName name="_xlnm.Print_Area" localSheetId="7">费用摘要!$B$1:$G$44</definedName>
    <definedName name="_xlnm.Print_Area" localSheetId="5">封面!$A$1:$D$54</definedName>
    <definedName name="_xlnm.Print_Area" localSheetId="9">服务费明细!$B$1:$AI$253</definedName>
    <definedName name="_xlnm.Print_Area" localSheetId="11">其他费用明细!$C$1:$J$75</definedName>
    <definedName name="_xlnm.Print_Area" localSheetId="6">项目参数!$A$17:$D$103</definedName>
    <definedName name="_xlnm.Print_Area" localSheetId="14">项目时间计划!$D$1:$I$37</definedName>
    <definedName name="_xlnm.Print_Area" localSheetId="12">注册申报明细!$B$1:$K$122</definedName>
    <definedName name="Print_Area_1" localSheetId="23">'Rate Card'!$B$29:$O$30</definedName>
    <definedName name="Print_Area_2" localSheetId="23">'Rate Card'!$A$31:$L$54</definedName>
    <definedName name="Print_Area_3" localSheetId="23">'Rate Card'!$B$31:$M$54</definedName>
    <definedName name="_xlnm.Print_Titles" localSheetId="9">服务费明细!$1:$3</definedName>
    <definedName name="_xlnm.Print_Titles" localSheetId="11">其他费用明细!$1:$3</definedName>
    <definedName name="_xlnm.Print_Titles" localSheetId="6">项目参数!$17:$18</definedName>
    <definedName name="PV报告处理语言">项目参数!$C$100</definedName>
    <definedName name="SAE报告医学审核YN">服务费明细!$D$109</definedName>
    <definedName name="SAE发生率">项目参数!$C$34</definedName>
    <definedName name="SAE个案描述撰写YN">服务费明细!$D$224</definedName>
    <definedName name="SAE交叉报告一致性比对YN">服务费明细!#REF!</definedName>
    <definedName name="SAE例次数">项目参数!$C$102</definedName>
    <definedName name="SAE例数">项目参数!$C$35</definedName>
    <definedName name="SAP_YN">服务费明细!$D$144</definedName>
    <definedName name="SDTM数据集个数">项目参数!$C$83</definedName>
    <definedName name="SDV比例">项目参数!$C$50</definedName>
    <definedName name="SMO日常沟通YN">服务费明细!$D$78</definedName>
    <definedName name="SMP撰写YN">服务费明细!$D$205</definedName>
    <definedName name="SRC_SMC会TLFs数">项目参数!#REF!</definedName>
    <definedName name="SRC_SMC章程撰写YN">服务费明细!$D$42</definedName>
    <definedName name="SRC会议次数">项目参数!$C$49</definedName>
    <definedName name="SRC形式">服务费明细!$AI$43</definedName>
    <definedName name="SUSAR报告递交YN">服务费明细!#REF!</definedName>
    <definedName name="SUSAR交叉报告YN">服务费明细!#REF!</definedName>
    <definedName name="SUSAR交叉报告例次数">项目参数!#REF!</definedName>
    <definedName name="SUSAR例次数">项目参数!#REF!</definedName>
    <definedName name="TFLs月">项目时间计划!$G$16</definedName>
    <definedName name="安全警戒项目管理YN">服务费明细!$D$219</definedName>
    <definedName name="安全信号检测YN">服务费明细!$D$218</definedName>
    <definedName name="安全性数据库变更YN">服务费明细!$D$216</definedName>
    <definedName name="安全性数据库配置和测试YN">服务费明细!$D$209</definedName>
    <definedName name="安全性数据库维护YN">服务费明细!#REF!</definedName>
    <definedName name="保险日常沟通YN">服务费明细!$D$83</definedName>
    <definedName name="报价场景">项目参数!$A$2</definedName>
    <definedName name="本地往返差旅时间">项目参数!$C$54</definedName>
    <definedName name="参加和协助DSMB_DMC_IDMC会议">服务费明细!$D$169</definedName>
    <definedName name="参加和协助DSMB_DMC_IDMC会议YN">服务费明细!#REF!</definedName>
    <definedName name="参加和协助DSMB_DMC_IDMC启动会">服务费明细!$D$168</definedName>
    <definedName name="产生方案偏离列表">服务费明细!$D$162</definedName>
    <definedName name="常规监查访视YN">服务费明细!$D$52</definedName>
    <definedName name="搭建数据库界面YN">服务费明细!$D$118</definedName>
    <definedName name="搭建随机发药系统YN">服务费明细!$D$121</definedName>
    <definedName name="递交常规进度报告YN">服务费明细!$D$131</definedName>
    <definedName name="递交项目定制报告YN">服务费明细!$D$132</definedName>
    <definedName name="电话访视YN">服务费明细!$D$55</definedName>
    <definedName name="电话访视次数">项目时间计划!$E$35</definedName>
    <definedName name="调研中心数">项目参数!$C$27</definedName>
    <definedName name="定期汇总安全性报告YN">服务费明细!$D$212</definedName>
    <definedName name="独立PK表格">项目参数!$C$90</definedName>
    <definedName name="独立PK图表">项目参数!$C$91</definedName>
    <definedName name="独立表格">项目参数!$C$85</definedName>
    <definedName name="独立图表">项目参数!$C$86</definedName>
    <definedName name="方案版本更新YN">服务费明细!$D$10</definedName>
    <definedName name="方案定稿月">项目时间计划!$G$4</definedName>
    <definedName name="方案培训YN">服务费明细!$D$20</definedName>
    <definedName name="方案偏离审核YN">服务费明细!$D$104</definedName>
    <definedName name="方案讨论会形式">服务费明细!$AI$40</definedName>
    <definedName name="方案撰写YN">服务费明细!$D$6</definedName>
    <definedName name="访视平均差旅时间">项目参数!$C$52</definedName>
    <definedName name="非盲CRA人数">项目参数!$C$64</definedName>
    <definedName name="非盲常规监查访视YN">服务费明细!$D$237</definedName>
    <definedName name="非盲监查员会YN">服务费明细!$D$234</definedName>
    <definedName name="非盲客户电话会YN">服务费明细!$D$235</definedName>
    <definedName name="非盲客户启动会YN">服务费明细!$D$230</definedName>
    <definedName name="非盲临床运营YN">服务费明细!$D$229</definedName>
    <definedName name="非盲启动访视YN">服务费明细!$D$236</definedName>
    <definedName name="非盲团队培训YN">服务费明细!$D$233</definedName>
    <definedName name="非盲文件管理YN">服务费明细!$D$239</definedName>
    <definedName name="非盲项目管理YN">服务费明细!$D$240</definedName>
    <definedName name="非盲中心日常支持和管理YN">服务费明细!$D$238</definedName>
    <definedName name="服务月">项目时间计划!$G$20</definedName>
    <definedName name="供应商筛选和合同建立YN">服务费明细!$D$77</definedName>
    <definedName name="关闭访视YN">服务费明细!$D$69</definedName>
    <definedName name="关闭访视次数">项目时间计划!$E$33</definedName>
    <definedName name="核查SAE一致性YN">服务费明细!$D$130</definedName>
    <definedName name="核查前现场准备YN">服务费明细!$D$247</definedName>
    <definedName name="核查外部数据一致性YN">服务费明细!$D$126</definedName>
    <definedName name="后续伦理文件准备和递交YN">服务费明细!$D$63</definedName>
    <definedName name="机构立项YN">服务费明细!$D$24</definedName>
    <definedName name="机构自查访视YN">服务费明细!$D$66</definedName>
    <definedName name="机构自查访视次数">项目时间计划!$E$37</definedName>
    <definedName name="稽查计划撰写YN">服务费明细!$D$242</definedName>
    <definedName name="稽查陪同YN">服务费明细!$D$57</definedName>
    <definedName name="计划和实施药物编盲YN">服务费明细!$D$146</definedName>
    <definedName name="计划外访视YN">服务费明细!$D$53</definedName>
    <definedName name="计划外访视次数">项目时间计划!$E$31</definedName>
    <definedName name="列表">项目参数!$C$89</definedName>
    <definedName name="临床监查YN">项目参数!$C$8</definedName>
    <definedName name="临床试验国家局备案YN">服务费明细!$D$30</definedName>
    <definedName name="临床试验省局备案YN">服务费明细!$D$31</definedName>
    <definedName name="临床试验主文件稽查YN">服务费明细!$D$244</definedName>
    <definedName name="临床药理YN">项目参数!$C$12</definedName>
    <definedName name="临床药理项目管理YN">服务费明细!$D$203</definedName>
    <definedName name="伦理年度报告准备和递交YN">服务费明细!$D$64</definedName>
    <definedName name="逻辑核查总数">项目参数!$C$69</definedName>
    <definedName name="盲法">项目参数!$C$46</definedName>
    <definedName name="期中分析TLFs数">项目参数!#REF!</definedName>
    <definedName name="期中分析YN">服务费明细!$D$157</definedName>
    <definedName name="期中分析次数">项目参数!$C$48</definedName>
    <definedName name="其他报告撰写YN">服务费明细!$D$228</definedName>
    <definedName name="其他供应商日常沟通YN">服务费明细!$D$85</definedName>
    <definedName name="启动拜访">服务费明细!$D$49</definedName>
    <definedName name="启动访视YN">服务费明细!$D$48</definedName>
    <definedName name="启动访视次数">项目时间计划!$E$26</definedName>
    <definedName name="启动会的医学远程支持YN">服务费明细!$D$50</definedName>
    <definedName name="启动前项目药物警戒准备工作">服务费明细!$D$208</definedName>
    <definedName name="启动中心数">项目参数!$C$29</definedName>
    <definedName name="人工审核质疑YN">服务费明细!$D$123</definedName>
    <definedName name="人工数据线下列表数">项目参数!$C$70</definedName>
    <definedName name="人工数据线下列表运行频次">项目参数!$C$71</definedName>
    <definedName name="人工质疑数">项目参数!$C$74</definedName>
    <definedName name="人员场景">项目参数!$C$2</definedName>
    <definedName name="入组期IMV次数">项目时间计划!$E$27</definedName>
    <definedName name="入组失败受试者的招募评估YN">服务费明细!$D$102</definedName>
    <definedName name="入组受试者数">项目参数!$C$31</definedName>
    <definedName name="入组月">项目时间计划!$G$11</definedName>
    <definedName name="筛选访视YN">服务费明细!$D$23</definedName>
    <definedName name="筛选访视次数">项目时间计划!$E$25</definedName>
    <definedName name="筛选失败率">项目参数!$D$30</definedName>
    <definedName name="筛选受试者数">项目参数!$C$30</definedName>
    <definedName name="筛选月">项目时间计划!$G$10</definedName>
    <definedName name="筛选中心数">项目参数!$C$28</definedName>
    <definedName name="设置数据核查程序YN">服务费明细!$D$119</definedName>
    <definedName name="审核方案违背数据YN">服务费明细!$D$133</definedName>
    <definedName name="生成ADaM数据集或衍生数据集YN">服务费明细!$D$152</definedName>
    <definedName name="生成BE_BA_FE_DDI_统计TFLs_YN">服务费明细!#REF!</definedName>
    <definedName name="生成DSMB_DMC_IDMC分析数据集">服务费明细!#REF!</definedName>
    <definedName name="生成DSMB_DMC_IDMC统计TFLs">服务费明细!#REF!</definedName>
    <definedName name="生成PK_PD统计TFLs_YN">服务费明细!$D$188</definedName>
    <definedName name="生成SDTM数据集YN">服务费明细!$D$150</definedName>
    <definedName name="生成统计TLFs_YN">服务费明细!$D$153</definedName>
    <definedName name="生物分析实验室日常沟通YN">服务费明细!$D$80</definedName>
    <definedName name="生物统计YN">项目参数!$C$10</definedName>
    <definedName name="生物统计及分析项目管理YN">服务费明细!$D$161</definedName>
    <definedName name="实施日常数据库维护YN">服务费明细!$D$136</definedName>
    <definedName name="实施医学编码YN">服务费明细!$D$127</definedName>
    <definedName name="试验分期">项目参数!$E$22</definedName>
    <definedName name="试验目的">项目参数!$C$22</definedName>
    <definedName name="首次IM形式">服务费明细!$AI$41</definedName>
    <definedName name="首次伦理文件准备和递交YN">服务费明细!$D$25</definedName>
    <definedName name="首家合同月">项目时间计划!$G$6</definedName>
    <definedName name="首家伦理月">项目时间计划!$G$5</definedName>
    <definedName name="受试者合格性审核YN">服务费明细!$D$103</definedName>
    <definedName name="受试者类型">项目参数!$C$26</definedName>
    <definedName name="受试者日记卡撰写YN">服务费明细!$D$13</definedName>
    <definedName name="受试者招募广告撰写YN">服务费明细!$D$14</definedName>
    <definedName name="数据_文献的传输支持和整理">服务费明细!$D$174</definedName>
    <definedName name="数据管理YN">项目参数!$C$9</definedName>
    <definedName name="数据管理项目管理YN">服务费明细!$D$141</definedName>
    <definedName name="数据核查计划条数">项目参数!$C$68</definedName>
    <definedName name="数据库变更YN">服务费明细!$D$142</definedName>
    <definedName name="数据库变更次数">项目参数!$C$72</definedName>
    <definedName name="数据库锁定YN">服务费明细!$D$139</definedName>
    <definedName name="数据清理访视YN">服务费明细!$D$67</definedName>
    <definedName name="数据清理访视次数">项目时间计划!$E$32</definedName>
    <definedName name="数据审核会TLF数">项目参数!#REF!</definedName>
    <definedName name="数据文献的传输支持和整理">服务费明细!$D$174</definedName>
    <definedName name="数据状态报告频次">项目参数!$C$81</definedName>
    <definedName name="数统二级标签">项目参数!$B$2</definedName>
    <definedName name="随访期IMV次数">项目时间计划!$E$29</definedName>
    <definedName name="随访月">项目时间计划!$G$13</definedName>
    <definedName name="随机化设计">项目参数!$C$47</definedName>
    <definedName name="锁库月">项目时间计划!$G$15</definedName>
    <definedName name="特殊事件的处理YN">服务费明细!$D$217</definedName>
    <definedName name="体表面积法">服务费明细!$D$176</definedName>
    <definedName name="通胀系数">项目参数!$L$33</definedName>
    <definedName name="统计分析YN">项目参数!$C$11</definedName>
    <definedName name="脱落率">项目参数!$D$32</definedName>
    <definedName name="外部沟通PPT整理_QC">服务费明细!$D$178</definedName>
    <definedName name="外部会议讨论">服务费明细!$D$179</definedName>
    <definedName name="外部数据供应商数">项目参数!$C$75</definedName>
    <definedName name="外部数据一次性核查频次">项目参数!$C$76</definedName>
    <definedName name="完成DSMB_DMC_IDMC报告TFLs_YN">服务费明细!#REF!</definedName>
    <definedName name="完成电子数据递交资料YN">服务费明细!$D$159</definedName>
    <definedName name="完成受试者数">项目参数!$C$32</definedName>
    <definedName name="完成用户接收性测试YN">服务费明细!$D$120</definedName>
    <definedName name="卫健委备案YN">服务费明细!$D$33</definedName>
    <definedName name="文件创建和维护YN">服务费明细!$D$76</definedName>
    <definedName name="文件移交至客户YN">服务费明细!$D$96</definedName>
    <definedName name="物流日常沟通YN">服务费明细!$D$81</definedName>
    <definedName name="系统质疑数">项目参数!$C$73</definedName>
    <definedName name="系统自动质疑YN">服务费明细!$D$122</definedName>
    <definedName name="项目管理YN">项目参数!$C$7</definedName>
    <definedName name="项目类型">项目参数!$C$19</definedName>
    <definedName name="协同访视YN">服务费明细!$D$54</definedName>
    <definedName name="协同访视次数">项目时间计划!$E$34</definedName>
    <definedName name="研究简报撰写YN">服务费明细!$D$60</definedName>
    <definedName name="研究物资申请和采购管理YN">服务费明细!$D$62</definedName>
    <definedName name="研究药品申请管理YN">服务费明细!$D$61</definedName>
    <definedName name="研究者手册更新YN">服务费明细!$D$221</definedName>
    <definedName name="研究中心">项目时间计划!$D$20</definedName>
    <definedName name="研究中心稽查YN">服务费明细!$D$243</definedName>
    <definedName name="研究中心启动文件准备和快递YN">服务费明细!$D$29</definedName>
    <definedName name="药物或疾病编码审核YN">服务费明细!$D$107</definedName>
    <definedName name="药物警戒YN">项目参数!$C$13</definedName>
    <definedName name="药物警戒委托协议撰写YN">服务费明细!$D$207</definedName>
    <definedName name="药物警戒协议撰写YN">服务费明细!$D$206</definedName>
    <definedName name="医学编码MedDRA">项目参数!$C$78</definedName>
    <definedName name="医学编码WHODrug">项目参数!$C$79</definedName>
    <definedName name="医学编码报告频次">项目参数!$C$80</definedName>
    <definedName name="医学编码审核YN">服务费明细!$D$106</definedName>
    <definedName name="医学监查YN">项目参数!$C$6</definedName>
    <definedName name="医学监查报告撰写YN">服务费明细!$D$108</definedName>
    <definedName name="医学监查培训YN">服务费明细!$D$99</definedName>
    <definedName name="医学项目管理YN">服务费明细!$D$112</definedName>
    <definedName name="医学撰写YN">项目参数!$C$5</definedName>
    <definedName name="遗传办变更申报YN">服务费明细!$D$37</definedName>
    <definedName name="遗传办国际合作备案申报YN">服务费明细!$D$36</definedName>
    <definedName name="遗传办国际合作总结报告YN">服务费明细!$D$38</definedName>
    <definedName name="遗传办首次国际合作审批申报YN">服务费明细!$D$35</definedName>
    <definedName name="遗传办数据备份备案申报YN">服务费明细!#REF!</definedName>
    <definedName name="遗传办月">项目时间计划!$G$7</definedName>
    <definedName name="异地差旅比例">项目参数!$C$53</definedName>
    <definedName name="异地往返平均差旅时间">项目参数!$C$55</definedName>
    <definedName name="异速放大法">服务费明细!$D$175</definedName>
    <definedName name="英文报告">服务费明细!$D$181</definedName>
    <definedName name="与申办方的日常沟通">服务费明细!$D$92</definedName>
    <definedName name="与项目组内部的日常沟通">服务费明细!$D$91</definedName>
    <definedName name="长随访期IMV次数">项目时间计划!$E$30</definedName>
    <definedName name="长随访月">项目时间计划!$G$14</definedName>
    <definedName name="招募日常沟通YN">服务费明细!$D$79</definedName>
    <definedName name="召开SRC_SMC会YN">服务费明细!$D$43</definedName>
    <definedName name="召开方案讨论会YN">服务费明细!$D$40</definedName>
    <definedName name="召开监查员会YN">服务费明细!$D$93</definedName>
    <definedName name="召开客户电话会YN">服务费明细!$D$87</definedName>
    <definedName name="召开客户面对面会YN">服务费明细!$D$89</definedName>
    <definedName name="召开客户启动会YN">服务费明细!$D$17</definedName>
    <definedName name="召开首次研究者会YN">服务费明细!$D$41</definedName>
    <definedName name="召开数据审核会YN">服务费明细!$D$138</definedName>
    <definedName name="召开项目会YN">服务费明细!$D$90</definedName>
    <definedName name="召开研究总结会YN">服务费明细!$D$45</definedName>
    <definedName name="召开中期研究者会YN">服务费明细!$D$44</definedName>
    <definedName name="整理Pop数据集YN">服务费明细!$D$192</definedName>
    <definedName name="制定DSMB_DMC_IDMC统计TFLs模版">服务费明细!$D$166</definedName>
    <definedName name="制定PK_PDTFLs模板">服务费明细!$D$183</definedName>
    <definedName name="制定和实施随机化方案YN">服务费明细!$D$145</definedName>
    <definedName name="制定统计TLFs模板YN">服务费明细!$D$147</definedName>
    <definedName name="质控访视YN">服务费明细!$D$56</definedName>
    <definedName name="质控访视次数">项目时间计划!$E$36</definedName>
    <definedName name="质量保证YN">项目参数!$C$14</definedName>
    <definedName name="治疗期IMV次数">项目时间计划!$E$28</definedName>
    <definedName name="治疗月">项目时间计划!$G$12</definedName>
    <definedName name="致客户项目进展报告撰写YN">服务费明细!$D$88</definedName>
    <definedName name="中期IM形式">服务费明细!$AI$44</definedName>
    <definedName name="中文报告">服务费明细!$D$180</definedName>
    <definedName name="中心安全性报告管理YN">服务费明细!$D$58</definedName>
    <definedName name="中心费用支付支持YN">服务费明细!$D$59</definedName>
    <definedName name="中心激活月">项目参数!$C$56</definedName>
    <definedName name="中心可行性调研YN">服务费明细!$D$22</definedName>
    <definedName name="中心日常支持和管理YN">服务费明细!$D$65</definedName>
    <definedName name="中心实验室操作手册审核YN">服务费明细!$D$73</definedName>
    <definedName name="中心实验室日常沟通YN">服务费明细!$D$84</definedName>
    <definedName name="中心知情同意书撰写YN">服务费明细!$D$27</definedName>
    <definedName name="重复PK表格">项目参数!$C$92</definedName>
    <definedName name="重复PK图表">项目参数!$C$93</definedName>
    <definedName name="重复表格">项目参数!$C$87</definedName>
    <definedName name="重复图">项目参数!$C$88</definedName>
    <definedName name="重复图表">项目参数!$C$88</definedName>
    <definedName name="主知情同意版本更新YN">服务费明细!$D$12</definedName>
    <definedName name="主知情同意撰写YN">服务费明细!$D$11</definedName>
    <definedName name="转化PK_PD">服务费明细!$D$177</definedName>
    <definedName name="撰写ADaM数据集或分析数据集衍生规范YN">服务费明细!$D$151</definedName>
    <definedName name="撰写CRF_YN">服务费明细!$D$9</definedName>
    <definedName name="撰写DSMB_DMC_IDMC分析数据集衍生规范">服务费明细!#REF!</definedName>
    <definedName name="撰写DSMB_DMC_IDMC统计分析计划">服务费明细!$D$165</definedName>
    <definedName name="撰写DSMB_DMC_IDMC章程">服务费明细!$D$164</definedName>
    <definedName name="撰写DSMB_DMC_IDMC章程YN">服务费明细!#REF!</definedName>
    <definedName name="撰写SDTM_CRF注释和映射规范YN">服务费明细!$D$148</definedName>
    <definedName name="撰写非盲监查计划YN">服务费明细!$D$231</definedName>
    <definedName name="撰写非盲药物管理计划YN">服务费明细!$D$232</definedName>
    <definedName name="撰写数据管理报告YN">服务费明细!$D$140</definedName>
    <definedName name="撰写数据管理文档YN">服务费明细!$D$114</definedName>
    <definedName name="撰写统计分析报告_SAR_YN">服务费明细!$D$160</definedName>
    <definedName name="准备或签署研究中心合同YN">服务费明细!$D$47</definedName>
    <definedName name="总结IM形式">服务费明细!$AI$45</definedName>
    <definedName name="总结报告CSR中心签章YN">服务费明细!$D$68</definedName>
    <definedName name="最终分析YN">服务费明细!$D$158</definedName>
    <definedName name="DSMB_DMC_IDMC会议的分析数据集个数">项目参数!#REF!</definedName>
    <definedName name="DSMB_DMC_IDMC会议的独立TFLs数">项目参数!#REF!</definedName>
    <definedName name="DSMB_DMC_IDMC会议的重复TFLs数">项目参数!#REF!</definedName>
    <definedName name="DSMB_DMC_IDMC会议的Dry_Run次数">项目参数!$C$99</definedName>
    <definedName name="方案偏离列表">项目参数!$C$96</definedName>
    <definedName name="方案偏离列表运行次数">项目参数!$C$97</definedName>
    <definedName name="CQTc分析报告YN">服务费明细!$D$201</definedName>
    <definedName name="外部沟通会YN">服务费明细!$D$200</definedName>
    <definedName name="外部沟通会数据整理YN">服务费明细!$D$199</definedName>
    <definedName name="CQTc建模分析YN">服务费明细!$D$198</definedName>
    <definedName name="探索性分析YN">服务费明细!$D$197</definedName>
    <definedName name="数据整理YN">服务费明细!$D$196</definedName>
    <definedName name="CQTc分析计划YN">服务费明细!$D$195</definedName>
    <definedName name="受试者预筛">项目参数!$C$36</definedName>
    <definedName name="受试者招募审核YN">服务费明细!$D$101</definedName>
    <definedName name="Leading_PI沟通会">服务费明细!$E$86</definedName>
    <definedName name="Leading_PI沟通会YN">服务费明细!$D$86</definedName>
    <definedName name="促进入组现场拜访">服务费明细!$D$75</definedName>
    <definedName name="促进入组现场拜访YN">服务费明细!$D$75</definedName>
    <definedName name="患者预筛YN">服务费明细!$D$51</definedName>
    <definedName name="SSU阶段文件准备YN">服务费明细!$D$21</definedName>
    <definedName name="实施随机发药系统数据库维护YN">服务费明细!$D$137</definedName>
    <definedName name="方案偏离列表运行YN">服务费明细!$D$163</definedName>
    <definedName name="方案偏离列表编程YN">服务费明细!$D$133</definedName>
    <definedName name="审核方案偏离数据YN">服务费明细!$D$134</definedName>
    <definedName name="撰写人工核查计划YN">服务费明细!$D$117</definedName>
    <definedName name="CSR中译英YN">服务费明细!$D$223</definedName>
    <definedName name="SAE个案中译英YN">服务费明细!$D$225</definedName>
    <definedName name="期中报告撰写YN">服务费明细!$D$226</definedName>
    <definedName name="期中报告中译英YN">服务费明细!$D$227</definedName>
    <definedName name="方案中译英YN">服务费明细!$D$8</definedName>
    <definedName name="监管沟通支持YN">服务费明细!$D$202</definedName>
    <definedName name="相关性分析YN">服务费明细!$D$186</definedName>
    <definedName name="起始剂量YN">注册申报明细!$D$13</definedName>
    <definedName name="人工质疑管理YN">服务费明细!$D$124</definedName>
    <definedName name="编码报告YN">服务费明细!$D$129</definedName>
    <definedName name="外部数据一致性核查逻辑说明YN">服务费明细!$D$125</definedName>
    <definedName name="EDC实验室范围YN">服务费明细!$D$135</definedName>
    <definedName name="PV报告双语">项目参数!$C$100</definedName>
    <definedName name="DSUR撰写英文YN">服务费明细!$D$214</definedName>
    <definedName name="外部数据一致性核查频次">项目参数!$C$76</definedName>
    <definedName name="SAE一致性核查频次">项目参数!$C$77</definedName>
    <definedName name="文章发表YN">服务费明细!$D$171</definedName>
    <definedName name="CDE申报后额外分析YN">服务费明细!$D$172</definedName>
    <definedName name="医学监查">服务费明细!$D$97</definedName>
    <definedName name="注册事务YN">项目参数!$C$15</definedName>
    <definedName name="方案偏离审核频次YN">项目参数!#REF!</definedName>
    <definedName name="遗传办递交和跟进">项目参数!$C$23</definedName>
    <definedName name="方案偏离频次">项目参数!$C$82</definedName>
    <definedName name="撰写PK_SAP">服务费明细!$D$182</definedName>
    <definedName name="外部数据一致性比对YN">服务费明细!$D$95</definedName>
    <definedName name="YN熟悉方案">服务费明细!$D$7</definedName>
    <definedName name="YN协同拜访PI">服务费明细!$D$18</definedName>
    <definedName name="启动会_立项会文件审核YN">服务费明细!$D$16</definedName>
    <definedName name="研究中心伦理意见答复YN">服务费明细!$D$19</definedName>
    <definedName name="研究方案问题回复YN">服务费明细!$D$26</definedName>
    <definedName name="翻译服务YN">服务费明细!$E$111</definedName>
    <definedName name="筛选试验参与者数">项目参数!$C$30</definedName>
    <definedName name="入组试验参与者数">项目参数!$C$31</definedName>
    <definedName name="试验参与者类型">项目参数!$C$26</definedName>
    <definedName name="试验参与者预筛">项目参数!$C$36</definedName>
    <definedName name="完成试验参与者数">项目参数!$C$32</definedName>
  </definedNames>
  <calcPr calcId="191029"/>
  <pivotCaches>
    <pivotCache cacheId="0" r:id="rId2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UL-BJ-248</author>
  </authors>
  <commentList>
    <comment ref="P22" authorId="0">
      <text>
        <r>
          <rPr>
            <b/>
            <sz val="9"/>
            <rFont val="宋体"/>
            <charset val="134"/>
          </rPr>
          <t>UL-BJ-248:</t>
        </r>
        <r>
          <rPr>
            <sz val="9"/>
            <rFont val="宋体"/>
            <charset val="134"/>
          </rPr>
          <t xml:space="preserve">
IIT项目备案</t>
        </r>
      </text>
    </comment>
    <comment ref="P23" authorId="0">
      <text>
        <r>
          <rPr>
            <b/>
            <sz val="9"/>
            <rFont val="宋体"/>
            <charset val="134"/>
          </rPr>
          <t>UL-BJ-248:</t>
        </r>
        <r>
          <rPr>
            <sz val="9"/>
            <rFont val="宋体"/>
            <charset val="134"/>
          </rPr>
          <t xml:space="preserve">
方案有探索性部分或不符合备案的需报。（前提合作方涉外）</t>
        </r>
      </text>
    </comment>
    <comment ref="P24" authorId="0">
      <text>
        <r>
          <rPr>
            <b/>
            <sz val="9"/>
            <rFont val="宋体"/>
            <charset val="134"/>
          </rPr>
          <t>UL-BJ-248:</t>
        </r>
        <r>
          <rPr>
            <sz val="9"/>
            <rFont val="宋体"/>
            <charset val="134"/>
          </rPr>
          <t xml:space="preserve">
人类遗传资源采集、检测、处理均在医院进行或人类遗传资源在医院采集并由方案指定的境内单位检测分析处理。 </t>
        </r>
      </text>
    </comment>
    <comment ref="P25" authorId="0">
      <text>
        <r>
          <rPr>
            <b/>
            <sz val="9"/>
            <rFont val="宋体"/>
            <charset val="134"/>
          </rPr>
          <t>UL-BJ-248:</t>
        </r>
        <r>
          <rPr>
            <sz val="9"/>
            <rFont val="宋体"/>
            <charset val="134"/>
          </rPr>
          <t xml:space="preserve">
项目涉及基因或基因组，生物标志物信息并需要对外提供（比如用于FDA申报）或开放使用（比如发文章）。</t>
        </r>
      </text>
    </comment>
    <comment ref="P26" authorId="0">
      <text>
        <r>
          <rPr>
            <b/>
            <sz val="9"/>
            <rFont val="宋体"/>
            <charset val="134"/>
          </rPr>
          <t>UL-BJ-248:</t>
        </r>
        <r>
          <rPr>
            <sz val="9"/>
            <rFont val="宋体"/>
            <charset val="134"/>
          </rPr>
          <t xml:space="preserve">
涉及合作方变更，遗传资源类型变更或数量变更超过10%。 </t>
        </r>
      </text>
    </comment>
    <comment ref="P27" authorId="0">
      <text>
        <r>
          <rPr>
            <b/>
            <sz val="9"/>
            <rFont val="宋体"/>
            <charset val="134"/>
          </rPr>
          <t>UL-BJ-248:</t>
        </r>
        <r>
          <rPr>
            <sz val="9"/>
            <rFont val="宋体"/>
            <charset val="134"/>
          </rPr>
          <t xml:space="preserve">
国际合作申报，项目结束后均需要上报国际合作总结报告。</t>
        </r>
      </text>
    </comment>
  </commentList>
</comments>
</file>

<file path=xl/comments2.xml><?xml version="1.0" encoding="utf-8"?>
<comments xmlns="http://schemas.openxmlformats.org/spreadsheetml/2006/main">
  <authors>
    <author>UL-BJ-248</author>
  </authors>
  <commentList>
    <comment ref="F68" authorId="0">
      <text>
        <r>
          <rPr>
            <b/>
            <sz val="9"/>
            <rFont val="宋体"/>
            <charset val="134"/>
          </rPr>
          <t>UL-BJ-248:</t>
        </r>
        <r>
          <rPr>
            <sz val="9"/>
            <rFont val="宋体"/>
            <charset val="134"/>
          </rPr>
          <t xml:space="preserve">
20240219 张博要求将LSA改为SA；LST改为ST</t>
        </r>
      </text>
    </comment>
    <comment ref="F70" authorId="0">
      <text>
        <r>
          <rPr>
            <b/>
            <sz val="9"/>
            <rFont val="宋体"/>
            <charset val="134"/>
          </rPr>
          <t>UL-BJ-248:</t>
        </r>
        <r>
          <rPr>
            <sz val="9"/>
            <rFont val="宋体"/>
            <charset val="134"/>
          </rPr>
          <t xml:space="preserve">
20240219 张博要求将LSA改为SA；LST改为ST</t>
        </r>
      </text>
    </comment>
  </commentList>
</comments>
</file>

<file path=xl/comments3.xml><?xml version="1.0" encoding="utf-8"?>
<comments xmlns="http://schemas.openxmlformats.org/spreadsheetml/2006/main">
  <authors>
    <author>UL-BJ-195</author>
    <author>Administrator</author>
  </authors>
  <commentList>
    <comment ref="AJ211" authorId="0">
      <text>
        <r>
          <rPr>
            <b/>
            <sz val="9"/>
            <rFont val="宋体"/>
            <charset val="134"/>
          </rPr>
          <t>UL-BJ-195:</t>
        </r>
        <r>
          <rPr>
            <sz val="9"/>
            <rFont val="宋体"/>
            <charset val="134"/>
          </rPr>
          <t xml:space="preserve">
UL-BJ-195:
zgm: AOSE撰写，默认不激活，是否包含需PV报价人员确认。
若需要，增加备注：AOSE撰写，据实结算，每例SUSAR计1次。</t>
        </r>
      </text>
    </comment>
    <comment ref="C215" authorId="1">
      <text>
        <r>
          <rPr>
            <sz val="9"/>
            <rFont val="宋体"/>
            <charset val="134"/>
          </rPr>
          <t xml:space="preserve">常规不执行
</t>
        </r>
      </text>
    </comment>
  </commentList>
</comments>
</file>

<file path=xl/comments4.xml><?xml version="1.0" encoding="utf-8"?>
<comments xmlns="http://schemas.openxmlformats.org/spreadsheetml/2006/main">
  <authors>
    <author>UL-BJ-195</author>
    <author>Administrator</author>
  </authors>
  <commentList>
    <comment ref="X1" authorId="0">
      <text>
        <r>
          <rPr>
            <b/>
            <sz val="9"/>
            <rFont val="宋体"/>
            <charset val="134"/>
          </rPr>
          <t>UL-BJ-195:</t>
        </r>
        <r>
          <rPr>
            <sz val="9"/>
            <rFont val="宋体"/>
            <charset val="134"/>
          </rPr>
          <t xml:space="preserve">
内部工时比例</t>
        </r>
      </text>
    </comment>
    <comment ref="AQ1" authorId="1">
      <text>
        <r>
          <rPr>
            <sz val="9"/>
            <rFont val="宋体"/>
            <charset val="134"/>
          </rPr>
          <t>可根据情况更改buffer</t>
        </r>
      </text>
    </comment>
  </commentList>
</comments>
</file>

<file path=xl/comments5.xml><?xml version="1.0" encoding="utf-8"?>
<comments xmlns="http://schemas.openxmlformats.org/spreadsheetml/2006/main">
  <authors>
    <author>Administrator</author>
  </authors>
  <commentList>
    <comment ref="D71" authorId="0">
      <text>
        <r>
          <rPr>
            <sz val="9"/>
            <rFont val="宋体"/>
            <charset val="134"/>
          </rPr>
          <t xml:space="preserve">冰箱另算，这里先删除。单价可根据项目调整
</t>
        </r>
      </text>
    </comment>
  </commentList>
</comments>
</file>

<file path=xl/comments6.xml><?xml version="1.0" encoding="utf-8"?>
<comments xmlns="http://schemas.openxmlformats.org/spreadsheetml/2006/main">
  <authors>
    <author>UL-BJ-195</author>
  </authors>
  <commentList>
    <comment ref="K7" authorId="0">
      <text>
        <r>
          <rPr>
            <b/>
            <sz val="9"/>
            <rFont val="宋体"/>
            <charset val="134"/>
          </rPr>
          <t>UL-BJ-195:</t>
        </r>
        <r>
          <rPr>
            <sz val="9"/>
            <rFont val="宋体"/>
            <charset val="134"/>
          </rPr>
          <t xml:space="preserve">
ZGM：可以和医学总监确认下，是否接受，不接受就删除此comment
24/12/31</t>
        </r>
      </text>
    </comment>
    <comment ref="D9" authorId="0">
      <text>
        <r>
          <rPr>
            <b/>
            <sz val="9"/>
            <rFont val="宋体"/>
            <charset val="134"/>
          </rPr>
          <t>UL-BJ-195:</t>
        </r>
        <r>
          <rPr>
            <sz val="9"/>
            <rFont val="宋体"/>
            <charset val="134"/>
          </rPr>
          <t xml:space="preserve">
ZGM：默认不激活，若需可增加</t>
        </r>
      </text>
    </comment>
  </commentList>
</comments>
</file>

<file path=xl/comments7.xml><?xml version="1.0" encoding="utf-8"?>
<comments xmlns="http://schemas.openxmlformats.org/spreadsheetml/2006/main">
  <authors>
    <author>UL-BJ-248</author>
  </authors>
  <commentList>
    <comment ref="T2" authorId="0">
      <text>
        <r>
          <rPr>
            <b/>
            <sz val="9"/>
            <rFont val="宋体"/>
            <charset val="134"/>
          </rPr>
          <t>UL-BJ-248:</t>
        </r>
        <r>
          <rPr>
            <sz val="9"/>
            <rFont val="宋体"/>
            <charset val="134"/>
          </rPr>
          <t xml:space="preserve">
2024/5/20与肿瘤I期工时一致，主要为了预防数统提供的场景均不适用时</t>
        </r>
      </text>
    </comment>
  </commentList>
</comments>
</file>

<file path=xl/comments8.xml><?xml version="1.0" encoding="utf-8"?>
<comments xmlns="http://schemas.openxmlformats.org/spreadsheetml/2006/main">
  <authors>
    <author>UL-BJ-248</author>
  </authors>
  <commentList>
    <comment ref="C22" authorId="0">
      <text>
        <r>
          <rPr>
            <b/>
            <sz val="9"/>
            <rFont val="宋体"/>
            <charset val="134"/>
          </rPr>
          <t>UL-BJ-248:</t>
        </r>
        <r>
          <rPr>
            <sz val="9"/>
            <rFont val="宋体"/>
            <charset val="134"/>
          </rPr>
          <t xml:space="preserve">
IIT项目备案</t>
        </r>
      </text>
    </comment>
    <comment ref="C51" authorId="0">
      <text>
        <r>
          <rPr>
            <b/>
            <sz val="9"/>
            <rFont val="宋体"/>
            <charset val="134"/>
          </rPr>
          <t>From 赵军威：机构自查访视 改为 自查访视，原因：</t>
        </r>
        <r>
          <rPr>
            <sz val="9"/>
            <rFont val="宋体"/>
            <charset val="134"/>
          </rPr>
          <t>有的医院非机构管理，可能是科研处/科教部管理，此条目名称请作更新</t>
        </r>
      </text>
    </comment>
    <comment ref="E135" authorId="0">
      <text>
        <r>
          <rPr>
            <b/>
            <sz val="9"/>
            <rFont val="宋体"/>
            <charset val="134"/>
          </rPr>
          <t>UL-BJ-248:</t>
        </r>
        <r>
          <rPr>
            <sz val="9"/>
            <rFont val="宋体"/>
            <charset val="134"/>
          </rPr>
          <t xml:space="preserve">
安全性数据交换协议</t>
        </r>
      </text>
    </comment>
    <comment ref="C186" authorId="0">
      <text>
        <r>
          <rPr>
            <b/>
            <sz val="9"/>
            <rFont val="宋体"/>
            <charset val="134"/>
          </rPr>
          <t>UL-BJ-248:</t>
        </r>
        <r>
          <rPr>
            <sz val="9"/>
            <rFont val="宋体"/>
            <charset val="134"/>
          </rPr>
          <t xml:space="preserve">
20240205修正1.8.2至1.8.3</t>
        </r>
      </text>
    </comment>
    <comment ref="C213" authorId="0">
      <text>
        <r>
          <rPr>
            <b/>
            <sz val="9"/>
            <rFont val="宋体"/>
            <charset val="134"/>
          </rPr>
          <t>UL-BJ-248:</t>
        </r>
        <r>
          <rPr>
            <sz val="9"/>
            <rFont val="宋体"/>
            <charset val="134"/>
          </rPr>
          <t xml:space="preserve">
IIT项目备案</t>
        </r>
      </text>
    </comment>
    <comment ref="M387" authorId="0">
      <text>
        <r>
          <rPr>
            <b/>
            <sz val="9"/>
            <rFont val="宋体"/>
            <charset val="134"/>
          </rPr>
          <t>UL-BJ-248:</t>
        </r>
        <r>
          <rPr>
            <sz val="9"/>
            <rFont val="宋体"/>
            <charset val="134"/>
          </rPr>
          <t xml:space="preserve">
20240116修订名称：Dry Run的程序验证  改为 Dry Run程序的验证和修订</t>
        </r>
      </text>
    </comment>
    <comment ref="M399" authorId="0">
      <text>
        <r>
          <rPr>
            <b/>
            <sz val="9"/>
            <rFont val="宋体"/>
            <charset val="134"/>
          </rPr>
          <t>UL-BJ-248:</t>
        </r>
        <r>
          <rPr>
            <sz val="9"/>
            <rFont val="宋体"/>
            <charset val="134"/>
          </rPr>
          <t xml:space="preserve">
20240116修订名称：期中分析的程序验证 改为 期中分析程序的验证和修订</t>
        </r>
      </text>
    </comment>
    <comment ref="M406" authorId="0">
      <text>
        <r>
          <rPr>
            <b/>
            <sz val="9"/>
            <rFont val="宋体"/>
            <charset val="134"/>
          </rPr>
          <t>UL-BJ-248:</t>
        </r>
        <r>
          <rPr>
            <sz val="9"/>
            <rFont val="宋体"/>
            <charset val="134"/>
          </rPr>
          <t xml:space="preserve">
20240116修订名称：最终分析的程序验证 改为 最终分析程序的验证和修订</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<sst xmlns="http://schemas.openxmlformats.org/spreadsheetml/2006/main" count="22307" uniqueCount="4890">
  <si>
    <t>序号</t>
  </si>
  <si>
    <t>日期</t>
  </si>
  <si>
    <t>维修点</t>
  </si>
  <si>
    <t>版本号</t>
  </si>
  <si>
    <t>更换代码规则</t>
  </si>
  <si>
    <t>v3.01</t>
  </si>
  <si>
    <t>根据近期HV审阅情况，底表增加HV标准工时</t>
  </si>
  <si>
    <t>《T0467 安全性数据库用户体验测试》PVS和PVP默认改为不激活</t>
  </si>
  <si>
    <t>v3.01_20231103</t>
  </si>
  <si>
    <t>Sheet《其他费用》差旅费次数公式微调;Sheet《项目参数》关闭期公式微调;Sheet《注册申报底表》AB列公式修正</t>
  </si>
  <si>
    <t>v3.01_20231107</t>
  </si>
  <si>
    <t>Sheet《项目时间计划》随访期仅描述做调整:项目时间计划拆治疗随访1/2/3,相加等于客户展示页的治疗随访期</t>
  </si>
  <si>
    <t>1.Gateway 测试服务：0次。XML递交测试服务：1次。（这个基本是每个项目都可以这样报价。对于客户指定采用国际双语数据库时，可以增加Gateway测试的费用）2.安全性信号检测：0次。若客户没有明确需要信号检测的服务，以后均可以默认为0。</t>
  </si>
  <si>
    <t>v3.01_20231108</t>
  </si>
  <si>
    <t>匹配《其他费用》科目，更新ERP导入表</t>
  </si>
  <si>
    <t>v3.02_20231123</t>
  </si>
  <si>
    <t>与ZJW确认 《保险日常沟通》改为按次</t>
  </si>
  <si>
    <t>根据D365建议，将注册中方案撰写命名和编码稍作调整，并同步至IT</t>
  </si>
  <si>
    <t>v3.02_20231127</t>
  </si>
  <si>
    <t>根据GPP要求，更新1）A092的DTA起草和审核(外部供应商各1份)，2) A092客户展示数量*外部供应商数；</t>
  </si>
  <si>
    <t>A151 SAE个案描述撰写仅保留一行MM</t>
  </si>
  <si>
    <t>v3.02_20231201</t>
  </si>
  <si>
    <t>《其他费用明细》中差旅次数公式更新</t>
  </si>
  <si>
    <t>v3.02_20231207</t>
  </si>
  <si>
    <t>《服务费明细》改库次数与参数页关联</t>
  </si>
  <si>
    <t>v3.02_20231221</t>
  </si>
  <si>
    <t>《服务费底表》SAR部分增加临床药理章节，撰写4hrs,审核2hrs， 如适用则激活</t>
  </si>
  <si>
    <t>v3.03_20231225</t>
  </si>
  <si>
    <t>见截图</t>
  </si>
  <si>
    <t>v3.04_20240116</t>
  </si>
  <si>
    <t>医学监查明细页，月round取整</t>
  </si>
  <si>
    <t>v3.04_20240123</t>
  </si>
  <si>
    <t>与李婧沟通：注册I026和I027工时拆分大部分至I023和I025</t>
  </si>
  <si>
    <t>v3.04_20240129</t>
  </si>
  <si>
    <t>A181风险管理计划描述1.8.2修改为1.8.3</t>
  </si>
  <si>
    <t>v3.04_20240205</t>
  </si>
  <si>
    <t xml:space="preserve"> Rate Card: 
1) 更新2024年Rate Card。
2) 删除三个场景Rate，增加一个Rate系数调整，但须总经理审批方可使用。
3) 删除Rate Card中Rate Cost信息和毛利计算。原则上，商务运营不再支持毛利计算。合同完签后，由财务统一计算初始合同毛利和跟进实际毛利。</t>
  </si>
  <si>
    <t>v3.05_20240219</t>
  </si>
  <si>
    <t>2. LSA 改为 SA，LST改为ST。 ERP上线测试阶段将同步至D365</t>
  </si>
  <si>
    <t>修订SA和ST误操作的问题</t>
  </si>
  <si>
    <t>v3.05_20240221</t>
  </si>
  <si>
    <t>修订PV A137备注，其他研究 改为 本研究</t>
  </si>
  <si>
    <t>v3.05_20240308</t>
  </si>
  <si>
    <t>邵健：与工时系统保持一致，“中文名称项目经理修改为临床项目经理, 项目管理副总监  需要修改成临床项目总监”</t>
  </si>
  <si>
    <t>v3.06_20240618</t>
  </si>
  <si>
    <t>尝试增加场景，但由于缺少工时依据，后续待持续优化</t>
  </si>
  <si>
    <t>增加DVP，SAP，SMP的PM审核，各1小时；增加IIT/非注册试验的卫健委备案</t>
  </si>
  <si>
    <t>【服务费明细】  A136、A138和A139 单位调整为"报告版本"，A136增加备注“本项目ICSR报告为中文处理，若产生中英双语录入的报告，按照两个版本/报告计费；若有境外SUSAR报告，可按照1版本/报告计费”；【服务费底表】Q666~O678相应更新；【二三级标注】中二级任务单位调整。</t>
  </si>
  <si>
    <t>v3.07_20240712</t>
  </si>
  <si>
    <t>【封面】加了韩博和姜总的信息，更新了BD信息，更新了公司地址
【项目时间计划】调整了条目的名称--“访视、差旅及报告小时”
【费用摘要】调整了税前金额格式，保留两位小数。
【服务费底表】调整了 T0331-SAP审核，PM审核的逻辑
【其他费用明细】 调整了格式、细节</t>
  </si>
  <si>
    <t>v3.08_20240808</t>
  </si>
  <si>
    <t>【服务费明细】更新【D128】dry run的逻辑；【D30】【E30】遗传办变更次数和参数页link
【其他费用明细】hide部分组合；添加CRO间接费用、会务费与供应商费用激活的逻辑；快递费单价保留小数两位，牵头费单价公式调整（iferror a/b）；机构管理费呈现调整（加“”）。</t>
  </si>
  <si>
    <t>v3.09_20240812</t>
  </si>
  <si>
    <t>【封面】BD信息更新
【其他费用明细】TM随机系统名称更变为 ：TrialMaster 随机发药系统 (RTSM Master)</t>
  </si>
  <si>
    <t>v3.10_20240820</t>
  </si>
  <si>
    <t>【封面】BD信息更新 地址更新
【服务费明细】及【其他费用明细】更新逻辑错误的地方</t>
  </si>
  <si>
    <t>v3.11_20241023</t>
  </si>
  <si>
    <t>【封面】BD信息更新 logo 地址</t>
  </si>
  <si>
    <t>v3.12_20241115</t>
  </si>
  <si>
    <t>【封面】BD信息更新</t>
  </si>
  <si>
    <t>v3.15_20250325</t>
  </si>
  <si>
    <t>【项目参数页】生物统计及分析 DSMB/DMC/IDMC部分的更新，整体数据管理顺序的更新
【服务费底表】数据管理部分逻辑的调整、药理的二级目录，PK/PD SAP及PK/PD SAR
【服务费明细】药理的SAP和SAR的报价单独放到药理的报价目录中</t>
  </si>
  <si>
    <t>v3.16_20250616</t>
  </si>
  <si>
    <t>【服务费明细】恢复A141，增加Rate及单位角色的体现</t>
  </si>
  <si>
    <t>v3.17_20250707</t>
  </si>
  <si>
    <t>【服务费底表】变更数统三级名称</t>
  </si>
  <si>
    <t>v3.18_20250709</t>
  </si>
  <si>
    <t>【注册服务费底表】新增 A177a 临床综述撰写更新2.5 、 A177b 临床总结撰写2.7、临床综述撰写更新2.7</t>
  </si>
  <si>
    <t>v3.19_20250815</t>
  </si>
  <si>
    <t>【变更位置】将统计分析里的A113，变更到药理服务模块中</t>
  </si>
  <si>
    <t>v3.20_20250908</t>
  </si>
  <si>
    <t>【服务费明细】删除A137  二三级记录A137  于2024年12月已删除，为了跟底表一致，删除服务费明细中的A137
【服务费底表】二三级条目，A242 受试者招募审核</t>
  </si>
  <si>
    <t>v3.21_20250922</t>
  </si>
  <si>
    <t>【服务费明细】临床药理中的C-QTc服务 新增 A235 A236 A237 A238 A239 A240 A241
【服务费底表】对应的二三级条目增加
【项目参数】增加受试者预筛</t>
  </si>
  <si>
    <t>v3.22_20251009</t>
  </si>
  <si>
    <r>
      <rPr>
        <b/>
        <sz val="11"/>
        <color theme="1"/>
        <rFont val="微软雅黑"/>
        <charset val="134"/>
      </rPr>
      <t>PV服务</t>
    </r>
    <r>
      <rPr>
        <sz val="11"/>
        <color theme="1"/>
        <rFont val="微软雅黑"/>
        <charset val="134"/>
      </rPr>
      <t xml:space="preserve">
【服务费明细】A143  DSUR翻译变更成DSUR撰写(英文)  
                         删除A138、A139、A141
【服务费底表】删除T0465、T0466、T0481、T0482、T0484a
</t>
    </r>
    <r>
      <rPr>
        <b/>
        <sz val="11"/>
        <color theme="1"/>
        <rFont val="微软雅黑"/>
        <charset val="134"/>
      </rPr>
      <t>临床运营</t>
    </r>
    <r>
      <rPr>
        <sz val="11"/>
        <color theme="1"/>
        <rFont val="微软雅黑"/>
        <charset val="134"/>
      </rPr>
      <t xml:space="preserve">
【服务费明细】增加A243、A244、A245、A246、A247、A277、A278、A279。
                         删除A020、A021、A022、A023、A024
【服务费底表】增加T0703、T0704、T0705、T0706、T0707、T0708、T0709、T0710、T0711、T0712、T0713、T0714、T0793、T0794、T0795、T0796、T0797、T0798、T0799
                         删除T0048、T0049、T0050、T0051、T0052、T0053、T0054、T0055、T0056、T0057、T0058、T0059、T0060
</t>
    </r>
    <r>
      <rPr>
        <b/>
        <sz val="11"/>
        <color theme="1"/>
        <rFont val="微软雅黑"/>
        <charset val="134"/>
      </rPr>
      <t>医学</t>
    </r>
    <r>
      <rPr>
        <sz val="11"/>
        <color theme="1"/>
        <rFont val="微软雅黑"/>
        <charset val="134"/>
      </rPr>
      <t xml:space="preserve">
【服务费明细】增加A267、A150a、A151a、A001a、A267a
【服务费底表】增加T0775、T0776、T0777、TT0778、TT0779、TT0780
 MS角色的任务删除 
</t>
    </r>
    <r>
      <rPr>
        <b/>
        <sz val="11"/>
        <color theme="1"/>
        <rFont val="微软雅黑"/>
        <charset val="134"/>
      </rPr>
      <t>药理</t>
    </r>
    <r>
      <rPr>
        <sz val="11"/>
        <color theme="1"/>
        <rFont val="微软雅黑"/>
        <charset val="134"/>
      </rPr>
      <t xml:space="preserve">
【服务费明细】增加A270、A268、A269
【服务费底表】增加T0785、T0781、T0782、T0783、T0784、T0785
</t>
    </r>
  </si>
  <si>
    <t>v4.0_20260119</t>
  </si>
  <si>
    <r>
      <rPr>
        <b/>
        <sz val="11"/>
        <color theme="1"/>
        <rFont val="微软雅黑"/>
        <charset val="134"/>
      </rPr>
      <t>数统</t>
    </r>
    <r>
      <rPr>
        <sz val="11"/>
        <color theme="1"/>
        <rFont val="微软雅黑"/>
        <charset val="134"/>
      </rPr>
      <t xml:space="preserve">
【服务费明细】增加A249、A250、A251、A252、A253、A254、A255、A256、A257、A258、A259、A260、A264、A265、A266、A271、A272、A273、A274、A275、A280、A281、A261、A262、A263
                         删除A085、A091、A097、A093、A098、A112、A228、A229、A230、A113
【服务费底表】增加T0712、T0713、T0714、T0715、T0716、T0717、T0718、T0719、T0720、T0721、T0722、T0723、T0724、T0725、T0726、T0727、T0728、T0730、T0731、T0732、T0734、T0735、T0736、T0737、T0738、T0739、T0740、T0742、T0743、T0744、T0745、T0746、T0747、T0748、T0749、T0750、T0751、T0752、T0753、T0763、T0764、T0765、T0766、T0767、T0768、T0770、T0771、T0772、T0773、T0774、T0786、T0787、T0788、T0789、T0790、T0741、T0791、T0792、T0754、T0755、T0756、T0757、T0758、T0759、T0760、T0761、T0762
                        删除T0195、T0196、T0197、T0198、T0199、T0200、T0201、T0611、T0612、T0613、T0246、T0247、T0248、T0249、T0250、T0615、T0616、T0773、T0774、T0258、T0259、T0260、T0261、T0262、T0273、T0274、T0276、T0277、T0278、T0279、T0619、T0280、T0281、T0282、T0283、T0365、T0366、T0367、T0368、T0369、T0370、T0624、T0625、T0626、T0671、T0672、T0673、T0674、T0675、T0676、T0677、T0678、T0371、T0372、T0373、T0374、T0375、T0376、T0627、T0628、T0629</t>
    </r>
  </si>
  <si>
    <t xml:space="preserve">【服务费明细】新增 A284 A285 A286 A287 A288
</t>
  </si>
  <si>
    <t>v4.1_20260316</t>
  </si>
  <si>
    <t xml:space="preserve">【服务费明细】新增二级 A289 A290 A291 A292 A293 A294 A295 A296 A297 A298 A299 A300  A301 A302 A303 A304  A305 A306 A307 A308 A309  A310 A311  A312 A313  A314 A315  A316 A317 A318  A319 A320 A321 A322 A323 A324 A325 A326 A327 A328  A329 A330 A331 A332 A333 A334  A335  A336 A337
新增一级 I028 I029 I030 I031 I032 I033 I034
</t>
  </si>
  <si>
    <t>v4.2_20260401</t>
  </si>
  <si>
    <t>【服务费明细】新增二级 A338 
【服务费底表】增加T0899</t>
  </si>
  <si>
    <t>v4.21_20260507</t>
  </si>
  <si>
    <t>模板注意事项</t>
  </si>
  <si>
    <t>报价参考</t>
  </si>
  <si>
    <t>闭口合同酌情</t>
  </si>
  <si>
    <r>
      <rPr>
        <b/>
        <sz val="11"/>
        <color theme="1"/>
        <rFont val="微软雅黑"/>
        <charset val="134"/>
      </rPr>
      <t>一、除管理层审阅外，sheet标签颜色为黑的须</t>
    </r>
    <r>
      <rPr>
        <b/>
        <sz val="11"/>
        <color rgb="FFFF0000"/>
        <rFont val="微软雅黑"/>
        <charset val="134"/>
      </rPr>
      <t>隐藏+锁定</t>
    </r>
  </si>
  <si>
    <t>2级编码</t>
  </si>
  <si>
    <t>2级任务</t>
  </si>
  <si>
    <t>参考</t>
  </si>
  <si>
    <t>A001</t>
  </si>
  <si>
    <t>方案撰写</t>
  </si>
  <si>
    <t>二、角色ID不能重复，增加角色，请联系许小燕</t>
  </si>
  <si>
    <t>A002</t>
  </si>
  <si>
    <t>撰写CRF</t>
  </si>
  <si>
    <t>A003</t>
  </si>
  <si>
    <t>方案版本更新</t>
  </si>
  <si>
    <r>
      <rPr>
        <b/>
        <sz val="11"/>
        <color theme="1"/>
        <rFont val="微软雅黑"/>
        <charset val="134"/>
      </rPr>
      <t>三、不用的行，列，sheet表：</t>
    </r>
    <r>
      <rPr>
        <b/>
        <sz val="11"/>
        <color rgb="FFFF0000"/>
        <rFont val="微软雅黑"/>
        <charset val="134"/>
      </rPr>
      <t xml:space="preserve"> 不要删除，可以隐藏+锁定</t>
    </r>
  </si>
  <si>
    <t>A004</t>
  </si>
  <si>
    <t>主知情同意撰写</t>
  </si>
  <si>
    <t>A005</t>
  </si>
  <si>
    <t>主知情同意版本更新</t>
  </si>
  <si>
    <t>四、任务编码不能手工修改，增减请联系报价同事</t>
  </si>
  <si>
    <t>A006</t>
  </si>
  <si>
    <t>受试者日记卡撰写</t>
  </si>
  <si>
    <t>健康人无</t>
  </si>
  <si>
    <t>A007</t>
  </si>
  <si>
    <t>受试者招募广告撰写</t>
  </si>
  <si>
    <r>
      <rPr>
        <b/>
        <sz val="11"/>
        <color theme="1"/>
        <rFont val="微软雅黑"/>
        <charset val="134"/>
      </rPr>
      <t>五、&lt;ERP报价导入模板&gt;</t>
    </r>
    <r>
      <rPr>
        <b/>
        <sz val="11"/>
        <color rgb="FFFF0000"/>
        <rFont val="微软雅黑"/>
        <charset val="134"/>
      </rPr>
      <t>M2</t>
    </r>
    <r>
      <rPr>
        <sz val="11"/>
        <color rgb="FFFF0000"/>
        <rFont val="微软雅黑"/>
        <charset val="134"/>
      </rPr>
      <t xml:space="preserve"> </t>
    </r>
    <r>
      <rPr>
        <b/>
        <sz val="11"/>
        <color theme="1"/>
        <rFont val="微软雅黑"/>
        <charset val="134"/>
      </rPr>
      <t>,如有尾差，导入ERP前需要手动调入数量为1的任务中，并且增加底色方便知道改了哪里。</t>
    </r>
  </si>
  <si>
    <t>A008</t>
  </si>
  <si>
    <t>召开客户启动会</t>
  </si>
  <si>
    <r>
      <rPr>
        <sz val="10"/>
        <color theme="1"/>
        <rFont val="微软雅黑"/>
        <charset val="134"/>
      </rPr>
      <t>*尾差定义是</t>
    </r>
    <r>
      <rPr>
        <b/>
        <sz val="10"/>
        <color rgb="FFFF0000"/>
        <rFont val="微软雅黑"/>
        <charset val="134"/>
      </rPr>
      <t>几分钱差异</t>
    </r>
  </si>
  <si>
    <t>A009</t>
  </si>
  <si>
    <t>方案培训</t>
  </si>
  <si>
    <r>
      <rPr>
        <sz val="10"/>
        <color theme="1"/>
        <rFont val="微软雅黑"/>
        <charset val="134"/>
      </rPr>
      <t>*如果差异</t>
    </r>
    <r>
      <rPr>
        <b/>
        <sz val="10"/>
        <color rgb="FFFF0000"/>
        <rFont val="微软雅黑"/>
        <charset val="134"/>
      </rPr>
      <t>大于1角</t>
    </r>
    <r>
      <rPr>
        <sz val="10"/>
        <color theme="1"/>
        <rFont val="微软雅黑"/>
        <charset val="134"/>
      </rPr>
      <t>，则要检查哪里</t>
    </r>
    <r>
      <rPr>
        <b/>
        <sz val="10"/>
        <color rgb="FFFF0000"/>
        <rFont val="微软雅黑"/>
        <charset val="134"/>
      </rPr>
      <t>错了</t>
    </r>
  </si>
  <si>
    <t>A010</t>
  </si>
  <si>
    <t>中心可行性调研</t>
  </si>
  <si>
    <t>单中心主知情即可,中心知情可不报</t>
  </si>
  <si>
    <t>A011</t>
  </si>
  <si>
    <t>筛选访视</t>
  </si>
  <si>
    <t>A012</t>
  </si>
  <si>
    <t>机构立项</t>
  </si>
  <si>
    <t>A013</t>
  </si>
  <si>
    <t>首次伦理文件准备和递交</t>
  </si>
  <si>
    <t>A014</t>
  </si>
  <si>
    <t>中心知情同意书撰写</t>
  </si>
  <si>
    <t>A015</t>
  </si>
  <si>
    <t>EDC上线前测试</t>
  </si>
  <si>
    <t>A016</t>
  </si>
  <si>
    <t>研究中心启动文件准备和快递</t>
  </si>
  <si>
    <t>A017</t>
  </si>
  <si>
    <t>临床试验国家局备案</t>
  </si>
  <si>
    <t>A018</t>
  </si>
  <si>
    <t>临床试验省局备案</t>
  </si>
  <si>
    <t>单中心不报</t>
  </si>
  <si>
    <t>A019</t>
  </si>
  <si>
    <t>ClinicalTrials翻译</t>
  </si>
  <si>
    <t>A020</t>
  </si>
  <si>
    <t>遗传办首次国际合作审批申报</t>
  </si>
  <si>
    <t>A020和A021二选一，可能是走正式流程也可能走备案即可</t>
  </si>
  <si>
    <t>A021</t>
  </si>
  <si>
    <t>遗传办国际合作备案申报</t>
  </si>
  <si>
    <t>A022</t>
  </si>
  <si>
    <t>遗传办数据备份备案申报</t>
  </si>
  <si>
    <t>仅相关探索适用</t>
  </si>
  <si>
    <t>A023</t>
  </si>
  <si>
    <t>遗传办变更申报</t>
  </si>
  <si>
    <t>默认不报</t>
  </si>
  <si>
    <t>A024</t>
  </si>
  <si>
    <t>遗传办国际合作总结报告撰写</t>
  </si>
  <si>
    <t>A025</t>
  </si>
  <si>
    <t>召开方案讨论会</t>
  </si>
  <si>
    <r>
      <rPr>
        <sz val="11"/>
        <color theme="1"/>
        <rFont val="微软雅黑"/>
        <charset val="134"/>
      </rPr>
      <t>涉及</t>
    </r>
    <r>
      <rPr>
        <b/>
        <sz val="11"/>
        <color theme="1"/>
        <rFont val="微软雅黑"/>
        <charset val="134"/>
      </rPr>
      <t>启动前的</t>
    </r>
    <r>
      <rPr>
        <sz val="11"/>
        <color theme="1"/>
        <rFont val="微软雅黑"/>
        <charset val="134"/>
      </rPr>
      <t>方案变更或方案讨论需要和PI沟通的报上</t>
    </r>
  </si>
  <si>
    <t>A026</t>
  </si>
  <si>
    <t>召开首次研究者会</t>
  </si>
  <si>
    <t>单中心默认不报</t>
  </si>
  <si>
    <t>A027</t>
  </si>
  <si>
    <t>SRC/SMC章程撰写</t>
  </si>
  <si>
    <t>A028</t>
  </si>
  <si>
    <t>召开SRC/SMC会</t>
  </si>
  <si>
    <t>A029</t>
  </si>
  <si>
    <t>召开中期研究者会</t>
  </si>
  <si>
    <t>A030</t>
  </si>
  <si>
    <t>召开研究总结会</t>
  </si>
  <si>
    <t>A031</t>
  </si>
  <si>
    <t>准备或签署研究中心合同</t>
  </si>
  <si>
    <t>A032</t>
  </si>
  <si>
    <t>启动访视</t>
  </si>
  <si>
    <t>A033</t>
  </si>
  <si>
    <t>启动访视_启动会的医学远程支持</t>
  </si>
  <si>
    <t>A034</t>
  </si>
  <si>
    <t>常规监查访视</t>
  </si>
  <si>
    <t>A035</t>
  </si>
  <si>
    <t>计划外访视</t>
  </si>
  <si>
    <t>A036</t>
  </si>
  <si>
    <t>协同访视</t>
  </si>
  <si>
    <t>A037</t>
  </si>
  <si>
    <t>远程访视/电话访视</t>
  </si>
  <si>
    <t>A038</t>
  </si>
  <si>
    <t>质控访视</t>
  </si>
  <si>
    <t>A039</t>
  </si>
  <si>
    <t>稽查陪同</t>
  </si>
  <si>
    <t>A040</t>
  </si>
  <si>
    <t>中心安全性报告管理</t>
  </si>
  <si>
    <t>A041</t>
  </si>
  <si>
    <t>中心费用支付支持</t>
  </si>
  <si>
    <t>健康人按每中心3次</t>
  </si>
  <si>
    <t>A042</t>
  </si>
  <si>
    <t>研究简报撰写</t>
  </si>
  <si>
    <t>A043</t>
  </si>
  <si>
    <t>研究药品申请管理</t>
  </si>
  <si>
    <t>A044</t>
  </si>
  <si>
    <t>研究物资申请和采购管理</t>
  </si>
  <si>
    <t>A045</t>
  </si>
  <si>
    <t>后续伦理文件准备和递交</t>
  </si>
  <si>
    <t>A046</t>
  </si>
  <si>
    <t>伦理年度报告准备和递交</t>
  </si>
  <si>
    <t>A047</t>
  </si>
  <si>
    <t>中心日常支持和管理</t>
  </si>
  <si>
    <t>A048</t>
  </si>
  <si>
    <t>机构自查访视</t>
  </si>
  <si>
    <t>预算有限,可仅保留一定比例</t>
  </si>
  <si>
    <t>A049</t>
  </si>
  <si>
    <t>数据清理访视</t>
  </si>
  <si>
    <t>A050</t>
  </si>
  <si>
    <t>总结报告CSR中心签字和盖章</t>
  </si>
  <si>
    <t>A051</t>
  </si>
  <si>
    <t>关闭访视</t>
  </si>
  <si>
    <t>A052</t>
  </si>
  <si>
    <t>项目管理计划PMP撰写</t>
  </si>
  <si>
    <t>A053</t>
  </si>
  <si>
    <t>研究中心监查和管理计划CMP撰写</t>
  </si>
  <si>
    <t>A054</t>
  </si>
  <si>
    <t>中心实验室操作手册审核</t>
  </si>
  <si>
    <t>A055</t>
  </si>
  <si>
    <t>药物管理手册IPMP审核</t>
  </si>
  <si>
    <t>A056</t>
  </si>
  <si>
    <t>文件创建和维护</t>
  </si>
  <si>
    <t>A057</t>
  </si>
  <si>
    <t>供应商筛选和合同建立</t>
  </si>
  <si>
    <t>A058</t>
  </si>
  <si>
    <t>SMO日常沟通</t>
  </si>
  <si>
    <t>A059</t>
  </si>
  <si>
    <t>招募日常沟通</t>
  </si>
  <si>
    <t>A060</t>
  </si>
  <si>
    <t>生物分析实验室日常沟通</t>
  </si>
  <si>
    <t>A061</t>
  </si>
  <si>
    <t>物流日常沟通</t>
  </si>
  <si>
    <t>A062</t>
  </si>
  <si>
    <t>IRC日常沟通</t>
  </si>
  <si>
    <t>A063</t>
  </si>
  <si>
    <t>保险日常沟通</t>
  </si>
  <si>
    <t>A064</t>
  </si>
  <si>
    <t>中心实验室日常沟通</t>
  </si>
  <si>
    <t>A065</t>
  </si>
  <si>
    <t>其他供应商日常沟通</t>
  </si>
  <si>
    <t>A066</t>
  </si>
  <si>
    <t>召开客户电话会</t>
  </si>
  <si>
    <t>A067</t>
  </si>
  <si>
    <t>致客户项目进展报告撰写</t>
  </si>
  <si>
    <t>A068</t>
  </si>
  <si>
    <t>召开客户面对面会</t>
  </si>
  <si>
    <t>A069</t>
  </si>
  <si>
    <t>召开项目电话会</t>
  </si>
  <si>
    <t>A070</t>
  </si>
  <si>
    <t>召开监查员会</t>
  </si>
  <si>
    <t>A071</t>
  </si>
  <si>
    <t>文件移交至客户</t>
  </si>
  <si>
    <t>A072</t>
  </si>
  <si>
    <t>医学监查计划MMP撰写</t>
  </si>
  <si>
    <t>A073</t>
  </si>
  <si>
    <t>医学监查培训</t>
  </si>
  <si>
    <t>A074</t>
  </si>
  <si>
    <t>CRA和中心的医学支持</t>
  </si>
  <si>
    <t>A075</t>
  </si>
  <si>
    <t>入组失败受试者的招募评估</t>
  </si>
  <si>
    <t>A076</t>
  </si>
  <si>
    <t>受试者合格性审核</t>
  </si>
  <si>
    <t>A077</t>
  </si>
  <si>
    <t>方案偏离审核</t>
  </si>
  <si>
    <t>A078</t>
  </si>
  <si>
    <t>EDC数据列表审核</t>
  </si>
  <si>
    <t>A079</t>
  </si>
  <si>
    <t>医学编码审核</t>
  </si>
  <si>
    <t>A080</t>
  </si>
  <si>
    <t>药物或疾病编码审核</t>
  </si>
  <si>
    <t>A081</t>
  </si>
  <si>
    <t>医学监查报告撰写</t>
  </si>
  <si>
    <t>A082</t>
  </si>
  <si>
    <t>SAE报告医学审核</t>
  </si>
  <si>
    <t>A083</t>
  </si>
  <si>
    <t>DSUR医学审核</t>
  </si>
  <si>
    <t>A084</t>
  </si>
  <si>
    <t>医学项目管理</t>
  </si>
  <si>
    <t>A085</t>
  </si>
  <si>
    <t>撰写数据管理文档</t>
  </si>
  <si>
    <t>A086</t>
  </si>
  <si>
    <t>搭建数据库界面</t>
  </si>
  <si>
    <t>A087</t>
  </si>
  <si>
    <t>设置数据核查程序</t>
  </si>
  <si>
    <t>A088</t>
  </si>
  <si>
    <t>用户接受性测试(UAT)</t>
  </si>
  <si>
    <t>A089</t>
  </si>
  <si>
    <t>搭建随机发药系统</t>
  </si>
  <si>
    <t>A090</t>
  </si>
  <si>
    <t>实施质疑管理_系统自动质疑</t>
  </si>
  <si>
    <t>A091</t>
  </si>
  <si>
    <t>实施质疑管理_人工审核质疑</t>
  </si>
  <si>
    <t>A092</t>
  </si>
  <si>
    <t>核查外部数据一致性</t>
  </si>
  <si>
    <t>A093</t>
  </si>
  <si>
    <t>实施医学编码</t>
  </si>
  <si>
    <t>A094</t>
  </si>
  <si>
    <t>核查SAE一致性</t>
  </si>
  <si>
    <t>A095</t>
  </si>
  <si>
    <t>递交常规进度报告</t>
  </si>
  <si>
    <t>A096</t>
  </si>
  <si>
    <t>递交项目定制报告</t>
  </si>
  <si>
    <t>A097</t>
  </si>
  <si>
    <t>审核方案偏离数据</t>
  </si>
  <si>
    <t>A098</t>
  </si>
  <si>
    <t>实施日常数据库维护</t>
  </si>
  <si>
    <t>A099</t>
  </si>
  <si>
    <t>召开数据审核会</t>
  </si>
  <si>
    <t>A100</t>
  </si>
  <si>
    <t>数据库锁定</t>
  </si>
  <si>
    <t>A101</t>
  </si>
  <si>
    <t>撰写数据管理报告</t>
  </si>
  <si>
    <t>A102</t>
  </si>
  <si>
    <t>数据管理项目管理</t>
  </si>
  <si>
    <t>A103</t>
  </si>
  <si>
    <t>数据库变更</t>
  </si>
  <si>
    <t>A104</t>
  </si>
  <si>
    <t>撰写统计分析计划SAP</t>
  </si>
  <si>
    <t>A105</t>
  </si>
  <si>
    <t>制定和实施随机化方案</t>
  </si>
  <si>
    <t>A106</t>
  </si>
  <si>
    <t>计划和实施药物编盲</t>
  </si>
  <si>
    <t>A107</t>
  </si>
  <si>
    <t>制定统计TLFs模板</t>
  </si>
  <si>
    <t>A108</t>
  </si>
  <si>
    <t>撰写SDTM CRF注释和映射规范</t>
  </si>
  <si>
    <t>A109</t>
  </si>
  <si>
    <t>生成SDTM数据集</t>
  </si>
  <si>
    <t>A110</t>
  </si>
  <si>
    <t>撰写ADaM数据集或分析数据集衍生规范</t>
  </si>
  <si>
    <t>A111</t>
  </si>
  <si>
    <t>生成ADaM数据集或衍生数据集</t>
  </si>
  <si>
    <t>A112</t>
  </si>
  <si>
    <t>生成统计TLFs</t>
  </si>
  <si>
    <t>A113</t>
  </si>
  <si>
    <t>生成PK/PD统计TFLs</t>
  </si>
  <si>
    <t>A114</t>
  </si>
  <si>
    <t>生成BE/BA/FE/DDI 统计TFLs</t>
  </si>
  <si>
    <t>A115</t>
  </si>
  <si>
    <t>Dry Run</t>
  </si>
  <si>
    <t>A116</t>
  </si>
  <si>
    <t>期中分析</t>
  </si>
  <si>
    <t>A117</t>
  </si>
  <si>
    <t>最终分析</t>
  </si>
  <si>
    <t>A118</t>
  </si>
  <si>
    <t>完成电子数据递交资料</t>
  </si>
  <si>
    <t>A119</t>
  </si>
  <si>
    <t>撰写统计分析报告(SAR)</t>
  </si>
  <si>
    <t>A120</t>
  </si>
  <si>
    <t>生物统计及分析项目管理</t>
  </si>
  <si>
    <t>A121</t>
  </si>
  <si>
    <t>撰写DSMB/DMC/IDMC章程</t>
  </si>
  <si>
    <t>A122</t>
  </si>
  <si>
    <t>完成DSMB/DMC/IDMC报告TFLs</t>
  </si>
  <si>
    <t>A123</t>
  </si>
  <si>
    <t>参加和协助DSMB/DMC/IDMC会议</t>
  </si>
  <si>
    <t>A124</t>
  </si>
  <si>
    <t>PK/PD分析</t>
  </si>
  <si>
    <t>A125</t>
  </si>
  <si>
    <t>Pop PK/PD(E-R)分析计划撰写</t>
  </si>
  <si>
    <t>A126</t>
  </si>
  <si>
    <t>整理Pop PK/PD(E-R)分析数据集</t>
  </si>
  <si>
    <t>A127</t>
  </si>
  <si>
    <t>Pop PK/PD(E-R)分析建模与模拟</t>
  </si>
  <si>
    <t>A128</t>
  </si>
  <si>
    <t>Pop PK/PD(E-R)分析报告撰写</t>
  </si>
  <si>
    <t>A129</t>
  </si>
  <si>
    <t>临床药理项目管理</t>
  </si>
  <si>
    <t>A130</t>
  </si>
  <si>
    <t>安全管理计划SMP撰写</t>
  </si>
  <si>
    <t>A131</t>
  </si>
  <si>
    <t>药物警戒协议撰写</t>
  </si>
  <si>
    <t>A132</t>
  </si>
  <si>
    <t>药物警戒委托协议撰写</t>
  </si>
  <si>
    <t>A133</t>
  </si>
  <si>
    <t>安全性专有数据集建立</t>
  </si>
  <si>
    <t>A134</t>
  </si>
  <si>
    <t>安全性数据库配置和测试</t>
  </si>
  <si>
    <t>A135</t>
  </si>
  <si>
    <t>ICSR报告流程培训</t>
  </si>
  <si>
    <t>A136</t>
  </si>
  <si>
    <t>ICSR报告处理</t>
  </si>
  <si>
    <t>A137</t>
  </si>
  <si>
    <t>SAE交叉报告一致性比对</t>
  </si>
  <si>
    <t>A138</t>
  </si>
  <si>
    <t>SUSAR报告递交</t>
  </si>
  <si>
    <t>A139</t>
  </si>
  <si>
    <t>SUSAR交叉报告</t>
  </si>
  <si>
    <t>A140</t>
  </si>
  <si>
    <t>定期汇总安全性报告</t>
  </si>
  <si>
    <t>A141</t>
  </si>
  <si>
    <t>安全性数据库维护</t>
  </si>
  <si>
    <t>A142</t>
  </si>
  <si>
    <t>DSUR撰写(中文)</t>
  </si>
  <si>
    <t>非注册预算有限可不报</t>
  </si>
  <si>
    <t>A143</t>
  </si>
  <si>
    <t>DSUR翻译</t>
  </si>
  <si>
    <t>A144</t>
  </si>
  <si>
    <t>DSUR递交</t>
  </si>
  <si>
    <t>A145</t>
  </si>
  <si>
    <t>安全性数据库变更</t>
  </si>
  <si>
    <t>A146</t>
  </si>
  <si>
    <t>特殊事件的处理</t>
  </si>
  <si>
    <t>A147</t>
  </si>
  <si>
    <t>安全信号检测</t>
  </si>
  <si>
    <t>A148</t>
  </si>
  <si>
    <t>安全警戒项目管理</t>
  </si>
  <si>
    <t>已与韩博确认，月数按照模板设置</t>
  </si>
  <si>
    <t>A149</t>
  </si>
  <si>
    <r>
      <rPr>
        <sz val="11"/>
        <color theme="1"/>
        <rFont val="微软雅黑"/>
        <charset val="134"/>
      </rPr>
      <t>研究者手册</t>
    </r>
    <r>
      <rPr>
        <sz val="11"/>
        <color rgb="FFFF0000"/>
        <rFont val="微软雅黑"/>
        <charset val="134"/>
      </rPr>
      <t>版本</t>
    </r>
    <r>
      <rPr>
        <sz val="11"/>
        <color theme="1"/>
        <rFont val="微软雅黑"/>
        <charset val="134"/>
      </rPr>
      <t>更新</t>
    </r>
  </si>
  <si>
    <t>A150</t>
  </si>
  <si>
    <t>研究总结报告撰写</t>
  </si>
  <si>
    <t>A151</t>
  </si>
  <si>
    <t>SAE个案描述撰写</t>
  </si>
  <si>
    <t>A152</t>
  </si>
  <si>
    <t>其他报告撰写</t>
  </si>
  <si>
    <t>A153</t>
  </si>
  <si>
    <t>召开非盲客户启动会</t>
  </si>
  <si>
    <t>A154</t>
  </si>
  <si>
    <t>非盲监查计划撰写</t>
  </si>
  <si>
    <t>A155</t>
  </si>
  <si>
    <t>非盲药物管理计划撰写</t>
  </si>
  <si>
    <t>A156</t>
  </si>
  <si>
    <t>非盲团队培训</t>
  </si>
  <si>
    <t>A157</t>
  </si>
  <si>
    <t>召开非盲监查员会</t>
  </si>
  <si>
    <t>A158</t>
  </si>
  <si>
    <t>召开非盲客户电话会</t>
  </si>
  <si>
    <t>A159</t>
  </si>
  <si>
    <t>非盲启动访视</t>
  </si>
  <si>
    <t>A160</t>
  </si>
  <si>
    <t>非盲常规监查访视</t>
  </si>
  <si>
    <t>A161</t>
  </si>
  <si>
    <t>非盲中心日常支持和管理</t>
  </si>
  <si>
    <t>A162</t>
  </si>
  <si>
    <t>非盲文件管理</t>
  </si>
  <si>
    <t>A163</t>
  </si>
  <si>
    <t>非盲项目管理</t>
  </si>
  <si>
    <t>A164</t>
  </si>
  <si>
    <t>稽查计划撰写</t>
  </si>
  <si>
    <t>A165</t>
  </si>
  <si>
    <t>研究中心稽查</t>
  </si>
  <si>
    <t>A166</t>
  </si>
  <si>
    <t>临床试验主文件稽查</t>
  </si>
  <si>
    <t>A167</t>
  </si>
  <si>
    <t>IRC稽查</t>
  </si>
  <si>
    <t>A168</t>
  </si>
  <si>
    <t>核查前现场准备</t>
  </si>
  <si>
    <t>A169</t>
  </si>
  <si>
    <t>核查前准备-系统填报</t>
  </si>
  <si>
    <t>A170</t>
  </si>
  <si>
    <t>现场支持</t>
  </si>
  <si>
    <t>A171</t>
  </si>
  <si>
    <t>核查后支持报告回复</t>
  </si>
  <si>
    <t>A172</t>
  </si>
  <si>
    <t>临床前研究材料审阅</t>
  </si>
  <si>
    <t>A173</t>
  </si>
  <si>
    <t>其他材料(相关法规等)</t>
  </si>
  <si>
    <t>A174</t>
  </si>
  <si>
    <t>召开客户电话会议</t>
  </si>
  <si>
    <t>A175</t>
  </si>
  <si>
    <t>召开专家电话会议</t>
  </si>
  <si>
    <t>A176</t>
  </si>
  <si>
    <t>临床开发计划制定</t>
  </si>
  <si>
    <t>A177</t>
  </si>
  <si>
    <t>临床综述撰写2.5</t>
  </si>
  <si>
    <t>A178</t>
  </si>
  <si>
    <t>知情同意书样稿撰写1.3.4.2</t>
  </si>
  <si>
    <t>A179</t>
  </si>
  <si>
    <t>研究者手册撰写1.3.4.3</t>
  </si>
  <si>
    <t>A180</t>
  </si>
  <si>
    <t>研究者手册修订</t>
  </si>
  <si>
    <t>A181</t>
  </si>
  <si>
    <t>风险管理计划撰写1.8.2</t>
  </si>
  <si>
    <t>A182</t>
  </si>
  <si>
    <t>风险管理计划修订</t>
  </si>
  <si>
    <t>A183</t>
  </si>
  <si>
    <t>研究药品说明样稿撰写</t>
  </si>
  <si>
    <t>A184</t>
  </si>
  <si>
    <t>沟通问题清单准备</t>
  </si>
  <si>
    <t>A185</t>
  </si>
  <si>
    <t>沟通PPT制作</t>
  </si>
  <si>
    <t>A186</t>
  </si>
  <si>
    <t>会议前与申办方沟通</t>
  </si>
  <si>
    <t>A187</t>
  </si>
  <si>
    <t>参加和CDE的沟通会议</t>
  </si>
  <si>
    <t>A188</t>
  </si>
  <si>
    <t>医学相关资料的审核</t>
  </si>
  <si>
    <t>A189</t>
  </si>
  <si>
    <t>PreIND附件1+附件2撰写</t>
  </si>
  <si>
    <t>A190</t>
  </si>
  <si>
    <t>现有药品研发数据&amp;进度评估</t>
  </si>
  <si>
    <t>A191</t>
  </si>
  <si>
    <t>申报计划书制定</t>
  </si>
  <si>
    <t>A192</t>
  </si>
  <si>
    <t>CTD文件M1审核</t>
  </si>
  <si>
    <t>A193</t>
  </si>
  <si>
    <t>CTD文件M2审核</t>
  </si>
  <si>
    <t>A194</t>
  </si>
  <si>
    <t>CTD文件M3审核</t>
  </si>
  <si>
    <t>A195</t>
  </si>
  <si>
    <t>CTD文件M4审核</t>
  </si>
  <si>
    <t>A196</t>
  </si>
  <si>
    <t>pre-IND申请材料撰写</t>
  </si>
  <si>
    <t>A197</t>
  </si>
  <si>
    <t>pre-IND会议前与申办方沟通</t>
  </si>
  <si>
    <t>A198</t>
  </si>
  <si>
    <t>参加pre-IND会议</t>
  </si>
  <si>
    <t>A199</t>
  </si>
  <si>
    <t>pre-IND问题回复</t>
  </si>
  <si>
    <t>A200</t>
  </si>
  <si>
    <t>CTD文件M1更新后二次审核</t>
  </si>
  <si>
    <t>A201</t>
  </si>
  <si>
    <t>CTD文件M2更新后二次审核</t>
  </si>
  <si>
    <t>A202</t>
  </si>
  <si>
    <t>CTD文件M3更新后二次审核</t>
  </si>
  <si>
    <t>A203</t>
  </si>
  <si>
    <t>CTD文件M4更新后二次审核</t>
  </si>
  <si>
    <t>A204</t>
  </si>
  <si>
    <t>IND递交</t>
  </si>
  <si>
    <t>A205</t>
  </si>
  <si>
    <t>IND通知书解析</t>
  </si>
  <si>
    <t>A206</t>
  </si>
  <si>
    <t>非临床综述撰写M2.4</t>
  </si>
  <si>
    <t>A207</t>
  </si>
  <si>
    <t>非临床总结撰写M2.6</t>
  </si>
  <si>
    <t>A208</t>
  </si>
  <si>
    <t>方案撰写/注册阶段</t>
  </si>
  <si>
    <t>客户名称</t>
  </si>
  <si>
    <t>方案名称或项目简称</t>
  </si>
  <si>
    <t>商机编号</t>
  </si>
  <si>
    <t>商机主题</t>
  </si>
  <si>
    <t>业务类型</t>
  </si>
  <si>
    <t>是否已完成业务审阅</t>
  </si>
  <si>
    <t>是否申请折扣</t>
  </si>
  <si>
    <t>预期折扣比例</t>
  </si>
  <si>
    <t>其他描述</t>
  </si>
  <si>
    <t>客户交付版本号</t>
  </si>
  <si>
    <t>中心数/个</t>
  </si>
  <si>
    <t>入组受试者/例</t>
  </si>
  <si>
    <t>服务期/月</t>
  </si>
  <si>
    <t>入组期/月</t>
  </si>
  <si>
    <t>治疗随访/月</t>
  </si>
  <si>
    <t>启动和关闭/月</t>
  </si>
  <si>
    <t>服务范围</t>
  </si>
  <si>
    <t>间接范围</t>
  </si>
  <si>
    <t>供应商</t>
  </si>
  <si>
    <t>参数变化描述</t>
  </si>
  <si>
    <t>服务范围变化描述</t>
  </si>
  <si>
    <t>附件</t>
  </si>
  <si>
    <r>
      <rPr>
        <b/>
        <sz val="11"/>
        <color rgb="FFFF0000"/>
        <rFont val="微软雅黑"/>
        <charset val="134"/>
      </rPr>
      <t>折扣前</t>
    </r>
    <r>
      <rPr>
        <b/>
        <sz val="11"/>
        <rFont val="微软雅黑"/>
        <charset val="134"/>
      </rPr>
      <t>/含税</t>
    </r>
  </si>
  <si>
    <t>总费用</t>
  </si>
  <si>
    <t>服务费</t>
  </si>
  <si>
    <t>单例总费用</t>
  </si>
  <si>
    <t>单例服务费</t>
  </si>
  <si>
    <t>类别(折扣后/含税)</t>
  </si>
  <si>
    <t>有临系统费</t>
  </si>
  <si>
    <t>代垫费
(内部供应商+CRO间接费+会议费)</t>
  </si>
  <si>
    <t>过手费
(外部供应商+中心)</t>
  </si>
  <si>
    <t>当前版本</t>
  </si>
  <si>
    <t>差异
(更新版vs上一版)</t>
  </si>
  <si>
    <t>上一版</t>
  </si>
  <si>
    <t>更新版本时,先复制数值此行数据</t>
  </si>
  <si>
    <t>不含税</t>
  </si>
  <si>
    <t>含税</t>
  </si>
  <si>
    <t>业务</t>
  </si>
  <si>
    <t>小计</t>
  </si>
  <si>
    <t>折扣后小计</t>
  </si>
  <si>
    <t>占比</t>
  </si>
  <si>
    <t>单例小计</t>
  </si>
  <si>
    <t>单例折扣后小计</t>
  </si>
  <si>
    <t>临床药理</t>
  </si>
  <si>
    <t>临床运营</t>
  </si>
  <si>
    <t>项目管理</t>
  </si>
  <si>
    <t>临床监查</t>
  </si>
  <si>
    <t>数统</t>
  </si>
  <si>
    <t>数据管理</t>
  </si>
  <si>
    <t>生物统计</t>
  </si>
  <si>
    <t>统计分析</t>
  </si>
  <si>
    <t>药物警戒</t>
  </si>
  <si>
    <t>医学</t>
  </si>
  <si>
    <t>医学撰写</t>
  </si>
  <si>
    <t>医学监查</t>
  </si>
  <si>
    <t>质量保证</t>
  </si>
  <si>
    <t>注册</t>
  </si>
  <si>
    <t>服务费含税</t>
  </si>
  <si>
    <t>服务费含税Check</t>
  </si>
  <si>
    <t>其他费用含税</t>
  </si>
  <si>
    <t>总计含税</t>
  </si>
  <si>
    <t>其他费用含税Check</t>
  </si>
  <si>
    <t>名称-CN</t>
  </si>
  <si>
    <t>部门名称-EN</t>
  </si>
  <si>
    <t>业务属性</t>
  </si>
  <si>
    <t>报价岗位_通用名</t>
  </si>
  <si>
    <t>报价岗位_EN Abbr.</t>
  </si>
  <si>
    <t>报价总工时</t>
  </si>
  <si>
    <t>CO</t>
  </si>
  <si>
    <t>临床监查员</t>
  </si>
  <si>
    <t>CRA</t>
  </si>
  <si>
    <t>临床试验助理</t>
  </si>
  <si>
    <t>CTA</t>
  </si>
  <si>
    <t>项目经理</t>
  </si>
  <si>
    <t>PM</t>
  </si>
  <si>
    <t>项目管理副总监</t>
  </si>
  <si>
    <t>PMD</t>
  </si>
  <si>
    <t>临床质量控制经理</t>
  </si>
  <si>
    <t>QCM</t>
  </si>
  <si>
    <t>RA</t>
  </si>
  <si>
    <t>注册事务</t>
  </si>
  <si>
    <t>注册经理</t>
  </si>
  <si>
    <t>RAM</t>
  </si>
  <si>
    <t>注册总监</t>
  </si>
  <si>
    <t>RAD</t>
  </si>
  <si>
    <t>MA</t>
  </si>
  <si>
    <t>医学撰写/医学监查</t>
  </si>
  <si>
    <t>医学总监</t>
  </si>
  <si>
    <t>MD</t>
  </si>
  <si>
    <t>医学经理</t>
  </si>
  <si>
    <t>MM</t>
  </si>
  <si>
    <t>医学专员</t>
  </si>
  <si>
    <t>MS</t>
  </si>
  <si>
    <t>PV</t>
  </si>
  <si>
    <t>药物警戒经理</t>
  </si>
  <si>
    <t>PVM</t>
  </si>
  <si>
    <t>药物警戒医生</t>
  </si>
  <si>
    <t>PVP</t>
  </si>
  <si>
    <t>药物警戒专员</t>
  </si>
  <si>
    <t>PVS</t>
  </si>
  <si>
    <t>CDM</t>
  </si>
  <si>
    <t>医学编码员</t>
  </si>
  <si>
    <t>Coder</t>
  </si>
  <si>
    <t>数据库设计员</t>
  </si>
  <si>
    <t>DBP</t>
  </si>
  <si>
    <t>数据管理专员</t>
  </si>
  <si>
    <t>DM</t>
  </si>
  <si>
    <t>数据管理经理</t>
  </si>
  <si>
    <t>LDM</t>
  </si>
  <si>
    <t>生物统计及分析</t>
  </si>
  <si>
    <t>SA</t>
  </si>
  <si>
    <t>统计分析师</t>
  </si>
  <si>
    <t>统计分析经理</t>
  </si>
  <si>
    <t>SAM</t>
  </si>
  <si>
    <t>ST</t>
  </si>
  <si>
    <t>生物统计师</t>
  </si>
  <si>
    <t>生物统计经理</t>
  </si>
  <si>
    <t>STM</t>
  </si>
  <si>
    <t>QA</t>
  </si>
  <si>
    <t>临床稽查总监</t>
  </si>
  <si>
    <t>QAD</t>
  </si>
  <si>
    <t>临床稽查经理</t>
  </si>
  <si>
    <t>QAM</t>
  </si>
  <si>
    <t>临床稽查员</t>
  </si>
  <si>
    <t>QAS</t>
  </si>
  <si>
    <t>CP</t>
  </si>
  <si>
    <t>临床药理专员</t>
  </si>
  <si>
    <t>CPS</t>
  </si>
  <si>
    <t>临床药理高级专员</t>
  </si>
  <si>
    <t>CPSS</t>
  </si>
  <si>
    <t>有临CRM系统形成的商机编号</t>
  </si>
  <si>
    <t>交付版本号</t>
  </si>
  <si>
    <t>报价人员</t>
  </si>
  <si>
    <t>交付日期</t>
  </si>
  <si>
    <t>参数变化</t>
  </si>
  <si>
    <t>服务范围变化</t>
  </si>
  <si>
    <t>合同额</t>
  </si>
  <si>
    <t>其他费用</t>
  </si>
  <si>
    <t>TrialMaster系统</t>
  </si>
  <si>
    <t>CRO间接费用</t>
  </si>
  <si>
    <t>会议相关费用</t>
  </si>
  <si>
    <t>供应商费用</t>
  </si>
  <si>
    <t>研究中心费用</t>
  </si>
  <si>
    <t>辅助文件
(截图等)</t>
  </si>
  <si>
    <t>v1</t>
  </si>
  <si>
    <t>v2</t>
  </si>
  <si>
    <t>v3</t>
  </si>
  <si>
    <t>v4</t>
  </si>
  <si>
    <t>v5</t>
  </si>
  <si>
    <t>v6</t>
  </si>
  <si>
    <t>v7</t>
  </si>
  <si>
    <t>v8</t>
  </si>
  <si>
    <t>项目编号</t>
  </si>
  <si>
    <t>有临项目立项和交接流程形成的项目编号</t>
  </si>
  <si>
    <t>合同类型</t>
  </si>
  <si>
    <t>签署日期
(年月日)</t>
  </si>
  <si>
    <t>参数变更</t>
  </si>
  <si>
    <t>服务范围变更</t>
  </si>
  <si>
    <t>合同编号</t>
  </si>
  <si>
    <t>初始合同</t>
  </si>
  <si>
    <t>NA</t>
  </si>
  <si>
    <t>截止当前本项目费用</t>
  </si>
  <si>
    <t>临床试验服务预算计划书</t>
  </si>
  <si>
    <t>方案或项目名称:</t>
  </si>
  <si>
    <t>提供给</t>
  </si>
  <si>
    <t>客户：</t>
  </si>
  <si>
    <t>提供方：</t>
  </si>
  <si>
    <t>上海有临医药科技有限公司(简称"有临")</t>
  </si>
  <si>
    <t>地址：</t>
  </si>
  <si>
    <t>上海市浦东新区育仁路188弄1号楼10楼（科学之门T2）</t>
  </si>
  <si>
    <t>联系人:</t>
  </si>
  <si>
    <t>姓名</t>
  </si>
  <si>
    <t>电话</t>
  </si>
  <si>
    <t>邮箱</t>
  </si>
  <si>
    <t>谭玉怡</t>
  </si>
  <si>
    <t>tanyy@unionclin.com</t>
  </si>
  <si>
    <t>邮箱:</t>
  </si>
  <si>
    <t>王伟彪</t>
  </si>
  <si>
    <t>wangwb@unionclin.com</t>
  </si>
  <si>
    <t>李乔</t>
  </si>
  <si>
    <t>liq@unionclin.com</t>
  </si>
  <si>
    <t>电话:</t>
  </si>
  <si>
    <t>史永健</t>
  </si>
  <si>
    <t>shiyj@unionclin.com</t>
  </si>
  <si>
    <t>姜岚</t>
  </si>
  <si>
    <t>jiangl@unionclin.com</t>
  </si>
  <si>
    <t>韩海雄</t>
  </si>
  <si>
    <t>haixiong.han@unionclin.com</t>
  </si>
  <si>
    <t>魏晓巍</t>
  </si>
  <si>
    <t>weixw@unionclin.com</t>
  </si>
  <si>
    <t>董剑峰</t>
  </si>
  <si>
    <t>dongjf@unionclin.com</t>
  </si>
  <si>
    <t>刘冬雪</t>
  </si>
  <si>
    <t>liudx@unionclin.com</t>
  </si>
  <si>
    <t>顾盼盼</t>
  </si>
  <si>
    <t>gupp@unionclin.com</t>
  </si>
  <si>
    <t>刘婷婷</t>
  </si>
  <si>
    <t>liutt@unionclin.com</t>
  </si>
  <si>
    <t>周艳</t>
  </si>
  <si>
    <t>zhouy@unionclin.com</t>
  </si>
  <si>
    <t>备注条款：</t>
  </si>
  <si>
    <t>1.</t>
  </si>
  <si>
    <t>临床试验服务预算仅作为正式合作协议/合同的附件内容，在双方开展正式合作之前，应签署连同本临床试验服务预算的正式协议/合同；</t>
  </si>
  <si>
    <t>2.</t>
  </si>
  <si>
    <t>鉴于客户项目任务的时间要求，有临同意在签署正式的合作协议之前，如客户出具先行同意本临床试验服务预算，有临在获得书面同意后可以先行开展工作；先行同意后，如客户出于策略考虑，项目提前结束，客户应支付有临已发生的的费用，包括服务费和实报费。
如先行同意，客户应签署以下签字页，盖章后将正式书面文件提交给有临。</t>
  </si>
  <si>
    <t>是否先行同意：</t>
  </si>
  <si>
    <t/>
  </si>
  <si>
    <t>客户签字及盖章：</t>
  </si>
  <si>
    <t>日期：</t>
  </si>
  <si>
    <t>报价场景(必选)</t>
  </si>
  <si>
    <t>人员场景(必选)</t>
  </si>
  <si>
    <t>商机编号(必填)</t>
  </si>
  <si>
    <t>Hide</t>
  </si>
  <si>
    <t>注册肿瘤I/II期</t>
  </si>
  <si>
    <t>标准</t>
  </si>
  <si>
    <t>是否执行</t>
  </si>
  <si>
    <t>优惠率</t>
  </si>
  <si>
    <t>不对外展示，内部说明</t>
  </si>
  <si>
    <t>项目参数</t>
  </si>
  <si>
    <t>类别</t>
  </si>
  <si>
    <t>参数</t>
  </si>
  <si>
    <t>参数值</t>
  </si>
  <si>
    <t>备注</t>
  </si>
  <si>
    <t>项目概要</t>
  </si>
  <si>
    <t>项目类型</t>
  </si>
  <si>
    <t>治疗领域</t>
  </si>
  <si>
    <t>适应症</t>
  </si>
  <si>
    <t>试验目的</t>
  </si>
  <si>
    <t>注册申报</t>
  </si>
  <si>
    <t>Ia</t>
  </si>
  <si>
    <t>遗传办递交和跟进</t>
  </si>
  <si>
    <t>适用</t>
  </si>
  <si>
    <t xml:space="preserve">数据收集的语言 </t>
  </si>
  <si>
    <t>中文</t>
  </si>
  <si>
    <t>试验地点</t>
  </si>
  <si>
    <t>国内试验</t>
  </si>
  <si>
    <t>试验参与者类型</t>
  </si>
  <si>
    <t>肿瘤患者</t>
  </si>
  <si>
    <t>项目信息</t>
  </si>
  <si>
    <t>调研中心数</t>
  </si>
  <si>
    <t>默认电话调研</t>
  </si>
  <si>
    <t>默认10个中心以内，200%;10个以上,150%; 预算敏感,可合理下调。</t>
  </si>
  <si>
    <t>筛选中心数</t>
  </si>
  <si>
    <t>默认10个中心以内，130%;10个以上,120%; 预算敏感,可合理下调。</t>
  </si>
  <si>
    <t>启动中心数</t>
  </si>
  <si>
    <t>筛选试验参与者数</t>
  </si>
  <si>
    <t>健康人50%-70%, 其他20%,罕见靶点/入排难可提高</t>
  </si>
  <si>
    <t>入组试验参与者数</t>
  </si>
  <si>
    <t>服务周期大于24mths时,请勾选Y</t>
  </si>
  <si>
    <t>完成试验参与者数</t>
  </si>
  <si>
    <t>平均入组率</t>
  </si>
  <si>
    <t>每月每中心</t>
  </si>
  <si>
    <t>通胀系数</t>
  </si>
  <si>
    <t>添加通胀</t>
  </si>
  <si>
    <t>N</t>
  </si>
  <si>
    <t>SAE 发生率</t>
  </si>
  <si>
    <t>肿瘤SAE发生率按30%发生率计算； 心血管15%-25%；其他非健康人：10%；健康人：1%-5%</t>
  </si>
  <si>
    <t>SAE 例数</t>
  </si>
  <si>
    <t>编程</t>
  </si>
  <si>
    <t>招募试验参与者数</t>
  </si>
  <si>
    <t>试验周期(月)</t>
  </si>
  <si>
    <t>时间计划包括客户的审批时间，如因客户审批回复不及时等原因，项目时间计划将相应调整。关键节点如遇春节，十一等法定节假日，项目时间计划将相应顺延。</t>
  </si>
  <si>
    <t>年</t>
  </si>
  <si>
    <t>月数</t>
  </si>
  <si>
    <t>月数占比</t>
  </si>
  <si>
    <t>通胀每年</t>
  </si>
  <si>
    <t>累计通胀</t>
  </si>
  <si>
    <t>平均通胀</t>
  </si>
  <si>
    <t>项目开始时间 (年月日)</t>
  </si>
  <si>
    <t xml:space="preserve">研究中心启动时间为预估，如因研究药品不能及时到位或其他非CRO直接原因导致的研究中心不能及时启动，项目时间计划将相应调整。 </t>
  </si>
  <si>
    <t>注意开始时间是否合理</t>
  </si>
  <si>
    <t>项目结束时间 (年月日)</t>
  </si>
  <si>
    <t>方案定稿(月)</t>
  </si>
  <si>
    <t>启动期(月)</t>
  </si>
  <si>
    <t>入组期(月)</t>
  </si>
  <si>
    <t>首例入组至末例入组</t>
  </si>
  <si>
    <t>数据采集类研究，客户呈现时修改描述"数据采集期"</t>
  </si>
  <si>
    <t>治疗随访期(月)</t>
  </si>
  <si>
    <t>末例入组至末例出组</t>
  </si>
  <si>
    <t>锁库期(月)</t>
  </si>
  <si>
    <t>关闭期(月)</t>
  </si>
  <si>
    <t>包括关中心及文件移交</t>
  </si>
  <si>
    <t>盲法</t>
  </si>
  <si>
    <t>否</t>
  </si>
  <si>
    <t>随机化设计</t>
  </si>
  <si>
    <t>非随机化</t>
  </si>
  <si>
    <t xml:space="preserve">期中分析次数 </t>
  </si>
  <si>
    <t xml:space="preserve">SRC会议次数 </t>
  </si>
  <si>
    <t>SDV比例</t>
  </si>
  <si>
    <t>考虑目前承接项目试验参与者数量都不多,非注册暂定50%,可酌情至20%</t>
  </si>
  <si>
    <t>CRA人数</t>
  </si>
  <si>
    <t>访视平均差旅时间</t>
  </si>
  <si>
    <t>异地差旅比例</t>
  </si>
  <si>
    <t>默认50%，可酌情调整。</t>
  </si>
  <si>
    <t>本地往返差旅时间</t>
  </si>
  <si>
    <t>默认3，可酌情调整。</t>
  </si>
  <si>
    <t>异地往返平均差旅时间</t>
  </si>
  <si>
    <t>默认6，可酌情调整。</t>
  </si>
  <si>
    <t>中心激活月</t>
  </si>
  <si>
    <t>如多阶段设计,且各阶段中心数不一致,合理扣减</t>
  </si>
  <si>
    <t>遗传办变更申报次数</t>
  </si>
  <si>
    <t>如RFP阶段报变更,三级任务新增中心按启动中心15%取整; 如已知新增中心数,按实际新增填写。</t>
  </si>
  <si>
    <t>常规监查安排</t>
  </si>
  <si>
    <t>&lt;如展示,据实填写并去除提示和高亮;不展示，则隐藏.&gt;</t>
  </si>
  <si>
    <t>常规监查访视次数</t>
  </si>
  <si>
    <t>每中心平均次数</t>
  </si>
  <si>
    <t>与客户电话会议频次</t>
  </si>
  <si>
    <t>项目会议频次</t>
  </si>
  <si>
    <t>监查员会议频次</t>
  </si>
  <si>
    <t>供应商管理数量</t>
  </si>
  <si>
    <t>非盲临床运营</t>
  </si>
  <si>
    <t>EDC系统</t>
  </si>
  <si>
    <t>TrialMaster</t>
  </si>
  <si>
    <t>&lt;非TM,请注明:    &gt;</t>
  </si>
  <si>
    <t>注册肿瘤III期</t>
  </si>
  <si>
    <t>非肿I期(健康人）</t>
  </si>
  <si>
    <t>非肿II_III期</t>
  </si>
  <si>
    <t>非注册-IIT</t>
  </si>
  <si>
    <t>RWS等</t>
  </si>
  <si>
    <t>buffer</t>
  </si>
  <si>
    <t>非肿I期(非健康人）</t>
  </si>
  <si>
    <t>CRF唯一页面数</t>
  </si>
  <si>
    <t>每入组试验参与者</t>
  </si>
  <si>
    <t>CRF重复页面数</t>
  </si>
  <si>
    <t>数据核查计划条数</t>
  </si>
  <si>
    <t>每项目</t>
  </si>
  <si>
    <t>默认:逻辑核查总数+人工数据线下列表数</t>
  </si>
  <si>
    <t>逻辑核查总数</t>
  </si>
  <si>
    <t>UP*10+RP</t>
  </si>
  <si>
    <t>人工数据线下列表数</t>
  </si>
  <si>
    <t>I期肿瘤,默认UP</t>
  </si>
  <si>
    <t>人工数据线下列表运行频次</t>
  </si>
  <si>
    <t>月/次</t>
  </si>
  <si>
    <t>默认每2月或每月</t>
  </si>
  <si>
    <t>数据库变更次数</t>
  </si>
  <si>
    <t>打开明细A103</t>
  </si>
  <si>
    <t>系统质疑数</t>
  </si>
  <si>
    <t>人工质疑数</t>
  </si>
  <si>
    <t>外部数据供应商数</t>
  </si>
  <si>
    <t>依据方案流程图同时结合外部供应商数量预计,PK,PD,ADA,Biomarker,IRC等</t>
  </si>
  <si>
    <t>外部数据一致性核查频次</t>
  </si>
  <si>
    <t>默认每季度</t>
  </si>
  <si>
    <t>SAE一致性核查频次</t>
  </si>
  <si>
    <t>医学编码MedDRA</t>
  </si>
  <si>
    <t>医学编码WHODrug</t>
  </si>
  <si>
    <t>医学编码报告频次</t>
  </si>
  <si>
    <t>默认每季度或每半年</t>
  </si>
  <si>
    <t>数据状态报告频次</t>
  </si>
  <si>
    <t>默认每月</t>
  </si>
  <si>
    <t>方案偏离审核频次</t>
  </si>
  <si>
    <t>SDTM数据集个数</t>
  </si>
  <si>
    <t>分析数据集个数</t>
  </si>
  <si>
    <t>独立表格</t>
  </si>
  <si>
    <t>独立图表</t>
  </si>
  <si>
    <t>重复表格</t>
  </si>
  <si>
    <t>重复图表</t>
  </si>
  <si>
    <t>列表</t>
  </si>
  <si>
    <t>独立PK表格</t>
  </si>
  <si>
    <t>独立PK图表</t>
  </si>
  <si>
    <t>重复PK表格</t>
  </si>
  <si>
    <t>重复PK图表</t>
  </si>
  <si>
    <t>PK列表</t>
  </si>
  <si>
    <t>Dry Run次数</t>
  </si>
  <si>
    <t>方案偏离列表</t>
  </si>
  <si>
    <t>方案偏离列表运行次数</t>
  </si>
  <si>
    <t>DSMB/DMC/IDMC会议次数</t>
  </si>
  <si>
    <t>启动+1次IDMC(每次包含1次开门+1次闭门)，默认3次会议</t>
  </si>
  <si>
    <t>DSMB/DMC/IDMC会议的Dry Run次数</t>
  </si>
  <si>
    <t>PV报告双语</t>
  </si>
  <si>
    <t>版本数</t>
  </si>
  <si>
    <t>SAE报告版本数</t>
  </si>
  <si>
    <t>默认试验入组数*SAE发生率*X个版本数)取整。</t>
  </si>
  <si>
    <t>DSUR数</t>
  </si>
  <si>
    <t>DSUR撰写是Compound Level任务，非Study Level，如果客户同期有其他项目在进行中，有可能已经包含在其他项目服务中，建议确认后报价。</t>
  </si>
  <si>
    <t>报价摘要</t>
  </si>
  <si>
    <t>报价版本号:</t>
  </si>
  <si>
    <t>报价模板版本</t>
  </si>
  <si>
    <t>v4.22</t>
  </si>
  <si>
    <t>报价有效期:</t>
  </si>
  <si>
    <t>90天</t>
  </si>
  <si>
    <t>不适用，则不展示</t>
  </si>
  <si>
    <t>报价模板版本日期</t>
  </si>
  <si>
    <t>编码</t>
  </si>
  <si>
    <t>业务描述</t>
  </si>
  <si>
    <t>费用
(RMB)</t>
  </si>
  <si>
    <t>折扣后费用
(RMB)</t>
  </si>
  <si>
    <t>Pre-IND&amp;IND&amp;NDA</t>
  </si>
  <si>
    <t>详情请见《注册申报费用明细》</t>
  </si>
  <si>
    <t>注册申报业务描述可根据实际情况调整</t>
  </si>
  <si>
    <t>临床阶段</t>
  </si>
  <si>
    <t>如无注册申报相关服务，则不展示</t>
  </si>
  <si>
    <t>I001</t>
  </si>
  <si>
    <t>I002</t>
  </si>
  <si>
    <t>I003</t>
  </si>
  <si>
    <t>I004</t>
  </si>
  <si>
    <t>I005</t>
  </si>
  <si>
    <t>I006</t>
  </si>
  <si>
    <t>I007</t>
  </si>
  <si>
    <t>I008</t>
  </si>
  <si>
    <t>I009</t>
  </si>
  <si>
    <t>I010</t>
  </si>
  <si>
    <t>I011</t>
  </si>
  <si>
    <t>I012</t>
  </si>
  <si>
    <t>I013</t>
  </si>
  <si>
    <t>I014</t>
  </si>
  <si>
    <t>I015</t>
  </si>
  <si>
    <t>临床试验结束后, 据实结算。</t>
  </si>
  <si>
    <t>税前</t>
  </si>
  <si>
    <t>服务费合计</t>
  </si>
  <si>
    <t>税率</t>
  </si>
  <si>
    <t>不展示</t>
  </si>
  <si>
    <t>税后</t>
  </si>
  <si>
    <t>服务费折扣金额</t>
  </si>
  <si>
    <t>其他费用描述</t>
  </si>
  <si>
    <t>TM</t>
  </si>
  <si>
    <t>TM折扣根据审批填写</t>
  </si>
  <si>
    <t>PTU</t>
  </si>
  <si>
    <t>PTM</t>
  </si>
  <si>
    <t>PTV</t>
  </si>
  <si>
    <t>PTS</t>
  </si>
  <si>
    <t>其他费用合计</t>
  </si>
  <si>
    <t>据实结算</t>
  </si>
  <si>
    <t>总计</t>
  </si>
  <si>
    <t>已优惠总金额</t>
  </si>
  <si>
    <t>说明：</t>
  </si>
  <si>
    <t>说明视情况调整</t>
  </si>
  <si>
    <t>2. 在入组病例数和中心数未发生变化，且项目周期延后不超过3个月的前提下，非有临直接原因导致的以下变更，将按以下原则收费:</t>
  </si>
  <si>
    <t>﹡客户需在临床研究开始前根据项目需求，将相关定稿的核心文件提供给有临。</t>
  </si>
  <si>
    <t>1) 试验设计未发生实质性变更的前提下，文件定稿前如需额外版本，则每版按此项原服务费的5%收取；</t>
  </si>
  <si>
    <t>﹡ 本报价均根据目前的信息估算，在一些影响因素发生变化时，相关费用也会发生变化，例如服务范围，研究设计，样本量，研究中心，研究时间等。如果相关信息发生变化时，有临会及时重新调整报价，并和客户进行沟通。</t>
  </si>
  <si>
    <t>2) 试验设计未发生实质性变更的前提下，文件定稿后发生修订，则每增加一次定稿版的修订按此项原服务费的25%收取；</t>
  </si>
  <si>
    <t>3) 伦理和遗传办在首次递交审批通过后发生的后续递交，则每次发生的后续递交按首次递交的50%收取；</t>
  </si>
  <si>
    <t>3. 在入组病例数或和中心数发生变化，或和项目周期延后超过3个月，或和试验设计发生实质性变更时，双方将就变更部分重新协商并调整报价。</t>
  </si>
  <si>
    <t>注：实质性变更定义源自国家药监局药审中心发布的2022年第34号文件《药物临床试验期间方案变更技术指导原则(试行)》</t>
  </si>
  <si>
    <t>服务费明细</t>
  </si>
  <si>
    <t>备注需要根据实际情况修订，修订后本提示语删除！！</t>
  </si>
  <si>
    <t>仅供内部参考，外发须申请。</t>
  </si>
  <si>
    <t>折扣前内部参考，不可外发。</t>
  </si>
  <si>
    <t>注：是否执行,"0"表述CRO不执行且报价不含此服务，"1"表示CRO执行并报价。</t>
  </si>
  <si>
    <t>每个Task总工时。默认不展示,展示需王总审批并提示语删除</t>
  </si>
  <si>
    <t>默认不展示</t>
  </si>
  <si>
    <t>默认不展示,展示则提示语删除</t>
  </si>
  <si>
    <t>筛选</t>
  </si>
  <si>
    <t>专业服务</t>
  </si>
  <si>
    <t>数量</t>
  </si>
  <si>
    <t>单位类型</t>
  </si>
  <si>
    <t>小计
(RMB,不含税)</t>
  </si>
  <si>
    <t>逻辑检查</t>
  </si>
  <si>
    <t>单价
(RMB,不含税)</t>
  </si>
  <si>
    <t>折扣后单价
(RMB,不含税)</t>
  </si>
  <si>
    <t>折扣后小计
(RMB,不含税)</t>
  </si>
  <si>
    <t>单位小时数</t>
  </si>
  <si>
    <t>小时数</t>
  </si>
  <si>
    <t>人员单价</t>
  </si>
  <si>
    <t>默认2份草稿，1份终稿。</t>
  </si>
  <si>
    <t>A284</t>
  </si>
  <si>
    <t>A001a</t>
  </si>
  <si>
    <t>医学审阅</t>
  </si>
  <si>
    <t>CRF页面设计。基于定稿的方案，提供1份定稿版本。</t>
  </si>
  <si>
    <t>基于定稿的方案，提供1份更新的定稿版本。</t>
  </si>
  <si>
    <t>基于定稿的方案，提供1份定稿版本。</t>
  </si>
  <si>
    <t>基于定稿的主知情，提供1份更新的定稿版本。</t>
  </si>
  <si>
    <t>A286</t>
  </si>
  <si>
    <t>A285</t>
  </si>
  <si>
    <t>有临医学协同拜访及拜访准备，差旅据实结算</t>
  </si>
  <si>
    <t>A287</t>
  </si>
  <si>
    <t>A248</t>
  </si>
  <si>
    <t>中心可行性调研问卷、立项伦理资料模版、合同模版等项目运营执行层面会使用到的表格模板、文件模板撰写。</t>
  </si>
  <si>
    <t>机构首次立项的准备、提交和跟踪。</t>
  </si>
  <si>
    <t>包括首次伦理文件准备、递交和跟踪伦理递交申请及文件修订(加入中心信息和根据伦理要求修改)。</t>
  </si>
  <si>
    <t>A288</t>
  </si>
  <si>
    <t>包含下述：
-中心启动文档和材料准备(包括ISF Binder、知情同意书、入排卡等)
-后续更新版文件的递交
-中心文档质检、上传</t>
  </si>
  <si>
    <t>A209</t>
  </si>
  <si>
    <t>A276</t>
  </si>
  <si>
    <t>A277</t>
  </si>
  <si>
    <t>A278</t>
  </si>
  <si>
    <t>A279</t>
  </si>
  <si>
    <t>线上</t>
  </si>
  <si>
    <t>SRC章程撰写</t>
  </si>
  <si>
    <t>线下</t>
  </si>
  <si>
    <t>准备，差旅，现场访视，报告和跟进。</t>
  </si>
  <si>
    <t>A211</t>
  </si>
  <si>
    <t>PM现场拜访、支持</t>
  </si>
  <si>
    <t>线上参会支持。</t>
  </si>
  <si>
    <t>A247</t>
  </si>
  <si>
    <t>准备，远程监查，报告和跟进。</t>
  </si>
  <si>
    <t>研究中心的安全性事件报告和管理。</t>
  </si>
  <si>
    <t>研究简报Newsletter的撰写和分发。</t>
  </si>
  <si>
    <t>根据项目实际进度申请研究药品发放和状态更新管理。</t>
  </si>
  <si>
    <t>研究中心物资的询价、审批、采购、寄送。</t>
  </si>
  <si>
    <t>自首家研究中心启动到最后一家研究中心关闭。包括定期联络中心，进行综合检查管理中心进展情况，试验参与者情况，数据采集、清理进展及项目组内沟通等。</t>
  </si>
  <si>
    <t>仅牵头单位。</t>
  </si>
  <si>
    <t>包括服务范围和时间计划、质量管理计划、沟通管理计划、风险管理计划及文件管理计划。</t>
  </si>
  <si>
    <t>项目经理审核</t>
  </si>
  <si>
    <t>A246</t>
  </si>
  <si>
    <t>包含试验文档的建立和维护，试验文件的管理遵循有临的SOP，包含下述条目：
1)研究文档的建立包含建立研究级别的文件夹和每个中心的文件夹; 
2)研究文件的维护包括针对试验(项目级和中心级)的文件日常维护和审查(按现行有临的SOP)；
3) 文档的质控包含格式和完整性的质控以及项目其他需求的质控。</t>
  </si>
  <si>
    <t>包括供应商筛选，供应商合同建立.</t>
  </si>
  <si>
    <t>预估次数</t>
  </si>
  <si>
    <t>A245</t>
  </si>
  <si>
    <t>医学从入组期到锁库期参与客户电话会</t>
  </si>
  <si>
    <t>项目组会议（根据该项目服务模块为准）。</t>
  </si>
  <si>
    <t>A212</t>
  </si>
  <si>
    <t>A213</t>
  </si>
  <si>
    <t>A243</t>
  </si>
  <si>
    <t>PM进行方案偏离的审核</t>
  </si>
  <si>
    <t>A244</t>
  </si>
  <si>
    <t>配合DM进行外部数据供应商的数据库(外部数据供应商可为多个)之间数据一致性核查的相关工作。</t>
  </si>
  <si>
    <t>包括确保文件质量的最终审核，将文件下载到便携式电子媒体，并通过快递将电子文件和纸质文件(如适用)交付给客户。</t>
  </si>
  <si>
    <t>按照有临SOP，SAE审核和DSUR审核默认由药物警戒服务提供方负责。</t>
  </si>
  <si>
    <t>医学监查计划的制定和维护。不包括方案重大修订导致的医学监查计划更新。</t>
  </si>
  <si>
    <t>从中心启动到随访结束，医学经理将在正常的工作时间内远程为研究提供医学咨询和解决紧急问题。主要包括在研究过程中相关的问题或疑问,例如:试验参与者筛选、入排、研究治疗、试验参与者管理、疾病评估和AE的处理和汇报。医学将会进行Q&amp;A日志的更新和审核。</t>
  </si>
  <si>
    <t>A242</t>
  </si>
  <si>
    <t>医学将复核研究中心计划入组试验参与者的筛选资料(需隐去试验参与者个人信息)，审核的医学资料包括但不限于《试验参与者入组合格性核对表》)、病历(人口学信息、现病史与既往史、既往用药史等)、实验室检查、12导联心电图检查、影像检查、评分标准等。</t>
  </si>
  <si>
    <t>医学将定期审查方案偏离描述，分配方案偏离代码和严重程度 。</t>
  </si>
  <si>
    <t>医学在第一个试验参与者入组到数据库锁定期间，每月审核试验参与者列表。试验参与者列表包含病史伴随用药、入排标准、实验室数据(包含心电图)和AE/SAE。</t>
  </si>
  <si>
    <t>根据数据管理的人工编码计划，从医学角度审核编码。</t>
  </si>
  <si>
    <t>定期汇总分析入组情况、安全性、有效性数据，以医学监查报告的形式展现。包括1个草稿版本和1个定稿版本。</t>
  </si>
  <si>
    <t>A338</t>
  </si>
  <si>
    <t>此处仅为预估，最终将根据 50 元/页 据实结算。</t>
  </si>
  <si>
    <t>医学相关的日常沟通和管理。</t>
  </si>
  <si>
    <t>A249</t>
  </si>
  <si>
    <t>包含DMP，SAE一致性核查计划，医学编码计划与医学编码规范文件。</t>
  </si>
  <si>
    <t>A250</t>
  </si>
  <si>
    <t>CRF Completion Guide（CRF 填写指南）</t>
  </si>
  <si>
    <t>A251</t>
  </si>
  <si>
    <t>Data Validation Plan（数据核查计划）</t>
  </si>
  <si>
    <t>A252</t>
  </si>
  <si>
    <t>系统自动质疑的审核和关闭。</t>
  </si>
  <si>
    <t>A271</t>
  </si>
  <si>
    <t>人工数据线下列表审核。</t>
  </si>
  <si>
    <t>A272</t>
  </si>
  <si>
    <t>人工质疑的审核和关闭。</t>
  </si>
  <si>
    <t>A274</t>
  </si>
  <si>
    <t>Data Transfer Agreement（外部数据传输协议）</t>
  </si>
  <si>
    <t>数据管理的数据库(CDMS或EDC)和外部数据供应商的数据库(外部数据供应商可为多个)之间数据一致性核查的相关工作。</t>
  </si>
  <si>
    <t>A253</t>
  </si>
  <si>
    <t>A254</t>
  </si>
  <si>
    <t>A273</t>
  </si>
  <si>
    <t>数据管理的数据库(CDMS或EDC)和SAE的安全数据库(PV服务提供方的)之间进行SAE一致性核查的相关工作。</t>
  </si>
  <si>
    <t>A255</t>
  </si>
  <si>
    <t>A256</t>
  </si>
  <si>
    <t>A275</t>
  </si>
  <si>
    <t>A266</t>
  </si>
  <si>
    <t>A257</t>
  </si>
  <si>
    <t>线上数据审核会的召开、组织和管理。</t>
  </si>
  <si>
    <t>数据管理相关的内外部会议及沟通。</t>
  </si>
  <si>
    <t>数据库变更相关的所有工作(包括文件更新，界面和逻辑核查系统程序的更新、验证、测试、预迁移、迁移、上线)。</t>
  </si>
  <si>
    <t>默认2份草稿，1份终稿</t>
  </si>
  <si>
    <t>不包括差旅费用，如发生实报实销。</t>
  </si>
  <si>
    <t>A224</t>
  </si>
  <si>
    <t>A258</t>
  </si>
  <si>
    <t>因分析图表数量的不可预测性，需据实结算</t>
  </si>
  <si>
    <t>A259</t>
  </si>
  <si>
    <t>A260</t>
  </si>
  <si>
    <t>不含期中分析报告。假设只是从最终分析中挑选需要的TFLs，无单独的分析计划且不增加新的TFLs。</t>
  </si>
  <si>
    <t>统计及分析相关的内外部会议及沟通。</t>
  </si>
  <si>
    <t>A264</t>
  </si>
  <si>
    <t>A265</t>
  </si>
  <si>
    <t>A225</t>
  </si>
  <si>
    <t>A226</t>
  </si>
  <si>
    <t>A227</t>
  </si>
  <si>
    <t>A231</t>
  </si>
  <si>
    <t>A232</t>
  </si>
  <si>
    <t>A233</t>
  </si>
  <si>
    <t>A234</t>
  </si>
  <si>
    <t>DSMB/DMC/IDMC项目中统计及分析相关的内外部会议及沟通</t>
  </si>
  <si>
    <t>A280</t>
  </si>
  <si>
    <t>A281</t>
  </si>
  <si>
    <t>A214</t>
  </si>
  <si>
    <t>A215</t>
  </si>
  <si>
    <t>A216</t>
  </si>
  <si>
    <t>A217</t>
  </si>
  <si>
    <t>A218</t>
  </si>
  <si>
    <t>A219</t>
  </si>
  <si>
    <t>A220</t>
  </si>
  <si>
    <t>A221</t>
  </si>
  <si>
    <t>A104a</t>
  </si>
  <si>
    <t>A222</t>
  </si>
  <si>
    <t>按剂量组及分期/单个物质</t>
  </si>
  <si>
    <t>A223</t>
  </si>
  <si>
    <t>按剂量组及分期/单个指标</t>
  </si>
  <si>
    <t>A268</t>
  </si>
  <si>
    <t>A119a</t>
  </si>
  <si>
    <t>A261</t>
  </si>
  <si>
    <t>A262</t>
  </si>
  <si>
    <t>A263</t>
  </si>
  <si>
    <t>A235</t>
  </si>
  <si>
    <t>A236</t>
  </si>
  <si>
    <t>A237</t>
  </si>
  <si>
    <t>A238</t>
  </si>
  <si>
    <t>A239</t>
  </si>
  <si>
    <t>A240</t>
  </si>
  <si>
    <t>A241</t>
  </si>
  <si>
    <t>A269</t>
  </si>
  <si>
    <t>如项目实际发生例次数和服务周期与报价不一致，以实际发生为准计费，多退少补。</t>
  </si>
  <si>
    <t>安全性管理计划撰写及升版，或SAE报告表或其他附件的更新。</t>
  </si>
  <si>
    <t>药物警戒协议(或安全性数据交换协议),英文。</t>
  </si>
  <si>
    <t>撰写药物警戒委托协议。</t>
  </si>
  <si>
    <t>包括安全性数据集建立、启动前项目文档准备等</t>
  </si>
  <si>
    <t>安全性数据库配置。安全性数据库用户体验测试及使用操作培训。</t>
  </si>
  <si>
    <t>报告版本</t>
  </si>
  <si>
    <t>按项目定期汇总安全性信息，包括递交状态总结及Linelisting等。</t>
  </si>
  <si>
    <t>中文，除监管递交以外的所有准备工作，据实结算</t>
  </si>
  <si>
    <r>
      <rPr>
        <sz val="9"/>
        <color theme="1"/>
        <rFont val="微软雅黑"/>
        <charset val="134"/>
      </rPr>
      <t>英文，</t>
    </r>
    <r>
      <rPr>
        <sz val="9"/>
        <rFont val="微软雅黑"/>
        <charset val="134"/>
      </rPr>
      <t>除CDE和FDA递交以外的所有准备工作，包括FDA区域附录准备。</t>
    </r>
  </si>
  <si>
    <t>由客户递交至监管部门</t>
  </si>
  <si>
    <t>安全性数据库变更时涉及的数据转移及XML导入及导出测试服务</t>
  </si>
  <si>
    <t>方案变更，企业名称变更，产品名称变更等所涉及的PV工作影响。</t>
  </si>
  <si>
    <t>默认每两月一次。</t>
  </si>
  <si>
    <t>药物警戒相关的日常沟通和项目管理。</t>
  </si>
  <si>
    <t>1)TLF及SAR(如有)符合ICH E3格式；2)包括2个草稿版本和1个定稿版本，客户需要将合并意见以word 修订方式提供。3)不包含SAE个案描述。</t>
  </si>
  <si>
    <t>A150a</t>
  </si>
  <si>
    <t>A151a</t>
  </si>
  <si>
    <t>A267</t>
  </si>
  <si>
    <t>A267a</t>
  </si>
  <si>
    <t>稽查计划制定和审核。</t>
  </si>
  <si>
    <t>单次稽查病例数为该中心的入组病例数开根号加1，至少核查1例完整病例。包括稽查准备，稽查前TMF审阅，现场稽查和差旅，稽查报告撰写和审核，跟进稽查发现和发送稽查证明。</t>
  </si>
  <si>
    <t>默认远程，按项目层面一次。包括TMF稽查准备，执行，报告撰写，追踪和发送稽查证明。</t>
  </si>
  <si>
    <t>包括稽查准备，现场稽查和差旅，报告撰写，跟进稽查发现和发送稽查证明。</t>
  </si>
  <si>
    <t>税前合计</t>
  </si>
  <si>
    <t>税后合计</t>
  </si>
  <si>
    <t>总工时</t>
  </si>
  <si>
    <t>Check</t>
  </si>
  <si>
    <t>商业折扣/暗折</t>
  </si>
  <si>
    <t>业务大类</t>
  </si>
  <si>
    <t>2级单位</t>
  </si>
  <si>
    <t>2级数量</t>
  </si>
  <si>
    <t>辅助列1</t>
  </si>
  <si>
    <t>辅助列2</t>
  </si>
  <si>
    <t>客户任务代码</t>
  </si>
  <si>
    <t>审阅筛选</t>
  </si>
  <si>
    <t>1级编码</t>
  </si>
  <si>
    <t>1级名称</t>
  </si>
  <si>
    <t>2级名称</t>
  </si>
  <si>
    <t>3级编码</t>
  </si>
  <si>
    <t>3级名称</t>
  </si>
  <si>
    <t>单位数量</t>
  </si>
  <si>
    <t>角色</t>
  </si>
  <si>
    <t>角色中文</t>
  </si>
  <si>
    <t>小时单价</t>
  </si>
  <si>
    <t>标准工时</t>
  </si>
  <si>
    <t>调整后的
单位小时</t>
  </si>
  <si>
    <t>报价
单位小时</t>
  </si>
  <si>
    <t>单价</t>
  </si>
  <si>
    <t>总小时</t>
  </si>
  <si>
    <t>折扣后单价</t>
  </si>
  <si>
    <t>折扣金额</t>
  </si>
  <si>
    <t>报价模板更新备注</t>
  </si>
  <si>
    <t>合同工时</t>
  </si>
  <si>
    <t>内部工时</t>
  </si>
  <si>
    <t>辅助列</t>
  </si>
  <si>
    <t>T0001</t>
  </si>
  <si>
    <t>份</t>
  </si>
  <si>
    <t>T0002</t>
  </si>
  <si>
    <t>次</t>
  </si>
  <si>
    <t>T0003</t>
  </si>
  <si>
    <t>T0005</t>
  </si>
  <si>
    <t>T0006</t>
  </si>
  <si>
    <t>T0007</t>
  </si>
  <si>
    <t>T0806</t>
  </si>
  <si>
    <t>T0807</t>
  </si>
  <si>
    <t>T0780</t>
  </si>
  <si>
    <t>T0009</t>
  </si>
  <si>
    <t>页</t>
  </si>
  <si>
    <t>T0010</t>
  </si>
  <si>
    <t>T0011</t>
  </si>
  <si>
    <t>T0013</t>
  </si>
  <si>
    <t>T0015</t>
  </si>
  <si>
    <t>T0016</t>
  </si>
  <si>
    <t>T0018</t>
  </si>
  <si>
    <t>T0019</t>
  </si>
  <si>
    <t>T0020</t>
  </si>
  <si>
    <t>T0021</t>
  </si>
  <si>
    <t>T0022</t>
  </si>
  <si>
    <t>T0023</t>
  </si>
  <si>
    <t>T0024</t>
  </si>
  <si>
    <t>T0810</t>
  </si>
  <si>
    <t>中心</t>
  </si>
  <si>
    <t>T0025</t>
  </si>
  <si>
    <t>T0026</t>
  </si>
  <si>
    <t>T0808</t>
  </si>
  <si>
    <t>T0809</t>
  </si>
  <si>
    <t>T0811</t>
  </si>
  <si>
    <t>T0027</t>
  </si>
  <si>
    <t>T0028</t>
  </si>
  <si>
    <t>T0710</t>
  </si>
  <si>
    <t>T0030</t>
  </si>
  <si>
    <t>T0032</t>
  </si>
  <si>
    <t>T0033</t>
  </si>
  <si>
    <t>T0034</t>
  </si>
  <si>
    <t>T0035</t>
  </si>
  <si>
    <t>T0036</t>
  </si>
  <si>
    <t>T0037</t>
  </si>
  <si>
    <t>T0038</t>
  </si>
  <si>
    <t>T0609</t>
  </si>
  <si>
    <t>T0812</t>
  </si>
  <si>
    <t>月</t>
  </si>
  <si>
    <t>T0039</t>
  </si>
  <si>
    <t>T0040</t>
  </si>
  <si>
    <t>T0041</t>
  </si>
  <si>
    <t>T0042</t>
  </si>
  <si>
    <t>T0043</t>
  </si>
  <si>
    <t>T0044</t>
  </si>
  <si>
    <t>T0045</t>
  </si>
  <si>
    <t>T0608</t>
  </si>
  <si>
    <t>T0046</t>
  </si>
  <si>
    <t>T0047</t>
  </si>
  <si>
    <t>T0793</t>
  </si>
  <si>
    <t>T0794</t>
  </si>
  <si>
    <t>T0795</t>
  </si>
  <si>
    <t>T0796</t>
  </si>
  <si>
    <t>T0797</t>
  </si>
  <si>
    <t>T0798</t>
  </si>
  <si>
    <t>T0799</t>
  </si>
  <si>
    <t>T0061</t>
  </si>
  <si>
    <t>T0062</t>
  </si>
  <si>
    <t>T0063</t>
  </si>
  <si>
    <t>T0064</t>
  </si>
  <si>
    <t>T0066</t>
  </si>
  <si>
    <t>T0067</t>
  </si>
  <si>
    <t>T0068</t>
  </si>
  <si>
    <t>T0069</t>
  </si>
  <si>
    <t>T0072</t>
  </si>
  <si>
    <t>T0074</t>
  </si>
  <si>
    <t>T0075</t>
  </si>
  <si>
    <t>T0076</t>
  </si>
  <si>
    <t>T0077</t>
  </si>
  <si>
    <t>T0078</t>
  </si>
  <si>
    <t>T0080</t>
  </si>
  <si>
    <t>T0081</t>
  </si>
  <si>
    <t>T0082</t>
  </si>
  <si>
    <t>T0083</t>
  </si>
  <si>
    <t>T0084</t>
  </si>
  <si>
    <t>T0085</t>
  </si>
  <si>
    <t>T0086</t>
  </si>
  <si>
    <t>T0087</t>
  </si>
  <si>
    <t>T0635</t>
  </si>
  <si>
    <t>T0708</t>
  </si>
  <si>
    <t>例</t>
  </si>
  <si>
    <t>T0709</t>
  </si>
  <si>
    <t>T0088</t>
  </si>
  <si>
    <t>T0089</t>
  </si>
  <si>
    <t>T0090</t>
  </si>
  <si>
    <t>T0091</t>
  </si>
  <si>
    <t>T0092</t>
  </si>
  <si>
    <t>T0093</t>
  </si>
  <si>
    <t>T0094</t>
  </si>
  <si>
    <t>T0095</t>
  </si>
  <si>
    <t>T0096</t>
  </si>
  <si>
    <t>T0097</t>
  </si>
  <si>
    <t>T0098</t>
  </si>
  <si>
    <t>T0099</t>
  </si>
  <si>
    <t>T0100</t>
  </si>
  <si>
    <t>T0101</t>
  </si>
  <si>
    <t>T0102</t>
  </si>
  <si>
    <t>T0103</t>
  </si>
  <si>
    <t>T0104</t>
  </si>
  <si>
    <t>个</t>
  </si>
  <si>
    <t>T0105</t>
  </si>
  <si>
    <t>T0106</t>
  </si>
  <si>
    <t>T0107</t>
  </si>
  <si>
    <t>T0108</t>
  </si>
  <si>
    <t>T0109</t>
  </si>
  <si>
    <t>T0110</t>
  </si>
  <si>
    <t>T0111</t>
  </si>
  <si>
    <t>T0112</t>
  </si>
  <si>
    <t>T0113</t>
  </si>
  <si>
    <t>T0114</t>
  </si>
  <si>
    <t>T0115</t>
  </si>
  <si>
    <t>T0116</t>
  </si>
  <si>
    <t>T0122</t>
  </si>
  <si>
    <t>月*中心</t>
  </si>
  <si>
    <t>T0123</t>
  </si>
  <si>
    <t>T0124</t>
  </si>
  <si>
    <t>T0125</t>
  </si>
  <si>
    <t>T0126</t>
  </si>
  <si>
    <t>T0127</t>
  </si>
  <si>
    <t>T0128</t>
  </si>
  <si>
    <t>T0129</t>
  </si>
  <si>
    <t>T0130</t>
  </si>
  <si>
    <t>T0131</t>
  </si>
  <si>
    <t>T0132</t>
  </si>
  <si>
    <t>T0133</t>
  </si>
  <si>
    <t>T0134</t>
  </si>
  <si>
    <t>T0135</t>
  </si>
  <si>
    <t>T0136</t>
  </si>
  <si>
    <t>T0137</t>
  </si>
  <si>
    <t>T0138</t>
  </si>
  <si>
    <t>T0139</t>
  </si>
  <si>
    <t>T0140</t>
  </si>
  <si>
    <t>T0141</t>
  </si>
  <si>
    <t>T0707</t>
  </si>
  <si>
    <t>T0142a</t>
  </si>
  <si>
    <t>T0147</t>
  </si>
  <si>
    <t>T0148</t>
  </si>
  <si>
    <t>T0149</t>
  </si>
  <si>
    <t>T0150</t>
  </si>
  <si>
    <t>T0151</t>
  </si>
  <si>
    <t>T0152</t>
  </si>
  <si>
    <t>T0153</t>
  </si>
  <si>
    <t>T0154</t>
  </si>
  <si>
    <t>T0155</t>
  </si>
  <si>
    <t>T0156</t>
  </si>
  <si>
    <t>T0705</t>
  </si>
  <si>
    <t>T0706</t>
  </si>
  <si>
    <t>T0157</t>
  </si>
  <si>
    <t>T0158</t>
  </si>
  <si>
    <t>T0159</t>
  </si>
  <si>
    <t>T0160</t>
  </si>
  <si>
    <t>T0161</t>
  </si>
  <si>
    <t>T0162</t>
  </si>
  <si>
    <t>T0636a</t>
  </si>
  <si>
    <t>T0637a</t>
  </si>
  <si>
    <t>T0163</t>
  </si>
  <si>
    <t>T0703</t>
  </si>
  <si>
    <t>T0711</t>
  </si>
  <si>
    <t>T0704</t>
  </si>
  <si>
    <t>T0164</t>
  </si>
  <si>
    <t>T0165</t>
  </si>
  <si>
    <t>T0166</t>
  </si>
  <si>
    <t>T0167</t>
  </si>
  <si>
    <t>T0168</t>
  </si>
  <si>
    <t>T0169</t>
  </si>
  <si>
    <t>T0170</t>
  </si>
  <si>
    <t>T0702</t>
  </si>
  <si>
    <t>T0171</t>
  </si>
  <si>
    <t>T0173</t>
  </si>
  <si>
    <t>T0174</t>
  </si>
  <si>
    <t>T0175</t>
  </si>
  <si>
    <t>T0176</t>
  </si>
  <si>
    <t>T0177</t>
  </si>
  <si>
    <t>T0178</t>
  </si>
  <si>
    <t>T0179</t>
  </si>
  <si>
    <t>T0181</t>
  </si>
  <si>
    <t>T0182</t>
  </si>
  <si>
    <t>T0183</t>
  </si>
  <si>
    <t>T0184</t>
  </si>
  <si>
    <t>T0187</t>
  </si>
  <si>
    <t>T0189</t>
  </si>
  <si>
    <t>T0190</t>
  </si>
  <si>
    <t>T0191</t>
  </si>
  <si>
    <t>T0192</t>
  </si>
  <si>
    <t>T0899</t>
  </si>
  <si>
    <t>T0193</t>
  </si>
  <si>
    <t>T0194</t>
  </si>
  <si>
    <t>T0712</t>
  </si>
  <si>
    <t>T0713</t>
  </si>
  <si>
    <t>T0714</t>
  </si>
  <si>
    <t>T0719</t>
  </si>
  <si>
    <t>T0715</t>
  </si>
  <si>
    <t>T0716</t>
  </si>
  <si>
    <t>T0717</t>
  </si>
  <si>
    <t>T0718</t>
  </si>
  <si>
    <t>T0720</t>
  </si>
  <si>
    <t>T0721</t>
  </si>
  <si>
    <t>T0722</t>
  </si>
  <si>
    <t>条</t>
  </si>
  <si>
    <t>T0723</t>
  </si>
  <si>
    <t>T0724</t>
  </si>
  <si>
    <t>T0725</t>
  </si>
  <si>
    <t>T0726</t>
  </si>
  <si>
    <t>T0208</t>
  </si>
  <si>
    <t>T0211a</t>
  </si>
  <si>
    <t>T0213a</t>
  </si>
  <si>
    <t>T0215a</t>
  </si>
  <si>
    <t>T0210</t>
  </si>
  <si>
    <t>T0217</t>
  </si>
  <si>
    <t>T0218</t>
  </si>
  <si>
    <t>T0221</t>
  </si>
  <si>
    <t>T0222</t>
  </si>
  <si>
    <t>T0223</t>
  </si>
  <si>
    <t>T0224</t>
  </si>
  <si>
    <t>T0225</t>
  </si>
  <si>
    <t>T0226</t>
  </si>
  <si>
    <t>T0230</t>
  </si>
  <si>
    <t>T0231</t>
  </si>
  <si>
    <t>T0232</t>
  </si>
  <si>
    <t>T0233</t>
  </si>
  <si>
    <t>T0234</t>
  </si>
  <si>
    <t>T0235</t>
  </si>
  <si>
    <t>T0236</t>
  </si>
  <si>
    <t>T0237</t>
  </si>
  <si>
    <t>T0614</t>
  </si>
  <si>
    <t>T0244</t>
  </si>
  <si>
    <t>T0786</t>
  </si>
  <si>
    <t>T0787</t>
  </si>
  <si>
    <t>T0788</t>
  </si>
  <si>
    <t>T0789</t>
  </si>
  <si>
    <t>T0790</t>
  </si>
  <si>
    <t>T0252a</t>
  </si>
  <si>
    <t>T0256a</t>
  </si>
  <si>
    <t>T0727</t>
  </si>
  <si>
    <t>T0728</t>
  </si>
  <si>
    <t>T0731</t>
  </si>
  <si>
    <t>T0732</t>
  </si>
  <si>
    <t>T0730</t>
  </si>
  <si>
    <t>T0734</t>
  </si>
  <si>
    <t>T0263</t>
  </si>
  <si>
    <t>T0266a</t>
  </si>
  <si>
    <t>T0268</t>
  </si>
  <si>
    <t>T0735</t>
  </si>
  <si>
    <t>T0271a</t>
  </si>
  <si>
    <t>T0269a</t>
  </si>
  <si>
    <t>T0270a</t>
  </si>
  <si>
    <t>T0272a</t>
  </si>
  <si>
    <t>T0736</t>
  </si>
  <si>
    <t>T0737</t>
  </si>
  <si>
    <t>T0738</t>
  </si>
  <si>
    <t>T0739</t>
  </si>
  <si>
    <t>T0740</t>
  </si>
  <si>
    <t>T0741</t>
  </si>
  <si>
    <t>T0281a</t>
  </si>
  <si>
    <t>T0742</t>
  </si>
  <si>
    <t>T0743</t>
  </si>
  <si>
    <t>T0744</t>
  </si>
  <si>
    <t>T0284</t>
  </si>
  <si>
    <t>T0285a</t>
  </si>
  <si>
    <t>T0287</t>
  </si>
  <si>
    <t>T0288</t>
  </si>
  <si>
    <t>T0620</t>
  </si>
  <si>
    <t>T0290</t>
  </si>
  <si>
    <t>T0291</t>
  </si>
  <si>
    <t>T0292</t>
  </si>
  <si>
    <t>T0293</t>
  </si>
  <si>
    <t>T0621</t>
  </si>
  <si>
    <t>T0294</t>
  </si>
  <si>
    <t>T0295</t>
  </si>
  <si>
    <t>T0296</t>
  </si>
  <si>
    <t>T0297</t>
  </si>
  <si>
    <t>T0298</t>
  </si>
  <si>
    <t>T0299</t>
  </si>
  <si>
    <t>T0300</t>
  </si>
  <si>
    <t>T0301a</t>
  </si>
  <si>
    <t>T0303</t>
  </si>
  <si>
    <t>T0304</t>
  </si>
  <si>
    <t>T0305</t>
  </si>
  <si>
    <t>T0306</t>
  </si>
  <si>
    <t>T0307</t>
  </si>
  <si>
    <t>T0308</t>
  </si>
  <si>
    <t>T0309</t>
  </si>
  <si>
    <t>T0310</t>
  </si>
  <si>
    <t>T0311</t>
  </si>
  <si>
    <t>T0312</t>
  </si>
  <si>
    <t>T0313a</t>
  </si>
  <si>
    <t>T0321</t>
  </si>
  <si>
    <t>T0330</t>
  </si>
  <si>
    <t>T0802</t>
  </si>
  <si>
    <t>T0331</t>
  </si>
  <si>
    <t>T0803</t>
  </si>
  <si>
    <t>T0332</t>
  </si>
  <si>
    <t>T0333</t>
  </si>
  <si>
    <t>T0334</t>
  </si>
  <si>
    <t>T0335</t>
  </si>
  <si>
    <t>T0622</t>
  </si>
  <si>
    <t>T0336</t>
  </si>
  <si>
    <t>T0337</t>
  </si>
  <si>
    <t>T0338</t>
  </si>
  <si>
    <t>T0623</t>
  </si>
  <si>
    <t>T0339</t>
  </si>
  <si>
    <t>T0340a</t>
  </si>
  <si>
    <t>T0342a</t>
  </si>
  <si>
    <t>T0344a</t>
  </si>
  <si>
    <t>T0346</t>
  </si>
  <si>
    <t>T0347</t>
  </si>
  <si>
    <t>T0348</t>
  </si>
  <si>
    <t>T0349</t>
  </si>
  <si>
    <t>T0350</t>
  </si>
  <si>
    <t>T0351</t>
  </si>
  <si>
    <t>T0352</t>
  </si>
  <si>
    <t>T0354</t>
  </si>
  <si>
    <t>T0356</t>
  </si>
  <si>
    <t>T0357</t>
  </si>
  <si>
    <t>T0358</t>
  </si>
  <si>
    <t>T0359</t>
  </si>
  <si>
    <t>T0360</t>
  </si>
  <si>
    <t>T0361</t>
  </si>
  <si>
    <t>T0362</t>
  </si>
  <si>
    <t>T0364</t>
  </si>
  <si>
    <t>T0745</t>
  </si>
  <si>
    <t>T0746</t>
  </si>
  <si>
    <t>T0747</t>
  </si>
  <si>
    <t>T0748</t>
  </si>
  <si>
    <t>T0749</t>
  </si>
  <si>
    <t>T0750</t>
  </si>
  <si>
    <t>T0751</t>
  </si>
  <si>
    <t>T0752</t>
  </si>
  <si>
    <t>T0753</t>
  </si>
  <si>
    <t>T0754</t>
  </si>
  <si>
    <t>T0755</t>
  </si>
  <si>
    <t>T0756</t>
  </si>
  <si>
    <t>T0757</t>
  </si>
  <si>
    <t>T0758</t>
  </si>
  <si>
    <t>T0759</t>
  </si>
  <si>
    <t>T0760</t>
  </si>
  <si>
    <t>T0761</t>
  </si>
  <si>
    <t>T0762</t>
  </si>
  <si>
    <t>T0384</t>
  </si>
  <si>
    <t>T0385</t>
  </si>
  <si>
    <t>T0386</t>
  </si>
  <si>
    <t>T0387</t>
  </si>
  <si>
    <t>T0388</t>
  </si>
  <si>
    <t>T0389</t>
  </si>
  <si>
    <t>T0390</t>
  </si>
  <si>
    <t>T0394</t>
  </si>
  <si>
    <t>T0396</t>
  </si>
  <si>
    <t>T0397</t>
  </si>
  <si>
    <t>T0398</t>
  </si>
  <si>
    <t>T0399</t>
  </si>
  <si>
    <t>T0400</t>
  </si>
  <si>
    <t>T0401</t>
  </si>
  <si>
    <t>T0403</t>
  </si>
  <si>
    <t>T0404</t>
  </si>
  <si>
    <t>T0405</t>
  </si>
  <si>
    <t>逻辑需检查</t>
  </si>
  <si>
    <t>T0407</t>
  </si>
  <si>
    <t>T0408</t>
  </si>
  <si>
    <t>T0410a</t>
  </si>
  <si>
    <t>T0411</t>
  </si>
  <si>
    <t>T0412</t>
  </si>
  <si>
    <t>T0413</t>
  </si>
  <si>
    <t>T0414</t>
  </si>
  <si>
    <t>T0415</t>
  </si>
  <si>
    <t>T0416</t>
  </si>
  <si>
    <t>T0417</t>
  </si>
  <si>
    <t>T0418</t>
  </si>
  <si>
    <t>T0421</t>
  </si>
  <si>
    <t>T0800</t>
  </si>
  <si>
    <t>T0422</t>
  </si>
  <si>
    <t>T0801</t>
  </si>
  <si>
    <t>T0423</t>
  </si>
  <si>
    <t>T0763</t>
  </si>
  <si>
    <t>T0764</t>
  </si>
  <si>
    <t>T0765</t>
  </si>
  <si>
    <t>T0766</t>
  </si>
  <si>
    <t>T0767</t>
  </si>
  <si>
    <t>T0424</t>
  </si>
  <si>
    <t>T0425</t>
  </si>
  <si>
    <t>T0662</t>
  </si>
  <si>
    <t>T0663</t>
  </si>
  <si>
    <t>T0664</t>
  </si>
  <si>
    <t>T0665</t>
  </si>
  <si>
    <t>T0666</t>
  </si>
  <si>
    <t>T0667</t>
  </si>
  <si>
    <t>T0668a</t>
  </si>
  <si>
    <t>T0669a</t>
  </si>
  <si>
    <t>T0670a</t>
  </si>
  <si>
    <t>T0679</t>
  </si>
  <si>
    <t>包含了程序的检查和问题反馈</t>
  </si>
  <si>
    <t>T0680</t>
  </si>
  <si>
    <t>T0681</t>
  </si>
  <si>
    <t>T0682</t>
  </si>
  <si>
    <t>T0770</t>
  </si>
  <si>
    <t>T0683</t>
  </si>
  <si>
    <t>T0684</t>
  </si>
  <si>
    <t>T0685</t>
  </si>
  <si>
    <t>T0686</t>
  </si>
  <si>
    <t>T0687</t>
  </si>
  <si>
    <t>T0688</t>
  </si>
  <si>
    <t>T0689a</t>
  </si>
  <si>
    <t>项目</t>
  </si>
  <si>
    <t>T0690a</t>
  </si>
  <si>
    <t>T0791</t>
  </si>
  <si>
    <t>T0792</t>
  </si>
  <si>
    <t>T0638</t>
  </si>
  <si>
    <t>T0639</t>
  </si>
  <si>
    <t>T0640</t>
  </si>
  <si>
    <t>T0641</t>
  </si>
  <si>
    <t>T0642</t>
  </si>
  <si>
    <t>T0643</t>
  </si>
  <si>
    <t>T0644</t>
  </si>
  <si>
    <t>T0645</t>
  </si>
  <si>
    <t>T0646</t>
  </si>
  <si>
    <t>T0647</t>
  </si>
  <si>
    <t>T0648</t>
  </si>
  <si>
    <t>T0649</t>
  </si>
  <si>
    <t>T0650</t>
  </si>
  <si>
    <t>T0651</t>
  </si>
  <si>
    <t>T0652</t>
  </si>
  <si>
    <t>T0653</t>
  </si>
  <si>
    <t>T0654</t>
  </si>
  <si>
    <t>T0655</t>
  </si>
  <si>
    <t>T0444</t>
  </si>
  <si>
    <t>T0445</t>
  </si>
  <si>
    <t>T0656</t>
  </si>
  <si>
    <t>T0657</t>
  </si>
  <si>
    <t>T0781</t>
  </si>
  <si>
    <t>T0782</t>
  </si>
  <si>
    <t>T0446</t>
  </si>
  <si>
    <t>T0447</t>
  </si>
  <si>
    <t>T0448</t>
  </si>
  <si>
    <t>T0449</t>
  </si>
  <si>
    <t>T0450</t>
  </si>
  <si>
    <t>T0451</t>
  </si>
  <si>
    <t>T0452</t>
  </si>
  <si>
    <t>T0453</t>
  </si>
  <si>
    <t>T0454</t>
  </si>
  <si>
    <t>T0455</t>
  </si>
  <si>
    <t>T0456</t>
  </si>
  <si>
    <t>T0691</t>
  </si>
  <si>
    <t>T0692</t>
  </si>
  <si>
    <t>T0693</t>
  </si>
  <si>
    <t>T0694</t>
  </si>
  <si>
    <t>T0695</t>
  </si>
  <si>
    <t>T0696</t>
  </si>
  <si>
    <t>T0697</t>
  </si>
  <si>
    <t>T0698</t>
  </si>
  <si>
    <t>T0699</t>
  </si>
  <si>
    <t>T0700</t>
  </si>
  <si>
    <t>T0701</t>
  </si>
  <si>
    <t>T0783</t>
  </si>
  <si>
    <t>T0784</t>
  </si>
  <si>
    <t>T0457</t>
  </si>
  <si>
    <t>T0458</t>
  </si>
  <si>
    <t>T0459</t>
  </si>
  <si>
    <t>T0460</t>
  </si>
  <si>
    <t>T0461</t>
  </si>
  <si>
    <t>T0462</t>
  </si>
  <si>
    <t>T0463</t>
  </si>
  <si>
    <t>T0464</t>
  </si>
  <si>
    <t>T0465</t>
  </si>
  <si>
    <t>T0466</t>
  </si>
  <si>
    <t>T0467</t>
  </si>
  <si>
    <t>T0468</t>
  </si>
  <si>
    <t>T0469</t>
  </si>
  <si>
    <t>T0470</t>
  </si>
  <si>
    <t>T0471</t>
  </si>
  <si>
    <t>T0472</t>
  </si>
  <si>
    <t>T0473</t>
  </si>
  <si>
    <t>T0474</t>
  </si>
  <si>
    <t>T0475</t>
  </si>
  <si>
    <t>T0479</t>
  </si>
  <si>
    <t>T0480</t>
  </si>
  <si>
    <t>T0483</t>
  </si>
  <si>
    <t>研究</t>
  </si>
  <si>
    <t>T0484</t>
  </si>
  <si>
    <t>T0485</t>
  </si>
  <si>
    <t>T0486</t>
  </si>
  <si>
    <t>T0487</t>
  </si>
  <si>
    <t>T0488</t>
  </si>
  <si>
    <t>T0492</t>
  </si>
  <si>
    <t>T0493</t>
  </si>
  <si>
    <t>T0494</t>
  </si>
  <si>
    <t>T0489</t>
  </si>
  <si>
    <t>T0496</t>
  </si>
  <si>
    <t>T0497</t>
  </si>
  <si>
    <t>T0498</t>
  </si>
  <si>
    <t>T0499</t>
  </si>
  <si>
    <t>例次</t>
  </si>
  <si>
    <t>T0500</t>
  </si>
  <si>
    <t>T0501</t>
  </si>
  <si>
    <t>T0502</t>
  </si>
  <si>
    <t>T0503</t>
  </si>
  <si>
    <t>T0504</t>
  </si>
  <si>
    <t>T0505</t>
  </si>
  <si>
    <t>T0506</t>
  </si>
  <si>
    <t>T0507</t>
  </si>
  <si>
    <t>T0508</t>
  </si>
  <si>
    <t>T0509</t>
  </si>
  <si>
    <t>T0510</t>
  </si>
  <si>
    <t>T0511</t>
  </si>
  <si>
    <t>T0777</t>
  </si>
  <si>
    <t>T0512</t>
  </si>
  <si>
    <t>T0778</t>
  </si>
  <si>
    <t>T0775</t>
  </si>
  <si>
    <t>T0779</t>
  </si>
  <si>
    <t>T0513</t>
  </si>
  <si>
    <t>T0514</t>
  </si>
  <si>
    <t>T0515</t>
  </si>
  <si>
    <t>T0516</t>
  </si>
  <si>
    <t>T0517</t>
  </si>
  <si>
    <t>T0518</t>
  </si>
  <si>
    <t>T0519</t>
  </si>
  <si>
    <t>T0520</t>
  </si>
  <si>
    <t>T0521</t>
  </si>
  <si>
    <t>T0522</t>
  </si>
  <si>
    <t>T0523</t>
  </si>
  <si>
    <t>T0524</t>
  </si>
  <si>
    <t>T0525</t>
  </si>
  <si>
    <t>T0526</t>
  </si>
  <si>
    <t>T0527</t>
  </si>
  <si>
    <t>T0528</t>
  </si>
  <si>
    <t>T0529</t>
  </si>
  <si>
    <t>T0530</t>
  </si>
  <si>
    <t>T0531</t>
  </si>
  <si>
    <t>T0532</t>
  </si>
  <si>
    <t>T0533</t>
  </si>
  <si>
    <t>T0534</t>
  </si>
  <si>
    <t>T0535</t>
  </si>
  <si>
    <t>T0536</t>
  </si>
  <si>
    <t>T0537</t>
  </si>
  <si>
    <t>T0538</t>
  </si>
  <si>
    <t>T0539</t>
  </si>
  <si>
    <t>T0540</t>
  </si>
  <si>
    <t>T0541</t>
  </si>
  <si>
    <t>T0542</t>
  </si>
  <si>
    <t>T0543</t>
  </si>
  <si>
    <t>T0544</t>
  </si>
  <si>
    <t>T0545</t>
  </si>
  <si>
    <t>T0546</t>
  </si>
  <si>
    <t>T0547</t>
  </si>
  <si>
    <t>T0548</t>
  </si>
  <si>
    <t>T0549</t>
  </si>
  <si>
    <t>T0550</t>
  </si>
  <si>
    <t>T0551</t>
  </si>
  <si>
    <t>T0552</t>
  </si>
  <si>
    <t>T0553</t>
  </si>
  <si>
    <t>T0554</t>
  </si>
  <si>
    <t>T0555</t>
  </si>
  <si>
    <t>T0556</t>
  </si>
  <si>
    <t>其他费用明细</t>
  </si>
  <si>
    <t>注：是否包含,"1"表示已预估，"0"表示不适用或未预估。</t>
  </si>
  <si>
    <t>费用类别</t>
  </si>
  <si>
    <t>是否包含</t>
  </si>
  <si>
    <t>分期/类型</t>
  </si>
  <si>
    <t>EDC 月费</t>
  </si>
  <si>
    <t>RTSM</t>
  </si>
  <si>
    <t>住宿费/D及以上</t>
  </si>
  <si>
    <t>住宿费/D以下</t>
  </si>
  <si>
    <t>市内交通费</t>
  </si>
  <si>
    <t>伙食费</t>
  </si>
  <si>
    <t>有临系统</t>
  </si>
  <si>
    <t>将按照使用月数据实结算。</t>
  </si>
  <si>
    <t>IV/IIT/健康人</t>
  </si>
  <si>
    <t>中心数</t>
  </si>
  <si>
    <t>系数</t>
  </si>
  <si>
    <t>一类地区</t>
  </si>
  <si>
    <t>120/天</t>
  </si>
  <si>
    <t>TM01</t>
  </si>
  <si>
    <t>EDC</t>
  </si>
  <si>
    <t>I</t>
  </si>
  <si>
    <t>1-3个</t>
  </si>
  <si>
    <t>二类地区</t>
  </si>
  <si>
    <t>100/天</t>
  </si>
  <si>
    <t>TM02</t>
  </si>
  <si>
    <t>随机发药系统 (RTSM)</t>
  </si>
  <si>
    <t>II</t>
  </si>
  <si>
    <t>4-10个</t>
  </si>
  <si>
    <t>三类地区</t>
  </si>
  <si>
    <t>III</t>
  </si>
  <si>
    <t>11-20个</t>
  </si>
  <si>
    <t>64010204</t>
  </si>
  <si>
    <t>PTU01</t>
  </si>
  <si>
    <t>差旅费</t>
  </si>
  <si>
    <t>21-30个</t>
  </si>
  <si>
    <t>临床运营差旅费</t>
  </si>
  <si>
    <t>30个以上</t>
  </si>
  <si>
    <t>稽查差旅费</t>
  </si>
  <si>
    <t>每次稽查，一般2人</t>
  </si>
  <si>
    <t>其他差旅费</t>
  </si>
  <si>
    <t>64010202</t>
  </si>
  <si>
    <t>PTU02</t>
  </si>
  <si>
    <t>必需文件印刷制作</t>
  </si>
  <si>
    <t>按中心计；每家中心的方案、手册 等ISF里的文件制作。</t>
  </si>
  <si>
    <t>PTU03</t>
  </si>
  <si>
    <t>试验参与者文件夹制作</t>
  </si>
  <si>
    <t>文件夹采购，印刷，知情、病例、受试者相关记录表格等相关文件的打印，隔页纸等等</t>
  </si>
  <si>
    <t>64010203</t>
  </si>
  <si>
    <t>PTU04</t>
  </si>
  <si>
    <t>研究中心启动会议</t>
  </si>
  <si>
    <t>服务费以外的：单指启动会议的餐费，订餐，订水果饮料</t>
  </si>
  <si>
    <t>PTU05</t>
  </si>
  <si>
    <t>快递费,中心办公用品/耗材,杂项等</t>
  </si>
  <si>
    <t>每月</t>
  </si>
  <si>
    <t>快递费,中心办公用品耗材,例如打印纸墨盒、笔、便签、便利贴等；</t>
  </si>
  <si>
    <t>64010211</t>
  </si>
  <si>
    <t>PTU0501</t>
  </si>
  <si>
    <t>快递费</t>
  </si>
  <si>
    <t>64010208</t>
  </si>
  <si>
    <t>PTU0502</t>
  </si>
  <si>
    <t>中心办公用品/耗材</t>
  </si>
  <si>
    <t>64010235</t>
  </si>
  <si>
    <t>PTU0503</t>
  </si>
  <si>
    <t>杂项等</t>
  </si>
  <si>
    <t>默认包含合规的商务招待</t>
  </si>
  <si>
    <t>研究中心人数</t>
  </si>
  <si>
    <t>客户人数</t>
  </si>
  <si>
    <t>有临人数</t>
  </si>
  <si>
    <t>总人数</t>
  </si>
  <si>
    <t>单人往返差旅</t>
  </si>
  <si>
    <t>会务及相关杂项</t>
  </si>
  <si>
    <t>PTM01</t>
  </si>
  <si>
    <t>方案讨论会</t>
  </si>
  <si>
    <t>如有临设计方案且现场讨论，选1-5家中心，每家中心2人，有临项目经理，统计师，医学经理各1人参会，客户2-3人；</t>
  </si>
  <si>
    <t>PTM02</t>
  </si>
  <si>
    <t>数据审核会</t>
  </si>
  <si>
    <t>首次研究者会</t>
  </si>
  <si>
    <t>研究中心平均每家2人参加，所有CRA参加</t>
  </si>
  <si>
    <t>PTM03</t>
  </si>
  <si>
    <t>中期研究者会</t>
  </si>
  <si>
    <t>PTM04</t>
  </si>
  <si>
    <t>研究总结会</t>
  </si>
  <si>
    <t>研究中心平均每家2人参加，CRA不参加</t>
  </si>
  <si>
    <t>PTM05</t>
  </si>
  <si>
    <t>SRC/SMC会</t>
  </si>
  <si>
    <t>PTM06</t>
  </si>
  <si>
    <t>PTM07</t>
  </si>
  <si>
    <t>DSMB/DMC/IDMC会</t>
  </si>
  <si>
    <t>太美PV系统</t>
  </si>
  <si>
    <t>单位</t>
  </si>
  <si>
    <t>I期/IIT</t>
  </si>
  <si>
    <t>II期</t>
  </si>
  <si>
    <t>III期</t>
  </si>
  <si>
    <t>64010230</t>
  </si>
  <si>
    <t>PTV01</t>
  </si>
  <si>
    <t>曜研SMO</t>
  </si>
  <si>
    <t>按方案</t>
  </si>
  <si>
    <t>除YY预估报价用外,vendor报价明细备份并插入页至对应版本报价工具</t>
  </si>
  <si>
    <t>系统首页</t>
  </si>
  <si>
    <t>必选</t>
  </si>
  <si>
    <t>方案</t>
  </si>
  <si>
    <t>SMO</t>
  </si>
  <si>
    <t>按项目预估</t>
  </si>
  <si>
    <t>健康人3000-4500每例;除YY预估报价用外,vendor报价明细备份并插入页至对应版本报价工具</t>
  </si>
  <si>
    <t>SAE采集模块</t>
  </si>
  <si>
    <t>可选</t>
  </si>
  <si>
    <t>64010221</t>
  </si>
  <si>
    <t>PTV02</t>
  </si>
  <si>
    <t>招募</t>
  </si>
  <si>
    <t>健康人3000-4500每例</t>
  </si>
  <si>
    <t>SAE处理模块</t>
  </si>
  <si>
    <t>招募Ex</t>
  </si>
  <si>
    <t>X%</t>
  </si>
  <si>
    <t>向上取整</t>
  </si>
  <si>
    <t>报告分发中心模块</t>
  </si>
  <si>
    <t>招募In</t>
  </si>
  <si>
    <t>包含20%-30%手续费</t>
  </si>
  <si>
    <t>文件管理模块</t>
  </si>
  <si>
    <t>64010223</t>
  </si>
  <si>
    <t>PTV03</t>
  </si>
  <si>
    <t>第三方影像评估服务</t>
  </si>
  <si>
    <t>Vendor报价明细备份并插入页至对应版本报价工具</t>
  </si>
  <si>
    <t>BI可视化模块</t>
  </si>
  <si>
    <t>IRC</t>
  </si>
  <si>
    <t>超期使用费</t>
  </si>
  <si>
    <t>64010218</t>
  </si>
  <si>
    <t>PTV04</t>
  </si>
  <si>
    <t>宏韧生物分析实验室</t>
  </si>
  <si>
    <t>&lt;明确检测项,并删除提示语&gt;</t>
  </si>
  <si>
    <t>端口对接-CDE</t>
  </si>
  <si>
    <t>每端口</t>
  </si>
  <si>
    <t>64010219</t>
  </si>
  <si>
    <t>生物分析实验室</t>
  </si>
  <si>
    <t>端口对接-CDR</t>
  </si>
  <si>
    <t>64010220</t>
  </si>
  <si>
    <t>中心实验室</t>
  </si>
  <si>
    <t>系统上线前配置</t>
  </si>
  <si>
    <t>64010229</t>
  </si>
  <si>
    <t>PTV05</t>
  </si>
  <si>
    <t>&lt;非TM，明确系统名称及必要收费逻辑，删除提示语&gt;</t>
  </si>
  <si>
    <t>不指定情况下，优选询价百奥知</t>
  </si>
  <si>
    <t>系统培训</t>
  </si>
  <si>
    <t>每次</t>
  </si>
  <si>
    <t>PTV06</t>
  </si>
  <si>
    <t>随机系统</t>
  </si>
  <si>
    <t>当前参数月</t>
  </si>
  <si>
    <t>PTV07</t>
  </si>
  <si>
    <t>PV系统</t>
  </si>
  <si>
    <t>&lt;明确系统名称及必要收费逻辑，删除提示语&gt;</t>
  </si>
  <si>
    <t>64010205</t>
  </si>
  <si>
    <t>PTV08</t>
  </si>
  <si>
    <t>保险</t>
  </si>
  <si>
    <t>&lt;明确必要收费逻辑，删除提示语&gt;</t>
  </si>
  <si>
    <t>健康人300每例。Vendor报价明细备份并插入页至对应版本报价工具</t>
  </si>
  <si>
    <t>64010210</t>
  </si>
  <si>
    <t>PTV09</t>
  </si>
  <si>
    <t>物流</t>
  </si>
  <si>
    <t>康为：药品600/次，冷链700/次
托特：药品600/次，冷链680/次</t>
  </si>
  <si>
    <t>64010214</t>
  </si>
  <si>
    <t>PTV10</t>
  </si>
  <si>
    <t>专家咨询费</t>
  </si>
  <si>
    <t>天</t>
  </si>
  <si>
    <t>如发生差旅，实报实销。</t>
  </si>
  <si>
    <t>PTV11</t>
  </si>
  <si>
    <t>翻译费</t>
  </si>
  <si>
    <t>一般CSR 大约20万字，方案大约10万字，期中报告10万字，SAE大约2000字</t>
  </si>
  <si>
    <t>PTV12</t>
  </si>
  <si>
    <t>其他</t>
  </si>
  <si>
    <t>64010222</t>
  </si>
  <si>
    <t>医院费用测算参数</t>
  </si>
  <si>
    <t>研究者劳务费/研究观察费</t>
  </si>
  <si>
    <t>/subject</t>
  </si>
  <si>
    <t>根据项目情况更新</t>
  </si>
  <si>
    <t>PTS01</t>
  </si>
  <si>
    <t>主要研究者牵头费</t>
  </si>
  <si>
    <t>10%</t>
  </si>
  <si>
    <t>医技/护理费用</t>
  </si>
  <si>
    <t>PTS02</t>
  </si>
  <si>
    <t>试验参与者检查费</t>
  </si>
  <si>
    <t>健康人3000-4000每例</t>
  </si>
  <si>
    <t>医院检查检验费</t>
  </si>
  <si>
    <t>筛选失败试验参与者</t>
  </si>
  <si>
    <t>交通补助次数</t>
  </si>
  <si>
    <t>次数</t>
  </si>
  <si>
    <t>试验参与者平均访视次数</t>
  </si>
  <si>
    <t>方案信息</t>
  </si>
  <si>
    <t>完成试验参与者</t>
  </si>
  <si>
    <t>采血采样本补助次数</t>
  </si>
  <si>
    <t>单个采血点/次数</t>
  </si>
  <si>
    <t>提前退出试验参与者</t>
  </si>
  <si>
    <t>40%</t>
  </si>
  <si>
    <t>PTS03</t>
  </si>
  <si>
    <t>研究者劳务费用</t>
  </si>
  <si>
    <t>健康人SAD1w-1.5w每例,MAD1.2w-2w每例</t>
  </si>
  <si>
    <t>PTS04</t>
  </si>
  <si>
    <t>医技/护理劳务费用</t>
  </si>
  <si>
    <t>PTS05</t>
  </si>
  <si>
    <t>伦理审评费用</t>
  </si>
  <si>
    <t>PTS06</t>
  </si>
  <si>
    <t>伦理阶段审评费用</t>
  </si>
  <si>
    <t>PTS07</t>
  </si>
  <si>
    <t>试验参与者交通费</t>
  </si>
  <si>
    <t>PTS08</t>
  </si>
  <si>
    <t>试验参与者补偿(例如采集样本等)</t>
  </si>
  <si>
    <t>PTS09</t>
  </si>
  <si>
    <t>试验参与者住院津贴</t>
  </si>
  <si>
    <t>人天</t>
  </si>
  <si>
    <t>PTS10</t>
  </si>
  <si>
    <t>不良事件(保险不能覆盖部分，&lt;起赔额的个例)</t>
  </si>
  <si>
    <t>5%</t>
  </si>
  <si>
    <t>PTS11</t>
  </si>
  <si>
    <t>不良事件(保险不能覆盖部分，&gt;起赔额的个例)</t>
  </si>
  <si>
    <t>PTS12</t>
  </si>
  <si>
    <t>机构审阅、质控费</t>
  </si>
  <si>
    <t>PTS13</t>
  </si>
  <si>
    <t>资料管理费</t>
  </si>
  <si>
    <t>每中心每年</t>
  </si>
  <si>
    <t>PTS14</t>
  </si>
  <si>
    <t>机构管理费</t>
  </si>
  <si>
    <t>PTS15</t>
  </si>
  <si>
    <t>税费</t>
  </si>
  <si>
    <t>6%</t>
  </si>
  <si>
    <t>PTS16</t>
  </si>
  <si>
    <t>设施、设备采购费用(例如、离心机、文件柜等)</t>
  </si>
  <si>
    <t>说明：项目执行中，默认使用免费且合规的会议系统。如使用付费系统，双方提前确认且费用实报实销。</t>
  </si>
  <si>
    <t>注册申报费用明细</t>
  </si>
  <si>
    <t>I016</t>
  </si>
  <si>
    <t>I017</t>
  </si>
  <si>
    <t>会议总次数5次以内不另外收费</t>
  </si>
  <si>
    <t>预估3次</t>
  </si>
  <si>
    <t>常规在IND递交前请Leading PI 进行的方案审阅（可支持PI拜访及沟通）</t>
  </si>
  <si>
    <t>I018</t>
  </si>
  <si>
    <t>请备注分期信息。默认2份草稿，1份终稿。</t>
  </si>
  <si>
    <t>A270</t>
  </si>
  <si>
    <t>I019</t>
  </si>
  <si>
    <t>A177b</t>
  </si>
  <si>
    <t>A177a</t>
  </si>
  <si>
    <t>A177c</t>
  </si>
  <si>
    <t>可选, 如发生据实结算。</t>
  </si>
  <si>
    <t>I020</t>
  </si>
  <si>
    <t>I021</t>
  </si>
  <si>
    <t>I022</t>
  </si>
  <si>
    <t>I023</t>
  </si>
  <si>
    <t>A282</t>
  </si>
  <si>
    <t>I024</t>
  </si>
  <si>
    <t>I025</t>
  </si>
  <si>
    <t>A283</t>
  </si>
  <si>
    <t>I026</t>
  </si>
  <si>
    <t>协助客户递交。</t>
  </si>
  <si>
    <t>I027</t>
  </si>
  <si>
    <t>I028</t>
  </si>
  <si>
    <t>模块1 行政信息</t>
  </si>
  <si>
    <t>A289</t>
  </si>
  <si>
    <t>A290</t>
  </si>
  <si>
    <t>A291</t>
  </si>
  <si>
    <t>A292</t>
  </si>
  <si>
    <t>A293</t>
  </si>
  <si>
    <t>A294</t>
  </si>
  <si>
    <t>A295</t>
  </si>
  <si>
    <t>A296</t>
  </si>
  <si>
    <t>A297</t>
  </si>
  <si>
    <t>A298</t>
  </si>
  <si>
    <t>A299</t>
  </si>
  <si>
    <t>A300</t>
  </si>
  <si>
    <t>A301</t>
  </si>
  <si>
    <t>模块2 通用技术文件总结</t>
  </si>
  <si>
    <t>A302</t>
  </si>
  <si>
    <t>A303</t>
  </si>
  <si>
    <t>A304</t>
  </si>
  <si>
    <t>A305</t>
  </si>
  <si>
    <t>A306</t>
  </si>
  <si>
    <t>A307</t>
  </si>
  <si>
    <t>A308</t>
  </si>
  <si>
    <t>模块3 药学研究资料</t>
  </si>
  <si>
    <t>A309</t>
  </si>
  <si>
    <t>A310</t>
  </si>
  <si>
    <t>A311</t>
  </si>
  <si>
    <t>模块4 非临床研究报告</t>
  </si>
  <si>
    <t>A312</t>
  </si>
  <si>
    <t>A313</t>
  </si>
  <si>
    <t>A314</t>
  </si>
  <si>
    <t>模块5 临床研究报告</t>
  </si>
  <si>
    <t>A315</t>
  </si>
  <si>
    <t>A316</t>
  </si>
  <si>
    <t>A317</t>
  </si>
  <si>
    <t>A318</t>
  </si>
  <si>
    <t>I029</t>
  </si>
  <si>
    <t>A319</t>
  </si>
  <si>
    <t>2次/月，按照2个月计算</t>
  </si>
  <si>
    <t>A320</t>
  </si>
  <si>
    <t>A321</t>
  </si>
  <si>
    <t>A322</t>
  </si>
  <si>
    <t>I030</t>
  </si>
  <si>
    <t>A323</t>
  </si>
  <si>
    <t>A324</t>
  </si>
  <si>
    <t>A325</t>
  </si>
  <si>
    <t>I031</t>
  </si>
  <si>
    <t>A326</t>
  </si>
  <si>
    <t>A327</t>
  </si>
  <si>
    <t>A328</t>
  </si>
  <si>
    <t>A329</t>
  </si>
  <si>
    <t>I032</t>
  </si>
  <si>
    <t>A330</t>
  </si>
  <si>
    <t>A331</t>
  </si>
  <si>
    <t>I033</t>
  </si>
  <si>
    <t>A332</t>
  </si>
  <si>
    <t>如果发生，据实结算</t>
  </si>
  <si>
    <t>I034</t>
  </si>
  <si>
    <t>A333</t>
  </si>
  <si>
    <t>A334</t>
  </si>
  <si>
    <t>A335</t>
  </si>
  <si>
    <t>A336</t>
  </si>
  <si>
    <t>A337</t>
  </si>
  <si>
    <t>Buffer：</t>
  </si>
  <si>
    <t>T0557</t>
  </si>
  <si>
    <t>T0558</t>
  </si>
  <si>
    <t>T0559</t>
  </si>
  <si>
    <t>T0560</t>
  </si>
  <si>
    <t>T0561</t>
  </si>
  <si>
    <t>T0562</t>
  </si>
  <si>
    <t>T0601</t>
  </si>
  <si>
    <t>T0602</t>
  </si>
  <si>
    <t>T0603</t>
  </si>
  <si>
    <t>T0605</t>
  </si>
  <si>
    <t>T0606</t>
  </si>
  <si>
    <t>T0563</t>
  </si>
  <si>
    <t>T0785</t>
  </si>
  <si>
    <t>T0564</t>
  </si>
  <si>
    <t>T0565</t>
  </si>
  <si>
    <t>T0564b</t>
  </si>
  <si>
    <t>T0565b</t>
  </si>
  <si>
    <t>T0564a</t>
  </si>
  <si>
    <t>T0565a</t>
  </si>
  <si>
    <t>T0564c</t>
  </si>
  <si>
    <t>T0565c</t>
  </si>
  <si>
    <t>T0566</t>
  </si>
  <si>
    <t>T0567</t>
  </si>
  <si>
    <t>T0568</t>
  </si>
  <si>
    <t>T0569</t>
  </si>
  <si>
    <t>T0570</t>
  </si>
  <si>
    <t>T0571</t>
  </si>
  <si>
    <t>T0572</t>
  </si>
  <si>
    <t>T0573</t>
  </si>
  <si>
    <t>T0574</t>
  </si>
  <si>
    <t>T0575</t>
  </si>
  <si>
    <t>T0576</t>
  </si>
  <si>
    <t>T0577</t>
  </si>
  <si>
    <t>T0578</t>
  </si>
  <si>
    <t>T0579</t>
  </si>
  <si>
    <t>T0580</t>
  </si>
  <si>
    <t>T0581</t>
  </si>
  <si>
    <t>T0582</t>
  </si>
  <si>
    <t>T0583</t>
  </si>
  <si>
    <t>T0599</t>
  </si>
  <si>
    <t>T0600</t>
  </si>
  <si>
    <t>T0584</t>
  </si>
  <si>
    <t>T0585</t>
  </si>
  <si>
    <t>T0586</t>
  </si>
  <si>
    <t>T0587</t>
  </si>
  <si>
    <t>T0804</t>
  </si>
  <si>
    <t>T0588</t>
  </si>
  <si>
    <t>T0589</t>
  </si>
  <si>
    <t>T0590</t>
  </si>
  <si>
    <t>T0591</t>
  </si>
  <si>
    <t>T0592</t>
  </si>
  <si>
    <t>T0593</t>
  </si>
  <si>
    <t>T0594</t>
  </si>
  <si>
    <t>T0595</t>
  </si>
  <si>
    <t>T0596</t>
  </si>
  <si>
    <t>T0805</t>
  </si>
  <si>
    <t>T0597</t>
  </si>
  <si>
    <t>T0598</t>
  </si>
  <si>
    <t>T0813</t>
  </si>
  <si>
    <t>T0814</t>
  </si>
  <si>
    <t>T0815</t>
  </si>
  <si>
    <t>T0816</t>
  </si>
  <si>
    <t>T0817</t>
  </si>
  <si>
    <t>T0818</t>
  </si>
  <si>
    <t>T0819</t>
  </si>
  <si>
    <t>T0820</t>
  </si>
  <si>
    <t>T0821</t>
  </si>
  <si>
    <t>T0822</t>
  </si>
  <si>
    <t>T0823</t>
  </si>
  <si>
    <t>T0824</t>
  </si>
  <si>
    <t>T0825</t>
  </si>
  <si>
    <t>T0826</t>
  </si>
  <si>
    <t>T0827</t>
  </si>
  <si>
    <t>T0828</t>
  </si>
  <si>
    <t>T0829</t>
  </si>
  <si>
    <t>T0830</t>
  </si>
  <si>
    <t>T0831</t>
  </si>
  <si>
    <t>T0832</t>
  </si>
  <si>
    <t>T0833</t>
  </si>
  <si>
    <t>T0834</t>
  </si>
  <si>
    <t>T0835</t>
  </si>
  <si>
    <t>T0836</t>
  </si>
  <si>
    <t>T0837</t>
  </si>
  <si>
    <t>T0838</t>
  </si>
  <si>
    <t>T0839</t>
  </si>
  <si>
    <t>T0840</t>
  </si>
  <si>
    <t>T0841</t>
  </si>
  <si>
    <t>T0842</t>
  </si>
  <si>
    <t>T0843</t>
  </si>
  <si>
    <t>T0844</t>
  </si>
  <si>
    <t>T0845</t>
  </si>
  <si>
    <t>T0846</t>
  </si>
  <si>
    <t>T0847</t>
  </si>
  <si>
    <t>T0848</t>
  </si>
  <si>
    <t>T0849</t>
  </si>
  <si>
    <t>T0850</t>
  </si>
  <si>
    <t>T0851</t>
  </si>
  <si>
    <t>安全性汇总分析（支持2.7.4）</t>
  </si>
  <si>
    <t>T0852</t>
  </si>
  <si>
    <t>T0853</t>
  </si>
  <si>
    <t>T0854</t>
  </si>
  <si>
    <t>T0855</t>
  </si>
  <si>
    <t>T0856</t>
  </si>
  <si>
    <t>T0857</t>
  </si>
  <si>
    <t>T0858</t>
  </si>
  <si>
    <t>T0859</t>
  </si>
  <si>
    <t>T0860</t>
  </si>
  <si>
    <t>T0861</t>
  </si>
  <si>
    <t>T0862</t>
  </si>
  <si>
    <t>T0863</t>
  </si>
  <si>
    <t>T0864</t>
  </si>
  <si>
    <t>T0865</t>
  </si>
  <si>
    <t>T0866</t>
  </si>
  <si>
    <t>T0867</t>
  </si>
  <si>
    <t>T0868</t>
  </si>
  <si>
    <t>T0869</t>
  </si>
  <si>
    <t>T0870</t>
  </si>
  <si>
    <t>T0871</t>
  </si>
  <si>
    <t>T0872</t>
  </si>
  <si>
    <t>T0873</t>
  </si>
  <si>
    <t>T0874</t>
  </si>
  <si>
    <t>T0875</t>
  </si>
  <si>
    <t>T0876</t>
  </si>
  <si>
    <t>T0877</t>
  </si>
  <si>
    <t>T0878</t>
  </si>
  <si>
    <t>T0879</t>
  </si>
  <si>
    <t>T0880</t>
  </si>
  <si>
    <t>T0881</t>
  </si>
  <si>
    <t>T0882</t>
  </si>
  <si>
    <t>T0883</t>
  </si>
  <si>
    <t>T0884</t>
  </si>
  <si>
    <t>T0885</t>
  </si>
  <si>
    <t>T0886</t>
  </si>
  <si>
    <t>T0887</t>
  </si>
  <si>
    <t>T0888</t>
  </si>
  <si>
    <t>T0889</t>
  </si>
  <si>
    <t>针对WHO才打开</t>
  </si>
  <si>
    <t>T0890</t>
  </si>
  <si>
    <t>T0891</t>
  </si>
  <si>
    <t>T0892</t>
  </si>
  <si>
    <t>T0893</t>
  </si>
  <si>
    <t>T0894</t>
  </si>
  <si>
    <t>T0895</t>
  </si>
  <si>
    <t>T0896</t>
  </si>
  <si>
    <t>T0897</t>
  </si>
  <si>
    <t>T0898</t>
  </si>
  <si>
    <t>项目时间计划表</t>
  </si>
  <si>
    <t>阶段</t>
  </si>
  <si>
    <t>里程碑</t>
  </si>
  <si>
    <t>开始日期</t>
  </si>
  <si>
    <t>结束日期</t>
  </si>
  <si>
    <t>持续时间
(月)</t>
  </si>
  <si>
    <t>持续时间
(周)</t>
  </si>
  <si>
    <t>项目准备</t>
  </si>
  <si>
    <t>CRO服务开始</t>
  </si>
  <si>
    <t>请注意确认和修改开始时间</t>
  </si>
  <si>
    <t>方案撰写或修订</t>
  </si>
  <si>
    <t>方案定稿</t>
  </si>
  <si>
    <t>1-2个月，EPS默认1个月</t>
  </si>
  <si>
    <t>中心启动</t>
  </si>
  <si>
    <t>首家单位获得伦理批件</t>
  </si>
  <si>
    <t>1-2个月。包括启动文件准备，首研单位的立项，伦理审查</t>
  </si>
  <si>
    <t>首家中心合同签署完成</t>
  </si>
  <si>
    <t>遗传办审批/备案通过</t>
  </si>
  <si>
    <t>1.5个月。仅适用于合作方(客户，系统，实验室等)外资背景，外资比例？</t>
  </si>
  <si>
    <t>首家中心启动</t>
  </si>
  <si>
    <t>1个月。合同签订和首研单位启动</t>
  </si>
  <si>
    <t>所有中心启动完成</t>
  </si>
  <si>
    <t>须结合入组期合理调整。首家中心签署开始，单中心，1周完成；2-5家中心，3个月完成；5家以上，6个月完成。</t>
  </si>
  <si>
    <t>试验执行</t>
  </si>
  <si>
    <t>筛选期</t>
  </si>
  <si>
    <t>CAR-T制备期</t>
  </si>
  <si>
    <t>入组期</t>
  </si>
  <si>
    <t>如为多阶段方案设计，请注意中心的活跃时间</t>
  </si>
  <si>
    <t>治疗随访1</t>
  </si>
  <si>
    <t>治疗随访2</t>
  </si>
  <si>
    <t>如适用,安全性随访</t>
  </si>
  <si>
    <t>如适用</t>
  </si>
  <si>
    <t>治疗随访3</t>
  </si>
  <si>
    <t>如适用,生存性随访或电话随访</t>
  </si>
  <si>
    <t>试验分析</t>
  </si>
  <si>
    <t>锁库期</t>
  </si>
  <si>
    <t>默认1个月。根据RFP或者审阅意见更新</t>
  </si>
  <si>
    <t>统计图表完成(TFLs)</t>
  </si>
  <si>
    <t>4周</t>
  </si>
  <si>
    <t>临床研究总结报告</t>
  </si>
  <si>
    <t>1个月</t>
  </si>
  <si>
    <t>项目关闭</t>
  </si>
  <si>
    <t>中心关闭</t>
  </si>
  <si>
    <t>默认2个月。(可根据PM意见适当调整。)</t>
  </si>
  <si>
    <t>文档移交项目结束</t>
  </si>
  <si>
    <t>默认1个月。(可根据PM意见适当调整。)</t>
  </si>
  <si>
    <t>项目周期</t>
  </si>
  <si>
    <t>仅内部检查</t>
  </si>
  <si>
    <t>Buffer</t>
  </si>
  <si>
    <t>肿瘤注册7min每页，非肿瘤注册5min每页，健康人每页3min; 在SDV/SDR基础上浮25%作为非SXR;非注册5min分页，</t>
  </si>
  <si>
    <t>监查安排</t>
  </si>
  <si>
    <t>二级编码</t>
  </si>
  <si>
    <t>监查名称</t>
  </si>
  <si>
    <t>总次数</t>
  </si>
  <si>
    <t>频率</t>
  </si>
  <si>
    <t>每中心次数</t>
  </si>
  <si>
    <t>准备小时数</t>
  </si>
  <si>
    <t>访视、差旅及报告小时</t>
  </si>
  <si>
    <t>不适用</t>
  </si>
  <si>
    <t>标准工时从22h下调至20h</t>
  </si>
  <si>
    <t>试验关闭</t>
  </si>
  <si>
    <t>付款计划（待完善，暂不使用）</t>
  </si>
  <si>
    <t>第三方和研究中心费用注意避免倒挂</t>
  </si>
  <si>
    <t>付款节点</t>
  </si>
  <si>
    <t>服务费付款比例</t>
  </si>
  <si>
    <t>服务费付款金额(含税)</t>
  </si>
  <si>
    <t>其他费用付款比例</t>
  </si>
  <si>
    <t>其他费用付款金额(含税)</t>
  </si>
  <si>
    <t>24mths内，建议付款笔数不超过6笔</t>
  </si>
  <si>
    <t>本合同签署</t>
  </si>
  <si>
    <t>其他费用的第一笔款项将保留至尾款结算。</t>
  </si>
  <si>
    <t>36mths内，建议付款笔数不超过8笔</t>
  </si>
  <si>
    <t>首家中心伦理通过</t>
  </si>
  <si>
    <t>后续按季度据实支付</t>
  </si>
  <si>
    <t>48mths内，建议付款笔数不超过9笔</t>
  </si>
  <si>
    <t>首例病人入组</t>
  </si>
  <si>
    <t>48mths以上，建议付款笔数不超过10笔</t>
  </si>
  <si>
    <t>25%受试者入组</t>
  </si>
  <si>
    <t>50%受试者入组</t>
  </si>
  <si>
    <t>100%受试者入组</t>
  </si>
  <si>
    <t>50%受试者治疗完成</t>
  </si>
  <si>
    <t>100%受试者出组</t>
  </si>
  <si>
    <t>数据库锁库DBL</t>
  </si>
  <si>
    <t>CSR定稿</t>
  </si>
  <si>
    <t>最后一家中心关闭</t>
  </si>
  <si>
    <t>除服务费外，其他费用据实结算。</t>
  </si>
  <si>
    <t>可变数量</t>
  </si>
  <si>
    <t>中心数量</t>
  </si>
  <si>
    <t>总数量</t>
  </si>
  <si>
    <t>试验准备</t>
  </si>
  <si>
    <t>遗传办合作签章和承诺书的获取</t>
  </si>
  <si>
    <t>临床监查和中心管理</t>
  </si>
  <si>
    <t xml:space="preserve">次 </t>
  </si>
  <si>
    <t>自查访视</t>
  </si>
  <si>
    <t>促进入组现场拜访</t>
  </si>
  <si>
    <t>EDC实验室范围值录入和管理</t>
  </si>
  <si>
    <t>服务费用（中心增减）</t>
  </si>
  <si>
    <t>试验开始前增减1家中心的费用</t>
  </si>
  <si>
    <t>服务费用（中心增减）税后</t>
  </si>
  <si>
    <t>CRA
工时/Rate</t>
  </si>
  <si>
    <t>PM
工时/Rate</t>
  </si>
  <si>
    <t>例数/次数</t>
  </si>
  <si>
    <t>运营服务</t>
  </si>
  <si>
    <t>周期</t>
  </si>
  <si>
    <t>肿瘤1~3例例数</t>
  </si>
  <si>
    <t>非肿5%例例数</t>
  </si>
  <si>
    <t>不变</t>
  </si>
  <si>
    <t>小时</t>
  </si>
  <si>
    <t>根据项目不同而不同，进行调整/开关</t>
  </si>
  <si>
    <t>患者预筛</t>
  </si>
  <si>
    <t>与项目组内部的日常沟通</t>
  </si>
  <si>
    <t>与申办方的日常沟通</t>
  </si>
  <si>
    <t>受试者招募审核</t>
  </si>
  <si>
    <t>按照1例/条进行修改</t>
  </si>
  <si>
    <t>系统自动质疑管理</t>
  </si>
  <si>
    <t>人工质疑管理</t>
  </si>
  <si>
    <t>药物编码WHODrug</t>
  </si>
  <si>
    <t>安全警戒</t>
  </si>
  <si>
    <t>服务费用（例数增减）</t>
  </si>
  <si>
    <t>肿瘤项目</t>
  </si>
  <si>
    <t>服务费用（例数增减）税后</t>
  </si>
  <si>
    <t>非肿瘤7折</t>
  </si>
  <si>
    <t>CTA
工时/Rate</t>
  </si>
  <si>
    <t>QAM
工时/Rate</t>
  </si>
  <si>
    <t>PMD
工时/Rate</t>
  </si>
  <si>
    <t>DBP
工时/Rate</t>
  </si>
  <si>
    <t>DM
工时/Rate</t>
  </si>
  <si>
    <t>LDM
工时/Rate</t>
  </si>
  <si>
    <t>MS
工时/Rate</t>
  </si>
  <si>
    <t>MM
工时/Rate</t>
  </si>
  <si>
    <t>MD
工时/Rate</t>
  </si>
  <si>
    <t>PVM
工时/Rate</t>
  </si>
  <si>
    <t>CPSS
工时/Rate</t>
  </si>
  <si>
    <t>ST
工时/Rate</t>
  </si>
  <si>
    <t>SAM
工时/Rate</t>
  </si>
  <si>
    <t>新增小计
(RMB,不含税)</t>
  </si>
  <si>
    <t>1、红色部分是根据项目不同而不同，需进行调整
2、中心数按照监查增加的中心数一致（活跃的中心为主）</t>
  </si>
  <si>
    <r>
      <rPr>
        <sz val="11"/>
        <color theme="1"/>
        <rFont val="等线"/>
        <charset val="134"/>
        <scheme val="minor"/>
      </rPr>
      <t>2个月/次，</t>
    </r>
    <r>
      <rPr>
        <sz val="11"/>
        <color rgb="FFFF0000"/>
        <rFont val="等线"/>
        <charset val="134"/>
        <scheme val="minor"/>
      </rPr>
      <t>乘以对应的活跃中心数</t>
    </r>
  </si>
  <si>
    <r>
      <rPr>
        <sz val="11"/>
        <color theme="1"/>
        <rFont val="等线"/>
        <charset val="134"/>
        <scheme val="minor"/>
      </rPr>
      <t>6个月/次，</t>
    </r>
    <r>
      <rPr>
        <sz val="11"/>
        <color rgb="FFFF0000"/>
        <rFont val="等线"/>
        <charset val="134"/>
        <scheme val="minor"/>
      </rPr>
      <t>乘以对应的活跃中心数</t>
    </r>
  </si>
  <si>
    <t>特例，如增加月份后超过1年，需此费用</t>
  </si>
  <si>
    <t>乘以对应的活跃中心数</t>
  </si>
  <si>
    <t>乘以对应的活跃中心数，根据底表更新</t>
  </si>
  <si>
    <t>乘以对应的CRA人数,按照底表看一下角色是否有报价？</t>
  </si>
  <si>
    <t>因为例数那边已计算，看情况是否算入？</t>
  </si>
  <si>
    <t>实施EDC数据库维护</t>
  </si>
  <si>
    <t>实施随机发药系统数据库维护</t>
  </si>
  <si>
    <t>服务费用（月份增减）</t>
  </si>
  <si>
    <t>肿瘤/非肿瘤一致</t>
  </si>
  <si>
    <t>服务费用（月份增减）税后</t>
  </si>
  <si>
    <t>0. 如在模板基础上未新增任务和角色，主要检查ERP导入表总数是否有差；如有差则按以下步骤执行，如有新增，需要注意以下步骤会覆盖此表中《其他费用》内容</t>
  </si>
  <si>
    <t>注意</t>
  </si>
  <si>
    <t>二级任务编码</t>
  </si>
  <si>
    <t>二级任务描述</t>
  </si>
  <si>
    <t>角色ID</t>
  </si>
  <si>
    <t>二级任务交付数量</t>
  </si>
  <si>
    <t>总价（折扣后）</t>
  </si>
  <si>
    <t>1. 全数复制底表辅助列至B列，不用删除未报价行</t>
  </si>
  <si>
    <t>A001MM</t>
  </si>
  <si>
    <t>请填写</t>
  </si>
  <si>
    <t>2. 选定B列，《数据》-《删除重复值-以当前选定区域排序》</t>
  </si>
  <si>
    <t>A001ST</t>
  </si>
  <si>
    <t>3. 将去重后的B列复制值至E列</t>
  </si>
  <si>
    <t>A001MD</t>
  </si>
  <si>
    <t>A001STM</t>
  </si>
  <si>
    <t>《其他费用》步骤同上，仅在第3步，将值复制至E列即可</t>
  </si>
  <si>
    <t>A001MS</t>
  </si>
  <si>
    <t>A001PM</t>
  </si>
  <si>
    <t>A001CPS</t>
  </si>
  <si>
    <t>A001CPSS</t>
  </si>
  <si>
    <t>A002DM</t>
  </si>
  <si>
    <t>A002LDM</t>
  </si>
  <si>
    <t>A002ST</t>
  </si>
  <si>
    <t>A002SAM</t>
  </si>
  <si>
    <t>A002MM</t>
  </si>
  <si>
    <t>A002PM</t>
  </si>
  <si>
    <t>A003MM</t>
  </si>
  <si>
    <t>A003MS</t>
  </si>
  <si>
    <t>A003MD</t>
  </si>
  <si>
    <t>A003ST</t>
  </si>
  <si>
    <t>A004MS</t>
  </si>
  <si>
    <t>A004MM</t>
  </si>
  <si>
    <t>A004MD</t>
  </si>
  <si>
    <t>A004PM</t>
  </si>
  <si>
    <t>A005MS</t>
  </si>
  <si>
    <t>A005MM</t>
  </si>
  <si>
    <t>A006PM</t>
  </si>
  <si>
    <t>A006MM</t>
  </si>
  <si>
    <t>A007PM</t>
  </si>
  <si>
    <t>A007MM</t>
  </si>
  <si>
    <t>A008PM</t>
  </si>
  <si>
    <t>A008CRA</t>
  </si>
  <si>
    <t>A008CTA</t>
  </si>
  <si>
    <t>A008PMD</t>
  </si>
  <si>
    <t>A008MM</t>
  </si>
  <si>
    <t>A008LDM</t>
  </si>
  <si>
    <t>A008ST</t>
  </si>
  <si>
    <t>A008PVM</t>
  </si>
  <si>
    <t>A008CPSS</t>
  </si>
  <si>
    <t>A009MM</t>
  </si>
  <si>
    <t>A009MD</t>
  </si>
  <si>
    <t>A009PM</t>
  </si>
  <si>
    <t>A009CRA</t>
  </si>
  <si>
    <t>A009CTA</t>
  </si>
  <si>
    <t>A009LDM</t>
  </si>
  <si>
    <t>A009ST</t>
  </si>
  <si>
    <t>A009PVM</t>
  </si>
  <si>
    <t>A009CPS</t>
  </si>
  <si>
    <t>A010PM</t>
  </si>
  <si>
    <t>A010CRA</t>
  </si>
  <si>
    <t>A011CRA</t>
  </si>
  <si>
    <t>A011PM</t>
  </si>
  <si>
    <t>A012CRA</t>
  </si>
  <si>
    <t>A012CTA</t>
  </si>
  <si>
    <t>A012PM</t>
  </si>
  <si>
    <t>A013CRA</t>
  </si>
  <si>
    <t>A013CTA</t>
  </si>
  <si>
    <t>A013PM</t>
  </si>
  <si>
    <t>A014CRA</t>
  </si>
  <si>
    <t>A014PM</t>
  </si>
  <si>
    <t>A015CRA</t>
  </si>
  <si>
    <t>A015PM</t>
  </si>
  <si>
    <t>A016CRA</t>
  </si>
  <si>
    <t>A016CTA</t>
  </si>
  <si>
    <t>A017PM</t>
  </si>
  <si>
    <t>A018CRA</t>
  </si>
  <si>
    <t>A209PM</t>
  </si>
  <si>
    <t>A019MS</t>
  </si>
  <si>
    <t>A019MM</t>
  </si>
  <si>
    <t>A020PM</t>
  </si>
  <si>
    <t>A020CRA</t>
  </si>
  <si>
    <t>A020CTA</t>
  </si>
  <si>
    <t>A021PM</t>
  </si>
  <si>
    <t>A021CRA</t>
  </si>
  <si>
    <t>A022PM</t>
  </si>
  <si>
    <t>A022CRA</t>
  </si>
  <si>
    <t>A023PM</t>
  </si>
  <si>
    <t>A023CRA</t>
  </si>
  <si>
    <t>A023CTA</t>
  </si>
  <si>
    <t>A024PM</t>
  </si>
  <si>
    <t>A024CRA</t>
  </si>
  <si>
    <t>A024CTA</t>
  </si>
  <si>
    <t>A025MM</t>
  </si>
  <si>
    <t>A025MD</t>
  </si>
  <si>
    <t>A025MS</t>
  </si>
  <si>
    <t>A025ST</t>
  </si>
  <si>
    <t>A025PM</t>
  </si>
  <si>
    <t>A025CPS</t>
  </si>
  <si>
    <t>A026PM</t>
  </si>
  <si>
    <t>A026CRA</t>
  </si>
  <si>
    <t>A026CTA</t>
  </si>
  <si>
    <t>A026MM</t>
  </si>
  <si>
    <t>A026MD</t>
  </si>
  <si>
    <t>A026ST</t>
  </si>
  <si>
    <t>A027MM</t>
  </si>
  <si>
    <t>A027MD</t>
  </si>
  <si>
    <t>A028MM</t>
  </si>
  <si>
    <t>A028MD</t>
  </si>
  <si>
    <t>A028DM</t>
  </si>
  <si>
    <t>A028SA</t>
  </si>
  <si>
    <t>A028SAM</t>
  </si>
  <si>
    <t>A028ST</t>
  </si>
  <si>
    <t>A028MS</t>
  </si>
  <si>
    <t>A028PM</t>
  </si>
  <si>
    <t>A029PM</t>
  </si>
  <si>
    <t>A029CRA</t>
  </si>
  <si>
    <t>A029CTA</t>
  </si>
  <si>
    <t>A029MM</t>
  </si>
  <si>
    <t>A030PM</t>
  </si>
  <si>
    <t>A030CRA</t>
  </si>
  <si>
    <t>A030CTA</t>
  </si>
  <si>
    <t>A030MM</t>
  </si>
  <si>
    <t>A030MD</t>
  </si>
  <si>
    <t>A031PM</t>
  </si>
  <si>
    <t>A031CRA</t>
  </si>
  <si>
    <t>A032CRA</t>
  </si>
  <si>
    <t>A032PM</t>
  </si>
  <si>
    <t>A033MM</t>
  </si>
  <si>
    <t>A033MD</t>
  </si>
  <si>
    <t>A034CRA</t>
  </si>
  <si>
    <t>A034PM</t>
  </si>
  <si>
    <t>A035CRA</t>
  </si>
  <si>
    <t>A035PM</t>
  </si>
  <si>
    <t>A036PM</t>
  </si>
  <si>
    <t>A036PMD</t>
  </si>
  <si>
    <t>A037CRA</t>
  </si>
  <si>
    <t>A037PM</t>
  </si>
  <si>
    <t>A038QCM</t>
  </si>
  <si>
    <t>A038PMD</t>
  </si>
  <si>
    <t>A039CRA</t>
  </si>
  <si>
    <t>A039PM</t>
  </si>
  <si>
    <t>A040CRA</t>
  </si>
  <si>
    <t>A040PM</t>
  </si>
  <si>
    <t>A041CRA</t>
  </si>
  <si>
    <t>A041PM</t>
  </si>
  <si>
    <t>A041CTA</t>
  </si>
  <si>
    <t>A042CRA</t>
  </si>
  <si>
    <t>A042PM</t>
  </si>
  <si>
    <t>A043CRA</t>
  </si>
  <si>
    <t>A043PM</t>
  </si>
  <si>
    <t>A044CRA</t>
  </si>
  <si>
    <t>A044PM</t>
  </si>
  <si>
    <t>A045CRA</t>
  </si>
  <si>
    <t>A045CTA</t>
  </si>
  <si>
    <t>A045PM</t>
  </si>
  <si>
    <t>A046CRA</t>
  </si>
  <si>
    <t>A046PM</t>
  </si>
  <si>
    <t>A047CRA</t>
  </si>
  <si>
    <t>A047PM</t>
  </si>
  <si>
    <t>A048CRA</t>
  </si>
  <si>
    <t>A048PM</t>
  </si>
  <si>
    <t>A049CRA</t>
  </si>
  <si>
    <t>A049PM</t>
  </si>
  <si>
    <t>A050CRA</t>
  </si>
  <si>
    <t>A051CRA</t>
  </si>
  <si>
    <t>A051PM</t>
  </si>
  <si>
    <t>A052PM</t>
  </si>
  <si>
    <t>A052PMD</t>
  </si>
  <si>
    <t>A053PM</t>
  </si>
  <si>
    <t>A053PMD</t>
  </si>
  <si>
    <t>A054PM</t>
  </si>
  <si>
    <t>A055PM</t>
  </si>
  <si>
    <t>A056PM</t>
  </si>
  <si>
    <t>A056CRA</t>
  </si>
  <si>
    <t>A056CTA</t>
  </si>
  <si>
    <t>A056QCM</t>
  </si>
  <si>
    <t>A057PM</t>
  </si>
  <si>
    <t>A058PM</t>
  </si>
  <si>
    <t>A059PM</t>
  </si>
  <si>
    <t>A060PM</t>
  </si>
  <si>
    <t>A061PM</t>
  </si>
  <si>
    <t>A062PM</t>
  </si>
  <si>
    <t>A063PM</t>
  </si>
  <si>
    <t>A064PM</t>
  </si>
  <si>
    <t>A065PM</t>
  </si>
  <si>
    <t>A066PM</t>
  </si>
  <si>
    <t>A066CTA</t>
  </si>
  <si>
    <t>A066PMD</t>
  </si>
  <si>
    <t>A066MM</t>
  </si>
  <si>
    <t>A066LDM</t>
  </si>
  <si>
    <t>A066ST</t>
  </si>
  <si>
    <t>A066PVM</t>
  </si>
  <si>
    <t>A066CPSS</t>
  </si>
  <si>
    <t>A067PM</t>
  </si>
  <si>
    <t>A068PM</t>
  </si>
  <si>
    <t>A068PMD</t>
  </si>
  <si>
    <t>A068MM</t>
  </si>
  <si>
    <t>A068MD</t>
  </si>
  <si>
    <t>A069PM</t>
  </si>
  <si>
    <t>A069MM</t>
  </si>
  <si>
    <t>A069CRA</t>
  </si>
  <si>
    <t>A069CTA</t>
  </si>
  <si>
    <t>A069PMD</t>
  </si>
  <si>
    <t>A069LDM</t>
  </si>
  <si>
    <t>A069ST</t>
  </si>
  <si>
    <t>A069PVM</t>
  </si>
  <si>
    <t>A069CPSS</t>
  </si>
  <si>
    <t>A070CRA</t>
  </si>
  <si>
    <t>A070CTA</t>
  </si>
  <si>
    <t>A070PM</t>
  </si>
  <si>
    <t>A071CRA</t>
  </si>
  <si>
    <t>A071CTA</t>
  </si>
  <si>
    <t>A071PM</t>
  </si>
  <si>
    <t>A072MM</t>
  </si>
  <si>
    <t>A072MD</t>
  </si>
  <si>
    <t>A073MM</t>
  </si>
  <si>
    <t>A074MS</t>
  </si>
  <si>
    <t>A074MM</t>
  </si>
  <si>
    <t>A074MD</t>
  </si>
  <si>
    <t>A075MM</t>
  </si>
  <si>
    <t>A075MD</t>
  </si>
  <si>
    <t>A076MM</t>
  </si>
  <si>
    <t>A076MD</t>
  </si>
  <si>
    <t>A077MM</t>
  </si>
  <si>
    <t>A077MD</t>
  </si>
  <si>
    <t>A078MM</t>
  </si>
  <si>
    <t>A078MD</t>
  </si>
  <si>
    <t>A078MS</t>
  </si>
  <si>
    <t>A079MM</t>
  </si>
  <si>
    <t>A079MD</t>
  </si>
  <si>
    <t>A080MM</t>
  </si>
  <si>
    <t>A080MD</t>
  </si>
  <si>
    <t>A081SA</t>
  </si>
  <si>
    <t>A081SAM</t>
  </si>
  <si>
    <t>A081ST</t>
  </si>
  <si>
    <t>A081MM</t>
  </si>
  <si>
    <t>A081MD</t>
  </si>
  <si>
    <t>A082MM</t>
  </si>
  <si>
    <t>A083MM</t>
  </si>
  <si>
    <t>A084MM</t>
  </si>
  <si>
    <t>A085DM</t>
  </si>
  <si>
    <t>A085LDM</t>
  </si>
  <si>
    <t>A085DBP</t>
  </si>
  <si>
    <t>A085MM</t>
  </si>
  <si>
    <t>A085PM</t>
  </si>
  <si>
    <t>A085ST</t>
  </si>
  <si>
    <t>A085PVM</t>
  </si>
  <si>
    <t>A085Coder</t>
  </si>
  <si>
    <t>A086DBP</t>
  </si>
  <si>
    <t>A086DM</t>
  </si>
  <si>
    <t>A086LDM</t>
  </si>
  <si>
    <t>A086ST</t>
  </si>
  <si>
    <t>A087DBP</t>
  </si>
  <si>
    <t>A087DM</t>
  </si>
  <si>
    <t>A088LDM</t>
  </si>
  <si>
    <t>A088DBP</t>
  </si>
  <si>
    <t>A088DM</t>
  </si>
  <si>
    <t>A089DBP</t>
  </si>
  <si>
    <t>A089LDM</t>
  </si>
  <si>
    <t>A089ST</t>
  </si>
  <si>
    <t>A089DM</t>
  </si>
  <si>
    <t>A090DM</t>
  </si>
  <si>
    <t>A091LDM</t>
  </si>
  <si>
    <t>A091DBP</t>
  </si>
  <si>
    <t>A091DM</t>
  </si>
  <si>
    <t>A092LDM</t>
  </si>
  <si>
    <t>A092ST</t>
  </si>
  <si>
    <t>A092DBP</t>
  </si>
  <si>
    <t>A092DM</t>
  </si>
  <si>
    <t>A093Coder</t>
  </si>
  <si>
    <t>A094PVM</t>
  </si>
  <si>
    <t>A094DBP</t>
  </si>
  <si>
    <t>A094DM</t>
  </si>
  <si>
    <t>A095DM</t>
  </si>
  <si>
    <t>A095LDM</t>
  </si>
  <si>
    <t>A096DBP</t>
  </si>
  <si>
    <t>A096DM</t>
  </si>
  <si>
    <t>A096LDM</t>
  </si>
  <si>
    <t>A097DM</t>
  </si>
  <si>
    <t>A097DBP</t>
  </si>
  <si>
    <t>A097ST</t>
  </si>
  <si>
    <t>A098DM</t>
  </si>
  <si>
    <t>A098DBP</t>
  </si>
  <si>
    <t>A099LDM</t>
  </si>
  <si>
    <t>A099MM</t>
  </si>
  <si>
    <t>A099ST</t>
  </si>
  <si>
    <t>A099SA</t>
  </si>
  <si>
    <t>A099PM</t>
  </si>
  <si>
    <t>A100DBP</t>
  </si>
  <si>
    <t>A100DM</t>
  </si>
  <si>
    <t>A100LDM</t>
  </si>
  <si>
    <t>A100ST</t>
  </si>
  <si>
    <t>A101DM</t>
  </si>
  <si>
    <t>A101LDM</t>
  </si>
  <si>
    <t>A102LDM</t>
  </si>
  <si>
    <t>A103DM</t>
  </si>
  <si>
    <t>A103LDM</t>
  </si>
  <si>
    <t>A103DBP</t>
  </si>
  <si>
    <t>A104ST</t>
  </si>
  <si>
    <t>A104CPS</t>
  </si>
  <si>
    <t>A104STM</t>
  </si>
  <si>
    <t>A104SAM</t>
  </si>
  <si>
    <t>A104CPSS</t>
  </si>
  <si>
    <t>A104MM</t>
  </si>
  <si>
    <t>A104PM</t>
  </si>
  <si>
    <t>A105STM</t>
  </si>
  <si>
    <t>A106ST</t>
  </si>
  <si>
    <t>A106STM</t>
  </si>
  <si>
    <t>A107ST</t>
  </si>
  <si>
    <t>A107STM</t>
  </si>
  <si>
    <t>A107SAM</t>
  </si>
  <si>
    <t>A107MM</t>
  </si>
  <si>
    <t>A108SA</t>
  </si>
  <si>
    <t>A108SAM</t>
  </si>
  <si>
    <t>A109SA</t>
  </si>
  <si>
    <t>A109SAM</t>
  </si>
  <si>
    <t>A109ST</t>
  </si>
  <si>
    <t>A110SA</t>
  </si>
  <si>
    <t>A110SAM</t>
  </si>
  <si>
    <t>A110ST</t>
  </si>
  <si>
    <t>A111SA</t>
  </si>
  <si>
    <t>A111SAM</t>
  </si>
  <si>
    <t>A111ST</t>
  </si>
  <si>
    <t>A112SA</t>
  </si>
  <si>
    <t>A112SAM</t>
  </si>
  <si>
    <t>A112ST</t>
  </si>
  <si>
    <t>A113SA</t>
  </si>
  <si>
    <t>A113SAM</t>
  </si>
  <si>
    <t>A113ST</t>
  </si>
  <si>
    <t>A113CPS</t>
  </si>
  <si>
    <t>A114SA</t>
  </si>
  <si>
    <t>A114SAM</t>
  </si>
  <si>
    <t>A114ST</t>
  </si>
  <si>
    <t>A114CPS</t>
  </si>
  <si>
    <t>A115SA</t>
  </si>
  <si>
    <t>A115SAM</t>
  </si>
  <si>
    <t>A115ST</t>
  </si>
  <si>
    <t>A115CPSS</t>
  </si>
  <si>
    <t>A115MM</t>
  </si>
  <si>
    <t>A116DM</t>
  </si>
  <si>
    <t>A116LDM</t>
  </si>
  <si>
    <t>A116ST</t>
  </si>
  <si>
    <t>A116SA</t>
  </si>
  <si>
    <t>A116SAM</t>
  </si>
  <si>
    <t>A116CPSS</t>
  </si>
  <si>
    <t>A117SA</t>
  </si>
  <si>
    <t>A117SAM</t>
  </si>
  <si>
    <t>A117ST</t>
  </si>
  <si>
    <t>A117CPSS</t>
  </si>
  <si>
    <t>A118SA</t>
  </si>
  <si>
    <t>A118ST</t>
  </si>
  <si>
    <t>A118SAM</t>
  </si>
  <si>
    <t>A119ST</t>
  </si>
  <si>
    <t>A119CPS</t>
  </si>
  <si>
    <t>A119STM</t>
  </si>
  <si>
    <t>A119CPSS</t>
  </si>
  <si>
    <t>A120ST</t>
  </si>
  <si>
    <t>A120SA</t>
  </si>
  <si>
    <t>A121ST</t>
  </si>
  <si>
    <t>A122SA</t>
  </si>
  <si>
    <t>A122ST</t>
  </si>
  <si>
    <t>A123ST</t>
  </si>
  <si>
    <t>A123STM</t>
  </si>
  <si>
    <t>A123SAM</t>
  </si>
  <si>
    <t>A124CPS</t>
  </si>
  <si>
    <t>A124CPSS</t>
  </si>
  <si>
    <t>A125CPS</t>
  </si>
  <si>
    <t>A125CPSS</t>
  </si>
  <si>
    <t>A126CPS</t>
  </si>
  <si>
    <t>A126CPSS</t>
  </si>
  <si>
    <t>A127CPS</t>
  </si>
  <si>
    <t>A127CPSS</t>
  </si>
  <si>
    <t>A128CPS</t>
  </si>
  <si>
    <t>A128CPSS</t>
  </si>
  <si>
    <t>A129CPSS</t>
  </si>
  <si>
    <t>A130PVM</t>
  </si>
  <si>
    <t>A130PVP</t>
  </si>
  <si>
    <t>A130PM</t>
  </si>
  <si>
    <t>A131PVM</t>
  </si>
  <si>
    <t>A131PVP</t>
  </si>
  <si>
    <t>A132PVM</t>
  </si>
  <si>
    <t>A133PVS</t>
  </si>
  <si>
    <t>A134PVM</t>
  </si>
  <si>
    <t>A134PVS</t>
  </si>
  <si>
    <t>A134PVP</t>
  </si>
  <si>
    <t>A135PVM</t>
  </si>
  <si>
    <t>A136PVS</t>
  </si>
  <si>
    <t>A136PVM</t>
  </si>
  <si>
    <t>A136PVP</t>
  </si>
  <si>
    <t>A137PVM</t>
  </si>
  <si>
    <t>A138PVM</t>
  </si>
  <si>
    <t>A139PVM</t>
  </si>
  <si>
    <t>A140PVM</t>
  </si>
  <si>
    <t>A141PVS</t>
  </si>
  <si>
    <t>A142PVM</t>
  </si>
  <si>
    <t>A142PVP</t>
  </si>
  <si>
    <t>A142LDM</t>
  </si>
  <si>
    <t>A142SA</t>
  </si>
  <si>
    <t>A143PVM</t>
  </si>
  <si>
    <t>A143PVP</t>
  </si>
  <si>
    <t>A144PVM</t>
  </si>
  <si>
    <t>A145PVM</t>
  </si>
  <si>
    <t>A146PVM</t>
  </si>
  <si>
    <t>A147PVP</t>
  </si>
  <si>
    <t>A148PVM</t>
  </si>
  <si>
    <t>A149MM</t>
  </si>
  <si>
    <t>A149MS</t>
  </si>
  <si>
    <t>A149MD</t>
  </si>
  <si>
    <t>A150MS</t>
  </si>
  <si>
    <t>A150MM</t>
  </si>
  <si>
    <t>A150ST</t>
  </si>
  <si>
    <t>A150MD</t>
  </si>
  <si>
    <t>A150CPS</t>
  </si>
  <si>
    <t>A151MM</t>
  </si>
  <si>
    <t>A152MM</t>
  </si>
  <si>
    <t>A152MD</t>
  </si>
  <si>
    <t>A153PM</t>
  </si>
  <si>
    <t>A154PM</t>
  </si>
  <si>
    <t>A155PM</t>
  </si>
  <si>
    <t>A156PM</t>
  </si>
  <si>
    <t>A156CRA</t>
  </si>
  <si>
    <t>A157CRA</t>
  </si>
  <si>
    <t>A157PM</t>
  </si>
  <si>
    <t>A158PM</t>
  </si>
  <si>
    <t>A159CRA</t>
  </si>
  <si>
    <t>A159PM</t>
  </si>
  <si>
    <t>A160CRA</t>
  </si>
  <si>
    <t>A160PM</t>
  </si>
  <si>
    <t>A161CRA</t>
  </si>
  <si>
    <t>A162CRA</t>
  </si>
  <si>
    <t>A162PM</t>
  </si>
  <si>
    <t>A163PM</t>
  </si>
  <si>
    <t>A164QAM</t>
  </si>
  <si>
    <t>A164QAD</t>
  </si>
  <si>
    <t>A165QAS</t>
  </si>
  <si>
    <t>A165QAM</t>
  </si>
  <si>
    <t>A165QAD</t>
  </si>
  <si>
    <t>A166QAM</t>
  </si>
  <si>
    <t>A166QAD</t>
  </si>
  <si>
    <t>A167QAM</t>
  </si>
  <si>
    <t>A167QAD</t>
  </si>
  <si>
    <t>A168CRA</t>
  </si>
  <si>
    <t>A168QCM</t>
  </si>
  <si>
    <t>A168PM</t>
  </si>
  <si>
    <t>A169CRA</t>
  </si>
  <si>
    <t>A169QCM</t>
  </si>
  <si>
    <t>A169PM</t>
  </si>
  <si>
    <t>A170CRA</t>
  </si>
  <si>
    <t>A170QCM</t>
  </si>
  <si>
    <t>A170PM</t>
  </si>
  <si>
    <t>A171PM</t>
  </si>
  <si>
    <t>A171CRA</t>
  </si>
  <si>
    <t>A171CTA</t>
  </si>
  <si>
    <t>A172MS</t>
  </si>
  <si>
    <t>A172MM</t>
  </si>
  <si>
    <t>A172MD</t>
  </si>
  <si>
    <t>A173MS</t>
  </si>
  <si>
    <t>A173MM</t>
  </si>
  <si>
    <t>A173MD</t>
  </si>
  <si>
    <t>A174MS</t>
  </si>
  <si>
    <t>A174MM</t>
  </si>
  <si>
    <t>A174MD</t>
  </si>
  <si>
    <t>A175MS</t>
  </si>
  <si>
    <t>A175MM</t>
  </si>
  <si>
    <t>A175MD</t>
  </si>
  <si>
    <t>A176MS</t>
  </si>
  <si>
    <t>A176MM</t>
  </si>
  <si>
    <t>A176MD</t>
  </si>
  <si>
    <t>A208MM</t>
  </si>
  <si>
    <t>A208ST</t>
  </si>
  <si>
    <t>A208MD</t>
  </si>
  <si>
    <t>A208STM</t>
  </si>
  <si>
    <t>A208MS</t>
  </si>
  <si>
    <t>A208PM</t>
  </si>
  <si>
    <t>A177MS</t>
  </si>
  <si>
    <t>A177MM</t>
  </si>
  <si>
    <t>A177MD</t>
  </si>
  <si>
    <t>A178MS</t>
  </si>
  <si>
    <t>A178MM</t>
  </si>
  <si>
    <t>A178MD</t>
  </si>
  <si>
    <t>A179MS</t>
  </si>
  <si>
    <t>A179MM</t>
  </si>
  <si>
    <t>A179MD</t>
  </si>
  <si>
    <t>A180MS</t>
  </si>
  <si>
    <t>A180MM</t>
  </si>
  <si>
    <t>A180MD</t>
  </si>
  <si>
    <t>A181MS</t>
  </si>
  <si>
    <t>A181MM</t>
  </si>
  <si>
    <t>A181MD</t>
  </si>
  <si>
    <t>A182MS</t>
  </si>
  <si>
    <t>A182MM</t>
  </si>
  <si>
    <t>A182MD</t>
  </si>
  <si>
    <t>A183MS</t>
  </si>
  <si>
    <t>A183MM</t>
  </si>
  <si>
    <t>A183MD</t>
  </si>
  <si>
    <t>A184MS</t>
  </si>
  <si>
    <t>A184MM</t>
  </si>
  <si>
    <t>A184MD</t>
  </si>
  <si>
    <t>A185MS</t>
  </si>
  <si>
    <t>A185MM</t>
  </si>
  <si>
    <t>A185MD</t>
  </si>
  <si>
    <t>A186MS</t>
  </si>
  <si>
    <t>A186MM</t>
  </si>
  <si>
    <t>A186MD</t>
  </si>
  <si>
    <t>A187MS</t>
  </si>
  <si>
    <t>A187MM</t>
  </si>
  <si>
    <t>A187MD</t>
  </si>
  <si>
    <t>A188MS</t>
  </si>
  <si>
    <t>A188MM</t>
  </si>
  <si>
    <t>A188MD</t>
  </si>
  <si>
    <t>A189MS</t>
  </si>
  <si>
    <t>A189MM</t>
  </si>
  <si>
    <t>A189MD</t>
  </si>
  <si>
    <t>A190RAM</t>
  </si>
  <si>
    <t>A190RAD</t>
  </si>
  <si>
    <t>A191RAM</t>
  </si>
  <si>
    <t>A191RAD</t>
  </si>
  <si>
    <t>A206RAM</t>
  </si>
  <si>
    <t>A206RAD</t>
  </si>
  <si>
    <t>A207RAM</t>
  </si>
  <si>
    <t>A207RAD</t>
  </si>
  <si>
    <t>A192RAM</t>
  </si>
  <si>
    <t>A192RAD</t>
  </si>
  <si>
    <t>A193RAM</t>
  </si>
  <si>
    <t>A193RAD</t>
  </si>
  <si>
    <t>A194RAM</t>
  </si>
  <si>
    <t>A194RAD</t>
  </si>
  <si>
    <t>A195RAM</t>
  </si>
  <si>
    <t>A195RAD</t>
  </si>
  <si>
    <t>A196RAM</t>
  </si>
  <si>
    <t>A196RAD</t>
  </si>
  <si>
    <t>A197RAM</t>
  </si>
  <si>
    <t>A197RAD</t>
  </si>
  <si>
    <t>A198RAD</t>
  </si>
  <si>
    <t>A199RAM</t>
  </si>
  <si>
    <t>A199RAD</t>
  </si>
  <si>
    <t>A200RAM</t>
  </si>
  <si>
    <t>A200RAD</t>
  </si>
  <si>
    <t>A201RAM</t>
  </si>
  <si>
    <t>A201RAD</t>
  </si>
  <si>
    <t>A202RAM</t>
  </si>
  <si>
    <t>A202RAD</t>
  </si>
  <si>
    <t>A203RAM</t>
  </si>
  <si>
    <t>A203RAD</t>
  </si>
  <si>
    <t>A204RAM</t>
  </si>
  <si>
    <t>A204RAD</t>
  </si>
  <si>
    <t>A205RAM</t>
  </si>
  <si>
    <t>A205RAD</t>
  </si>
  <si>
    <t>肿瘤I期</t>
  </si>
  <si>
    <t>非注册3-6例</t>
  </si>
  <si>
    <t>非注册I期</t>
  </si>
  <si>
    <t>健康人+非肿I期</t>
  </si>
  <si>
    <t>非肿II/III期</t>
  </si>
  <si>
    <t>肿瘤II/III期</t>
  </si>
  <si>
    <t>IV期</t>
  </si>
  <si>
    <t>2025年1月删除</t>
  </si>
  <si>
    <t>2025年1月调整工时</t>
  </si>
  <si>
    <t>T0008</t>
  </si>
  <si>
    <t xml:space="preserve">202412yue </t>
  </si>
  <si>
    <t>T0012</t>
  </si>
  <si>
    <t>2024年12月新增</t>
  </si>
  <si>
    <t>T0070</t>
  </si>
  <si>
    <t>2024年12月工时调整</t>
  </si>
  <si>
    <t>T0071</t>
  </si>
  <si>
    <t>T0073</t>
  </si>
  <si>
    <t>20240116停用</t>
  </si>
  <si>
    <t>T0185</t>
  </si>
  <si>
    <t>T0186</t>
  </si>
  <si>
    <t>T0188</t>
  </si>
  <si>
    <t>T0195</t>
  </si>
  <si>
    <t>T0196</t>
  </si>
  <si>
    <t>2024年12月停用</t>
  </si>
  <si>
    <t>T0197</t>
  </si>
  <si>
    <t>T0198</t>
  </si>
  <si>
    <t>T0199</t>
  </si>
  <si>
    <t>T0200</t>
  </si>
  <si>
    <t>T0201</t>
  </si>
  <si>
    <t>T0610</t>
  </si>
  <si>
    <t>T0611</t>
  </si>
  <si>
    <t>T0612</t>
  </si>
  <si>
    <t>T0613</t>
  </si>
  <si>
    <t>T0202</t>
  </si>
  <si>
    <t>T0204</t>
  </si>
  <si>
    <t>T0205</t>
  </si>
  <si>
    <t>T0206</t>
  </si>
  <si>
    <t>T0207</t>
  </si>
  <si>
    <t>T0209</t>
  </si>
  <si>
    <t>T0211</t>
  </si>
  <si>
    <t>T0212</t>
  </si>
  <si>
    <t>T0213</t>
  </si>
  <si>
    <t>T0214</t>
  </si>
  <si>
    <t>T0215</t>
  </si>
  <si>
    <t>T0216</t>
  </si>
  <si>
    <t>T0219</t>
  </si>
  <si>
    <t>T0220</t>
  </si>
  <si>
    <t>2024年12月删除</t>
  </si>
  <si>
    <t>T0227</t>
  </si>
  <si>
    <t>T0228</t>
  </si>
  <si>
    <t>T0229</t>
  </si>
  <si>
    <t>只有RAVE和TM执行</t>
  </si>
  <si>
    <t>T0238</t>
  </si>
  <si>
    <t>T0239</t>
  </si>
  <si>
    <t>T0240</t>
  </si>
  <si>
    <t>T0241</t>
  </si>
  <si>
    <t>T0242</t>
  </si>
  <si>
    <t>T0243</t>
  </si>
  <si>
    <t>T0245</t>
  </si>
  <si>
    <t>T0246</t>
  </si>
  <si>
    <t>T0247</t>
  </si>
  <si>
    <t>T0248</t>
  </si>
  <si>
    <t>T0249</t>
  </si>
  <si>
    <t>T0616</t>
  </si>
  <si>
    <t>T0250</t>
  </si>
  <si>
    <t>T0615</t>
  </si>
  <si>
    <t>T0251</t>
  </si>
  <si>
    <t>T0252</t>
  </si>
  <si>
    <t>20240116停用，2024年12月重新启用</t>
  </si>
  <si>
    <t>T0253</t>
  </si>
  <si>
    <t>T0254</t>
  </si>
  <si>
    <t>T0255</t>
  </si>
  <si>
    <t>T0256</t>
  </si>
  <si>
    <t>T0257</t>
  </si>
  <si>
    <t>T0617</t>
  </si>
  <si>
    <t>T0258</t>
  </si>
  <si>
    <t>T0259</t>
  </si>
  <si>
    <t>T0260</t>
  </si>
  <si>
    <t>T0261</t>
  </si>
  <si>
    <t>T0262</t>
  </si>
  <si>
    <t>T0264</t>
  </si>
  <si>
    <t>T0265</t>
  </si>
  <si>
    <t>T0266</t>
  </si>
  <si>
    <t>T0267</t>
  </si>
  <si>
    <t>T0618</t>
  </si>
  <si>
    <t>去掉了锁库月</t>
  </si>
  <si>
    <t>T0269</t>
  </si>
  <si>
    <t>T0270</t>
  </si>
  <si>
    <t>T0271</t>
  </si>
  <si>
    <t>T0272</t>
  </si>
  <si>
    <t>T0273</t>
  </si>
  <si>
    <t>T0274</t>
  </si>
  <si>
    <t>T0275</t>
  </si>
  <si>
    <t>T0276</t>
  </si>
  <si>
    <t>T0277</t>
  </si>
  <si>
    <t>T0278</t>
  </si>
  <si>
    <t>T0279</t>
  </si>
  <si>
    <t>T0619</t>
  </si>
  <si>
    <t>T0280</t>
  </si>
  <si>
    <t>T0281</t>
  </si>
  <si>
    <t>T0282</t>
  </si>
  <si>
    <t>T0283</t>
  </si>
  <si>
    <t>T0285</t>
  </si>
  <si>
    <t>T0286</t>
  </si>
  <si>
    <t>T0289</t>
  </si>
  <si>
    <t>T0301</t>
  </si>
  <si>
    <t>T0302</t>
  </si>
  <si>
    <t>T0313</t>
  </si>
  <si>
    <t>T0314</t>
  </si>
  <si>
    <t>T0315</t>
  </si>
  <si>
    <t>T0316</t>
  </si>
  <si>
    <t>T0317</t>
  </si>
  <si>
    <t>T0318</t>
  </si>
  <si>
    <t>T0319</t>
  </si>
  <si>
    <t>T0320</t>
  </si>
  <si>
    <t>T0322</t>
  </si>
  <si>
    <t>T0323</t>
  </si>
  <si>
    <t>T0324</t>
  </si>
  <si>
    <t>T0325</t>
  </si>
  <si>
    <t>T0326</t>
  </si>
  <si>
    <t>T0327</t>
  </si>
  <si>
    <t>T0328</t>
  </si>
  <si>
    <t>T0329</t>
  </si>
  <si>
    <t>T0340</t>
  </si>
  <si>
    <t>T0341</t>
  </si>
  <si>
    <t>T0342</t>
  </si>
  <si>
    <t>T0343</t>
  </si>
  <si>
    <t>T0344</t>
  </si>
  <si>
    <t>T0345</t>
  </si>
  <si>
    <t>T0353</t>
  </si>
  <si>
    <t>T0355</t>
  </si>
  <si>
    <t>T0363</t>
  </si>
  <si>
    <t>T0365</t>
  </si>
  <si>
    <t>T0366</t>
  </si>
  <si>
    <t>T0367</t>
  </si>
  <si>
    <t>T0368</t>
  </si>
  <si>
    <t>T0369</t>
  </si>
  <si>
    <t>T0370</t>
  </si>
  <si>
    <t>T0624</t>
  </si>
  <si>
    <t>T0625</t>
  </si>
  <si>
    <t>T0626</t>
  </si>
  <si>
    <t>T0371</t>
  </si>
  <si>
    <t>T0372</t>
  </si>
  <si>
    <t>T0373</t>
  </si>
  <si>
    <t>T0374</t>
  </si>
  <si>
    <t>T0375</t>
  </si>
  <si>
    <t>T0376</t>
  </si>
  <si>
    <t>T0627</t>
  </si>
  <si>
    <t>T0628</t>
  </si>
  <si>
    <t>T0629</t>
  </si>
  <si>
    <t>T0377</t>
  </si>
  <si>
    <t>T0378</t>
  </si>
  <si>
    <t>T0379</t>
  </si>
  <si>
    <t>T0380</t>
  </si>
  <si>
    <t>T0381</t>
  </si>
  <si>
    <t>T0382</t>
  </si>
  <si>
    <t>T0383</t>
  </si>
  <si>
    <t>不激活</t>
  </si>
  <si>
    <t>T0391</t>
  </si>
  <si>
    <t>T0392</t>
  </si>
  <si>
    <t>T0393</t>
  </si>
  <si>
    <t>T0395</t>
  </si>
  <si>
    <t>T0402</t>
  </si>
  <si>
    <t>T0406</t>
  </si>
  <si>
    <t>T0409</t>
  </si>
  <si>
    <t>T0410</t>
  </si>
  <si>
    <t>T0419</t>
  </si>
  <si>
    <t>T0420</t>
  </si>
  <si>
    <t>A210</t>
  </si>
  <si>
    <t>T0630</t>
  </si>
  <si>
    <t>T0631</t>
  </si>
  <si>
    <t>T0632</t>
  </si>
  <si>
    <t>T0633</t>
  </si>
  <si>
    <t>T0634</t>
  </si>
  <si>
    <t>调整role</t>
  </si>
  <si>
    <t>2025年1月调整</t>
  </si>
  <si>
    <t>T0668</t>
  </si>
  <si>
    <t>T0669</t>
  </si>
  <si>
    <t>T0670</t>
  </si>
  <si>
    <t>A228</t>
  </si>
  <si>
    <t>T0671</t>
  </si>
  <si>
    <t>T0672</t>
  </si>
  <si>
    <t>A229</t>
  </si>
  <si>
    <t>T0673</t>
  </si>
  <si>
    <t>T0674</t>
  </si>
  <si>
    <t>T0675</t>
  </si>
  <si>
    <t>A230</t>
  </si>
  <si>
    <t>T0676</t>
  </si>
  <si>
    <t>T0677</t>
  </si>
  <si>
    <t>T0678</t>
  </si>
  <si>
    <t>T0689</t>
  </si>
  <si>
    <t>T0690</t>
  </si>
  <si>
    <t>T0490</t>
  </si>
  <si>
    <t>T0491</t>
  </si>
  <si>
    <t>新增二级任务和三级任务需报价负责人确认</t>
  </si>
  <si>
    <t>主导</t>
  </si>
  <si>
    <t>交付物</t>
  </si>
  <si>
    <t>交付物确认方式</t>
  </si>
  <si>
    <t>收入确认方式</t>
  </si>
  <si>
    <t>一级编码</t>
  </si>
  <si>
    <t>一级名称</t>
  </si>
  <si>
    <t>报价场景</t>
  </si>
  <si>
    <t>数统二级标签</t>
  </si>
  <si>
    <t>项目阶段</t>
  </si>
  <si>
    <t>定稿版方案</t>
  </si>
  <si>
    <t>确认定稿的邮件或正式递交伦理</t>
  </si>
  <si>
    <t>一次性确认</t>
  </si>
  <si>
    <t>方案摘要撰写</t>
  </si>
  <si>
    <t>研究文件撰写和审核</t>
  </si>
  <si>
    <t>肿瘤</t>
  </si>
  <si>
    <t>注册肿瘤</t>
  </si>
  <si>
    <t>定稿版CRF</t>
  </si>
  <si>
    <t>CRF批准签字页上申办方的签字（如适用）或WORD版本整本CRF</t>
  </si>
  <si>
    <t>方案摘要审核</t>
  </si>
  <si>
    <t>I/II</t>
  </si>
  <si>
    <t>自免</t>
  </si>
  <si>
    <t>注册非肿</t>
  </si>
  <si>
    <t>修订版方案和方案修订记录</t>
  </si>
  <si>
    <t>完工数量确认</t>
  </si>
  <si>
    <t>如无明确要求或和闭口,首版默认不报</t>
  </si>
  <si>
    <t>方案全文撰写</t>
  </si>
  <si>
    <t>感染</t>
  </si>
  <si>
    <t>非注册</t>
  </si>
  <si>
    <t>定稿版主知情</t>
  </si>
  <si>
    <t>T0004</t>
  </si>
  <si>
    <t>方案全文格式拼写等质量QC</t>
  </si>
  <si>
    <t>召开研究者会议</t>
  </si>
  <si>
    <t>健康人</t>
  </si>
  <si>
    <t>修订版主知情</t>
  </si>
  <si>
    <t>方案全文审核</t>
  </si>
  <si>
    <t>II/III</t>
  </si>
  <si>
    <t>真实世界</t>
  </si>
  <si>
    <t>试验参与者日记卡撰写</t>
  </si>
  <si>
    <t>定稿版试验参与者日记卡</t>
  </si>
  <si>
    <t>方案讨论后方案修订</t>
  </si>
  <si>
    <t>IV</t>
  </si>
  <si>
    <t>BE/PK/DDI等</t>
  </si>
  <si>
    <t>试验参与者招募广告撰写</t>
  </si>
  <si>
    <t>定稿版招募广告</t>
  </si>
  <si>
    <t>方案讨论后方案审阅</t>
  </si>
  <si>
    <t>客户启动会会议纪要</t>
  </si>
  <si>
    <t>熟悉项目资料</t>
  </si>
  <si>
    <t xml:space="preserve">IIT </t>
  </si>
  <si>
    <t>方案培训签到表和方案培训PPT</t>
  </si>
  <si>
    <t>会议完成</t>
  </si>
  <si>
    <t>起草CRF唯一页页面</t>
  </si>
  <si>
    <t>研究中心可行性调研问卷</t>
  </si>
  <si>
    <t>起草CRF设计说明</t>
  </si>
  <si>
    <t>筛选访视报告</t>
  </si>
  <si>
    <t>CRF审阅</t>
  </si>
  <si>
    <t>中心立项通过的回执或者截屏</t>
  </si>
  <si>
    <t>CRF审核会议召开</t>
  </si>
  <si>
    <t>首次中心伦理批件</t>
  </si>
  <si>
    <t>执行期方案修订撰写</t>
  </si>
  <si>
    <t>定稿版中心知情同意书</t>
  </si>
  <si>
    <t>T0014</t>
  </si>
  <si>
    <t>执行期方案修订QC</t>
  </si>
  <si>
    <t>EDC上线测试用户确认通过的文件或邮件</t>
  </si>
  <si>
    <t>执行期方案修订审阅</t>
  </si>
  <si>
    <t>国家局核查支持</t>
  </si>
  <si>
    <t>无形交付物</t>
  </si>
  <si>
    <t>主知情同意书初稿撰写</t>
  </si>
  <si>
    <t>材料审阅与准备</t>
  </si>
  <si>
    <t>临床试验国家局备案通过截屏</t>
  </si>
  <si>
    <t>T0017</t>
  </si>
  <si>
    <t>主知情同意书修改</t>
  </si>
  <si>
    <t>召开会议</t>
  </si>
  <si>
    <t>临床试验省局备案通过截屏</t>
  </si>
  <si>
    <t>主知情同意书审阅</t>
  </si>
  <si>
    <t>临床试验计划制定与方案撰写</t>
  </si>
  <si>
    <t>ClinicalTrials医学相关内容翻译文件</t>
  </si>
  <si>
    <t>确认定稿的邮件或登记成功</t>
  </si>
  <si>
    <t>主知情同意书修订撰写</t>
  </si>
  <si>
    <t>临床试验相关资料准备</t>
  </si>
  <si>
    <t>遗传办国际合作审批通过批件</t>
  </si>
  <si>
    <t>主知情同意书修订审阅</t>
  </si>
  <si>
    <t>CDE沟通</t>
  </si>
  <si>
    <t>遗传办国际合作备案通过批件</t>
  </si>
  <si>
    <t>差距分析</t>
  </si>
  <si>
    <t>遗传办数据备份通过的申请书</t>
  </si>
  <si>
    <t>视情况，仅涉及基因或基因组，生物标志物信息并需要对外提供（比如用于FDA申报）或开放使用（比如发文章）相关探索适用</t>
  </si>
  <si>
    <t>试验参与者日记卡医学审阅</t>
  </si>
  <si>
    <t>申报计划制定</t>
  </si>
  <si>
    <t>遗传办变更通过批件</t>
  </si>
  <si>
    <t>如无明确要求或和闭口,首版默认不报;涉及合作方变更，遗传资源类型变更或数量变更超过10%</t>
  </si>
  <si>
    <t>申报材料(CTD)撰写和审核</t>
  </si>
  <si>
    <r>
      <rPr>
        <strike/>
        <sz val="11"/>
        <color theme="1"/>
        <rFont val="微软雅黑"/>
        <charset val="134"/>
      </rPr>
      <t>遗传办国际合作总结报告</t>
    </r>
    <r>
      <rPr>
        <strike/>
        <sz val="11"/>
        <color rgb="FFFF0000"/>
        <rFont val="微软雅黑"/>
        <charset val="134"/>
      </rPr>
      <t>撰写</t>
    </r>
  </si>
  <si>
    <t>定稿的遗传办国际合作总结报告</t>
  </si>
  <si>
    <t>试验参与者招募广告医学审阅</t>
  </si>
  <si>
    <t>pre-IND申请</t>
  </si>
  <si>
    <t>方案讨论会会议纪要</t>
  </si>
  <si>
    <t>准备客户启动会</t>
  </si>
  <si>
    <t>申报材料审核</t>
  </si>
  <si>
    <t>首次研究者会纪要</t>
  </si>
  <si>
    <t>参加客户启动会</t>
  </si>
  <si>
    <t>定稿版SRC/SMC章程</t>
  </si>
  <si>
    <t>定稿SRA/SMC章程发出的邮件</t>
  </si>
  <si>
    <t>准备方案培训</t>
  </si>
  <si>
    <t>SRC/SMC会议纪要</t>
  </si>
  <si>
    <t>参加方案培训</t>
  </si>
  <si>
    <t>NDA申报资料准备</t>
  </si>
  <si>
    <t>中期研究者会纪要</t>
  </si>
  <si>
    <t>T0029</t>
  </si>
  <si>
    <t>设计中心可行性调研问卷</t>
  </si>
  <si>
    <t>项目管理和资料编辑刻盘（NDA)</t>
  </si>
  <si>
    <t>研究总结会签到表</t>
  </si>
  <si>
    <t>电话调研中心可行性</t>
  </si>
  <si>
    <t>专家评审会</t>
  </si>
  <si>
    <t>签字盖章版研究中心合同</t>
  </si>
  <si>
    <t>T0031</t>
  </si>
  <si>
    <t>审核结果并生成筛选中心名单</t>
  </si>
  <si>
    <t>注册检验</t>
  </si>
  <si>
    <t>启动访视报告</t>
  </si>
  <si>
    <t>准备筛选访视</t>
  </si>
  <si>
    <t>通用名申请</t>
  </si>
  <si>
    <t>启动会会议纪要</t>
  </si>
  <si>
    <t>需要运营确认有此纪要</t>
  </si>
  <si>
    <t>筛选访视及撰写报告</t>
  </si>
  <si>
    <t>现场核查</t>
  </si>
  <si>
    <t>常规监查访视报告</t>
  </si>
  <si>
    <t>审核筛选访视报告</t>
  </si>
  <si>
    <t>Pre-NDA 会议支持</t>
  </si>
  <si>
    <t>计划外访视报告</t>
  </si>
  <si>
    <t>立项资料准备和递交</t>
  </si>
  <si>
    <t>协同访视报告</t>
  </si>
  <si>
    <t>立项资料审核</t>
  </si>
  <si>
    <t>远程访视报告/电话访视报告</t>
  </si>
  <si>
    <t>如无明确要求,首版默认不报</t>
  </si>
  <si>
    <t>首次伦理资料准备和递交(含首次复审)</t>
  </si>
  <si>
    <t>质控访视报告</t>
  </si>
  <si>
    <t>首次伦理资料审核(含首次复审)</t>
  </si>
  <si>
    <t>稽查报告</t>
  </si>
  <si>
    <t>SAE/SUSUR报告</t>
  </si>
  <si>
    <t>中心知情同意书审核</t>
  </si>
  <si>
    <t>中心费用发票</t>
  </si>
  <si>
    <t>定稿版研究简报</t>
  </si>
  <si>
    <t>研究中心启动文件准备</t>
  </si>
  <si>
    <t>研究药品签收单</t>
  </si>
  <si>
    <t>研究中心启动文件整理和运送</t>
  </si>
  <si>
    <t>研究物资签收单</t>
  </si>
  <si>
    <t>后续更新的研究中心伦理批件</t>
  </si>
  <si>
    <t>伦理年度报告回执</t>
  </si>
  <si>
    <t>ClinicalTrials翻译审核</t>
  </si>
  <si>
    <t>自查访视报告</t>
  </si>
  <si>
    <t>T0048</t>
  </si>
  <si>
    <t>首次申报系统填报和跟踪</t>
  </si>
  <si>
    <t>2026年1月删除</t>
  </si>
  <si>
    <t>数据清理访视报告</t>
  </si>
  <si>
    <t>T0049</t>
  </si>
  <si>
    <t>首次申报跟进研究中心合作单位签章/承诺书</t>
  </si>
  <si>
    <t>签字盖章版CSR</t>
  </si>
  <si>
    <t>T0050</t>
  </si>
  <si>
    <t>首次申报国际合作纸质文件准备</t>
  </si>
  <si>
    <t>关闭访视报告</t>
  </si>
  <si>
    <t>T0051</t>
  </si>
  <si>
    <t>合作备案系统填报和跟踪</t>
  </si>
  <si>
    <t>定稿签字版项目管理计划</t>
  </si>
  <si>
    <t>T0052</t>
  </si>
  <si>
    <t>合作备案跟进研究中心合作单位签章/承诺书</t>
  </si>
  <si>
    <t>定稿签字版监查计划</t>
  </si>
  <si>
    <t>T0053</t>
  </si>
  <si>
    <t>备份备案申报系统填报和跟踪</t>
  </si>
  <si>
    <t>定稿版中心实验室操作手册</t>
  </si>
  <si>
    <t>T0054</t>
  </si>
  <si>
    <t>备份备案申报跟进研究中心合作单位签章/承诺书</t>
  </si>
  <si>
    <t>定稿版药物管理手册IPMP</t>
  </si>
  <si>
    <t>T0055</t>
  </si>
  <si>
    <t>变更申报系统填报和跟踪</t>
  </si>
  <si>
    <t>客户认可的文件上传</t>
  </si>
  <si>
    <t>T0056</t>
  </si>
  <si>
    <t>变更申报跟进研究中心合作单位签章/承诺书</t>
  </si>
  <si>
    <t>供应商签字盖章版合同</t>
  </si>
  <si>
    <t>T0057</t>
  </si>
  <si>
    <t>变更(审批)纸质文件准备</t>
  </si>
  <si>
    <t>SMO日常沟通相关文件或邮件</t>
  </si>
  <si>
    <t>T0058</t>
  </si>
  <si>
    <t>总结报告系统填报和跟踪</t>
  </si>
  <si>
    <t>招募日常沟通相关文件或邮件</t>
  </si>
  <si>
    <t>T0059</t>
  </si>
  <si>
    <t>总结报告跟进研究中心合作单位签章/承诺书</t>
  </si>
  <si>
    <t>生物分析实验室日常沟通相关文件或邮件</t>
  </si>
  <si>
    <t>T0060</t>
  </si>
  <si>
    <t>总结报告纸质文件准备</t>
  </si>
  <si>
    <t>物流日常沟通相关文件或邮件</t>
  </si>
  <si>
    <t>准备方案讨论会</t>
  </si>
  <si>
    <t>IRC日常沟通相关文件或邮件</t>
  </si>
  <si>
    <t>参加方案讨论会</t>
  </si>
  <si>
    <t>保险日常沟通相关文件或邮件</t>
  </si>
  <si>
    <t>准备首次研究者会</t>
  </si>
  <si>
    <t>中心实验室日常沟通相关文件或邮件</t>
  </si>
  <si>
    <t>参加首次研究者会</t>
  </si>
  <si>
    <t>其他供应商日常沟通相关文件或邮件</t>
  </si>
  <si>
    <t>T0065</t>
  </si>
  <si>
    <t>参加监查员培训</t>
  </si>
  <si>
    <t>2026年1月6日删除</t>
  </si>
  <si>
    <t>客户电话会纪要</t>
  </si>
  <si>
    <t>定稿版致客户项目进展报告</t>
  </si>
  <si>
    <t>SRC/SMC章程审阅</t>
  </si>
  <si>
    <t>客户面对面会纪要</t>
  </si>
  <si>
    <t>准备SRC/SMC会</t>
  </si>
  <si>
    <t>项目会纪要</t>
  </si>
  <si>
    <t>SRC/SMC数据清理和导出</t>
  </si>
  <si>
    <t>监查员会纪要</t>
  </si>
  <si>
    <t>产生SRC/SMC统计TFLs</t>
  </si>
  <si>
    <t>2024年12月名称调整</t>
  </si>
  <si>
    <t>文件移交客户通知邮件/客户确认邮件</t>
  </si>
  <si>
    <t>验证SRC/SMC统计TFLs</t>
  </si>
  <si>
    <t>定稿版医学监查计划</t>
  </si>
  <si>
    <t>报告定稿发出的邮件</t>
  </si>
  <si>
    <t>运行SRC/SMC统计TFLs</t>
  </si>
  <si>
    <t>医学监查培训签到表和医学监查培训PPT</t>
  </si>
  <si>
    <t>审核SRC/SMC统计TLFs</t>
  </si>
  <si>
    <t>Q&amp;A list</t>
  </si>
  <si>
    <t>项目文件的记录</t>
  </si>
  <si>
    <t>按月确认</t>
  </si>
  <si>
    <t>参加SRC/SMC会</t>
  </si>
  <si>
    <t>入组失败试验参与者的招募评估</t>
  </si>
  <si>
    <t>招募评估结果</t>
  </si>
  <si>
    <t>邮件回复（有时候微信回复）</t>
  </si>
  <si>
    <t>准备中期研究者会</t>
  </si>
  <si>
    <t>试验参与者合格性审核</t>
  </si>
  <si>
    <t>合格性评估结果</t>
  </si>
  <si>
    <t>邮件回复（有时候微信回复）或以入组成功为准</t>
  </si>
  <si>
    <t>参加中期研究者会</t>
  </si>
  <si>
    <t>按月、季度的邮件回复给运营</t>
  </si>
  <si>
    <t>按月、季度的邮件回复</t>
  </si>
  <si>
    <t>准备研究总结会</t>
  </si>
  <si>
    <t>审核过的EDC数据列表（或EDC中医学发布的query）</t>
  </si>
  <si>
    <t>系统中的留痕query记录</t>
  </si>
  <si>
    <t>参加研究总结会</t>
  </si>
  <si>
    <t>按月、季度的邮件回复医学编码审核意见给数据管理</t>
  </si>
  <si>
    <t>T0079</t>
  </si>
  <si>
    <t>合同模板和预算</t>
  </si>
  <si>
    <t>按月、季度的邮件回复药物或疾病编码审核意见给数据管理</t>
  </si>
  <si>
    <t>协商研究中心合同</t>
  </si>
  <si>
    <t>医学监查报告</t>
  </si>
  <si>
    <t>报告初稿发出的邮件</t>
  </si>
  <si>
    <t>PM协助及审核研究中心合同</t>
  </si>
  <si>
    <t>邮件回复医学审阅意见</t>
  </si>
  <si>
    <t>内部邮件</t>
  </si>
  <si>
    <t>协助研究中心合同审核、签署相关流程</t>
  </si>
  <si>
    <t>含有审阅意见的DSUR</t>
  </si>
  <si>
    <t>准备启动访视</t>
  </si>
  <si>
    <t>各类合同外的电话、微信、会议沟通</t>
  </si>
  <si>
    <t>启动访视及撰写报告</t>
  </si>
  <si>
    <r>
      <rPr>
        <strike/>
        <sz val="11"/>
        <color theme="1"/>
        <rFont val="微软雅黑"/>
        <charset val="134"/>
      </rPr>
      <t>定稿版DMP</t>
    </r>
    <r>
      <rPr>
        <strike/>
        <sz val="11"/>
        <color rgb="FFFF0000"/>
        <rFont val="微软雅黑"/>
        <charset val="134"/>
      </rPr>
      <t>,</t>
    </r>
    <r>
      <rPr>
        <strike/>
        <sz val="11"/>
        <color theme="1"/>
        <rFont val="微软雅黑"/>
        <charset val="134"/>
      </rPr>
      <t>CCG,DVP,SAE一致性核查计划,医学编码约定,医学编码规范</t>
    </r>
  </si>
  <si>
    <t>各个文档以及批准签字页</t>
  </si>
  <si>
    <t>26年1月6日删除</t>
  </si>
  <si>
    <t>审核启动访视报告</t>
  </si>
  <si>
    <t>数据库界面搭建完成</t>
  </si>
  <si>
    <t>数据库上线签字页(如适用)或EDC中抽出的eCRF界面包，包括eCRF说明、空白CRF、注释CRF。通常也包含访视流程和动态衍生。</t>
  </si>
  <si>
    <t>准备中心启动会</t>
  </si>
  <si>
    <t>数据库逻辑系统核查上线完成
人工核查线下列表上线完成</t>
  </si>
  <si>
    <t>数据库上线签字页(如适用)或逻辑核查系统程序测试报告或人工审核线下列表测试报告。</t>
  </si>
  <si>
    <t>参加中心启动会</t>
  </si>
  <si>
    <t>EDC用户测试完成</t>
  </si>
  <si>
    <t>用户接受测试(UAT)报告或签字版测试记录表</t>
  </si>
  <si>
    <t>准备常规监查访视</t>
  </si>
  <si>
    <t>随机发药系统搭建完成</t>
  </si>
  <si>
    <t>数据库上线签字页（如适用）或随机发药系统上线通知邮件。</t>
  </si>
  <si>
    <t>常规监查访视和撰写报告</t>
  </si>
  <si>
    <t>系统自动质疑清理完成</t>
  </si>
  <si>
    <t>纸质项目的DCF或EDC导出报表中关闭的系统自动质疑的数量：
Rave - Query summary report
TrialMaster - Query status report</t>
  </si>
  <si>
    <t>审核常规监查访视报告</t>
  </si>
  <si>
    <r>
      <rPr>
        <strike/>
        <sz val="11"/>
        <color theme="1"/>
        <rFont val="微软雅黑"/>
        <charset val="134"/>
      </rPr>
      <t>实施质疑管理_人工</t>
    </r>
    <r>
      <rPr>
        <strike/>
        <sz val="11"/>
        <color rgb="FFFF0000"/>
        <rFont val="微软雅黑"/>
        <charset val="134"/>
      </rPr>
      <t>审核</t>
    </r>
    <r>
      <rPr>
        <strike/>
        <sz val="11"/>
        <color theme="1"/>
        <rFont val="微软雅黑"/>
        <charset val="134"/>
      </rPr>
      <t>质疑</t>
    </r>
  </si>
  <si>
    <r>
      <rPr>
        <strike/>
        <sz val="11"/>
        <color theme="1"/>
        <rFont val="微软雅黑"/>
        <charset val="134"/>
      </rPr>
      <t>人工</t>
    </r>
    <r>
      <rPr>
        <strike/>
        <sz val="11"/>
        <color rgb="FFFF0000"/>
        <rFont val="微软雅黑"/>
        <charset val="134"/>
      </rPr>
      <t>审核</t>
    </r>
    <r>
      <rPr>
        <strike/>
        <sz val="11"/>
        <color theme="1"/>
        <rFont val="微软雅黑"/>
        <charset val="134"/>
      </rPr>
      <t>质疑清理完成</t>
    </r>
  </si>
  <si>
    <t>纸质项目的DCF或EDC导出报表中DM关闭的人工审核质疑的数量：
Rave - Query summary report
TrialMaster - Query report - All Queries</t>
  </si>
  <si>
    <t>准备计划外访视</t>
  </si>
  <si>
    <t>项目相关外部数据传输和清理完成</t>
  </si>
  <si>
    <t>外部数据一致性核查追踪表</t>
  </si>
  <si>
    <t>计划外访视及撰写报告</t>
  </si>
  <si>
    <t>医学词条编码完成</t>
  </si>
  <si>
    <t>编码报告（从编码工具中获取，如适用）</t>
  </si>
  <si>
    <t>审核计划外访视报告</t>
  </si>
  <si>
    <t>SAE一致性核查完成</t>
  </si>
  <si>
    <t>SAE一致性核查追踪表</t>
  </si>
  <si>
    <t>2025年4月和盼盼沟通调整单位</t>
  </si>
  <si>
    <t>准备协同访视</t>
  </si>
  <si>
    <t>常规进展报告递交完成</t>
  </si>
  <si>
    <t>常规进度报告发送邮件</t>
  </si>
  <si>
    <t>协同访视及撰写报告</t>
  </si>
  <si>
    <t>项目定制报告递交完成</t>
  </si>
  <si>
    <t>项目定制报告发送邮件</t>
  </si>
  <si>
    <t>协同访视报告审核</t>
  </si>
  <si>
    <t>方案偏离合并表(如适用)或方案偏离列表</t>
  </si>
  <si>
    <t>方案偏离合并表（如适用）或方案偏离列表</t>
  </si>
  <si>
    <t>准备远程电话访视</t>
  </si>
  <si>
    <t>数据库上线签字页,数据库锁库签字页</t>
  </si>
  <si>
    <t>数据库上线签字页
数据库锁库签字页</t>
  </si>
  <si>
    <t>远程/电话访视及撰写报告</t>
  </si>
  <si>
    <t>数据审核会议纪要</t>
  </si>
  <si>
    <t>数据审核报告签字页</t>
  </si>
  <si>
    <t>远程电话访视报告审核</t>
  </si>
  <si>
    <t>数据库锁库签字页</t>
  </si>
  <si>
    <t>准备质控访视</t>
  </si>
  <si>
    <t>数据管理报告签字页</t>
  </si>
  <si>
    <t>质控访视及撰写报告</t>
  </si>
  <si>
    <t>申办方或商务启动工作的邮件或记录
数据库锁库签字页</t>
  </si>
  <si>
    <t>申办方或商务启动工作的邮件或记录</t>
  </si>
  <si>
    <t>质控访视报告审核</t>
  </si>
  <si>
    <t>数据库修改审批表和数据库上线通知邮件</t>
  </si>
  <si>
    <t>SAP文本(SAP Text)</t>
  </si>
  <si>
    <t>跟进研究中心SAE记录和报告</t>
  </si>
  <si>
    <t>随机化方案和随机化表</t>
  </si>
  <si>
    <t>特别关注事件AESI记录和报告</t>
  </si>
  <si>
    <t>药物编盲完成</t>
  </si>
  <si>
    <t>中心费用支付发起及管理</t>
  </si>
  <si>
    <t>制定统计TFLs模板</t>
  </si>
  <si>
    <t>统计TFLs模版</t>
  </si>
  <si>
    <t>中心费用审核</t>
  </si>
  <si>
    <t>制作SDTM aCRF</t>
  </si>
  <si>
    <t>SDTM CRF注释</t>
  </si>
  <si>
    <t>2025年1月名称调整</t>
  </si>
  <si>
    <t>中心费用支付财务流程</t>
  </si>
  <si>
    <t>撰写SDTM映射规范</t>
  </si>
  <si>
    <t>SDTM映射规范文件</t>
  </si>
  <si>
    <t>2025年1月新增</t>
  </si>
  <si>
    <t>研究简报信息支持</t>
  </si>
  <si>
    <t>SDTM数据集及相应SAS程序</t>
  </si>
  <si>
    <t>撰写研究简报</t>
  </si>
  <si>
    <t>撰写分析数据集衍生规范</t>
  </si>
  <si>
    <t>分析数据集衍生规范文件</t>
  </si>
  <si>
    <t>生成分析数据集</t>
  </si>
  <si>
    <t>分析数据集及相应SAS程序</t>
  </si>
  <si>
    <t>生成统计TFLs</t>
  </si>
  <si>
    <t>统计TFLs及相应SAS程序</t>
  </si>
  <si>
    <t>生成PK统计TFLs</t>
  </si>
  <si>
    <t>PK统计TFLs及相应SAS程序</t>
  </si>
  <si>
    <t>后续伦理文件审核</t>
  </si>
  <si>
    <t>BE/BA/FE/DDI 统计TFLs及相应SAS程序</t>
  </si>
  <si>
    <t>2025年删除此二级任务，合并到A112中</t>
  </si>
  <si>
    <t>Dry run的TFLs</t>
  </si>
  <si>
    <t>伦理年度资料审核</t>
  </si>
  <si>
    <t>期中分析的TFLs</t>
  </si>
  <si>
    <t>T0117</t>
  </si>
  <si>
    <t>日常支持和管理/筛选期+入组期</t>
  </si>
  <si>
    <t>最终分析的TFLs</t>
  </si>
  <si>
    <t>T0118</t>
  </si>
  <si>
    <t>日常支持和管理/治疗期</t>
  </si>
  <si>
    <t>电子数据递交资料包</t>
  </si>
  <si>
    <t>T0119</t>
  </si>
  <si>
    <t>日常支持和管理/随访期</t>
  </si>
  <si>
    <t>定稿的SAR</t>
  </si>
  <si>
    <t>T0120</t>
  </si>
  <si>
    <t>日常支持和管理/长随访期</t>
  </si>
  <si>
    <t>T0121</t>
  </si>
  <si>
    <t>日常支持和管理/锁库期</t>
  </si>
  <si>
    <t>DSMB/DMC/IDMC章程</t>
  </si>
  <si>
    <t>日常支持和管理</t>
  </si>
  <si>
    <t>DSMB/DMC/IDMC会议纪要</t>
  </si>
  <si>
    <t>准备机构自查访视</t>
  </si>
  <si>
    <t>DSMB/DMC/IDMC报告所需TFLs</t>
  </si>
  <si>
    <t>机构自查访视和撰写报告</t>
  </si>
  <si>
    <t>PK分析</t>
  </si>
  <si>
    <t>PK分析PPT</t>
  </si>
  <si>
    <t>机构自查访视报告审核</t>
  </si>
  <si>
    <t>Pop PK/PD(E-R分析)计划</t>
  </si>
  <si>
    <t>准备数据清理访视</t>
  </si>
  <si>
    <t>excel数据集</t>
  </si>
  <si>
    <t>数据清理访视及撰写报告</t>
  </si>
  <si>
    <t>外部讨论PPT</t>
  </si>
  <si>
    <t>数据清理访视报告审核</t>
  </si>
  <si>
    <t>Pop PK/PD(E-R分析)报告</t>
  </si>
  <si>
    <t>总结报告CSR研究中心签字和盖章</t>
  </si>
  <si>
    <t>准备关闭访视</t>
  </si>
  <si>
    <t>安全管理计划SMP终稿</t>
  </si>
  <si>
    <t>关闭访视及撰写报告</t>
  </si>
  <si>
    <t>药物警戒协议</t>
  </si>
  <si>
    <t>关闭访视报告审核</t>
  </si>
  <si>
    <t>药物警戒委托协议</t>
  </si>
  <si>
    <t>服务范围和时间计划撰写和审核</t>
  </si>
  <si>
    <t>启动前项目药物警戒准备工作</t>
  </si>
  <si>
    <t>安全性数据集</t>
  </si>
  <si>
    <t>2024年12月 二级任务名称调整</t>
  </si>
  <si>
    <t>质量管理计划撰写和审核</t>
  </si>
  <si>
    <t>数据库上线确认单(如有)或账号开通通知邮件</t>
  </si>
  <si>
    <t>沟通管理计划撰写和审核</t>
  </si>
  <si>
    <t>ICSR报告培训签到表</t>
  </si>
  <si>
    <t>培训签到表</t>
  </si>
  <si>
    <t>风险管理计划撰写和审核</t>
  </si>
  <si>
    <t>ICSR终版报告及处理完成通知邮件</t>
  </si>
  <si>
    <t>完成通知邮件</t>
  </si>
  <si>
    <t>文件管理计划撰写和审核</t>
  </si>
  <si>
    <t>SAE交叉报告一致性比对完成确认邮件</t>
  </si>
  <si>
    <t>邮件回复</t>
  </si>
  <si>
    <t>CMP的撰写</t>
  </si>
  <si>
    <t>SUSAR报告递交完成通知邮件</t>
  </si>
  <si>
    <t>CMP的审核</t>
  </si>
  <si>
    <t>SUSAR交叉报告的终版报告及处理完成通知邮件</t>
  </si>
  <si>
    <t>安全性报告汇总</t>
  </si>
  <si>
    <t>月度linelisting汇总</t>
  </si>
  <si>
    <t>月度邮件通知客户</t>
  </si>
  <si>
    <t>维护完成通知邮件</t>
  </si>
  <si>
    <t>2024年12月删除,2025年6月恢复重新使用</t>
  </si>
  <si>
    <t>T0142</t>
  </si>
  <si>
    <t>文件夹创建(CTMS,TMF,表格等)/启动期</t>
  </si>
  <si>
    <t>DSUR终稿中文版</t>
  </si>
  <si>
    <t>T0143</t>
  </si>
  <si>
    <t>文件夹维护(CTMS,TMF,表格等)/筛选期+入组期</t>
  </si>
  <si>
    <t>DSUR撰写(英文)</t>
  </si>
  <si>
    <t>DSUR翻译稿</t>
  </si>
  <si>
    <t>2025.12.19名称由DSUR翻译变更成DSUR撰写(英文)</t>
  </si>
  <si>
    <t>T0144</t>
  </si>
  <si>
    <t>文件夹维护(CTMS,TMF,表格等)/治疗随访期</t>
  </si>
  <si>
    <t>DSUR终稿递交成功通知邮件</t>
  </si>
  <si>
    <t>递交成功通知邮件</t>
  </si>
  <si>
    <t>T0145</t>
  </si>
  <si>
    <t>文件夹维护(CTMS,TMF,表格等)/长随访期</t>
  </si>
  <si>
    <t>变更完成通知邮件</t>
  </si>
  <si>
    <t>T0146</t>
  </si>
  <si>
    <t>文件夹维护(CTMS,TMF,表格等)/锁库期</t>
  </si>
  <si>
    <t>特殊事件处理的相关邮件</t>
  </si>
  <si>
    <t>TMF质控/服务期</t>
  </si>
  <si>
    <t>信号检测跟踪记录表</t>
  </si>
  <si>
    <t>研究者手册更新版本</t>
  </si>
  <si>
    <t>确认定稿的邮件</t>
  </si>
  <si>
    <t>定稿版CSR</t>
  </si>
  <si>
    <t>SAE个案描述</t>
  </si>
  <si>
    <t>确认定稿的邮件或CSR定稿</t>
  </si>
  <si>
    <t>定稿版报告</t>
  </si>
  <si>
    <t>非盲客户启动会纪要</t>
  </si>
  <si>
    <t>非盲监查计划</t>
  </si>
  <si>
    <t>非盲药物管理计划</t>
  </si>
  <si>
    <t>非盲团队培训签到表</t>
  </si>
  <si>
    <t>准备客户电话会</t>
  </si>
  <si>
    <t>非盲监查员会纪要</t>
  </si>
  <si>
    <t>参加客户电话会</t>
  </si>
  <si>
    <t>非盲客户电话会纪要</t>
  </si>
  <si>
    <t>非盲启动访视报告</t>
  </si>
  <si>
    <t>参加客户现场沟通会议</t>
  </si>
  <si>
    <t>非盲常规监查访视报告</t>
  </si>
  <si>
    <t>准备项目电话会</t>
  </si>
  <si>
    <t>参加项目电话会</t>
  </si>
  <si>
    <t>客户认可的上传非盲文件</t>
  </si>
  <si>
    <t>参加监查员会议</t>
  </si>
  <si>
    <t>质量保证稽查计划-项目稽查</t>
  </si>
  <si>
    <t>MMP撰写</t>
  </si>
  <si>
    <t>中心稽查确认函、稽查报告、稽查证明、纠正和预防措施(CAPA)列表</t>
  </si>
  <si>
    <t>MMP附录方案偏离定义列表</t>
  </si>
  <si>
    <t>主文件稽查确认函、稽查报告、稽查证明、纠正和预防措施(CAPA)列表</t>
  </si>
  <si>
    <t>MMP审阅</t>
  </si>
  <si>
    <t>第三方供应商稽查</t>
  </si>
  <si>
    <t>第三方供应商稽查确认函、稽查报告、稽查证明、纠正和预防措施(CAPA)列表</t>
  </si>
  <si>
    <t>2026月1月9日变更名称</t>
  </si>
  <si>
    <t>医学监查培训准备</t>
  </si>
  <si>
    <t>临床运营核查前现场准备邮件确认</t>
  </si>
  <si>
    <t>医学监查培训参会</t>
  </si>
  <si>
    <t>完成系统填报的成功截图</t>
  </si>
  <si>
    <t>初版核查报告</t>
  </si>
  <si>
    <t>定稿版核查报告</t>
  </si>
  <si>
    <t>T0172</t>
  </si>
  <si>
    <t>入组失败试验参与者的招募复核</t>
  </si>
  <si>
    <t>含有审阅意见的临床前资料</t>
  </si>
  <si>
    <t>含有审阅意见的邮件发出</t>
  </si>
  <si>
    <t>含有审阅意见的其他材料</t>
  </si>
  <si>
    <t>试验参与者合格性复核</t>
  </si>
  <si>
    <t>会议纪要-客户沟通</t>
  </si>
  <si>
    <t>方案偏离的审核</t>
  </si>
  <si>
    <t>会议纪要-专家沟通</t>
  </si>
  <si>
    <t>方案偏离的复核</t>
  </si>
  <si>
    <t>定稿版临床开发计划</t>
  </si>
  <si>
    <t>确认定稿的邮件或递交成功</t>
  </si>
  <si>
    <t>实验室检查、合并用药、AE、有效性数据、用药情况等一级审核</t>
  </si>
  <si>
    <t>定稿版方案-递交CDE</t>
  </si>
  <si>
    <t>实验室检查、合并用药、AE、有效性数据、用药情况等二级审核</t>
  </si>
  <si>
    <t>定稿版临床综述</t>
  </si>
  <si>
    <t>EDC定期数据清理并发送回复query</t>
  </si>
  <si>
    <t>定稿版知情同意书</t>
  </si>
  <si>
    <t>T0180</t>
  </si>
  <si>
    <t>EDC疑难问题答疑</t>
  </si>
  <si>
    <t>定稿版研究者手册</t>
  </si>
  <si>
    <t>研究者手册修订1.3.4.3</t>
  </si>
  <si>
    <t>修订版研究者手册</t>
  </si>
  <si>
    <t>医学编码复核</t>
  </si>
  <si>
    <t>风险管理计划撰写1.8.3</t>
  </si>
  <si>
    <t>定稿版风险管理计划</t>
  </si>
  <si>
    <t>风险管理计划修订1.8.3</t>
  </si>
  <si>
    <t>修订版风险管理计划</t>
  </si>
  <si>
    <t>药物或疾病编码复核</t>
  </si>
  <si>
    <t>定稿版研究药品说明样稿</t>
  </si>
  <si>
    <t>产生MMR统计TFLs</t>
  </si>
  <si>
    <t>问题清单</t>
  </si>
  <si>
    <t>含有问题清单的邮件发出</t>
  </si>
  <si>
    <t>验证MMR统计TFLs</t>
  </si>
  <si>
    <t>定稿版PPT</t>
  </si>
  <si>
    <t>运行MMR统计TFLs</t>
  </si>
  <si>
    <t>会议纪要-申办方沟通</t>
  </si>
  <si>
    <t>审核MMR统计TFLs</t>
  </si>
  <si>
    <t>会议纪要-CDE沟通</t>
  </si>
  <si>
    <t>MMR撰写和修订</t>
  </si>
  <si>
    <t>含有审核意见的相关资料</t>
  </si>
  <si>
    <t>MMR审阅</t>
  </si>
  <si>
    <t>定稿版附件1+附件2</t>
  </si>
  <si>
    <t>差距分析表</t>
  </si>
  <si>
    <t>申报计划书</t>
  </si>
  <si>
    <t>医学监查日常沟通和文件管理</t>
  </si>
  <si>
    <t>含审阅意见的MI文件</t>
  </si>
  <si>
    <t>医学监查日常沟通和文件管理-长随访期</t>
  </si>
  <si>
    <t>含审阅意见的M2文件</t>
  </si>
  <si>
    <t>DMP起草与定稿</t>
  </si>
  <si>
    <t>含审阅意见的M3文件</t>
  </si>
  <si>
    <t>DMP审核</t>
  </si>
  <si>
    <t>含审阅意见的M4文件</t>
  </si>
  <si>
    <t>CCG起草和定稿</t>
  </si>
  <si>
    <t>Pre-IND申请资料</t>
  </si>
  <si>
    <t>邮件回复（含定稿邮件）</t>
  </si>
  <si>
    <t>CCG审核</t>
  </si>
  <si>
    <t>Pre-IND申请资料（同上）</t>
  </si>
  <si>
    <t>DVP起草和定稿</t>
  </si>
  <si>
    <t>会议总结</t>
  </si>
  <si>
    <t>DVP审核</t>
  </si>
  <si>
    <t>定稿的Pre-IND问题答复文件</t>
  </si>
  <si>
    <t>定稿邮件</t>
  </si>
  <si>
    <t>召开DVP审核会议</t>
  </si>
  <si>
    <t>定稿的M1文件</t>
  </si>
  <si>
    <t>SAE一致性核查计划起草和定稿</t>
  </si>
  <si>
    <t>定稿的M2文件</t>
  </si>
  <si>
    <t>T0203</t>
  </si>
  <si>
    <t>SAE一致性核查计划审核</t>
  </si>
  <si>
    <t>定稿的M3文件</t>
  </si>
  <si>
    <t>医学编码计划起草和定稿</t>
  </si>
  <si>
    <t>定稿的M4文件</t>
  </si>
  <si>
    <t>医学编码计划审核</t>
  </si>
  <si>
    <t>注册文件交接登记表</t>
  </si>
  <si>
    <t>医学编码规范起草和定稿</t>
  </si>
  <si>
    <t>临床试验通知书解析</t>
  </si>
  <si>
    <t>医学编码规范审核</t>
  </si>
  <si>
    <t>定稿的M2.4非临床综述</t>
  </si>
  <si>
    <t>URL架构搭建和配置</t>
  </si>
  <si>
    <t>定稿的M2.6非临床总结</t>
  </si>
  <si>
    <t>URL项目层级架构搭建</t>
  </si>
  <si>
    <t>卫健委备案</t>
  </si>
  <si>
    <t>卫健委备案通过截屏</t>
  </si>
  <si>
    <t>仅适用于IIT， 202406新增</t>
  </si>
  <si>
    <t>衍生变量与动态设置</t>
  </si>
  <si>
    <t>产生方案偏离列表</t>
  </si>
  <si>
    <t>2024年12月新增，26年1月6日删除</t>
  </si>
  <si>
    <t>创建唯一页页面</t>
  </si>
  <si>
    <t>启动拜访</t>
  </si>
  <si>
    <t>启动访视报告（参会人员含PM）</t>
  </si>
  <si>
    <t>2024.12.16新增</t>
  </si>
  <si>
    <t>创建重复页页面</t>
  </si>
  <si>
    <t>eCRF唯一页页面验证</t>
  </si>
  <si>
    <t>eCRF重复页页面验证</t>
  </si>
  <si>
    <t>FIH研究剂量预测-数据/文献的传输支持和整理</t>
  </si>
  <si>
    <t>整合在FIH报告或PPT或方案中呈现</t>
  </si>
  <si>
    <t>eCRF唯一页页面测试</t>
  </si>
  <si>
    <t>FIH研究剂量预测-异速放大法</t>
  </si>
  <si>
    <t>eCRF重复页页面测试</t>
  </si>
  <si>
    <t>FIH研究剂量预测-体表面积法</t>
  </si>
  <si>
    <t>EDC功能模块搭建(编码、实验室等)</t>
  </si>
  <si>
    <t>转化PK/PD</t>
  </si>
  <si>
    <t>PK/PD报告或PPT</t>
  </si>
  <si>
    <t>EDC功能模块测试(编码、实验室等)</t>
  </si>
  <si>
    <t>外部沟通PPT整理,QC</t>
  </si>
  <si>
    <t>外部沟通PPT</t>
  </si>
  <si>
    <t>EDC与其他系统对接搭建</t>
  </si>
  <si>
    <t>外部会议讨论</t>
  </si>
  <si>
    <t>会议讨论</t>
  </si>
  <si>
    <t>EDC与其他系统对接测试</t>
  </si>
  <si>
    <t>中文报告</t>
  </si>
  <si>
    <t>数据库上线前检查</t>
  </si>
  <si>
    <t>英文报告</t>
  </si>
  <si>
    <t>数据库上线操作</t>
  </si>
  <si>
    <t>制定PK/PD TFLs模板</t>
  </si>
  <si>
    <t>PK/PD TFLs模板</t>
  </si>
  <si>
    <t>EDC培训</t>
  </si>
  <si>
    <t>PD分析</t>
  </si>
  <si>
    <t>PD分析PPT</t>
  </si>
  <si>
    <t>逻辑核查系统程序编程</t>
  </si>
  <si>
    <t>DSMB/DMC/IDMC章程文件</t>
  </si>
  <si>
    <t>逻辑核查系统程序验证</t>
  </si>
  <si>
    <t>撰写DSMB/DMC/IDMC统计分析计划</t>
  </si>
  <si>
    <t>DSMB/DMC/IDMC统计分析计划文件</t>
  </si>
  <si>
    <t>逻辑核查系统程序测试</t>
  </si>
  <si>
    <t>制定DSMB/DMC/IDMC统计TFLs模版</t>
  </si>
  <si>
    <t>DSMB/DMC/IDMC统计TFLs模版文件</t>
  </si>
  <si>
    <t>逻辑核查程序测试后的调整</t>
  </si>
  <si>
    <t>撰写DSMB/DMC/IDMC分析数据集衍生规范</t>
  </si>
  <si>
    <t>DSMB/DMC/IDMC分析数据集衍生规范文件</t>
  </si>
  <si>
    <t>2025年1月新增 26年1月删除</t>
  </si>
  <si>
    <t>人工审核线下列表编程(SAS)</t>
  </si>
  <si>
    <t>生成DSMB/DMC/IDMC分析数据集</t>
  </si>
  <si>
    <t>DSMB/DMC/IDMC分析数据集及相应SAS程序</t>
  </si>
  <si>
    <t>人工审核线下列表测试(SAS)</t>
  </si>
  <si>
    <t>生成DSMB/DMC/IDMC统计TFLs</t>
  </si>
  <si>
    <t>DSMB/DMC/IDMC统计TFLs及相应SAS程序</t>
  </si>
  <si>
    <t>面向项目组的UAT培训(UAT会议)</t>
  </si>
  <si>
    <t>DSMB/DMC/IDMC统计TFLs Dry Run</t>
  </si>
  <si>
    <t>DSMB/DMC/IDMC Dry Run的TFLs</t>
  </si>
  <si>
    <t>项目组UAT测试后的EDC调整</t>
  </si>
  <si>
    <t>参加和协助DSMB/DMC/IDMC启动会</t>
  </si>
  <si>
    <t>DSMB/DMC/IDMC启动会会议PPT及会议纪要</t>
  </si>
  <si>
    <t>UAT测试计划/报告</t>
  </si>
  <si>
    <t>DSMB/DMC/IDMC会议PPT、会议纪要及会议决议</t>
  </si>
  <si>
    <t>RTSM系统数据库搭建</t>
  </si>
  <si>
    <t>DSMB/DMC/IDMC项目管理</t>
  </si>
  <si>
    <t>2025年2月新增</t>
  </si>
  <si>
    <t>RTSM系统内部测试</t>
  </si>
  <si>
    <t>研究总结报告（中译英）</t>
  </si>
  <si>
    <t>RTSM系统项目组测试前培训</t>
  </si>
  <si>
    <t>SAE个案描述（中译英）</t>
  </si>
  <si>
    <t>2025年2月新增 26.1更新单位</t>
  </si>
  <si>
    <t>RTSM系统项目组测试后的系统调整</t>
  </si>
  <si>
    <t>C-QTc分析计划</t>
  </si>
  <si>
    <t>2025年10月新增</t>
  </si>
  <si>
    <t>RTSM系统数据库测试</t>
  </si>
  <si>
    <t>数据整理</t>
  </si>
  <si>
    <t>RTSM系统数据库项目组成员测试</t>
  </si>
  <si>
    <t>探索性分析</t>
  </si>
  <si>
    <t>发药系统设置</t>
  </si>
  <si>
    <t>C-QTc建模分析</t>
  </si>
  <si>
    <t>发药系统设置质控</t>
  </si>
  <si>
    <t>外部沟通会数据整理</t>
  </si>
  <si>
    <t>发药系统内部测试</t>
  </si>
  <si>
    <t>外部沟通会</t>
  </si>
  <si>
    <t>发药系统项目组测试前培训</t>
  </si>
  <si>
    <t>C-QTc分析报告</t>
  </si>
  <si>
    <t>发药系统项目组测试后的系统调整</t>
  </si>
  <si>
    <t>撰写PK SAP</t>
  </si>
  <si>
    <t>2025年6月10日调整</t>
  </si>
  <si>
    <t>EDC内触发的自动质疑管理</t>
  </si>
  <si>
    <t>撰写PK SAR</t>
  </si>
  <si>
    <t>批量数据定期清理</t>
  </si>
  <si>
    <t>临床综述撰写更新/审阅2.5</t>
  </si>
  <si>
    <t>2025年8月新增</t>
  </si>
  <si>
    <t>召开期中数据清理会议</t>
  </si>
  <si>
    <t>临床总结撰写2.7</t>
  </si>
  <si>
    <t>人工数据线下列表运行(SAS)</t>
  </si>
  <si>
    <t>临床总结撰写更新/审阅2.7</t>
  </si>
  <si>
    <t>人工数据线下列表抽取(非SAS)</t>
  </si>
  <si>
    <t>试验参与者招募审核</t>
  </si>
  <si>
    <t>预筛结果</t>
  </si>
  <si>
    <t>邮件/微信</t>
  </si>
  <si>
    <t>2025年9月新增</t>
  </si>
  <si>
    <t>人工数据列表审核</t>
  </si>
  <si>
    <t>PD list</t>
  </si>
  <si>
    <t>邮件确认</t>
  </si>
  <si>
    <t>26年1月新增</t>
  </si>
  <si>
    <t>人工审核的手动质疑管理</t>
  </si>
  <si>
    <t>外部数据一致性比对</t>
  </si>
  <si>
    <t>一致性比对运营答复的Excel</t>
  </si>
  <si>
    <t>DTA起草和定稿</t>
  </si>
  <si>
    <t>Leading Pl沟通会</t>
  </si>
  <si>
    <t>会议纪要</t>
  </si>
  <si>
    <t>DTA审核和传输测试</t>
  </si>
  <si>
    <t>沟通报告</t>
  </si>
  <si>
    <t>邮件</t>
  </si>
  <si>
    <t>传输测试</t>
  </si>
  <si>
    <t>协助试验参与者招募审核</t>
  </si>
  <si>
    <t>患者预筛表</t>
  </si>
  <si>
    <t>外部数据一致性核查报表编程说明</t>
  </si>
  <si>
    <t>SSU阶段文件准备</t>
  </si>
  <si>
    <t>对应模版文件</t>
  </si>
  <si>
    <t>外部数据一致性核查报表测试(SAS)</t>
  </si>
  <si>
    <t>撰写DMP</t>
  </si>
  <si>
    <t>定稿版DMP</t>
  </si>
  <si>
    <t>批准签字页</t>
  </si>
  <si>
    <t>外部数据一致性核查报表运行(SAS)</t>
  </si>
  <si>
    <t>撰写CCG</t>
  </si>
  <si>
    <t>定稿版CGG</t>
  </si>
  <si>
    <t>外部数据一致性核查报表审核</t>
  </si>
  <si>
    <t>撰写DVP</t>
  </si>
  <si>
    <t>定稿版DVP</t>
  </si>
  <si>
    <t>撰写人工审核计划</t>
  </si>
  <si>
    <t>定稿版SAE一致性核查计划</t>
  </si>
  <si>
    <t>医学编码质控</t>
  </si>
  <si>
    <t>医学编码词典版本更新</t>
  </si>
  <si>
    <t>方案偏离列表编程</t>
  </si>
  <si>
    <t>方案偏离合并表(如适用)或方案偏离列表SAS程序</t>
  </si>
  <si>
    <t>医学编码报告制作和提交</t>
  </si>
  <si>
    <t>安全性数据库数据传输</t>
  </si>
  <si>
    <t>SAE一致性核查报表编程说明</t>
  </si>
  <si>
    <t>生成统计表格/图表 - Unique</t>
  </si>
  <si>
    <t>统计图表 - Unique及相应SAS程序</t>
  </si>
  <si>
    <t>SAE一致性核查报表测试(SAS)</t>
  </si>
  <si>
    <t>生成统计表格/图表 - Repeat</t>
  </si>
  <si>
    <t>统计图表 - Repeat及相应SAS程序</t>
  </si>
  <si>
    <t>SAE一致性核查报表运行(SAS)</t>
  </si>
  <si>
    <t>生成统计列表 - Listings</t>
  </si>
  <si>
    <t>统计列表 - Listings及相应SAS程序</t>
  </si>
  <si>
    <t>SAE一致性核查报表审核</t>
  </si>
  <si>
    <t>生成PK/PD统计表格/图表 - Unique</t>
  </si>
  <si>
    <t>统计PK/PD统计图表 - Unique及相应SAS程序</t>
  </si>
  <si>
    <t>生成PK/PD统计表格/图表 - Repeat</t>
  </si>
  <si>
    <t>统计PK/PD统计图表 - Repeat及相应SAS程序</t>
  </si>
  <si>
    <t>其他项目要求报告编程（缺失页）</t>
  </si>
  <si>
    <t>生成PK/PD统计列表 - Listings</t>
  </si>
  <si>
    <t>统计PK/PD统计列表 - Listings及相应SAS程序</t>
  </si>
  <si>
    <t>其他项目要求报告测试（缺失页）</t>
  </si>
  <si>
    <t>方案偏离列表SAS程序</t>
  </si>
  <si>
    <t>其他项目要求报告说明（缺失页）</t>
  </si>
  <si>
    <t>2026年1月名称调整</t>
  </si>
  <si>
    <t>方案偏离列表运行</t>
  </si>
  <si>
    <t>其他项目要求报告抽取和提交（缺失页）</t>
  </si>
  <si>
    <t>方案偏离列表编程说明</t>
  </si>
  <si>
    <t>期中报告撰写</t>
  </si>
  <si>
    <t>定稿版期中报告撰写</t>
  </si>
  <si>
    <t>方案偏离列表编程(SAS)</t>
  </si>
  <si>
    <t>期中报告（中译英）</t>
  </si>
  <si>
    <t>定稿版期中英文报告撰写</t>
  </si>
  <si>
    <t>方案偏离列表运行(SAS)</t>
  </si>
  <si>
    <t>方案（中译英）</t>
  </si>
  <si>
    <t>定稿版英文方案</t>
  </si>
  <si>
    <t>方案偏离列表核查</t>
  </si>
  <si>
    <t>PK/PD相关性分析</t>
  </si>
  <si>
    <t>PK/PD分析PPT</t>
  </si>
  <si>
    <t>方案偏离最终合并表</t>
  </si>
  <si>
    <t>监管沟通支持（PK/PD）相关</t>
  </si>
  <si>
    <t>沟通材料</t>
  </si>
  <si>
    <t>方案偏离最终合并表核查</t>
  </si>
  <si>
    <t>起始剂量及爬坡幅度设定</t>
  </si>
  <si>
    <t>人工数据审核</t>
  </si>
  <si>
    <t>EDC运维和账号管理</t>
  </si>
  <si>
    <t>EDC模块运维和账号管理</t>
  </si>
  <si>
    <t>编码报告</t>
  </si>
  <si>
    <t>RTSM系统运维和账号管理</t>
  </si>
  <si>
    <t>撰写DTA</t>
  </si>
  <si>
    <t>准备数据审核会</t>
  </si>
  <si>
    <t>产生统计TFLs</t>
  </si>
  <si>
    <t>遗传办首次申报</t>
  </si>
  <si>
    <t>遗传办审批通过批件</t>
  </si>
  <si>
    <t>验证统计TFLs</t>
  </si>
  <si>
    <t>遗传办签章及承诺书</t>
  </si>
  <si>
    <t>参加数据审核会</t>
  </si>
  <si>
    <t>遗传办变更</t>
  </si>
  <si>
    <t>遗传办变更批件</t>
  </si>
  <si>
    <t>数据审核会后跟进</t>
  </si>
  <si>
    <t>遗传办总结填报和跟踪</t>
  </si>
  <si>
    <t>定稿的遗传办总结报告</t>
  </si>
  <si>
    <t>质控数据抽取</t>
  </si>
  <si>
    <t>文章发表支持</t>
  </si>
  <si>
    <t>数据质控核查</t>
  </si>
  <si>
    <t>CDE申报后额外分析</t>
  </si>
  <si>
    <t>数据质控报告起草和定稿</t>
  </si>
  <si>
    <t>CTD文件M5审核</t>
  </si>
  <si>
    <t>含审阅意见的M5文件</t>
  </si>
  <si>
    <t>数据质控报告审核</t>
  </si>
  <si>
    <t>CTD文件M5更新后二次审核</t>
  </si>
  <si>
    <t>定稿的M5文件</t>
  </si>
  <si>
    <t>数据库导出、传输与刻盘</t>
  </si>
  <si>
    <t>熟悉与研究相关的资料及文献检索</t>
  </si>
  <si>
    <t>检索文献</t>
  </si>
  <si>
    <t>26年3月新增</t>
  </si>
  <si>
    <t>数据库锁库前检查</t>
  </si>
  <si>
    <t>协同拜访PI</t>
  </si>
  <si>
    <t>数据库锁定/重新锁定</t>
  </si>
  <si>
    <t>研究中心启动会/立项会资料支持</t>
  </si>
  <si>
    <t>伦理意见回复</t>
  </si>
  <si>
    <t>数据库解锁申请</t>
  </si>
  <si>
    <t>研究中心伦理意见答复</t>
  </si>
  <si>
    <t>立项会资料</t>
  </si>
  <si>
    <t>数据库账号移除</t>
  </si>
  <si>
    <t>研究方案Q&amp;A回复</t>
  </si>
  <si>
    <t>Q&amp;A</t>
  </si>
  <si>
    <t>数据锁库签批</t>
  </si>
  <si>
    <t>1.0 说明函</t>
  </si>
  <si>
    <t>26年4月新增</t>
  </si>
  <si>
    <t>DMR起草和定稿</t>
  </si>
  <si>
    <t>1.1 目录</t>
  </si>
  <si>
    <t>DMR审核</t>
  </si>
  <si>
    <t>1.2 申请表</t>
  </si>
  <si>
    <t>项目组日常沟通和文件管理/建库期+锁库期</t>
  </si>
  <si>
    <t>1.3 产品信息相关材料</t>
  </si>
  <si>
    <t>项目组日常沟通和文件管理/FPI-LPO清理期间</t>
  </si>
  <si>
    <t>1.4 申请状态</t>
  </si>
  <si>
    <t>CRF更新</t>
  </si>
  <si>
    <t>1.5 加快上市注册程序申请</t>
  </si>
  <si>
    <t>CRF更新审核</t>
  </si>
  <si>
    <t>1.6 沟通交流会议</t>
  </si>
  <si>
    <t>建库文件更新</t>
  </si>
  <si>
    <t>1.7 临床试验过程管理信息</t>
  </si>
  <si>
    <t>建库文件更新审核</t>
  </si>
  <si>
    <t>1.8 药物警戒与风险管理</t>
  </si>
  <si>
    <t>数据库界面更新</t>
  </si>
  <si>
    <t>1.9 上市后研究</t>
  </si>
  <si>
    <t>数据库界面更新测试</t>
  </si>
  <si>
    <t>1.10 上市后变更</t>
  </si>
  <si>
    <t>逻辑核查程序更新</t>
  </si>
  <si>
    <t>1.11 申请人/生产企业证明性文件</t>
  </si>
  <si>
    <t>逻辑核查程序更新测试</t>
  </si>
  <si>
    <t>1.12 小微企业证明文件</t>
  </si>
  <si>
    <t>改库的UAT培训</t>
  </si>
  <si>
    <t>2.1 模块2目录</t>
  </si>
  <si>
    <t>改库的UAT测试计划/报告</t>
  </si>
  <si>
    <t>2.2 通用技术文档介绍</t>
  </si>
  <si>
    <t>数据库迁移</t>
  </si>
  <si>
    <t>2.3 药学综述</t>
  </si>
  <si>
    <t>eCRF重复页页面变更验证</t>
  </si>
  <si>
    <t>2.4 非临床综述</t>
  </si>
  <si>
    <t>eCRF唯一页页面变更测试</t>
  </si>
  <si>
    <t>2.5 临床综述（注册部分）</t>
  </si>
  <si>
    <t>eCRF重复页页面变更测试</t>
  </si>
  <si>
    <t>2.6 非临床文字总结和列表总结</t>
  </si>
  <si>
    <t>数据迁移计划</t>
  </si>
  <si>
    <t>2.7 临床研究总结（注册部分）</t>
  </si>
  <si>
    <t>预迁移(数据及报告比对程序编程及运行)</t>
  </si>
  <si>
    <t>3.1 模块3目录</t>
  </si>
  <si>
    <t>预迁移测试(比对数据/报告的核查)</t>
  </si>
  <si>
    <t>3.2 主体文件（制剂部分）</t>
  </si>
  <si>
    <t>正式迁移</t>
  </si>
  <si>
    <t>3.3 参考文献</t>
  </si>
  <si>
    <t>数据库变更的上线前检查</t>
  </si>
  <si>
    <t>4.1 模块4目录</t>
  </si>
  <si>
    <t>数据库变更的上线操作</t>
  </si>
  <si>
    <t>4.2 试验报告</t>
  </si>
  <si>
    <t>数据库变更的逻辑核查系统程序编程</t>
  </si>
  <si>
    <t>4.3 参考文献</t>
  </si>
  <si>
    <t>数据库变更的逻辑核查系统程序验证</t>
  </si>
  <si>
    <t>5.1 模块5目录</t>
  </si>
  <si>
    <t>数据库变更的逻辑核查系统程序测试</t>
  </si>
  <si>
    <t>5.2 所有临床研究列表</t>
  </si>
  <si>
    <t>数据库变更的逻辑核查程序测试后的调整</t>
  </si>
  <si>
    <t>5.3 临床研究报告</t>
  </si>
  <si>
    <t>变更后面向项目组的UAT培训(UAT会议)</t>
  </si>
  <si>
    <t>5.4 参考文献</t>
  </si>
  <si>
    <t>变更后项目组UAT测试后的EDC调整</t>
  </si>
  <si>
    <t>项目例会（含会议纪要）</t>
  </si>
  <si>
    <t>变更后UAT测试计划/报告</t>
  </si>
  <si>
    <t>电子申报资料整理及刻盘</t>
  </si>
  <si>
    <t>统计分析计划起草</t>
  </si>
  <si>
    <t>电子申报资料递交及跟踪</t>
  </si>
  <si>
    <t>统计分析计划审核</t>
  </si>
  <si>
    <t>注册申请审评期间与CDE的沟通及回复 (CDE审批意见的解读及发补资料撰写)</t>
  </si>
  <si>
    <t>统计分析计划的修订</t>
  </si>
  <si>
    <t>随机化方案起草</t>
  </si>
  <si>
    <t>跟踪在CDE的审评过程</t>
  </si>
  <si>
    <t>随机化方案审核</t>
  </si>
  <si>
    <t>跟踪国家药品监督管理局的审批</t>
  </si>
  <si>
    <t>随机化程序和列表审核</t>
  </si>
  <si>
    <t>资料准备（注册检验）</t>
  </si>
  <si>
    <t>非盲随机化方案执行/线上</t>
  </si>
  <si>
    <t>检验样品及对照品准备</t>
  </si>
  <si>
    <t>编盲资料的起草</t>
  </si>
  <si>
    <t>送检</t>
  </si>
  <si>
    <t>编盲资料的审核</t>
  </si>
  <si>
    <t>过程跟踪（注册检验）</t>
  </si>
  <si>
    <t>现场编盲指导和资料归档</t>
  </si>
  <si>
    <t>资料准备（通用名）</t>
  </si>
  <si>
    <t>TFLs模板起草- Unique</t>
  </si>
  <si>
    <t>过程跟踪（通用名）</t>
  </si>
  <si>
    <t>TLFs模板起草- Repeat</t>
  </si>
  <si>
    <t>现场核查支持</t>
  </si>
  <si>
    <t>TFLs模板审核- Unique</t>
  </si>
  <si>
    <t>临床部分的可行性分析及策略建议</t>
  </si>
  <si>
    <t>TLFs模板审核- Repeat</t>
  </si>
  <si>
    <t>第一次 Pre-NDA 会议准备（临床部分&amp;药学部分，包含会议PPT）</t>
  </si>
  <si>
    <t>TFLs模板的修订- Unique</t>
  </si>
  <si>
    <t>第一次 Pre-NDA CDE意见的书面回复（临床部分&amp;药学部分）</t>
  </si>
  <si>
    <t>TLFs模板的修改和定稿- Repeat</t>
  </si>
  <si>
    <t>第二次 Pre-NDA 会议准备（临床部分&amp;药学部分，包含会议PPT）</t>
  </si>
  <si>
    <t>TFLs审核</t>
  </si>
  <si>
    <t>第二次 Pre-NDA CDE意见的书面回复（临床部分&amp;药学部分）</t>
  </si>
  <si>
    <t>翻译服务</t>
  </si>
  <si>
    <t>翻译后的文件</t>
  </si>
  <si>
    <t>26年5月新增</t>
  </si>
  <si>
    <t>审核SDTM aCRF</t>
  </si>
  <si>
    <t>编写SDTM数据集映射规范</t>
  </si>
  <si>
    <t>审核SDTM数据集映射规范</t>
  </si>
  <si>
    <t>产生SDTM数据集</t>
  </si>
  <si>
    <t>2025年1月调整编号</t>
  </si>
  <si>
    <t>验证SDTM数据集</t>
  </si>
  <si>
    <t>审核SDTM数据集</t>
  </si>
  <si>
    <t>转换SDTM数据集 - XPT格式</t>
  </si>
  <si>
    <t>审核SDTM数据集 - XPT格式</t>
  </si>
  <si>
    <t>检查SDTM数据集合规</t>
  </si>
  <si>
    <t>编写分析数据集衍生规范</t>
  </si>
  <si>
    <t>审核分析数据集衍生规范</t>
  </si>
  <si>
    <t>产生分析数据集</t>
  </si>
  <si>
    <t>验证分析数据集</t>
  </si>
  <si>
    <t>审核分析数据集</t>
  </si>
  <si>
    <t>转换分析数据集 - XPT格式</t>
  </si>
  <si>
    <t>审核分析数据集 - XPT格式</t>
  </si>
  <si>
    <t>检查ADaM数据集合规</t>
  </si>
  <si>
    <t>产生统计图表 - Unique</t>
  </si>
  <si>
    <t>验证统计图表 - Unique</t>
  </si>
  <si>
    <t>审核统计图表 - Unique</t>
  </si>
  <si>
    <t>产生统计图表 - Repeated</t>
  </si>
  <si>
    <t>验证统计图表 - Repeated</t>
  </si>
  <si>
    <t>审核统计图表 - Repeated</t>
  </si>
  <si>
    <t>产生PK统计图表 - Unique</t>
  </si>
  <si>
    <t>验证PK统计图表 - Unique</t>
  </si>
  <si>
    <t>审核PK统计图表 - Unique</t>
  </si>
  <si>
    <t>产生PK统计图表 - Repeated</t>
  </si>
  <si>
    <t>验证PK统计图表 - Repeated</t>
  </si>
  <si>
    <t>审核PK统计图表 - Repeated</t>
  </si>
  <si>
    <t>产生BE/BA/FE/DDI统计TLFs - Unique</t>
  </si>
  <si>
    <t>验证BE/BA/FE/DDI统计TLFs - Unique</t>
  </si>
  <si>
    <t>审核BE/BA/FE/DDI统计TLFs - Unique</t>
  </si>
  <si>
    <t>产生BE/BA/FE/DDI统计TLFs - Repeated</t>
  </si>
  <si>
    <t>验证BE/BA/FE/DDI统计TLFs - Repeated</t>
  </si>
  <si>
    <t>审核BE/BA/FE/DDI统计TLFs - Repeated</t>
  </si>
  <si>
    <t>Dry Run的数据准备</t>
  </si>
  <si>
    <t>Dry Run的程序运行</t>
  </si>
  <si>
    <t>Dry Run程序的验证和修订</t>
  </si>
  <si>
    <t>Dry Run的数据集合规性检查</t>
  </si>
  <si>
    <t>Dry Run的TFLs合并</t>
  </si>
  <si>
    <t>Dry Run的结果审核</t>
  </si>
  <si>
    <t>Dry Run的TFLs交付</t>
  </si>
  <si>
    <t>期中分析的集中质疑清理</t>
  </si>
  <si>
    <t>数据质控</t>
  </si>
  <si>
    <t>数据集抽提与传输</t>
  </si>
  <si>
    <t>SAP/TFL Shells, 如适用</t>
  </si>
  <si>
    <t>期中分析的数据准备</t>
  </si>
  <si>
    <t>期中分析的程序运行</t>
  </si>
  <si>
    <t>期中分析程序的验证和修订</t>
  </si>
  <si>
    <t>期中分析的数据集合规性检查</t>
  </si>
  <si>
    <t>期中分析的TFLs合并</t>
  </si>
  <si>
    <t>期中分析的结果审核</t>
  </si>
  <si>
    <t>期中分析的TFLs交付</t>
  </si>
  <si>
    <t>最终分析的数据准备</t>
  </si>
  <si>
    <t>最终分析的程序运行</t>
  </si>
  <si>
    <t>最终分析程序的验证和修订</t>
  </si>
  <si>
    <t>最终分析的数据集合规性检查</t>
  </si>
  <si>
    <t>最终分析的Topline Results合并</t>
  </si>
  <si>
    <t>最终分析的所有TFLs合并</t>
  </si>
  <si>
    <t>最终分析的结果审核</t>
  </si>
  <si>
    <t>Topline Results交付(20 TFLs以内)</t>
  </si>
  <si>
    <t>所有TFLs交付</t>
  </si>
  <si>
    <t>生成Define-XML/SDTM</t>
  </si>
  <si>
    <t>审核Define-XML/SDTM</t>
  </si>
  <si>
    <t>生成Define-XML/ADaM</t>
  </si>
  <si>
    <t>审核Define-XML/ADaM</t>
  </si>
  <si>
    <t>制定SDTM审阅指南</t>
  </si>
  <si>
    <t>审核SDTM审阅指南</t>
  </si>
  <si>
    <t>制定ADaM审阅指南</t>
  </si>
  <si>
    <t>审核ADaM审阅指南</t>
  </si>
  <si>
    <t>刻盘电子数据递交资料</t>
  </si>
  <si>
    <t>审核电子数据递交资料</t>
  </si>
  <si>
    <t>统计分析报告SAR的起草</t>
  </si>
  <si>
    <t>统计分析报告SAR的审核</t>
  </si>
  <si>
    <t>统计分析报告SAR的修订</t>
  </si>
  <si>
    <t>生物统计的项目管理</t>
  </si>
  <si>
    <t>统计分析的项目管理</t>
  </si>
  <si>
    <t>T0426</t>
  </si>
  <si>
    <t>T0427</t>
  </si>
  <si>
    <t>产生DSMB/DMC/IDMC报告TFLs</t>
  </si>
  <si>
    <t>T0428</t>
  </si>
  <si>
    <t>验证DSMB/DMC/IDMC报告TFLs</t>
  </si>
  <si>
    <t>T0429</t>
  </si>
  <si>
    <t>运行DSMB/DMC/IDMC报告TFLs</t>
  </si>
  <si>
    <t>T0430</t>
  </si>
  <si>
    <t>审核DSMB/DMC/IDMC报告TFLs</t>
  </si>
  <si>
    <t>T0431</t>
  </si>
  <si>
    <t>准备DSMB/DMC/IDMC会议材料1</t>
  </si>
  <si>
    <t>T0432</t>
  </si>
  <si>
    <t>参加和协助DSMB/DMC/IDMC会议1</t>
  </si>
  <si>
    <t>T0433</t>
  </si>
  <si>
    <t>完成DSMB/DMC/IDMC会议纪要1</t>
  </si>
  <si>
    <t>T0434</t>
  </si>
  <si>
    <t>沟通和管理DSMB/DMC/IDMC</t>
  </si>
  <si>
    <t>T0435</t>
  </si>
  <si>
    <t>DSMB/DMC/IDMC统计分析计划起草1</t>
  </si>
  <si>
    <t>T0436</t>
  </si>
  <si>
    <t>DSMB/DMC/IDMC统计分析计划审核1</t>
  </si>
  <si>
    <t>T0437</t>
  </si>
  <si>
    <t>DSMB/DMC/IDMC统计分析计划的修改和定稿</t>
  </si>
  <si>
    <t>T0438</t>
  </si>
  <si>
    <t>DSMB/DMC/IDMC会议的TLFs模板起草- Unique</t>
  </si>
  <si>
    <t>T0439</t>
  </si>
  <si>
    <t>DSMB/DMC/IDMC会议的TLFs模板起草- Repeat</t>
  </si>
  <si>
    <t>T0440</t>
  </si>
  <si>
    <t>DSMB/DMC/IDMC会议的TLFs模板审核- Unique</t>
  </si>
  <si>
    <t>T0441</t>
  </si>
  <si>
    <t>DSMB/DMC/IDMC会议的TLFs模板审核- Repeat</t>
  </si>
  <si>
    <t>T0442</t>
  </si>
  <si>
    <t>DSMB/DMC/IDMC会议的TLFs模板的修改和定稿- Unique</t>
  </si>
  <si>
    <t>T0443</t>
  </si>
  <si>
    <t>DSMB/DMC/IDMC会议的TLFs模板的修改和定稿- Repeat</t>
  </si>
  <si>
    <t>PK参数计算及图表绘制</t>
  </si>
  <si>
    <t>PK结果汇总及解读(PPT)</t>
  </si>
  <si>
    <t>PopPK/PD(E-R)分析计划起草和修订</t>
  </si>
  <si>
    <t>PopPK/PD(E-R)分析计划审核和定稿</t>
  </si>
  <si>
    <t>Pop PK/PD(E-R)分析数据清洗和整理</t>
  </si>
  <si>
    <t>Pop PK/PD(E-R)分析数据集复核</t>
  </si>
  <si>
    <t>PopPK/PD模型建立</t>
  </si>
  <si>
    <t>PopPK/PD模型验证</t>
  </si>
  <si>
    <t>PopPK/PD模型模拟</t>
  </si>
  <si>
    <t>暴露-效应(E-R)分析</t>
  </si>
  <si>
    <t>PopPK/PD(E-R)分析结果PPT制作及汇报</t>
  </si>
  <si>
    <t>Pop PK/PD(E-R)分析报告起草和修订</t>
  </si>
  <si>
    <t>Pop PK/PD(E-R)分析报告审核和定稿</t>
  </si>
  <si>
    <t>安全管理计划(SMP)撰写</t>
  </si>
  <si>
    <t>启动前文档准备</t>
  </si>
  <si>
    <t>非盲安全性数据集建立及文档访问权限设置</t>
  </si>
  <si>
    <t> 安全性数据库配置</t>
  </si>
  <si>
    <t>Gateway测试服务</t>
  </si>
  <si>
    <t>XML递交测试服务</t>
  </si>
  <si>
    <t>XML导入及导出测试服务</t>
  </si>
  <si>
    <t>2025.12.19删除</t>
  </si>
  <si>
    <t>安全性数据库用户体验测试</t>
  </si>
  <si>
    <t>安全性数据库使用操作培训</t>
  </si>
  <si>
    <t>ICSR安全性信息的接收、病例描述撰写、录入和MedDRA编码</t>
  </si>
  <si>
    <t>ICSR质量控制</t>
  </si>
  <si>
    <t>ICSR安全性信息医学审核及质疑的总结</t>
  </si>
  <si>
    <t>ICSR安全性信息的发出质疑和随访追踪</t>
  </si>
  <si>
    <t>ICSR报告定稿，锁定，归档</t>
  </si>
  <si>
    <t>潜在SUSAR的破盲处理</t>
  </si>
  <si>
    <t>T0476</t>
  </si>
  <si>
    <t>境内SUSAR报告汉译英翻译，并导出XML/CIOMS英文报告</t>
  </si>
  <si>
    <t>T0477</t>
  </si>
  <si>
    <t>ICSR药物信息的WHO Drug编码</t>
  </si>
  <si>
    <t>20226年1月6日删除</t>
  </si>
  <si>
    <t>T0478</t>
  </si>
  <si>
    <t>境外报告的接收和处理</t>
  </si>
  <si>
    <t>AOSE撰写</t>
  </si>
  <si>
    <t>本研究SUSAR报告的监管递交</t>
  </si>
  <si>
    <t>T0481</t>
  </si>
  <si>
    <t>本研究的SUSAR报告的境外递交</t>
  </si>
  <si>
    <t>T0482</t>
  </si>
  <si>
    <t>ICSR linelisting定期汇总</t>
  </si>
  <si>
    <t>SUSAR报告包整理</t>
  </si>
  <si>
    <t>DSUR撰写计划制定</t>
  </si>
  <si>
    <t>DSUR会议等形式的沟通</t>
  </si>
  <si>
    <t>DSUR数据清理和导出提供</t>
  </si>
  <si>
    <t>DSUR撰写资料收集、整理、汇总</t>
  </si>
  <si>
    <t>DSUR文献检索</t>
  </si>
  <si>
    <t>产生DSUR统计TFLs</t>
  </si>
  <si>
    <t>验证DSUR统计TFLs</t>
  </si>
  <si>
    <t>运行DSUR统计TFLs</t>
  </si>
  <si>
    <t>DSUR撰写</t>
  </si>
  <si>
    <t>DSUR质量控制和审核</t>
  </si>
  <si>
    <t>T0495</t>
  </si>
  <si>
    <t>DSUR英译汉翻译</t>
  </si>
  <si>
    <t>DSUR汉译英翻译</t>
  </si>
  <si>
    <t>DSUR监管部门递交</t>
  </si>
  <si>
    <t>数据库变更XML导入及导出测试服务</t>
  </si>
  <si>
    <t>安全性数据库数据转移(转入)</t>
  </si>
  <si>
    <t>安全性数据库数据转移(转出)</t>
  </si>
  <si>
    <t>日常沟通和管理</t>
  </si>
  <si>
    <t>日常沟通和管理(长随访期)</t>
  </si>
  <si>
    <t>研究者手册更新撰写</t>
  </si>
  <si>
    <t>研究者手册更新审阅</t>
  </si>
  <si>
    <t>研究总结报告框架搭建</t>
  </si>
  <si>
    <t>研究总结报告TFL审核</t>
  </si>
  <si>
    <t>研究总结报告审阅</t>
  </si>
  <si>
    <t>CSR附件和参考文献整理</t>
  </si>
  <si>
    <t>其他报告草拟和修订</t>
  </si>
  <si>
    <t>其他报告审阅</t>
  </si>
  <si>
    <t>撰写非盲监查计划</t>
  </si>
  <si>
    <t>撰写非盲药物管理计划</t>
  </si>
  <si>
    <t>准备非盲启动访视</t>
  </si>
  <si>
    <t>非盲启动访视及撰写报告</t>
  </si>
  <si>
    <t>非盲启动访视报告审核</t>
  </si>
  <si>
    <t>准备非盲常规监查访视</t>
  </si>
  <si>
    <t>非盲常规监查访视及撰写报告</t>
  </si>
  <si>
    <t>非盲常规监查报告审核</t>
  </si>
  <si>
    <t>稽查计划制定</t>
  </si>
  <si>
    <t>稽查计划审核</t>
  </si>
  <si>
    <t>研究中心稽查准备</t>
  </si>
  <si>
    <t>研究中心稽查前TMF审阅</t>
  </si>
  <si>
    <t>研究中心稽查差旅</t>
  </si>
  <si>
    <t>研究中心现场稽查</t>
  </si>
  <si>
    <t>研究中心稽查报告撰写</t>
  </si>
  <si>
    <t>研究中心稽查报告审核</t>
  </si>
  <si>
    <t>研究中心跟进稽查发现</t>
  </si>
  <si>
    <t>研究中心发送稽查证明</t>
  </si>
  <si>
    <t>TMF稽查准备</t>
  </si>
  <si>
    <t>TMF稽查执行</t>
  </si>
  <si>
    <t>TMF稽查报告撰写</t>
  </si>
  <si>
    <t>TMF稽查报告审核</t>
  </si>
  <si>
    <t>跟进TMF稽查发现</t>
  </si>
  <si>
    <t>发送TMF稽查证明</t>
  </si>
  <si>
    <t>第三方供应商稽查准备</t>
  </si>
  <si>
    <t>第三方供应商稽查差旅</t>
  </si>
  <si>
    <t>第三方供应商现场稽查</t>
  </si>
  <si>
    <t>第三方供应商稽查报告撰写</t>
  </si>
  <si>
    <t>第三方供应商稽查报告审核</t>
  </si>
  <si>
    <t>跟进第三方供应商稽查发现</t>
  </si>
  <si>
    <t>发送第三方供应商稽查证明</t>
  </si>
  <si>
    <t>核查现场支持</t>
  </si>
  <si>
    <t>召开申办方/CRO会议</t>
  </si>
  <si>
    <t>召开专家/CRO/申办方多方会议</t>
  </si>
  <si>
    <t>临床开发计划审阅</t>
  </si>
  <si>
    <t>方案摘要撰写/注册阶段</t>
  </si>
  <si>
    <t>方案摘要审核/注册阶段</t>
  </si>
  <si>
    <t>方案全文撰写/注册阶段</t>
  </si>
  <si>
    <t>T0604</t>
  </si>
  <si>
    <t>方案全文格式拼写等质量QC/注册阶段</t>
  </si>
  <si>
    <t>方案全文审核/注册阶段</t>
  </si>
  <si>
    <t>方案讨论后方案修订/注册阶段</t>
  </si>
  <si>
    <t>T0607</t>
  </si>
  <si>
    <t>方案讨论后方案审阅/注册阶段</t>
  </si>
  <si>
    <t>方案讨论后方案审核/注册阶段</t>
  </si>
  <si>
    <t>临床综述审核2.5</t>
  </si>
  <si>
    <t>知情同意书样稿审核1.3.4.2</t>
  </si>
  <si>
    <t>研究者手册修订的审核</t>
  </si>
  <si>
    <t>风险管理计划修订的审核</t>
  </si>
  <si>
    <t>研究药品说明样稿审核</t>
  </si>
  <si>
    <t>申报计划书制定(包括timeline)</t>
  </si>
  <si>
    <t>pre-IND申请材料审核</t>
  </si>
  <si>
    <t>首次伦理资料准备(Mock CRF)</t>
  </si>
  <si>
    <t>人工审核计划起草和定稿（SAS）</t>
  </si>
  <si>
    <t>人工审核计划审核（SAS）</t>
  </si>
  <si>
    <t>人工审核计划起草和定稿（非SAS）</t>
  </si>
  <si>
    <t>人工审核计划审核（非SAS）</t>
  </si>
  <si>
    <t>RTSM系统数据库上线操作</t>
  </si>
  <si>
    <t>其他职能发现的数据问题质疑管理（统计）</t>
  </si>
  <si>
    <t>人工线下审核（非SAS）</t>
  </si>
  <si>
    <t>外部数据一致性人工审核</t>
  </si>
  <si>
    <t>SAE一致性人工审核</t>
  </si>
  <si>
    <t>方案偏离一致性核查（人工审核）</t>
  </si>
  <si>
    <t>数据库锁定清理准备</t>
  </si>
  <si>
    <t>项目文件整理</t>
  </si>
  <si>
    <t>随机化方案的修订</t>
  </si>
  <si>
    <t>编盲资料的修订</t>
  </si>
  <si>
    <t>产生统计列表</t>
  </si>
  <si>
    <t xml:space="preserve">验证统计列表 </t>
  </si>
  <si>
    <t>审核统计列表</t>
  </si>
  <si>
    <t>产生PK统计列表</t>
  </si>
  <si>
    <t xml:space="preserve">验证PK统计列表 </t>
  </si>
  <si>
    <t>审核PK统计列表</t>
  </si>
  <si>
    <t>编写方案偏离列表编程说明</t>
  </si>
  <si>
    <t>审核方案偏离列表编程说明</t>
  </si>
  <si>
    <t>验证方案偏离列表</t>
  </si>
  <si>
    <t>运行方案偏离列表</t>
  </si>
  <si>
    <t>T0636</t>
  </si>
  <si>
    <t>与项目组内部的日常沟通-启动及入组期</t>
  </si>
  <si>
    <t>T0637</t>
  </si>
  <si>
    <t>与申办方的日常沟通-启动及入组期</t>
  </si>
  <si>
    <t>数据/文献的传输支持和整理</t>
  </si>
  <si>
    <t>预估人体PK参数（CL,Vss）、起始剂量及有效剂量</t>
  </si>
  <si>
    <t>预估FIH起始剂量（体表面积法、MABEL法等）</t>
  </si>
  <si>
    <t>转化PK/PD模型建立</t>
  </si>
  <si>
    <t>转化PK/PD模型验证</t>
  </si>
  <si>
    <t>转化PK/PD模型模拟与分析</t>
  </si>
  <si>
    <t>各种计算及模型审核</t>
  </si>
  <si>
    <t>中文报告撰写</t>
  </si>
  <si>
    <t>中文报告审核</t>
  </si>
  <si>
    <t>中文报告修订</t>
  </si>
  <si>
    <t>英文报告撰写</t>
  </si>
  <si>
    <t>英文报告审核</t>
  </si>
  <si>
    <t>英文报告修订</t>
  </si>
  <si>
    <t>PK/PD/ADA TFLs模板起草- Unique</t>
  </si>
  <si>
    <t>PKTFLs模板审核- Unique</t>
  </si>
  <si>
    <t>PKTFLs模板的修改和定稿- Unique</t>
  </si>
  <si>
    <t>PD参数计算及图表绘制</t>
  </si>
  <si>
    <t>PD结果汇总及解读(PPT)</t>
  </si>
  <si>
    <t>T0658</t>
  </si>
  <si>
    <t>与项目组内部的日常沟通-治疗随访期</t>
  </si>
  <si>
    <t>T0659</t>
  </si>
  <si>
    <t>与项目组内部的日常沟通-生存随访期</t>
  </si>
  <si>
    <t>T0660</t>
  </si>
  <si>
    <t>与申办方的日常沟通-治疗随访期</t>
  </si>
  <si>
    <t>T0661</t>
  </si>
  <si>
    <t>与申办方的日常沟通-生存随访期</t>
  </si>
  <si>
    <t>DSMB/DMC/IDMC章程起草</t>
  </si>
  <si>
    <t>DSMB/DMC/IDMC章程审核</t>
  </si>
  <si>
    <t>DSMB/DMC/IDMC章程修订</t>
  </si>
  <si>
    <t>DSMB/DMC/IDMC统计分析计划起草</t>
  </si>
  <si>
    <t>DSMB/DMC/IDMC统计分析计划审核</t>
  </si>
  <si>
    <r>
      <rPr>
        <sz val="10"/>
        <color rgb="FF000000"/>
        <rFont val="微软雅黑"/>
        <charset val="134"/>
      </rPr>
      <t>DSMB/DMC/IDMC统计分析计划的</t>
    </r>
    <r>
      <rPr>
        <sz val="10"/>
        <rFont val="微软雅黑"/>
        <charset val="134"/>
      </rPr>
      <t>修</t>
    </r>
    <r>
      <rPr>
        <sz val="10"/>
        <color indexed="8"/>
        <rFont val="微软雅黑"/>
        <charset val="134"/>
      </rPr>
      <t>订</t>
    </r>
  </si>
  <si>
    <t>DSMB/DMC/IDMC统计TFLs模板起草- Unique</t>
  </si>
  <si>
    <t>DSMB/DMC/IDMC统计TFLs模板审核- Unique</t>
  </si>
  <si>
    <t>DSMB/DMC/IDMC统计TFLs模板的修订- Unique</t>
  </si>
  <si>
    <t>编写DSMB/DMC/IDMC分析数据集衍生规范</t>
  </si>
  <si>
    <t>审核DSMB/DMC/IDMC分析数据集衍生规范</t>
  </si>
  <si>
    <t>产生DSMB/DMC/IDMC分析数据集</t>
  </si>
  <si>
    <t>验证DSMB/DMC/IDMC分析数据集</t>
  </si>
  <si>
    <t>审核DSMB/DMC/IDMC分析数据集</t>
  </si>
  <si>
    <t>产生DSMB/DMC/IDMC统计TFLs</t>
  </si>
  <si>
    <t>验证DSMB/DMC/IDMC统计TFLs</t>
  </si>
  <si>
    <t>审核DSMB/DMC/IDMC统计TFLs</t>
  </si>
  <si>
    <t>DSMB/DMC/IDMC统计TFLs Dry Run的程序运行</t>
  </si>
  <si>
    <t>DSMB/DMC/IDMC统计TFLs Dry Run的结果审核</t>
  </si>
  <si>
    <t>准备DSMB/DMC/IDMC启动会材料</t>
  </si>
  <si>
    <t>参加DSMB/DMC/IDMC启动会</t>
  </si>
  <si>
    <t>DSMB/DMC/IDMC会议统计TFLs的程序运行</t>
  </si>
  <si>
    <t>DSMB/DMC/IDMC会议统计TFLs的结果审核</t>
  </si>
  <si>
    <t>准备DSMB/DMC/IDMC会议材料</t>
  </si>
  <si>
    <t>参加DSMB/DMC/IDMC会议</t>
  </si>
  <si>
    <t>完成DSMB/DMC/IDMC会议纪要</t>
  </si>
  <si>
    <t>生物统计的DSMB/DMC/IDMC项目管理</t>
  </si>
  <si>
    <t>统计分析的DSMB/DMC/IDMC项目管理</t>
  </si>
  <si>
    <t>C-QTc分析计划起草与制定</t>
  </si>
  <si>
    <t>C-QTc分析计划审核和定稿</t>
  </si>
  <si>
    <t>C-QTc模型构建</t>
  </si>
  <si>
    <t>C-QTc模型评价</t>
  </si>
  <si>
    <t>C-QTc模型预测</t>
  </si>
  <si>
    <t>C-QTc外部沟通PPT整理</t>
  </si>
  <si>
    <t>C-QTc分析报告起草与制定</t>
  </si>
  <si>
    <t>C-QTc分析报告审核与定稿</t>
  </si>
  <si>
    <t>T0484a</t>
  </si>
  <si>
    <t>A152c</t>
  </si>
  <si>
    <t>T0513c</t>
  </si>
  <si>
    <t>小结报告撰写</t>
  </si>
  <si>
    <t>T0514c</t>
  </si>
  <si>
    <t>小结报告审阅</t>
  </si>
  <si>
    <t>2025年6月为新增为吉贝尔项目，报价工具通用版没有新增</t>
  </si>
  <si>
    <t>A152b</t>
  </si>
  <si>
    <t>T0513b</t>
  </si>
  <si>
    <t>合理性依据撰写</t>
  </si>
  <si>
    <t>T0514b</t>
  </si>
  <si>
    <t>合理性依据审阅</t>
  </si>
  <si>
    <t>产生数据审核会统计TFLs</t>
  </si>
  <si>
    <t>T0286a</t>
  </si>
  <si>
    <t>验证数据审核会统计TFLs</t>
  </si>
  <si>
    <t>2025年7月变更名称</t>
  </si>
  <si>
    <t>T0409a</t>
  </si>
  <si>
    <t>最终分析的Topline Results交付</t>
  </si>
  <si>
    <t>最终分析的TFLs交付</t>
  </si>
  <si>
    <t>临床综述撰写更新2.5</t>
  </si>
  <si>
    <t>临床综述更新审核2.5</t>
  </si>
  <si>
    <t>临床总结审核2.7</t>
  </si>
  <si>
    <t>临床综述撰写更新2.7</t>
  </si>
  <si>
    <t>临床综述更新审核2.7</t>
  </si>
  <si>
    <t>方案偏离撰写</t>
  </si>
  <si>
    <t>方案偏离审核及复核</t>
  </si>
  <si>
    <t>2026年1月新增</t>
  </si>
  <si>
    <t>外部数据一致性比对审核</t>
  </si>
  <si>
    <t>Leading Pl沟通会准备</t>
  </si>
  <si>
    <t>Leading Pl沟通会参加</t>
  </si>
  <si>
    <t>患者预筛整理及审核</t>
  </si>
  <si>
    <t>患者预筛复审</t>
  </si>
  <si>
    <t>SSU阶段文件准备（中心可行性调研问卷、立项伦理资料模版、合同模版等）</t>
  </si>
  <si>
    <t>人工审核计划起草和定稿</t>
  </si>
  <si>
    <t>人工审核计划审核</t>
  </si>
  <si>
    <t>MedDRA编码</t>
  </si>
  <si>
    <t>MedDRA质控</t>
  </si>
  <si>
    <t>MedDRA编码报告制作和提交</t>
  </si>
  <si>
    <t>WHODrug编码</t>
  </si>
  <si>
    <t>WHODrug质控</t>
  </si>
  <si>
    <t>A734</t>
  </si>
  <si>
    <t>WHODrug编码报告制作和提交</t>
  </si>
  <si>
    <t>递交常规进度报告（缺失页）</t>
  </si>
  <si>
    <t>方案偏离列表测试(SAS)</t>
  </si>
  <si>
    <t>RTSM供应消耗模拟与计算（发药系统）</t>
  </si>
  <si>
    <t>RTSM系统供应参数调整（发药系统）</t>
  </si>
  <si>
    <t>验证统计表格/图表 - Unique</t>
  </si>
  <si>
    <t>审核统计表格/图表 - Unique</t>
  </si>
  <si>
    <t>产生统计表格/图表 - Repeated</t>
  </si>
  <si>
    <t>验证统计表格/图表 - Repeated</t>
  </si>
  <si>
    <t>审核统计表格/图表 - Repeated</t>
  </si>
  <si>
    <t>产生PK统计表格/图表- Unique</t>
  </si>
  <si>
    <t>验证PK统计表格/图表 - Unique</t>
  </si>
  <si>
    <t>审核PK统计表格/图表 - Unique</t>
  </si>
  <si>
    <t>产生PK统计表格/图表 - Repeated</t>
  </si>
  <si>
    <t>验证PK统计表格/图表 - Repeated</t>
  </si>
  <si>
    <t>审核PK统计表格/图表 - Repeated</t>
  </si>
  <si>
    <t>验证PK统计列表</t>
  </si>
  <si>
    <t>T0768</t>
  </si>
  <si>
    <t>完成DSMB/DMC/IDMC启动会会议纪要</t>
  </si>
  <si>
    <t>T0771</t>
  </si>
  <si>
    <t>T0772</t>
  </si>
  <si>
    <t>EDC系统运维和账号管理</t>
  </si>
  <si>
    <t>T0773</t>
  </si>
  <si>
    <t>T0774</t>
  </si>
  <si>
    <t>期中报告草拟和修订</t>
  </si>
  <si>
    <t>T0776</t>
  </si>
  <si>
    <t>期中报告审阅</t>
  </si>
  <si>
    <t>研究总结报告中译英审阅</t>
  </si>
  <si>
    <t>SAE个案描述中译英审阅</t>
  </si>
  <si>
    <t>期中报告中译英审阅</t>
  </si>
  <si>
    <t>方案中译英审阅</t>
  </si>
  <si>
    <t>PK/PD相关性分析及图表绘制</t>
  </si>
  <si>
    <t>PK/PD相关性结果汇总及解读（PPT）</t>
  </si>
  <si>
    <t>监管沟通支持（PK/PD）相关准备</t>
  </si>
  <si>
    <t>监管沟通支持（PK/PD）</t>
  </si>
  <si>
    <t>遗传办首次申报支持</t>
  </si>
  <si>
    <t>遗传办变更支持</t>
  </si>
  <si>
    <t>总结填报和跟踪</t>
  </si>
  <si>
    <t>总结填报和跟踪支持</t>
  </si>
  <si>
    <t>统计分析报告SAR的起草（PK部分）</t>
  </si>
  <si>
    <t>统计分析报告SAR的审核（PK部分）</t>
  </si>
  <si>
    <t>统计分析计划起草（PK部分）</t>
  </si>
  <si>
    <t>统计分析计划审核（PK部分）</t>
  </si>
  <si>
    <t>文件夹创建及维护(CTMS,TMF,表格等)</t>
  </si>
  <si>
    <t>创建eCRF页面</t>
  </si>
  <si>
    <t>验证eCRF页面</t>
  </si>
  <si>
    <t>测试eCRF页面</t>
  </si>
  <si>
    <t>外部数据一致性核查报表运行和审核</t>
  </si>
  <si>
    <t>SAE一致性核查报表运行和审核</t>
  </si>
  <si>
    <t>其他项目要求报告编程</t>
  </si>
  <si>
    <t>其他项目要求报告测试</t>
  </si>
  <si>
    <t>其他项目要求报告说明</t>
  </si>
  <si>
    <t>其他项目要求报告抽取和提交</t>
  </si>
  <si>
    <t>数据管理的日常沟通和文件管理</t>
  </si>
  <si>
    <t>数据库迁移（含迁移测试&amp;改库上线）</t>
  </si>
  <si>
    <t>TFLs模板起草</t>
  </si>
  <si>
    <t>TFLs模板审核</t>
  </si>
  <si>
    <t>TFLs模板的修订</t>
  </si>
  <si>
    <t>DSMB/DMC/IDMC统计TFLs模板起草</t>
  </si>
  <si>
    <t>DSMB/DMC/IDMC统计TFLs模板审核</t>
  </si>
  <si>
    <t>DSMB/DMC/IDMC统计TFLs模板的修订</t>
  </si>
  <si>
    <t>熟悉与研究相关的资料</t>
  </si>
  <si>
    <t>文献检索</t>
  </si>
  <si>
    <t>拜访PI资料的准备</t>
  </si>
  <si>
    <t>研究中心启动会/立项会文件审核</t>
  </si>
  <si>
    <t>T0263a</t>
  </si>
  <si>
    <t>1.0 说明函撰写</t>
  </si>
  <si>
    <t>1.0 说明函审核</t>
  </si>
  <si>
    <t>1.1 目录撰写</t>
  </si>
  <si>
    <t>1.1 目录审核</t>
  </si>
  <si>
    <t>1.2 申请表撰写</t>
  </si>
  <si>
    <t>1.2 申请表审核</t>
  </si>
  <si>
    <t>1.3 产品信息相关材料撰写</t>
  </si>
  <si>
    <t>1.3 产品信息相关材料审核</t>
  </si>
  <si>
    <t>1.4 申请状态撰写</t>
  </si>
  <si>
    <t>1.4 申请状态审核</t>
  </si>
  <si>
    <t>1.5 加快上市注册程序申请撰写</t>
  </si>
  <si>
    <t>1.5 加快上市注册程序申请审核</t>
  </si>
  <si>
    <t>1.6 沟通交流会议撰写</t>
  </si>
  <si>
    <t>1.6 沟通交流会议审核</t>
  </si>
  <si>
    <t>1.7 临床试验过程管理信息撰写</t>
  </si>
  <si>
    <t>1.7 临床试验过程管理信息审核</t>
  </si>
  <si>
    <t>1.8 药物警戒与风险管理撰写</t>
  </si>
  <si>
    <t>1.8 药物警戒与风险管理审核</t>
  </si>
  <si>
    <t>1.9 上市后研究撰写</t>
  </si>
  <si>
    <t>1.9 上市后研究审核</t>
  </si>
  <si>
    <t>1.10 上市后变更撰写</t>
  </si>
  <si>
    <t>1.10 上市后变更审核</t>
  </si>
  <si>
    <t>1.11 申请人/生产企业证明性文件撰写</t>
  </si>
  <si>
    <t>1.11 申请人/生产企业证明性文件审核</t>
  </si>
  <si>
    <t>1.12 小微企业证明文件撰写</t>
  </si>
  <si>
    <t>1.12 小微企业证明文件审核</t>
  </si>
  <si>
    <t>2.1 模块2目录撰写</t>
  </si>
  <si>
    <t>2.1 模块2目录审核</t>
  </si>
  <si>
    <t>2.2 通用技术文档介绍撰写</t>
  </si>
  <si>
    <t>2.2 通用技术文档介绍审核</t>
  </si>
  <si>
    <t>2.3 药学综述撰写</t>
  </si>
  <si>
    <t>2.3 药学综述审核</t>
  </si>
  <si>
    <t>2.4 非临床综述撰写</t>
  </si>
  <si>
    <t>2.4 非临床综述审核</t>
  </si>
  <si>
    <t>2.5 临床综述（注册部分）撰写</t>
  </si>
  <si>
    <t>2.5 临床综述（注册部分）审核</t>
  </si>
  <si>
    <t>2.6 非临床文字总结和列表总结撰写</t>
  </si>
  <si>
    <t>2.6 非临床文字总结和列表总结审核</t>
  </si>
  <si>
    <t>2.7 临床研究总结（注册部分）撰写</t>
  </si>
  <si>
    <t>2.7 临床研究总结（注册部分）审核</t>
  </si>
  <si>
    <t>3.1 模块3目录撰写</t>
  </si>
  <si>
    <t>3.1 模块3目录审核</t>
  </si>
  <si>
    <t>3.2 主体文件（制剂部分）撰写</t>
  </si>
  <si>
    <t>3.2 主体文件（制剂部分）审核</t>
  </si>
  <si>
    <t>3.3 参考文献撰写</t>
  </si>
  <si>
    <t>3.3 参考文献审核</t>
  </si>
  <si>
    <t>4.1 模块4目录撰写</t>
  </si>
  <si>
    <t>4.1 模块4目录审核</t>
  </si>
  <si>
    <t>4.2 试验报告撰写</t>
  </si>
  <si>
    <t>4.2 试验报告审核</t>
  </si>
  <si>
    <t>4.3 参考文献撰写</t>
  </si>
  <si>
    <t>4.3 参考文献审核</t>
  </si>
  <si>
    <t>5.1 模块5目录撰写</t>
  </si>
  <si>
    <t>5.1 模块5目录审核</t>
  </si>
  <si>
    <t>5.2 所有临床研究列表撰写</t>
  </si>
  <si>
    <t>5.2 所有临床研究列表审核</t>
  </si>
  <si>
    <t>5.3 临床研究报告撰写</t>
  </si>
  <si>
    <t>5.3 临床研究报告审核</t>
  </si>
  <si>
    <t>5.4 参考文献撰写</t>
  </si>
  <si>
    <t>5.4 参考文献审核</t>
  </si>
  <si>
    <t>项目例会（含会议纪要）准备</t>
  </si>
  <si>
    <t>项目例会参加</t>
  </si>
  <si>
    <t xml:space="preserve">注册申请审评期间与CDE的沟通及回复 </t>
  </si>
  <si>
    <t>CDE审批意见的解读及发补资料撰写</t>
  </si>
  <si>
    <t>发补资料审核</t>
  </si>
  <si>
    <t>专家评审会准备</t>
  </si>
  <si>
    <t>专家评审会参加</t>
  </si>
  <si>
    <t>资料审核（注册检验）</t>
  </si>
  <si>
    <t>资料审核（通用名）</t>
  </si>
  <si>
    <t>临床部分的可行性分析及策略建议撰写</t>
  </si>
  <si>
    <t>临床部分的可行性分析及策略建议审核</t>
  </si>
  <si>
    <t>翻译撰写</t>
  </si>
  <si>
    <t>调整&lt;服务费底表&gt;后，请刷新！</t>
  </si>
  <si>
    <t>(全部)</t>
  </si>
  <si>
    <t>值</t>
  </si>
  <si>
    <t>求和项:总小时</t>
  </si>
  <si>
    <t>求和项:折扣后单价</t>
  </si>
  <si>
    <t>求和项:折扣后小计</t>
  </si>
  <si>
    <t>求和项:报价
单位小时</t>
  </si>
  <si>
    <t>A001 汇总</t>
  </si>
  <si>
    <t>A002 汇总</t>
  </si>
  <si>
    <t>起草CRF Matrix</t>
  </si>
  <si>
    <t>A003 汇总</t>
  </si>
  <si>
    <t>A004 汇总</t>
  </si>
  <si>
    <t>A005 汇总</t>
  </si>
  <si>
    <t>A006 汇总</t>
  </si>
  <si>
    <t>A007 汇总</t>
  </si>
  <si>
    <t>受试者日记卡医学审阅</t>
  </si>
  <si>
    <t>受试者招募广告医学审阅</t>
  </si>
  <si>
    <t>A008 汇总</t>
  </si>
  <si>
    <t>A009 汇总</t>
  </si>
  <si>
    <t>A010 汇总</t>
  </si>
  <si>
    <t>A011 汇总</t>
  </si>
  <si>
    <t>A012 汇总</t>
  </si>
  <si>
    <t>A013 汇总</t>
  </si>
  <si>
    <t>A014 汇总</t>
  </si>
  <si>
    <t>A015 汇总</t>
  </si>
  <si>
    <t>A016 汇总</t>
  </si>
  <si>
    <t>A017 汇总</t>
  </si>
  <si>
    <t>A018 汇总</t>
  </si>
  <si>
    <t>A019 汇总</t>
  </si>
  <si>
    <t>A020 汇总</t>
  </si>
  <si>
    <t>A021 汇总</t>
  </si>
  <si>
    <t>A022 汇总</t>
  </si>
  <si>
    <t>A023 汇总</t>
  </si>
  <si>
    <t>A024 汇总</t>
  </si>
  <si>
    <t>A025 汇总</t>
  </si>
  <si>
    <t>A026 汇总</t>
  </si>
  <si>
    <t>产生SRC/SMC统计TLFs</t>
  </si>
  <si>
    <t>A027 汇总</t>
  </si>
  <si>
    <t>验证SRC/SMC统计TLFs</t>
  </si>
  <si>
    <t>运行SRC/SMC统计TLFs</t>
  </si>
  <si>
    <t>A028 汇总</t>
  </si>
  <si>
    <t>A029 汇总</t>
  </si>
  <si>
    <t>A030 汇总</t>
  </si>
  <si>
    <t>A031 汇总</t>
  </si>
  <si>
    <t>A032 汇总</t>
  </si>
  <si>
    <t>A033 汇总</t>
  </si>
  <si>
    <t>A034 汇总</t>
  </si>
  <si>
    <t>A035 汇总</t>
  </si>
  <si>
    <t>A036 汇总</t>
  </si>
  <si>
    <t>A037 汇总</t>
  </si>
  <si>
    <t>A038 汇总</t>
  </si>
  <si>
    <t>A039 汇总</t>
  </si>
  <si>
    <t>A040 汇总</t>
  </si>
  <si>
    <t>A041 汇总</t>
  </si>
  <si>
    <t>A042 汇总</t>
  </si>
  <si>
    <t>A043 汇总</t>
  </si>
  <si>
    <t>A044 汇总</t>
  </si>
  <si>
    <t>A045 汇总</t>
  </si>
  <si>
    <t>A046 汇总</t>
  </si>
  <si>
    <t>A047 汇总</t>
  </si>
  <si>
    <t>A048 汇总</t>
  </si>
  <si>
    <t>A049 汇总</t>
  </si>
  <si>
    <t>A050 汇总</t>
  </si>
  <si>
    <t>A051 汇总</t>
  </si>
  <si>
    <t>A052 汇总</t>
  </si>
  <si>
    <t>A053 汇总</t>
  </si>
  <si>
    <t>A054 汇总</t>
  </si>
  <si>
    <t>A055 汇总</t>
  </si>
  <si>
    <t>A056 汇总</t>
  </si>
  <si>
    <t>A057 汇总</t>
  </si>
  <si>
    <t>A058 汇总</t>
  </si>
  <si>
    <t>A059 汇总</t>
  </si>
  <si>
    <t>A060 汇总</t>
  </si>
  <si>
    <t>A061 汇总</t>
  </si>
  <si>
    <t>A062 汇总</t>
  </si>
  <si>
    <t>A063 汇总</t>
  </si>
  <si>
    <t>A064 汇总</t>
  </si>
  <si>
    <t>A065 汇总</t>
  </si>
  <si>
    <t>A066 汇总</t>
  </si>
  <si>
    <t>A067 汇总</t>
  </si>
  <si>
    <t>A068 汇总</t>
  </si>
  <si>
    <t>A069 汇总</t>
  </si>
  <si>
    <t>A070 汇总</t>
  </si>
  <si>
    <t>A071 汇总</t>
  </si>
  <si>
    <t>A072 汇总</t>
  </si>
  <si>
    <t>A073 汇总</t>
  </si>
  <si>
    <t>A074 汇总</t>
  </si>
  <si>
    <t>入组失败受试者的招募复核</t>
  </si>
  <si>
    <t>A075 汇总</t>
  </si>
  <si>
    <t>受试者合格性复核</t>
  </si>
  <si>
    <t>A076 汇总</t>
  </si>
  <si>
    <t>A077 汇总</t>
  </si>
  <si>
    <t>A078 汇总</t>
  </si>
  <si>
    <t>A079 汇总</t>
  </si>
  <si>
    <t>产生MMR统计TLFs</t>
  </si>
  <si>
    <t>验证MMR统计TLFs</t>
  </si>
  <si>
    <t>运行MMR统计TLFs</t>
  </si>
  <si>
    <t>A080 汇总</t>
  </si>
  <si>
    <t>审核MMR统计TLFs</t>
  </si>
  <si>
    <t>A081 汇总</t>
  </si>
  <si>
    <t>A082 汇总</t>
  </si>
  <si>
    <t>A083 汇总</t>
  </si>
  <si>
    <t>A084 汇总</t>
  </si>
  <si>
    <t>A085 汇总</t>
  </si>
  <si>
    <t>A086 汇总</t>
  </si>
  <si>
    <t>URL网址层级架构搭建</t>
  </si>
  <si>
    <t>A087 汇总</t>
  </si>
  <si>
    <t>A088 汇总</t>
  </si>
  <si>
    <t>A089 汇总</t>
  </si>
  <si>
    <t>A090 汇总</t>
  </si>
  <si>
    <t>EDC培训(含随机发药系统,如适用)</t>
  </si>
  <si>
    <t>A091 汇总</t>
  </si>
  <si>
    <t>A092 汇总</t>
  </si>
  <si>
    <t>A093 汇总</t>
  </si>
  <si>
    <t>随机系统数据库搭建</t>
  </si>
  <si>
    <t>A094 汇总</t>
  </si>
  <si>
    <t>随机系统内部测试</t>
  </si>
  <si>
    <t>随机系统项目组测试前培训</t>
  </si>
  <si>
    <t>A095 汇总</t>
  </si>
  <si>
    <t>随机系统项目组测试后的系统调整</t>
  </si>
  <si>
    <t>随机系统数据库内部测试</t>
  </si>
  <si>
    <t>A096 汇总</t>
  </si>
  <si>
    <t>随机系统数据库项目组成员测试</t>
  </si>
  <si>
    <t>A097 汇总</t>
  </si>
  <si>
    <t>A098 汇总</t>
  </si>
  <si>
    <t>A099 汇总</t>
  </si>
  <si>
    <t>A100 汇总</t>
  </si>
  <si>
    <t>DTA审核</t>
  </si>
  <si>
    <t>A101 汇总</t>
  </si>
  <si>
    <t>外部数据一致性核查报表编程(SAS)</t>
  </si>
  <si>
    <t>A102 汇总</t>
  </si>
  <si>
    <t>外部数据一致性审核</t>
  </si>
  <si>
    <t>A103 汇总</t>
  </si>
  <si>
    <t>安全性数据库数据传输/按项目计</t>
  </si>
  <si>
    <t>SAE一致性核查报表编程(SAS)</t>
  </si>
  <si>
    <t>A104 汇总</t>
  </si>
  <si>
    <t>SAE一致性审核</t>
  </si>
  <si>
    <t>A105 汇总</t>
  </si>
  <si>
    <t>A106 汇总</t>
  </si>
  <si>
    <t>A107 汇总</t>
  </si>
  <si>
    <t>A108 汇总</t>
  </si>
  <si>
    <t>A109 汇总</t>
  </si>
  <si>
    <t>随机发药系统运维和账号管理</t>
  </si>
  <si>
    <t>A110 汇总</t>
  </si>
  <si>
    <t>产生统计TLFs</t>
  </si>
  <si>
    <t>验证统计TLFs</t>
  </si>
  <si>
    <t>A111 汇总</t>
  </si>
  <si>
    <t>A112 汇总</t>
  </si>
  <si>
    <t>A113 汇总</t>
  </si>
  <si>
    <t>A114 汇总</t>
  </si>
  <si>
    <t>A115 汇总</t>
  </si>
  <si>
    <t>熟悉项目变更资料</t>
  </si>
  <si>
    <t>变更CRF唯一页页面</t>
  </si>
  <si>
    <t>变更CRF Matrix</t>
  </si>
  <si>
    <t>CRF变更审核</t>
  </si>
  <si>
    <t>CCG变更和定稿</t>
  </si>
  <si>
    <t>CCG变更审核</t>
  </si>
  <si>
    <t>A116 汇总</t>
  </si>
  <si>
    <t>DVP变更和定稿</t>
  </si>
  <si>
    <t>DVP变更审核</t>
  </si>
  <si>
    <t>数据库唯一页面变更</t>
  </si>
  <si>
    <t>数据库重复页面变更</t>
  </si>
  <si>
    <t>A117 汇总</t>
  </si>
  <si>
    <t>eCRF唯一页页面变更验证</t>
  </si>
  <si>
    <t>A118 汇总</t>
  </si>
  <si>
    <t>A119 汇总</t>
  </si>
  <si>
    <t>A120 汇总</t>
  </si>
  <si>
    <t>A121 汇总</t>
  </si>
  <si>
    <t>A122 汇总</t>
  </si>
  <si>
    <t>A123 汇总</t>
  </si>
  <si>
    <t>A124 汇总</t>
  </si>
  <si>
    <t>随机化方案起草和修订</t>
  </si>
  <si>
    <t>A125 汇总</t>
  </si>
  <si>
    <t>编盲资料的起草和修订</t>
  </si>
  <si>
    <t>A126 汇总</t>
  </si>
  <si>
    <t>TLFs模板起草- Unique</t>
  </si>
  <si>
    <t>A127 汇总</t>
  </si>
  <si>
    <t>TLFs模板审核- Unique</t>
  </si>
  <si>
    <t>A128 汇总</t>
  </si>
  <si>
    <t>A129 汇总</t>
  </si>
  <si>
    <t>TLFs模板的修改和定稿- Unique</t>
  </si>
  <si>
    <t>TLFs审核</t>
  </si>
  <si>
    <t>A130 汇总</t>
  </si>
  <si>
    <t>A131 汇总</t>
  </si>
  <si>
    <t>A132 汇总</t>
  </si>
  <si>
    <t>A133 汇总</t>
  </si>
  <si>
    <t>A134 汇总</t>
  </si>
  <si>
    <t>A135 汇总</t>
  </si>
  <si>
    <t>A136 汇总</t>
  </si>
  <si>
    <t>A137 汇总</t>
  </si>
  <si>
    <t>A138 汇总</t>
  </si>
  <si>
    <t>A139 汇总</t>
  </si>
  <si>
    <t>产生统计TLFs - Unique</t>
  </si>
  <si>
    <t>验证统计TLFs - Unique</t>
  </si>
  <si>
    <t>A140 汇总</t>
  </si>
  <si>
    <t>审核统计TLFs - Unique</t>
  </si>
  <si>
    <t>A141 汇总</t>
  </si>
  <si>
    <t>产生统计TLFs - Repeated</t>
  </si>
  <si>
    <t>验证统计TLFs - Repeated</t>
  </si>
  <si>
    <t>审核统计TLFs - Repeated</t>
  </si>
  <si>
    <t>产生PK/PD统计TLFs - Unique</t>
  </si>
  <si>
    <t>A142 汇总</t>
  </si>
  <si>
    <t>验证PK/PD统计TLFs - Unique</t>
  </si>
  <si>
    <t>审核PK/PD统计TLFs - Unique</t>
  </si>
  <si>
    <t>A143 汇总</t>
  </si>
  <si>
    <t>产生PK/PD统计TLFs - Repeated</t>
  </si>
  <si>
    <t>A144 汇总</t>
  </si>
  <si>
    <t>验证PK/PD统计TLFs - Repeated</t>
  </si>
  <si>
    <t>审核PK/PD统计TLFs - Repeated</t>
  </si>
  <si>
    <t>A145 汇总</t>
  </si>
  <si>
    <t>A146 汇总</t>
  </si>
  <si>
    <t>A147 汇总</t>
  </si>
  <si>
    <t>A148 汇总</t>
  </si>
  <si>
    <t>研究者手册版本更新</t>
  </si>
  <si>
    <t>A149 汇总</t>
  </si>
  <si>
    <t>A150 汇总</t>
  </si>
  <si>
    <t>Dry Run的TLFs合并</t>
  </si>
  <si>
    <t>A151 汇总</t>
  </si>
  <si>
    <t>A152 汇总</t>
  </si>
  <si>
    <t>Dry Run的TLFs交付</t>
  </si>
  <si>
    <t>A153 汇总</t>
  </si>
  <si>
    <t>A154 汇总</t>
  </si>
  <si>
    <t>A155 汇总</t>
  </si>
  <si>
    <t>SAP/TLF Shells, 如适用</t>
  </si>
  <si>
    <t>A156 汇总</t>
  </si>
  <si>
    <t>A157 汇总</t>
  </si>
  <si>
    <t>期中分析的TLFs合并</t>
  </si>
  <si>
    <t>A158 汇总</t>
  </si>
  <si>
    <t>A159 汇总</t>
  </si>
  <si>
    <t>期中分析的TLFs交付</t>
  </si>
  <si>
    <t>A160 汇总</t>
  </si>
  <si>
    <t>A161 汇总</t>
  </si>
  <si>
    <t>最终分析的所有TLFs合并</t>
  </si>
  <si>
    <t>A162 汇总</t>
  </si>
  <si>
    <t>A163 汇总</t>
  </si>
  <si>
    <t>Topline Results交付(20 TLFs以内)</t>
  </si>
  <si>
    <t>所有TLFs交付</t>
  </si>
  <si>
    <t>A164 汇总</t>
  </si>
  <si>
    <t>审阅Define-XML/SDTM</t>
  </si>
  <si>
    <t>审阅Define-XML/ADaM</t>
  </si>
  <si>
    <t>A165 汇总</t>
  </si>
  <si>
    <t>A166 汇总</t>
  </si>
  <si>
    <t>A167 汇总</t>
  </si>
  <si>
    <t>A168 汇总</t>
  </si>
  <si>
    <t>A169 汇总</t>
  </si>
  <si>
    <t>A170 汇总</t>
  </si>
  <si>
    <t>A171 汇总</t>
  </si>
  <si>
    <t>(空白)</t>
  </si>
  <si>
    <t>(空白) 汇总</t>
  </si>
  <si>
    <t>PK/PD参数计算及图表绘制</t>
  </si>
  <si>
    <t>PK/PD结果汇总及解读(PPT)</t>
  </si>
  <si>
    <t>本研究SUSAR报告的境内递交</t>
  </si>
  <si>
    <t>产生DSUR统计TLFs</t>
  </si>
  <si>
    <t>验证DSUR统计TLFs</t>
  </si>
  <si>
    <t>运行DSUR统计TLFs</t>
  </si>
  <si>
    <t>IRC稽查准备</t>
  </si>
  <si>
    <t>IRC稽查差旅</t>
  </si>
  <si>
    <t>IRC现场稽查</t>
  </si>
  <si>
    <t>IRC稽查报告撰写</t>
  </si>
  <si>
    <t>IRC稽查报告审核</t>
  </si>
  <si>
    <t>跟进IRC稽查发现</t>
  </si>
  <si>
    <t>发送IRC稽查证明</t>
  </si>
  <si>
    <t>科目编码</t>
  </si>
  <si>
    <t>科目名称</t>
  </si>
  <si>
    <t>导入名称</t>
  </si>
  <si>
    <t>6401</t>
  </si>
  <si>
    <t>主营业务成本  Cost of main operation</t>
  </si>
  <si>
    <t>主营业务成本</t>
  </si>
  <si>
    <t>640101</t>
  </si>
  <si>
    <t>主营业务成本  Cost of main operation_人工  Cost of main operation-Labor</t>
  </si>
  <si>
    <t>人工</t>
  </si>
  <si>
    <t>TrialMaster EDC</t>
  </si>
  <si>
    <t>640102</t>
  </si>
  <si>
    <t>主营业务成本  Cost of main operation_非人工  Cost of main operation-Non-labor</t>
  </si>
  <si>
    <t>非人工</t>
  </si>
  <si>
    <t>TrialMaster 随机系统</t>
  </si>
  <si>
    <t>64010201</t>
  </si>
  <si>
    <t>主营业务成本  Cost of main operation_培训费  Training</t>
  </si>
  <si>
    <t>培训费</t>
  </si>
  <si>
    <t>主营业务成本  Cost of main operation_图书资料、翻译费  Book and Translation fees</t>
  </si>
  <si>
    <t xml:space="preserve">图书资料、翻译费 </t>
  </si>
  <si>
    <t>主营业务成本  Cost of main operation_会议费  Meeting</t>
  </si>
  <si>
    <t xml:space="preserve">会议费 </t>
  </si>
  <si>
    <t>主营业务成本  Cost of main operation_差旅费  Travel</t>
  </si>
  <si>
    <t xml:space="preserve">差旅费  </t>
  </si>
  <si>
    <t>主营业务成本  Cost of main operation_商业保险费  Commercial insurance</t>
  </si>
  <si>
    <t>商业保险费</t>
  </si>
  <si>
    <t>64010206</t>
  </si>
  <si>
    <t>主营业务成本  Cost of main operation_劳务费  Labor cost</t>
  </si>
  <si>
    <t>劳务费</t>
  </si>
  <si>
    <t>64010207</t>
  </si>
  <si>
    <t>主营业务成本  Cost of main operation_业务招待费  Business entertainment</t>
  </si>
  <si>
    <t xml:space="preserve">业务招待费 </t>
  </si>
  <si>
    <t>受试者文件夹制作</t>
  </si>
  <si>
    <t>主营业务成本  Cost of main operation_办公费  Office supplies</t>
  </si>
  <si>
    <t>办公费</t>
  </si>
  <si>
    <t>64010209</t>
  </si>
  <si>
    <t>主营业务成本  Cost of main operation_通讯费  Communication charges</t>
  </si>
  <si>
    <t xml:space="preserve">通讯费 </t>
  </si>
  <si>
    <t>主营业务成本  Cost of main operation_运输费  Transportation</t>
  </si>
  <si>
    <t>运输费</t>
  </si>
  <si>
    <t>主营业务成本  Cost of main operation_快递费  Express fee</t>
  </si>
  <si>
    <t>64010212</t>
  </si>
  <si>
    <t>主营业务成本  Cost of main operation_房屋租赁费  Rent-office</t>
  </si>
  <si>
    <t xml:space="preserve">房屋租赁费 </t>
  </si>
  <si>
    <t>64010213</t>
  </si>
  <si>
    <t>主营业务成本  Cost of main operation_维修费  Maintenance cost</t>
  </si>
  <si>
    <t xml:space="preserve">维修费 </t>
  </si>
  <si>
    <t>主营业务成本  Cost of main operation_咨询费  Consultation fee</t>
  </si>
  <si>
    <t>咨询费</t>
  </si>
  <si>
    <t>64010215</t>
  </si>
  <si>
    <t>主营业务成本  Cost of main operation_技术服务费  Technical service fee</t>
  </si>
  <si>
    <t>技术服务费</t>
  </si>
  <si>
    <t>64010216</t>
  </si>
  <si>
    <t>主营业务成本  Cost of main operation_物业安保费  Security fee</t>
  </si>
  <si>
    <t>物业安保费</t>
  </si>
  <si>
    <t>64010217</t>
  </si>
  <si>
    <t>主营业务成本  Cost of main operation_材料费  Material cost</t>
  </si>
  <si>
    <t xml:space="preserve">材料费 </t>
  </si>
  <si>
    <t>主营业务成本  Cost of main operation_检测费  Testing fee</t>
  </si>
  <si>
    <t xml:space="preserve">检测费 </t>
  </si>
  <si>
    <t>主营业务成本  Cost of main operation_仪器设备租赁费  Equipment rental</t>
  </si>
  <si>
    <t>仪器设备租赁费</t>
  </si>
  <si>
    <t>主营业务成本  Cost of main operation_新产品设计费  Design fee for New product</t>
  </si>
  <si>
    <t>新产品设计费</t>
  </si>
  <si>
    <t>主营业务成本  Cost of main operation_招募费  Recruitment</t>
  </si>
  <si>
    <t>招募费</t>
  </si>
  <si>
    <t>主营业务成本  Cost of main operation_临床试验费  Clinical trial fee</t>
  </si>
  <si>
    <t>临床试验费</t>
  </si>
  <si>
    <t>主营业务成本  Cost of main operation_阅片服务费  Reading service</t>
  </si>
  <si>
    <t>阅片服务费</t>
  </si>
  <si>
    <t>64010224</t>
  </si>
  <si>
    <t>主营业务成本  Cost of main operation_折旧费  Depreciation</t>
  </si>
  <si>
    <t xml:space="preserve">折旧费 </t>
  </si>
  <si>
    <t>64010225</t>
  </si>
  <si>
    <t>主营业务成本  Cost of main operation_无形资产摊销费  Amortization of intangible assets</t>
  </si>
  <si>
    <t>无形资产摊销费</t>
  </si>
  <si>
    <t>64010226</t>
  </si>
  <si>
    <t>主营业务成本  Cost of main operation_招聘费  Recruitment</t>
  </si>
  <si>
    <t>招聘费</t>
  </si>
  <si>
    <t>64010227</t>
  </si>
  <si>
    <t>主营业务成本  Cost of main operation_关联方成本 affiliates cost</t>
  </si>
  <si>
    <t>关联方成本</t>
  </si>
  <si>
    <t>临影IRC</t>
  </si>
  <si>
    <t>64010228</t>
  </si>
  <si>
    <t>主营业务成本  Cost of main operation_资料费 Date fees</t>
  </si>
  <si>
    <t>资料费</t>
  </si>
  <si>
    <t>主营业务成本  Cost of main operation_软件使用费  Software usage fee</t>
  </si>
  <si>
    <t>软件使用费</t>
  </si>
  <si>
    <t>主营业务成本  Cost of main operation_SMO 费用 SMO fees</t>
  </si>
  <si>
    <t xml:space="preserve">SMO 费用 </t>
  </si>
  <si>
    <t>64010231</t>
  </si>
  <si>
    <t>主营业务成本  Cost of main operation_装修费  Renovation fee</t>
  </si>
  <si>
    <t>装修费</t>
  </si>
  <si>
    <t>64010232</t>
  </si>
  <si>
    <t>主营业务成本  Cost of main operation_统计分析费 Statistical analysis fee</t>
  </si>
  <si>
    <t>统计分析费</t>
  </si>
  <si>
    <t>64010233</t>
  </si>
  <si>
    <t>主营业务成本  Cost of main operation_非人工结转 Carry forward-Non HC related cost</t>
  </si>
  <si>
    <t>非人工结转</t>
  </si>
  <si>
    <t>64010234</t>
  </si>
  <si>
    <t>主营业务成本  Cost of main operation_无形资产租赁费 Intangible asset leasing</t>
  </si>
  <si>
    <t xml:space="preserve">无形资产租赁费 </t>
  </si>
  <si>
    <t>主营业务成本  Cost of main operation_其他  Others</t>
  </si>
  <si>
    <t>64010236</t>
  </si>
  <si>
    <t>主营业务成本  Cost of main operation_药品管理  IP Management Cost</t>
  </si>
  <si>
    <t>人工成本</t>
  </si>
  <si>
    <t>640103</t>
  </si>
  <si>
    <t>主营业务成本  Cost of main operation_人工  Cost of main operation-Labor_项目人工成本</t>
  </si>
  <si>
    <t>64010301</t>
  </si>
  <si>
    <t>项目人工成本</t>
  </si>
  <si>
    <t>64010302</t>
  </si>
  <si>
    <t>主营业务成本  Cost of main operation_人工  Cost of main operation-Labor_项目人工成本结转</t>
  </si>
  <si>
    <t>项目人工成本结转</t>
  </si>
  <si>
    <t>64010303</t>
  </si>
  <si>
    <t>主营业务成本  Cost of main operation_人工  Cost of main operation-Labor_项目关联方人工成本</t>
  </si>
  <si>
    <t>项目关联方人工成本</t>
  </si>
  <si>
    <t>受试者检查费</t>
  </si>
  <si>
    <t>筛选失败受试者</t>
  </si>
  <si>
    <t>完成受试者</t>
  </si>
  <si>
    <t>提前退出受试者</t>
  </si>
  <si>
    <t>受试者交通费</t>
  </si>
  <si>
    <t>受试者补偿(例如采集样本等)</t>
  </si>
  <si>
    <t>受试者住院津贴</t>
  </si>
  <si>
    <t>设施、设备采购费用(例如冰箱、离心机、文件柜等)</t>
  </si>
  <si>
    <t>内部标准工时Buffer</t>
  </si>
  <si>
    <t>通胀后</t>
  </si>
  <si>
    <t>审批调整</t>
  </si>
  <si>
    <t>初始版系数为1。1)无总经理审批不得调整使用，审批信息截图至签批页存档！2)如有审批，移步至项目参数页，选择正确的人员场景。</t>
  </si>
  <si>
    <t>报价人员单价</t>
  </si>
  <si>
    <t>审批调整小时单价</t>
  </si>
  <si>
    <t>标准小时单价</t>
  </si>
  <si>
    <t>Budget Cost</t>
  </si>
  <si>
    <r>
      <rPr>
        <sz val="11"/>
        <color theme="0"/>
        <rFont val="微软雅黑"/>
        <charset val="134"/>
      </rPr>
      <t xml:space="preserve">内部匹配
</t>
    </r>
    <r>
      <rPr>
        <sz val="11"/>
        <color rgb="FFFF0000"/>
        <rFont val="微软雅黑"/>
        <charset val="134"/>
      </rPr>
      <t>(仅供参考)</t>
    </r>
  </si>
  <si>
    <t>调整系数</t>
  </si>
  <si>
    <t>临床研究专员 I_临床研究专员 II</t>
  </si>
  <si>
    <t>无总经理审批不得调整</t>
  </si>
  <si>
    <t>临床项目经理</t>
  </si>
  <si>
    <t>助理项目经理_项目经理_高级项目经理</t>
  </si>
  <si>
    <t>临床项目总监</t>
  </si>
  <si>
    <t>高级医学经理_医学副经理_医学经理</t>
  </si>
  <si>
    <t>PV经理_药物警戒助理经理</t>
  </si>
  <si>
    <t>PV医生</t>
  </si>
  <si>
    <t>PV专员</t>
  </si>
  <si>
    <t>数据库编程员</t>
  </si>
  <si>
    <t>EDC系统运维管理员_数据库设计经理_助理数据库设计经理_数据库设计员</t>
  </si>
  <si>
    <t>数据管理经理_数据管理高级经理</t>
  </si>
  <si>
    <t>SAS程序员/统计分析师</t>
  </si>
  <si>
    <t>临床编程高级经理/统计分析经理</t>
  </si>
  <si>
    <t>统计师_统计分析师实习生_助理统计师/生物统计师</t>
  </si>
  <si>
    <t>质量负责人</t>
  </si>
  <si>
    <t>高级稽查专员_质量保证专员</t>
  </si>
  <si>
    <t>临床药理研究员</t>
  </si>
  <si>
    <t>临床药理项目经理</t>
  </si>
  <si>
    <t>风险成本</t>
  </si>
  <si>
    <t>财务成本</t>
  </si>
  <si>
    <t>Total Cost</t>
  </si>
  <si>
    <t>Total Budget Before Discount</t>
  </si>
  <si>
    <t>Discount</t>
  </si>
  <si>
    <t>Total Service Budget After Discount(w/o taxes)</t>
  </si>
  <si>
    <t>GM%</t>
  </si>
  <si>
    <t>Total Service Budget After Discount(w taxes)</t>
  </si>
  <si>
    <t>对外报价(不含税）</t>
  </si>
  <si>
    <t>内部成本</t>
  </si>
  <si>
    <t>报价利润</t>
  </si>
  <si>
    <t>报价利润率</t>
  </si>
  <si>
    <t>折扣后报价</t>
  </si>
  <si>
    <t>仅对折扣相同的情况下适用</t>
  </si>
  <si>
    <t>CO临床运营</t>
  </si>
  <si>
    <t>RA注册</t>
  </si>
  <si>
    <t>MA医学事务</t>
  </si>
  <si>
    <t>PV药物警戒</t>
  </si>
  <si>
    <t>DS数据管理&amp;统计</t>
  </si>
  <si>
    <t>QA质量保证</t>
  </si>
  <si>
    <t>汇总</t>
  </si>
  <si>
    <t>实际折扣</t>
  </si>
  <si>
    <t>毛利</t>
  </si>
  <si>
    <t>填写这里</t>
  </si>
  <si>
    <t>折扣后毛利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</si>
</sst>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d\-mmm\-yy;@"/>
    <numFmt numFmtId="177" formatCode="_(* #,##0.00_);_(* \(#,##0.00\);_(* &quot;-&quot;??_);_(@_)"/>
    <numFmt numFmtId="178" formatCode="[$￥-804]#,##0.00"/>
    <numFmt numFmtId="179" formatCode="_ * #,##0_ ;_ * \-#,##0_ ;_ * &quot;-&quot;??_ ;_ @_ "/>
    <numFmt numFmtId="180" formatCode="#,##0_ "/>
    <numFmt numFmtId="181" formatCode="#,##0.0_ "/>
    <numFmt numFmtId="182" formatCode="\¥#,##0.00;[Red]\¥\-#,##0.00"/>
    <numFmt numFmtId="183" formatCode="&quot;￥&quot;#,##0.00_);[Red]\(&quot;￥&quot;#,##0.00\)"/>
    <numFmt numFmtId="184" formatCode="0.0"/>
    <numFmt numFmtId="185" formatCode="\¥#,##0.00;\¥\-#,##0.00"/>
    <numFmt numFmtId="186" formatCode="General\ &quot;周每月&quot;"/>
    <numFmt numFmtId="187" formatCode="yyyy\-mm\-dd"/>
    <numFmt numFmtId="188" formatCode="0.00_);[Red]\(0.00\)"/>
    <numFmt numFmtId="189" formatCode="&quot;每页&quot;General\ &quot;min&quot;"/>
    <numFmt numFmtId="190" formatCode="&quot;SDX总计&quot;General\ &quot;小时&quot;"/>
    <numFmt numFmtId="191" formatCode="&quot;预计安排总计&quot;General\ &quot;小时&quot;"/>
    <numFmt numFmtId="192" formatCode="&quot;每&quot;General\ &quot;月1次&quot;"/>
    <numFmt numFmtId="193" formatCode="0.0_);[Red]\(0.0\)"/>
    <numFmt numFmtId="194" formatCode="\¥#,##0;\¥\-#,##0"/>
    <numFmt numFmtId="195" formatCode="#,##0.0_);[Red]\(#,##0.0\)"/>
    <numFmt numFmtId="196" formatCode="\¥#,##0_);[Red]\(\¥#,##0\)"/>
    <numFmt numFmtId="197" formatCode="\¥#,##0.00_);[Red]\(\¥#,##0.00\)"/>
    <numFmt numFmtId="198" formatCode="&quot;预估比例:&quot;0%"/>
    <numFmt numFmtId="199" formatCode="\¥#,##0.00_);\(\¥#,##0.00\)"/>
    <numFmt numFmtId="200" formatCode="#&quot;次&quot;"/>
    <numFmt numFmtId="201" formatCode="#&quot;天&quot;"/>
    <numFmt numFmtId="202" formatCode="_ * #,##0.0_ ;_ * \-#,##0.0_ ;_ * &quot;-&quot;??_ ;_ @_ "/>
    <numFmt numFmtId="203" formatCode="0.0_ "/>
    <numFmt numFmtId="204" formatCode="General\ &quot;次每中心&quot;"/>
    <numFmt numFmtId="205" formatCode="0.00_ "/>
    <numFmt numFmtId="206" formatCode="&quot;脱落率:&quot;0%"/>
    <numFmt numFmtId="207" formatCode="&quot;筛选失败率:&quot;0%"/>
    <numFmt numFmtId="208" formatCode="_(* #,##0.000_);_(* \(#,##0.000\);_(* &quot;-&quot;??_);_(@_)"/>
    <numFmt numFmtId="209" formatCode="0_);[Red]\(0\)"/>
    <numFmt numFmtId="210" formatCode="[$-F800]dddd\,\ mmmm\ dd\,\ yyyy"/>
    <numFmt numFmtId="211" formatCode="yyyy"/>
    <numFmt numFmtId="212" formatCode="[=0]&quot;&quot;;General"/>
  </numFmts>
  <fonts count="109">
    <font>
      <sz val="11"/>
      <color theme="1"/>
      <name val="等线"/>
      <charset val="134"/>
      <scheme val="minor"/>
    </font>
    <font>
      <sz val="11"/>
      <color theme="1"/>
      <name val="微软雅黑"/>
      <charset val="134"/>
    </font>
    <font>
      <sz val="11"/>
      <color rgb="FFFF0000"/>
      <name val="微软雅黑"/>
      <charset val="134"/>
    </font>
    <font>
      <b/>
      <sz val="11"/>
      <color theme="1"/>
      <name val="微软雅黑"/>
      <charset val="134"/>
    </font>
    <font>
      <i/>
      <sz val="11"/>
      <color rgb="FFFF0000"/>
      <name val="微软雅黑"/>
      <charset val="134"/>
    </font>
    <font>
      <b/>
      <sz val="11"/>
      <color theme="0"/>
      <name val="微软雅黑"/>
      <charset val="134"/>
    </font>
    <font>
      <b/>
      <sz val="11"/>
      <color indexed="9"/>
      <name val="微软雅黑"/>
      <charset val="134"/>
    </font>
    <font>
      <sz val="11"/>
      <color theme="0"/>
      <name val="微软雅黑"/>
      <charset val="134"/>
    </font>
    <font>
      <sz val="10"/>
      <color rgb="FF000000"/>
      <name val="微软雅黑"/>
      <charset val="134"/>
    </font>
    <font>
      <sz val="11"/>
      <color rgb="FF000000"/>
      <name val="微软雅黑"/>
      <charset val="134"/>
    </font>
    <font>
      <sz val="11"/>
      <color indexed="8"/>
      <name val="微软雅黑"/>
      <charset val="134"/>
    </font>
    <font>
      <sz val="10"/>
      <name val="微软雅黑"/>
      <charset val="134"/>
    </font>
    <font>
      <sz val="11"/>
      <name val="微软雅黑"/>
      <charset val="134"/>
    </font>
    <font>
      <sz val="10"/>
      <color rgb="FFFF0000"/>
      <name val="微软雅黑"/>
      <charset val="134"/>
    </font>
    <font>
      <sz val="11"/>
      <color indexed="8"/>
      <name val="等线"/>
      <charset val="134"/>
    </font>
    <font>
      <b/>
      <sz val="10"/>
      <name val="微软雅黑"/>
      <charset val="134"/>
    </font>
    <font>
      <b/>
      <sz val="10"/>
      <color indexed="8"/>
      <name val="微软雅黑"/>
      <charset val="134"/>
    </font>
    <font>
      <b/>
      <sz val="10"/>
      <color rgb="FF000000"/>
      <name val="微软雅黑"/>
      <charset val="134"/>
    </font>
    <font>
      <b/>
      <sz val="10"/>
      <color indexed="8"/>
      <name val="等线"/>
      <charset val="134"/>
    </font>
    <font>
      <sz val="10"/>
      <color indexed="8"/>
      <name val="微软雅黑"/>
      <charset val="134"/>
    </font>
    <font>
      <sz val="10"/>
      <color indexed="8"/>
      <name val="Arial"/>
      <charset val="134"/>
    </font>
    <font>
      <b/>
      <sz val="11"/>
      <color indexed="8"/>
      <name val="等线"/>
      <charset val="134"/>
    </font>
    <font>
      <sz val="10"/>
      <color rgb="FF7030A0"/>
      <name val="微软雅黑"/>
      <charset val="134"/>
    </font>
    <font>
      <b/>
      <sz val="11"/>
      <color rgb="FF7030A0"/>
      <name val="等线"/>
      <charset val="134"/>
    </font>
    <font>
      <b/>
      <sz val="10"/>
      <color indexed="10"/>
      <name val="微软雅黑"/>
      <charset val="134"/>
    </font>
    <font>
      <b/>
      <sz val="10"/>
      <color indexed="8"/>
      <name val="Arial"/>
      <charset val="134"/>
    </font>
    <font>
      <b/>
      <sz val="11"/>
      <color rgb="FFFF0000"/>
      <name val="等线"/>
      <charset val="134"/>
    </font>
    <font>
      <sz val="11"/>
      <color rgb="FFFF0000"/>
      <name val="等线"/>
      <charset val="134"/>
    </font>
    <font>
      <sz val="10"/>
      <color theme="1"/>
      <name val="微软雅黑"/>
      <charset val="134"/>
    </font>
    <font>
      <b/>
      <sz val="10"/>
      <color theme="2"/>
      <name val="微软雅黑"/>
      <charset val="134"/>
    </font>
    <font>
      <b/>
      <sz val="10"/>
      <color theme="0"/>
      <name val="微软雅黑"/>
      <charset val="134"/>
    </font>
    <font>
      <i/>
      <sz val="10"/>
      <color theme="1"/>
      <name val="微软雅黑"/>
      <charset val="134"/>
    </font>
    <font>
      <b/>
      <sz val="11"/>
      <color rgb="FFFF0000"/>
      <name val="等线"/>
      <charset val="134"/>
      <scheme val="minor"/>
    </font>
    <font>
      <b/>
      <sz val="10"/>
      <color theme="1"/>
      <name val="微软雅黑"/>
      <charset val="134"/>
    </font>
    <font>
      <b/>
      <u/>
      <sz val="11"/>
      <color rgb="FFFF0000"/>
      <name val="微软雅黑"/>
      <charset val="134"/>
    </font>
    <font>
      <strike/>
      <sz val="11"/>
      <color theme="1"/>
      <name val="微软雅黑"/>
      <charset val="134"/>
    </font>
    <font>
      <strike/>
      <sz val="11"/>
      <color rgb="FFFF0000"/>
      <name val="微软雅黑"/>
      <charset val="134"/>
    </font>
    <font>
      <strike/>
      <sz val="11"/>
      <color rgb="FF000000"/>
      <name val="微软雅黑"/>
      <charset val="134"/>
    </font>
    <font>
      <strike/>
      <sz val="11"/>
      <name val="微软雅黑"/>
      <charset val="134"/>
    </font>
    <font>
      <strike/>
      <sz val="10"/>
      <color rgb="FFFF0000"/>
      <name val="微软雅黑"/>
      <charset val="134"/>
    </font>
    <font>
      <sz val="12"/>
      <color rgb="FF000000"/>
      <name val="微软雅黑"/>
      <charset val="134"/>
    </font>
    <font>
      <strike/>
      <sz val="10"/>
      <color theme="1"/>
      <name val="微软雅黑"/>
      <charset val="134"/>
    </font>
    <font>
      <strike/>
      <sz val="10"/>
      <color indexed="8"/>
      <name val="微软雅黑"/>
      <charset val="134"/>
    </font>
    <font>
      <b/>
      <sz val="9"/>
      <color rgb="FFFF0000"/>
      <name val="微软雅黑"/>
      <charset val="134"/>
    </font>
    <font>
      <sz val="10"/>
      <color rgb="FF0070C0"/>
      <name val="微软雅黑"/>
      <charset val="134"/>
    </font>
    <font>
      <b/>
      <strike/>
      <sz val="10"/>
      <color theme="1"/>
      <name val="微软雅黑"/>
      <charset val="134"/>
    </font>
    <font>
      <sz val="9"/>
      <color theme="1"/>
      <name val="微软雅黑"/>
      <charset val="134"/>
    </font>
    <font>
      <b/>
      <sz val="11"/>
      <color rgb="FF7030A0"/>
      <name val="等线"/>
      <charset val="134"/>
      <scheme val="minor"/>
    </font>
    <font>
      <sz val="11"/>
      <color rgb="FFFF0000"/>
      <name val="等线"/>
      <charset val="134"/>
      <scheme val="minor"/>
    </font>
    <font>
      <b/>
      <sz val="11"/>
      <color theme="1"/>
      <name val="等线"/>
      <charset val="134"/>
      <scheme val="minor"/>
    </font>
    <font>
      <b/>
      <sz val="10"/>
      <name val="宋体"/>
      <charset val="134"/>
    </font>
    <font>
      <sz val="11"/>
      <name val="宋体"/>
      <charset val="134"/>
    </font>
    <font>
      <sz val="10"/>
      <name val="宋体"/>
      <charset val="134"/>
    </font>
    <font>
      <sz val="9"/>
      <color rgb="FFFF0000"/>
      <name val="宋体"/>
      <charset val="134"/>
    </font>
    <font>
      <sz val="11"/>
      <color rgb="FFFF0000"/>
      <name val="宋体"/>
      <charset val="134"/>
    </font>
    <font>
      <b/>
      <sz val="11"/>
      <color theme="0"/>
      <name val="等线"/>
      <charset val="134"/>
      <scheme val="minor"/>
    </font>
    <font>
      <sz val="11"/>
      <color theme="0"/>
      <name val="等线"/>
      <charset val="134"/>
      <scheme val="minor"/>
    </font>
    <font>
      <sz val="9"/>
      <color rgb="FFFF0000"/>
      <name val="微软雅黑"/>
      <charset val="134"/>
    </font>
    <font>
      <b/>
      <u val="double"/>
      <sz val="12"/>
      <color theme="1"/>
      <name val="微软雅黑"/>
      <charset val="134"/>
    </font>
    <font>
      <b/>
      <sz val="10"/>
      <color rgb="FFFF0000"/>
      <name val="微软雅黑"/>
      <charset val="134"/>
    </font>
    <font>
      <b/>
      <sz val="12"/>
      <color theme="1"/>
      <name val="微软雅黑"/>
      <charset val="134"/>
    </font>
    <font>
      <u/>
      <sz val="10"/>
      <color theme="1"/>
      <name val="微软雅黑"/>
      <charset val="134"/>
    </font>
    <font>
      <i/>
      <sz val="10"/>
      <color rgb="FFFF0000"/>
      <name val="微软雅黑"/>
      <charset val="134"/>
    </font>
    <font>
      <b/>
      <sz val="16"/>
      <color theme="1"/>
      <name val="微软雅黑"/>
      <charset val="134"/>
    </font>
    <font>
      <sz val="8"/>
      <color rgb="FFFF0000"/>
      <name val="微软雅黑"/>
      <charset val="134"/>
    </font>
    <font>
      <i/>
      <sz val="10"/>
      <name val="微软雅黑"/>
      <charset val="134"/>
    </font>
    <font>
      <sz val="8"/>
      <color theme="1"/>
      <name val="微软雅黑"/>
      <charset val="134"/>
    </font>
    <font>
      <sz val="10"/>
      <color theme="4" tint="-0.5"/>
      <name val="微软雅黑"/>
      <charset val="134"/>
    </font>
    <font>
      <sz val="10"/>
      <color theme="9" tint="-0.5"/>
      <name val="微软雅黑"/>
      <charset val="134"/>
    </font>
    <font>
      <sz val="10"/>
      <color rgb="FFFFFF00"/>
      <name val="微软雅黑"/>
      <charset val="134"/>
    </font>
    <font>
      <b/>
      <sz val="8"/>
      <color rgb="FFFF0000"/>
      <name val="微软雅黑"/>
      <charset val="134"/>
    </font>
    <font>
      <b/>
      <sz val="9"/>
      <name val="微软雅黑"/>
      <charset val="134"/>
    </font>
    <font>
      <sz val="9"/>
      <name val="微软雅黑"/>
      <charset val="134"/>
    </font>
    <font>
      <sz val="9"/>
      <color rgb="FF000000"/>
      <name val="微软雅黑"/>
      <charset val="134"/>
    </font>
    <font>
      <b/>
      <sz val="9"/>
      <color theme="0"/>
      <name val="微软雅黑"/>
      <charset val="134"/>
    </font>
    <font>
      <b/>
      <sz val="11"/>
      <color rgb="FFFF0000"/>
      <name val="微软雅黑"/>
      <charset val="134"/>
    </font>
    <font>
      <b/>
      <sz val="9"/>
      <color theme="1"/>
      <name val="微软雅黑"/>
      <charset val="134"/>
    </font>
    <font>
      <sz val="9"/>
      <color rgb="FF7030A0"/>
      <name val="微软雅黑"/>
      <charset val="134"/>
    </font>
    <font>
      <b/>
      <sz val="20"/>
      <color theme="1"/>
      <name val="微软雅黑"/>
      <charset val="134"/>
    </font>
    <font>
      <sz val="20"/>
      <color theme="1"/>
      <name val="微软雅黑"/>
      <charset val="134"/>
    </font>
    <font>
      <sz val="12"/>
      <color theme="1"/>
      <name val="微软雅黑"/>
      <charset val="134"/>
    </font>
    <font>
      <b/>
      <sz val="11"/>
      <name val="微软雅黑"/>
      <charset val="134"/>
    </font>
    <font>
      <u/>
      <sz val="11"/>
      <color theme="10"/>
      <name val="等线"/>
      <charset val="134"/>
      <scheme val="minor"/>
    </font>
    <font>
      <i/>
      <sz val="9"/>
      <color theme="1"/>
      <name val="微软雅黑"/>
      <charset val="134"/>
    </font>
    <font>
      <i/>
      <sz val="9"/>
      <color rgb="FFFF0000"/>
      <name val="微软雅黑"/>
      <charset val="134"/>
    </font>
    <font>
      <b/>
      <sz val="11"/>
      <color rgb="FF000000"/>
      <name val="微软雅黑"/>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0"/>
      <name val="MS Sans Serif"/>
      <charset val="134"/>
    </font>
    <font>
      <sz val="10"/>
      <name val="MS Sans Serif"/>
      <charset val="134"/>
    </font>
    <font>
      <sz val="11"/>
      <color indexed="8"/>
      <name val="等线"/>
      <charset val="134"/>
      <scheme val="minor"/>
    </font>
    <font>
      <sz val="9"/>
      <name val="宋体"/>
      <charset val="134"/>
    </font>
    <font>
      <b/>
      <sz val="9"/>
      <name val="宋体"/>
      <charset val="134"/>
    </font>
  </fonts>
  <fills count="67">
    <fill>
      <patternFill patternType="none"/>
    </fill>
    <fill>
      <patternFill patternType="gray125"/>
    </fill>
    <fill>
      <patternFill patternType="solid">
        <fgColor theme="1" tint="0.0499893185216834"/>
        <bgColor indexed="64"/>
      </patternFill>
    </fill>
    <fill>
      <patternFill patternType="solid">
        <fgColor rgb="FFEF949F"/>
        <bgColor indexed="64"/>
      </patternFill>
    </fill>
    <fill>
      <patternFill patternType="solid">
        <fgColor rgb="FF75BD42"/>
        <bgColor indexed="64"/>
      </patternFill>
    </fill>
    <fill>
      <patternFill patternType="solid">
        <fgColor rgb="FFFFFF00"/>
        <bgColor indexed="64"/>
      </patternFill>
    </fill>
    <fill>
      <patternFill patternType="solid">
        <fgColor rgb="FFFFF2CC"/>
        <bgColor indexed="64"/>
      </patternFill>
    </fill>
    <fill>
      <patternFill patternType="solid">
        <fgColor theme="0" tint="-0.15"/>
        <bgColor indexed="64"/>
      </patternFill>
    </fill>
    <fill>
      <patternFill patternType="solid">
        <fgColor theme="2" tint="-0.749992370372631"/>
        <bgColor indexed="64"/>
      </patternFill>
    </fill>
    <fill>
      <patternFill patternType="solid">
        <fgColor theme="4" tint="-0.249977111117893"/>
        <bgColor indexed="64"/>
      </patternFill>
    </fill>
    <fill>
      <patternFill patternType="solid">
        <fgColor theme="9" tint="0.799798577837458"/>
        <bgColor indexed="64"/>
      </patternFill>
    </fill>
    <fill>
      <patternFill patternType="gray125">
        <bgColor theme="0" tint="-0.149784844508194"/>
      </patternFill>
    </fill>
    <fill>
      <patternFill patternType="solid">
        <fgColor theme="9" tint="0.8"/>
        <bgColor indexed="64"/>
      </patternFill>
    </fill>
    <fill>
      <patternFill patternType="solid">
        <fgColor theme="7" tint="0.8"/>
        <bgColor indexed="64"/>
      </patternFill>
    </fill>
    <fill>
      <patternFill patternType="solid">
        <fgColor theme="5" tint="0.799981688894314"/>
        <bgColor indexed="64"/>
      </patternFill>
    </fill>
    <fill>
      <patternFill patternType="solid">
        <fgColor theme="1"/>
        <bgColor indexed="64"/>
      </patternFill>
    </fill>
    <fill>
      <patternFill patternType="solid">
        <fgColor theme="9" tint="0.799951170384838"/>
        <bgColor indexed="64"/>
      </patternFill>
    </fill>
    <fill>
      <patternFill patternType="solid">
        <fgColor theme="0" tint="-0.349986266670736"/>
        <bgColor indexed="64"/>
      </patternFill>
    </fill>
    <fill>
      <patternFill patternType="solid">
        <fgColor theme="7" tint="0.799798577837458"/>
        <bgColor indexed="64"/>
      </patternFill>
    </fill>
    <fill>
      <patternFill patternType="solid">
        <fgColor rgb="FF2F75B5"/>
        <bgColor indexed="64"/>
      </patternFill>
    </fill>
    <fill>
      <patternFill patternType="solid">
        <fgColor rgb="FF00FFFF"/>
        <bgColor indexed="64"/>
      </patternFill>
    </fill>
    <fill>
      <patternFill patternType="solid">
        <fgColor theme="2" tint="-0.0999786370433668"/>
        <bgColor indexed="64"/>
      </patternFill>
    </fill>
    <fill>
      <patternFill patternType="solid">
        <fgColor theme="0" tint="-0.0499893185216834"/>
        <bgColor indexed="64"/>
      </patternFill>
    </fill>
    <fill>
      <patternFill patternType="lightGray">
        <bgColor theme="0" tint="-0.149784844508194"/>
      </patternFill>
    </fill>
    <fill>
      <patternFill patternType="gray125">
        <bgColor rgb="FFFFFF00"/>
      </patternFill>
    </fill>
    <fill>
      <patternFill patternType="solid">
        <fgColor rgb="FF0070C0"/>
        <bgColor indexed="64"/>
      </patternFill>
    </fill>
    <fill>
      <patternFill patternType="solid">
        <fgColor rgb="FFFF0000"/>
        <bgColor indexed="64"/>
      </patternFill>
    </fill>
    <fill>
      <patternFill patternType="solid">
        <fgColor theme="0"/>
        <bgColor indexed="64"/>
      </patternFill>
    </fill>
    <fill>
      <patternFill patternType="solid">
        <fgColor theme="0" tint="-0.25"/>
        <bgColor indexed="64"/>
      </patternFill>
    </fill>
    <fill>
      <patternFill patternType="solid">
        <fgColor rgb="FF00B0F0"/>
        <bgColor indexed="64"/>
      </patternFill>
    </fill>
    <fill>
      <patternFill patternType="solid">
        <fgColor theme="8" tint="0.799798577837458"/>
        <bgColor indexed="64"/>
      </patternFill>
    </fill>
    <fill>
      <patternFill patternType="solid">
        <fgColor theme="2"/>
        <bgColor indexed="64"/>
      </patternFill>
    </fill>
    <fill>
      <patternFill patternType="solid">
        <fgColor rgb="FFE6E6E6"/>
        <bgColor indexed="22"/>
      </patternFill>
    </fill>
    <fill>
      <patternFill patternType="solid">
        <fgColor rgb="FFE6E6E6"/>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mediumGray">
        <fgColor indexed="22"/>
      </patternFill>
    </fill>
  </fills>
  <borders count="5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dashed">
        <color auto="1"/>
      </left>
      <right style="dashed">
        <color auto="1"/>
      </right>
      <top style="dashed">
        <color auto="1"/>
      </top>
      <bottom/>
      <diagonal/>
    </border>
    <border>
      <left style="dashed">
        <color auto="1"/>
      </left>
      <right/>
      <top style="dashed">
        <color auto="1"/>
      </top>
      <bottom/>
      <diagonal/>
    </border>
    <border>
      <left style="hair">
        <color auto="1"/>
      </left>
      <right style="hair">
        <color auto="1"/>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theme="0" tint="-0.499984740745262"/>
      </left>
      <right/>
      <top style="medium">
        <color theme="0" tint="-0.499984740745262"/>
      </top>
      <bottom style="medium">
        <color theme="8" tint="-0.499984740745262"/>
      </bottom>
      <diagonal/>
    </border>
    <border>
      <left/>
      <right/>
      <top/>
      <bottom style="medium">
        <color auto="1"/>
      </bottom>
      <diagonal/>
    </border>
    <border>
      <left style="thin">
        <color theme="0" tint="-0.499984740745262"/>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top/>
      <bottom/>
      <diagonal/>
    </border>
    <border>
      <left style="thin">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2" fillId="0" borderId="0" applyNumberFormat="0" applyFill="0" applyBorder="0" applyAlignment="0" applyProtection="0"/>
    <xf numFmtId="0" fontId="86" fillId="0" borderId="0" applyNumberFormat="0" applyFill="0" applyBorder="0" applyAlignment="0" applyProtection="0">
      <alignment vertical="center"/>
    </xf>
    <xf numFmtId="0" fontId="0" fillId="36" borderId="42" applyNumberFormat="0" applyFont="0" applyAlignment="0" applyProtection="0">
      <alignment vertical="center"/>
    </xf>
    <xf numFmtId="0" fontId="87"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90" fillId="0" borderId="43" applyNumberFormat="0" applyFill="0" applyAlignment="0" applyProtection="0">
      <alignment vertical="center"/>
    </xf>
    <xf numFmtId="0" fontId="91" fillId="0" borderId="43" applyNumberFormat="0" applyFill="0" applyAlignment="0" applyProtection="0">
      <alignment vertical="center"/>
    </xf>
    <xf numFmtId="0" fontId="92" fillId="0" borderId="44" applyNumberFormat="0" applyFill="0" applyAlignment="0" applyProtection="0">
      <alignment vertical="center"/>
    </xf>
    <xf numFmtId="0" fontId="92" fillId="0" borderId="0" applyNumberFormat="0" applyFill="0" applyBorder="0" applyAlignment="0" applyProtection="0">
      <alignment vertical="center"/>
    </xf>
    <xf numFmtId="0" fontId="93" fillId="37" borderId="45" applyNumberFormat="0" applyAlignment="0" applyProtection="0">
      <alignment vertical="center"/>
    </xf>
    <xf numFmtId="0" fontId="94" fillId="38" borderId="46" applyNumberFormat="0" applyAlignment="0" applyProtection="0">
      <alignment vertical="center"/>
    </xf>
    <xf numFmtId="0" fontId="95" fillId="38" borderId="45" applyNumberFormat="0" applyAlignment="0" applyProtection="0">
      <alignment vertical="center"/>
    </xf>
    <xf numFmtId="0" fontId="96" fillId="39" borderId="47" applyNumberFormat="0" applyAlignment="0" applyProtection="0">
      <alignment vertical="center"/>
    </xf>
    <xf numFmtId="0" fontId="97" fillId="0" borderId="48" applyNumberFormat="0" applyFill="0" applyAlignment="0" applyProtection="0">
      <alignment vertical="center"/>
    </xf>
    <xf numFmtId="0" fontId="98" fillId="0" borderId="49" applyNumberFormat="0" applyFill="0" applyAlignment="0" applyProtection="0">
      <alignment vertical="center"/>
    </xf>
    <xf numFmtId="0" fontId="99" fillId="40" borderId="0" applyNumberFormat="0" applyBorder="0" applyAlignment="0" applyProtection="0">
      <alignment vertical="center"/>
    </xf>
    <xf numFmtId="0" fontId="100" fillId="41" borderId="0" applyNumberFormat="0" applyBorder="0" applyAlignment="0" applyProtection="0">
      <alignment vertical="center"/>
    </xf>
    <xf numFmtId="0" fontId="101" fillId="42" borderId="0" applyNumberFormat="0" applyBorder="0" applyAlignment="0" applyProtection="0">
      <alignment vertical="center"/>
    </xf>
    <xf numFmtId="0" fontId="102" fillId="43" borderId="0" applyNumberFormat="0" applyBorder="0" applyAlignment="0" applyProtection="0">
      <alignment vertical="center"/>
    </xf>
    <xf numFmtId="0" fontId="103" fillId="44" borderId="0" applyNumberFormat="0" applyBorder="0" applyAlignment="0" applyProtection="0">
      <alignment vertical="center"/>
    </xf>
    <xf numFmtId="0" fontId="103" fillId="45" borderId="0" applyNumberFormat="0" applyBorder="0" applyAlignment="0" applyProtection="0">
      <alignment vertical="center"/>
    </xf>
    <xf numFmtId="0" fontId="102" fillId="46" borderId="0" applyNumberFormat="0" applyBorder="0" applyAlignment="0" applyProtection="0">
      <alignment vertical="center"/>
    </xf>
    <xf numFmtId="0" fontId="102" fillId="47" borderId="0" applyNumberFormat="0" applyBorder="0" applyAlignment="0" applyProtection="0">
      <alignment vertical="center"/>
    </xf>
    <xf numFmtId="0" fontId="103" fillId="14" borderId="0" applyNumberFormat="0" applyBorder="0" applyAlignment="0" applyProtection="0">
      <alignment vertical="center"/>
    </xf>
    <xf numFmtId="0" fontId="103" fillId="48" borderId="0" applyNumberFormat="0" applyBorder="0" applyAlignment="0" applyProtection="0">
      <alignment vertical="center"/>
    </xf>
    <xf numFmtId="0" fontId="102" fillId="49" borderId="0" applyNumberFormat="0" applyBorder="0" applyAlignment="0" applyProtection="0">
      <alignment vertical="center"/>
    </xf>
    <xf numFmtId="0" fontId="102" fillId="50" borderId="0" applyNumberFormat="0" applyBorder="0" applyAlignment="0" applyProtection="0">
      <alignment vertical="center"/>
    </xf>
    <xf numFmtId="0" fontId="103" fillId="51" borderId="0" applyNumberFormat="0" applyBorder="0" applyAlignment="0" applyProtection="0">
      <alignment vertical="center"/>
    </xf>
    <xf numFmtId="0" fontId="103" fillId="52" borderId="0" applyNumberFormat="0" applyBorder="0" applyAlignment="0" applyProtection="0">
      <alignment vertical="center"/>
    </xf>
    <xf numFmtId="0" fontId="102" fillId="53" borderId="0" applyNumberFormat="0" applyBorder="0" applyAlignment="0" applyProtection="0">
      <alignment vertical="center"/>
    </xf>
    <xf numFmtId="0" fontId="102" fillId="54" borderId="0" applyNumberFormat="0" applyBorder="0" applyAlignment="0" applyProtection="0">
      <alignment vertical="center"/>
    </xf>
    <xf numFmtId="0" fontId="103" fillId="55" borderId="0" applyNumberFormat="0" applyBorder="0" applyAlignment="0" applyProtection="0">
      <alignment vertical="center"/>
    </xf>
    <xf numFmtId="0" fontId="103" fillId="56" borderId="0" applyNumberFormat="0" applyBorder="0" applyAlignment="0" applyProtection="0">
      <alignment vertical="center"/>
    </xf>
    <xf numFmtId="0" fontId="102" fillId="57" borderId="0" applyNumberFormat="0" applyBorder="0" applyAlignment="0" applyProtection="0">
      <alignment vertical="center"/>
    </xf>
    <xf numFmtId="0" fontId="102" fillId="58" borderId="0" applyNumberFormat="0" applyBorder="0" applyAlignment="0" applyProtection="0">
      <alignment vertical="center"/>
    </xf>
    <xf numFmtId="0" fontId="103" fillId="59" borderId="0" applyNumberFormat="0" applyBorder="0" applyAlignment="0" applyProtection="0">
      <alignment vertical="center"/>
    </xf>
    <xf numFmtId="0" fontId="103" fillId="60" borderId="0" applyNumberFormat="0" applyBorder="0" applyAlignment="0" applyProtection="0">
      <alignment vertical="center"/>
    </xf>
    <xf numFmtId="0" fontId="102" fillId="61" borderId="0" applyNumberFormat="0" applyBorder="0" applyAlignment="0" applyProtection="0">
      <alignment vertical="center"/>
    </xf>
    <xf numFmtId="0" fontId="102" fillId="62" borderId="0" applyNumberFormat="0" applyBorder="0" applyAlignment="0" applyProtection="0">
      <alignment vertical="center"/>
    </xf>
    <xf numFmtId="0" fontId="103" fillId="63" borderId="0" applyNumberFormat="0" applyBorder="0" applyAlignment="0" applyProtection="0">
      <alignment vertical="center"/>
    </xf>
    <xf numFmtId="0" fontId="103" fillId="64" borderId="0" applyNumberFormat="0" applyBorder="0" applyAlignment="0" applyProtection="0">
      <alignment vertical="center"/>
    </xf>
    <xf numFmtId="0" fontId="102" fillId="65" borderId="0" applyNumberFormat="0" applyBorder="0" applyAlignment="0" applyProtection="0">
      <alignment vertical="center"/>
    </xf>
    <xf numFmtId="0" fontId="104" fillId="0" borderId="27">
      <alignment horizontal="center"/>
    </xf>
    <xf numFmtId="0" fontId="105" fillId="66" borderId="0" applyNumberFormat="0" applyFont="0" applyBorder="0" applyAlignment="0" applyProtection="0"/>
    <xf numFmtId="0" fontId="0" fillId="0" borderId="0">
      <alignment vertical="center"/>
    </xf>
    <xf numFmtId="0" fontId="106" fillId="0" borderId="0">
      <alignment vertical="center"/>
    </xf>
    <xf numFmtId="176" fontId="0" fillId="0" borderId="0"/>
    <xf numFmtId="0" fontId="106" fillId="0" borderId="0">
      <alignment vertical="center"/>
    </xf>
    <xf numFmtId="0" fontId="0" fillId="0" borderId="0"/>
    <xf numFmtId="0" fontId="0" fillId="0" borderId="0">
      <alignment vertical="center"/>
    </xf>
    <xf numFmtId="177"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178" fontId="0" fillId="0" borderId="0">
      <alignment vertical="center"/>
    </xf>
  </cellStyleXfs>
  <cellXfs count="832">
    <xf numFmtId="0" fontId="0" fillId="0" borderId="0" xfId="0"/>
    <xf numFmtId="0" fontId="1" fillId="0" borderId="0" xfId="0" applyFont="1" applyAlignment="1" applyProtection="1">
      <alignment vertical="center"/>
      <protection locked="0"/>
    </xf>
    <xf numFmtId="179" fontId="1" fillId="0" borderId="0" xfId="1" applyNumberFormat="1" applyFont="1" applyAlignment="1" applyProtection="1">
      <alignment vertical="center"/>
      <protection locked="0"/>
    </xf>
    <xf numFmtId="179" fontId="1" fillId="0" borderId="0" xfId="1" applyNumberFormat="1" applyFont="1" applyAlignment="1" applyProtection="1">
      <alignment horizontal="center" vertical="center"/>
      <protection locked="0"/>
    </xf>
    <xf numFmtId="0" fontId="1" fillId="0" borderId="0" xfId="0" applyFont="1" applyAlignment="1" applyProtection="1">
      <alignment horizontal="center" vertical="center"/>
      <protection locked="0"/>
    </xf>
    <xf numFmtId="180" fontId="1" fillId="0" borderId="0" xfId="1" applyNumberFormat="1" applyFont="1" applyAlignment="1" applyProtection="1">
      <alignment horizontal="center" vertical="center"/>
      <protection locked="0"/>
    </xf>
    <xf numFmtId="0" fontId="0" fillId="0" borderId="0" xfId="0" applyProtection="1">
      <protection locked="0"/>
    </xf>
    <xf numFmtId="180" fontId="2" fillId="0" borderId="0" xfId="1" applyNumberFormat="1" applyFont="1" applyAlignment="1" applyProtection="1">
      <alignment horizontal="center" vertical="center"/>
      <protection locked="0"/>
    </xf>
    <xf numFmtId="181" fontId="1" fillId="0" borderId="0" xfId="1" applyNumberFormat="1" applyFont="1" applyAlignment="1" applyProtection="1">
      <alignment horizontal="center" vertical="center"/>
      <protection locked="0"/>
    </xf>
    <xf numFmtId="0" fontId="3" fillId="0" borderId="0" xfId="0" applyFont="1" applyAlignment="1" applyProtection="1">
      <alignment vertical="center"/>
      <protection locked="0"/>
    </xf>
    <xf numFmtId="0" fontId="4" fillId="0" borderId="0" xfId="0" applyFont="1" applyAlignment="1" applyProtection="1">
      <alignment vertical="center"/>
      <protection locked="0"/>
    </xf>
    <xf numFmtId="0" fontId="5" fillId="2" borderId="1" xfId="0" applyFont="1" applyFill="1" applyBorder="1" applyAlignment="1" applyProtection="1">
      <alignment horizontal="center" vertical="center"/>
    </xf>
    <xf numFmtId="0" fontId="6" fillId="3" borderId="2" xfId="0" applyFont="1" applyFill="1" applyBorder="1" applyAlignment="1" applyProtection="1">
      <alignment horizontal="center" vertical="center" wrapText="1"/>
    </xf>
    <xf numFmtId="180" fontId="5" fillId="2" borderId="1" xfId="1" applyNumberFormat="1" applyFont="1" applyFill="1" applyBorder="1" applyAlignment="1" applyProtection="1">
      <alignment horizontal="center" vertical="center" wrapText="1"/>
    </xf>
    <xf numFmtId="0" fontId="6" fillId="4" borderId="2" xfId="0" applyFont="1" applyFill="1" applyBorder="1" applyAlignment="1" applyProtection="1">
      <alignment horizontal="center" vertical="center"/>
    </xf>
    <xf numFmtId="0" fontId="7" fillId="2" borderId="0" xfId="0" applyFont="1" applyFill="1" applyAlignment="1" applyProtection="1">
      <alignment horizontal="center" vertical="center" wrapText="1"/>
    </xf>
    <xf numFmtId="0" fontId="8" fillId="0" borderId="1" xfId="0" applyFont="1" applyBorder="1" applyAlignment="1" applyProtection="1">
      <alignment horizontal="center" vertical="center"/>
    </xf>
    <xf numFmtId="0" fontId="9" fillId="0" borderId="1" xfId="0" applyFont="1" applyBorder="1" applyAlignment="1" applyProtection="1">
      <alignment horizontal="center" vertical="center"/>
    </xf>
    <xf numFmtId="180" fontId="9" fillId="0" borderId="1" xfId="1" applyNumberFormat="1" applyFont="1" applyBorder="1" applyAlignment="1" applyProtection="1">
      <alignment horizontal="center" vertical="center"/>
    </xf>
    <xf numFmtId="179" fontId="10" fillId="0" borderId="1" xfId="0" applyNumberFormat="1" applyFont="1" applyBorder="1" applyAlignment="1" applyProtection="1">
      <alignment horizontal="center" vertical="center"/>
    </xf>
    <xf numFmtId="0" fontId="1" fillId="0" borderId="0" xfId="0" applyFont="1" applyAlignment="1" applyProtection="1">
      <alignment vertical="center"/>
    </xf>
    <xf numFmtId="0" fontId="3" fillId="0" borderId="1" xfId="0" applyFont="1" applyBorder="1" applyAlignment="1" applyProtection="1">
      <alignment horizontal="center" vertical="center"/>
      <protection locked="0"/>
    </xf>
    <xf numFmtId="0" fontId="11" fillId="0" borderId="1" xfId="0" applyFont="1" applyBorder="1" applyAlignment="1" applyProtection="1">
      <alignment horizontal="center" vertical="center"/>
    </xf>
    <xf numFmtId="180" fontId="9" fillId="0" borderId="1" xfId="1" applyNumberFormat="1" applyFont="1" applyFill="1" applyBorder="1" applyAlignment="1" applyProtection="1">
      <alignment horizontal="center" vertical="center"/>
    </xf>
    <xf numFmtId="179" fontId="10" fillId="5" borderId="1" xfId="0" applyNumberFormat="1" applyFont="1" applyFill="1" applyBorder="1" applyAlignment="1" applyProtection="1">
      <alignment horizontal="center" vertical="center"/>
    </xf>
    <xf numFmtId="0" fontId="12" fillId="0" borderId="0" xfId="0" applyFont="1" applyAlignment="1" applyProtection="1">
      <alignment vertical="center"/>
    </xf>
    <xf numFmtId="0" fontId="12" fillId="0" borderId="0" xfId="0" applyFont="1" applyAlignment="1" applyProtection="1">
      <alignment vertical="center"/>
      <protection locked="0"/>
    </xf>
    <xf numFmtId="179" fontId="10" fillId="0" borderId="1" xfId="0" applyNumberFormat="1" applyFont="1" applyFill="1" applyBorder="1" applyAlignment="1" applyProtection="1">
      <alignment horizontal="center" vertical="center"/>
    </xf>
    <xf numFmtId="0" fontId="2" fillId="0" borderId="0" xfId="0" applyFont="1" applyAlignment="1" applyProtection="1">
      <alignment vertical="center"/>
      <protection locked="0"/>
    </xf>
    <xf numFmtId="0" fontId="8" fillId="0" borderId="0" xfId="0" applyFont="1" applyAlignment="1" applyProtection="1">
      <alignment horizontal="center" vertical="center"/>
      <protection locked="0"/>
    </xf>
    <xf numFmtId="0" fontId="11" fillId="0" borderId="0" xfId="0" applyFont="1" applyAlignment="1" applyProtection="1">
      <alignment horizontal="center" vertical="center"/>
      <protection locked="0"/>
    </xf>
    <xf numFmtId="180" fontId="9" fillId="0" borderId="0" xfId="1" applyNumberFormat="1" applyFont="1" applyBorder="1" applyAlignment="1" applyProtection="1">
      <alignment horizontal="center" vertical="center"/>
      <protection locked="0"/>
    </xf>
    <xf numFmtId="0" fontId="13" fillId="0" borderId="1" xfId="0" applyFont="1" applyBorder="1" applyAlignment="1" applyProtection="1">
      <alignment horizontal="left" vertical="center"/>
      <protection locked="0"/>
    </xf>
    <xf numFmtId="0" fontId="11" fillId="0" borderId="1" xfId="0" applyFont="1" applyBorder="1" applyAlignment="1" applyProtection="1">
      <alignment horizontal="center" vertical="center"/>
      <protection locked="0"/>
    </xf>
    <xf numFmtId="0" fontId="2" fillId="0" borderId="1" xfId="0" applyFont="1" applyBorder="1" applyAlignment="1" applyProtection="1">
      <alignment vertical="center"/>
      <protection locked="0"/>
    </xf>
    <xf numFmtId="0" fontId="1" fillId="0" borderId="1" xfId="0" applyFont="1" applyBorder="1" applyAlignment="1" applyProtection="1">
      <alignment vertical="center"/>
      <protection locked="0"/>
    </xf>
    <xf numFmtId="0" fontId="11" fillId="0" borderId="1" xfId="0" applyFont="1" applyBorder="1" applyAlignment="1" applyProtection="1">
      <alignment horizontal="left" vertical="center"/>
    </xf>
    <xf numFmtId="43" fontId="11" fillId="0" borderId="1" xfId="0" applyNumberFormat="1" applyFont="1" applyBorder="1" applyAlignment="1" applyProtection="1">
      <alignment horizontal="left" vertical="center"/>
    </xf>
    <xf numFmtId="0" fontId="14" fillId="0" borderId="0" xfId="0" applyFont="1" applyProtection="1">
      <protection locked="0"/>
    </xf>
    <xf numFmtId="0" fontId="11" fillId="0" borderId="1" xfId="0" applyFont="1" applyBorder="1" applyAlignment="1" applyProtection="1">
      <alignment horizontal="left" vertical="center" wrapText="1"/>
    </xf>
    <xf numFmtId="0" fontId="14" fillId="0" borderId="0" xfId="0" applyFont="1" applyAlignment="1" applyProtection="1">
      <alignment wrapText="1"/>
      <protection locked="0"/>
    </xf>
    <xf numFmtId="0" fontId="15" fillId="0" borderId="1" xfId="0" applyFont="1" applyBorder="1" applyAlignment="1" applyProtection="1">
      <alignment horizontal="left" vertical="center" wrapText="1"/>
    </xf>
    <xf numFmtId="9" fontId="11" fillId="6" borderId="1" xfId="0" applyNumberFormat="1" applyFont="1" applyFill="1" applyBorder="1" applyAlignment="1" applyProtection="1">
      <alignment horizontal="left" vertical="center" wrapText="1"/>
    </xf>
    <xf numFmtId="9" fontId="11" fillId="6" borderId="1" xfId="0" applyNumberFormat="1" applyFont="1" applyFill="1" applyBorder="1" applyAlignment="1" applyProtection="1">
      <alignment horizontal="left" vertical="center" wrapText="1"/>
      <protection locked="0"/>
    </xf>
    <xf numFmtId="43" fontId="11" fillId="0" borderId="1" xfId="0" applyNumberFormat="1" applyFont="1" applyBorder="1" applyAlignment="1" applyProtection="1">
      <alignment horizontal="left" vertical="center" wrapText="1"/>
    </xf>
    <xf numFmtId="43" fontId="11" fillId="0" borderId="1" xfId="0" applyNumberFormat="1" applyFont="1" applyBorder="1" applyAlignment="1" applyProtection="1">
      <alignment horizontal="left" vertical="center" wrapText="1"/>
      <protection locked="0"/>
    </xf>
    <xf numFmtId="10" fontId="11" fillId="0" borderId="1" xfId="0" applyNumberFormat="1" applyFont="1" applyBorder="1" applyAlignment="1" applyProtection="1">
      <alignment horizontal="left" vertical="center" wrapText="1"/>
    </xf>
    <xf numFmtId="10" fontId="11" fillId="0" borderId="1" xfId="0" applyNumberFormat="1" applyFont="1" applyBorder="1" applyAlignment="1" applyProtection="1">
      <alignment horizontal="left" vertical="center" wrapText="1"/>
      <protection locked="0"/>
    </xf>
    <xf numFmtId="0" fontId="14" fillId="0" borderId="0" xfId="0" applyFont="1" applyAlignment="1" applyProtection="1">
      <alignment wrapText="1"/>
    </xf>
    <xf numFmtId="10" fontId="14" fillId="0" borderId="0" xfId="0" applyNumberFormat="1" applyFont="1" applyProtection="1">
      <protection locked="0"/>
    </xf>
    <xf numFmtId="0" fontId="16" fillId="0" borderId="1" xfId="0" applyFont="1" applyBorder="1" applyAlignment="1" applyProtection="1">
      <alignment horizontal="left"/>
    </xf>
    <xf numFmtId="182" fontId="17" fillId="0" borderId="1" xfId="0" applyNumberFormat="1" applyFont="1" applyBorder="1" applyAlignment="1" applyProtection="1">
      <alignment horizontal="left"/>
    </xf>
    <xf numFmtId="182" fontId="16" fillId="0" borderId="1" xfId="0" applyNumberFormat="1" applyFont="1" applyBorder="1" applyAlignment="1" applyProtection="1">
      <alignment horizontal="left"/>
    </xf>
    <xf numFmtId="10" fontId="16" fillId="0" borderId="1" xfId="0" applyNumberFormat="1" applyFont="1" applyBorder="1" applyAlignment="1" applyProtection="1">
      <alignment horizontal="left"/>
    </xf>
    <xf numFmtId="0" fontId="18" fillId="0" borderId="0" xfId="0" applyFont="1" applyAlignment="1" applyProtection="1">
      <alignment horizontal="left"/>
    </xf>
    <xf numFmtId="0" fontId="14" fillId="0" borderId="0" xfId="0" applyFont="1" applyProtection="1"/>
    <xf numFmtId="0" fontId="16" fillId="0" borderId="1" xfId="0" applyFont="1" applyBorder="1" applyAlignment="1" applyProtection="1">
      <alignment horizontal="left" vertical="center"/>
    </xf>
    <xf numFmtId="182" fontId="19" fillId="0" borderId="1" xfId="0" applyNumberFormat="1" applyFont="1" applyBorder="1" applyAlignment="1" applyProtection="1">
      <alignment horizontal="left"/>
    </xf>
    <xf numFmtId="10" fontId="19" fillId="0" borderId="1" xfId="0" applyNumberFormat="1" applyFont="1" applyBorder="1" applyAlignment="1" applyProtection="1">
      <alignment horizontal="left"/>
    </xf>
    <xf numFmtId="0" fontId="19" fillId="0" borderId="1" xfId="0" applyFont="1" applyBorder="1" applyAlignment="1" applyProtection="1">
      <alignment horizontal="left"/>
    </xf>
    <xf numFmtId="0" fontId="20" fillId="0" borderId="0" xfId="0" applyFont="1" applyAlignment="1" applyProtection="1">
      <alignment horizontal="left"/>
    </xf>
    <xf numFmtId="10" fontId="14" fillId="0" borderId="0" xfId="0" applyNumberFormat="1" applyFont="1" applyProtection="1"/>
    <xf numFmtId="183" fontId="21" fillId="0" borderId="1" xfId="0" applyNumberFormat="1" applyFont="1" applyBorder="1" applyProtection="1"/>
    <xf numFmtId="0" fontId="22" fillId="7" borderId="1" xfId="0" applyFont="1" applyFill="1" applyBorder="1" applyAlignment="1" applyProtection="1">
      <alignment vertical="center" wrapText="1"/>
    </xf>
    <xf numFmtId="183" fontId="22" fillId="7" borderId="1" xfId="0" applyNumberFormat="1" applyFont="1" applyFill="1" applyBorder="1" applyAlignment="1" applyProtection="1">
      <alignment vertical="center" wrapText="1"/>
    </xf>
    <xf numFmtId="182" fontId="22" fillId="7" borderId="1" xfId="0" applyNumberFormat="1" applyFont="1" applyFill="1" applyBorder="1" applyAlignment="1" applyProtection="1">
      <alignment horizontal="right"/>
    </xf>
    <xf numFmtId="10" fontId="22" fillId="7" borderId="1" xfId="0" applyNumberFormat="1" applyFont="1" applyFill="1" applyBorder="1" applyAlignment="1" applyProtection="1">
      <alignment horizontal="right"/>
    </xf>
    <xf numFmtId="0" fontId="22" fillId="7" borderId="3" xfId="0" applyFont="1" applyFill="1" applyBorder="1" applyAlignment="1" applyProtection="1">
      <alignment vertical="center" wrapText="1"/>
    </xf>
    <xf numFmtId="10" fontId="14" fillId="7" borderId="0" xfId="0" applyNumberFormat="1" applyFont="1" applyFill="1" applyProtection="1"/>
    <xf numFmtId="183" fontId="23" fillId="7" borderId="1" xfId="0" applyNumberFormat="1" applyFont="1" applyFill="1" applyBorder="1" applyProtection="1"/>
    <xf numFmtId="10" fontId="24" fillId="0" borderId="1" xfId="0" applyNumberFormat="1" applyFont="1" applyBorder="1" applyAlignment="1" applyProtection="1">
      <alignment horizontal="left"/>
    </xf>
    <xf numFmtId="0" fontId="25" fillId="0" borderId="0" xfId="0" applyFont="1" applyAlignment="1" applyProtection="1">
      <alignment horizontal="left"/>
    </xf>
    <xf numFmtId="0" fontId="10" fillId="0" borderId="0" xfId="0" applyFont="1" applyProtection="1">
      <protection locked="0"/>
    </xf>
    <xf numFmtId="183" fontId="26" fillId="0" borderId="1" xfId="0" applyNumberFormat="1" applyFont="1" applyBorder="1" applyProtection="1">
      <protection locked="0"/>
    </xf>
    <xf numFmtId="0" fontId="27" fillId="0" borderId="0" xfId="0" applyFont="1" applyProtection="1">
      <protection locked="0"/>
    </xf>
    <xf numFmtId="0" fontId="10" fillId="0" borderId="1" xfId="0" applyFont="1" applyBorder="1" applyProtection="1">
      <protection locked="0"/>
    </xf>
    <xf numFmtId="9" fontId="10" fillId="0" borderId="1" xfId="0" applyNumberFormat="1" applyFont="1" applyBorder="1" applyProtection="1">
      <protection locked="0"/>
    </xf>
    <xf numFmtId="10" fontId="10" fillId="0" borderId="1" xfId="3" applyNumberFormat="1" applyFont="1" applyBorder="1" applyAlignment="1" applyProtection="1">
      <protection locked="0"/>
    </xf>
    <xf numFmtId="0" fontId="2" fillId="0" borderId="0" xfId="0" applyFont="1" applyProtection="1">
      <protection locked="0"/>
    </xf>
    <xf numFmtId="10" fontId="10" fillId="0" borderId="1" xfId="0" applyNumberFormat="1" applyFont="1" applyBorder="1" applyProtection="1">
      <protection locked="0"/>
    </xf>
    <xf numFmtId="0" fontId="28" fillId="0" borderId="0" xfId="0" applyFont="1"/>
    <xf numFmtId="0" fontId="1" fillId="0" borderId="0" xfId="0" applyFont="1"/>
    <xf numFmtId="0" fontId="1" fillId="0" borderId="0" xfId="0" applyFont="1" applyAlignment="1">
      <alignment vertical="center"/>
    </xf>
    <xf numFmtId="14" fontId="29" fillId="0" borderId="1" xfId="52" applyNumberFormat="1" applyFont="1" applyBorder="1" applyAlignment="1">
      <alignment horizontal="center" vertical="center" wrapText="1"/>
    </xf>
    <xf numFmtId="14" fontId="29" fillId="8" borderId="1" xfId="52" applyNumberFormat="1" applyFont="1" applyFill="1" applyBorder="1" applyAlignment="1">
      <alignment horizontal="center" vertical="center" wrapText="1"/>
    </xf>
    <xf numFmtId="0" fontId="30" fillId="9" borderId="1" xfId="0" applyFont="1" applyFill="1" applyBorder="1" applyAlignment="1">
      <alignment vertical="center" wrapText="1"/>
    </xf>
    <xf numFmtId="49" fontId="28" fillId="0" borderId="1" xfId="52" applyNumberFormat="1" applyFont="1" applyBorder="1" applyAlignment="1">
      <alignment horizontal="left" vertical="center"/>
    </xf>
    <xf numFmtId="0" fontId="28" fillId="0" borderId="1" xfId="52" applyFont="1" applyBorder="1">
      <alignment vertical="center"/>
    </xf>
    <xf numFmtId="0" fontId="15" fillId="10" borderId="1" xfId="0" applyFont="1" applyFill="1" applyBorder="1" applyAlignment="1">
      <alignment vertical="center" wrapText="1"/>
    </xf>
    <xf numFmtId="0" fontId="28" fillId="0" borderId="1" xfId="0" applyFont="1" applyBorder="1" applyAlignment="1">
      <alignment vertical="center"/>
    </xf>
    <xf numFmtId="0" fontId="28" fillId="0" borderId="1" xfId="0" applyFont="1" applyBorder="1" applyAlignment="1">
      <alignment vertical="center" wrapText="1"/>
    </xf>
    <xf numFmtId="49" fontId="11" fillId="0" borderId="1" xfId="52" applyNumberFormat="1" applyFont="1" applyBorder="1" applyAlignment="1">
      <alignment horizontal="left" vertical="center"/>
    </xf>
    <xf numFmtId="0" fontId="13" fillId="11" borderId="1" xfId="0" applyFont="1" applyFill="1" applyBorder="1" applyAlignment="1" applyProtection="1">
      <alignment horizontal="right" vertical="center" wrapText="1"/>
      <protection locked="0"/>
    </xf>
    <xf numFmtId="0" fontId="13" fillId="11" borderId="1" xfId="0" applyFont="1" applyFill="1" applyBorder="1" applyAlignment="1" applyProtection="1">
      <alignment horizontal="right" vertical="center"/>
      <protection locked="0"/>
    </xf>
    <xf numFmtId="0" fontId="28" fillId="0" borderId="1" xfId="0" applyFont="1" applyBorder="1" applyAlignment="1">
      <alignment horizontal="left" vertical="center" wrapText="1"/>
    </xf>
    <xf numFmtId="0" fontId="31" fillId="0" borderId="1" xfId="0" applyFont="1" applyBorder="1" applyAlignment="1">
      <alignment horizontal="right" vertical="center" wrapText="1"/>
    </xf>
    <xf numFmtId="179" fontId="28" fillId="0" borderId="0" xfId="1" applyNumberFormat="1" applyFont="1" applyAlignment="1"/>
    <xf numFmtId="0" fontId="32" fillId="5" borderId="0" xfId="0" applyFont="1" applyFill="1"/>
    <xf numFmtId="0" fontId="33" fillId="0" borderId="0" xfId="0" applyFont="1"/>
    <xf numFmtId="179" fontId="28" fillId="0" borderId="0" xfId="0" applyNumberFormat="1" applyFont="1"/>
    <xf numFmtId="179" fontId="33" fillId="0" borderId="0" xfId="0" applyNumberFormat="1" applyFont="1"/>
    <xf numFmtId="179" fontId="0" fillId="0" borderId="0" xfId="1" applyNumberFormat="1" applyFont="1" applyAlignment="1"/>
    <xf numFmtId="0" fontId="34" fillId="0" borderId="0" xfId="0" applyFont="1"/>
    <xf numFmtId="0" fontId="3" fillId="0" borderId="1" xfId="0" applyFont="1" applyBorder="1" applyAlignment="1">
      <alignment vertical="center"/>
    </xf>
    <xf numFmtId="0" fontId="3" fillId="0" borderId="0" xfId="0" applyFont="1" applyAlignment="1">
      <alignment vertical="center"/>
    </xf>
    <xf numFmtId="0" fontId="1" fillId="12" borderId="1" xfId="0" applyFont="1" applyFill="1" applyBorder="1"/>
    <xf numFmtId="0" fontId="1" fillId="0" borderId="1" xfId="0" applyFont="1" applyBorder="1"/>
    <xf numFmtId="0" fontId="1" fillId="0" borderId="1" xfId="0" applyFont="1" applyBorder="1" applyAlignment="1">
      <alignment vertical="center"/>
    </xf>
    <xf numFmtId="0" fontId="35" fillId="12" borderId="1" xfId="0" applyFont="1" applyFill="1" applyBorder="1"/>
    <xf numFmtId="0" fontId="2" fillId="12" borderId="1" xfId="0" applyFont="1" applyFill="1" applyBorder="1"/>
    <xf numFmtId="0" fontId="2" fillId="0" borderId="0" xfId="0" applyFont="1"/>
    <xf numFmtId="0" fontId="1" fillId="12" borderId="1" xfId="0" applyFont="1" applyFill="1" applyBorder="1" applyAlignment="1">
      <alignment horizontal="left" vertical="center"/>
    </xf>
    <xf numFmtId="0" fontId="35" fillId="0" borderId="1" xfId="0" applyFont="1" applyBorder="1"/>
    <xf numFmtId="0" fontId="12" fillId="12" borderId="1" xfId="0" applyFont="1" applyFill="1" applyBorder="1"/>
    <xf numFmtId="0" fontId="36" fillId="0" borderId="1" xfId="0" applyFont="1" applyBorder="1"/>
    <xf numFmtId="0" fontId="35" fillId="12" borderId="1" xfId="0" applyFont="1" applyFill="1" applyBorder="1" applyAlignment="1">
      <alignment vertical="center"/>
    </xf>
    <xf numFmtId="0" fontId="1" fillId="12" borderId="1" xfId="0" applyFont="1" applyFill="1" applyBorder="1" applyAlignment="1">
      <alignment vertical="center"/>
    </xf>
    <xf numFmtId="0" fontId="2" fillId="12" borderId="1" xfId="0" applyFont="1" applyFill="1" applyBorder="1" applyAlignment="1">
      <alignment vertical="center"/>
    </xf>
    <xf numFmtId="0" fontId="9" fillId="12" borderId="1" xfId="0" applyFont="1" applyFill="1" applyBorder="1"/>
    <xf numFmtId="0" fontId="37" fillId="12" borderId="1" xfId="0" applyFont="1" applyFill="1" applyBorder="1"/>
    <xf numFmtId="0" fontId="13" fillId="12" borderId="1" xfId="0" applyFont="1" applyFill="1" applyBorder="1" applyAlignment="1">
      <alignment vertical="center"/>
    </xf>
    <xf numFmtId="0" fontId="38" fillId="12" borderId="1" xfId="0" applyFont="1" applyFill="1" applyBorder="1"/>
    <xf numFmtId="0" fontId="39" fillId="12" borderId="1" xfId="0" applyFont="1" applyFill="1" applyBorder="1" applyAlignment="1">
      <alignment vertical="center"/>
    </xf>
    <xf numFmtId="0" fontId="9" fillId="0" borderId="1" xfId="0" applyFont="1" applyFill="1" applyBorder="1" applyAlignment="1">
      <alignment horizontal="left" vertical="center"/>
    </xf>
    <xf numFmtId="0" fontId="1" fillId="0" borderId="0" xfId="0" applyFont="1" applyAlignment="1">
      <alignment wrapText="1"/>
    </xf>
    <xf numFmtId="0" fontId="1" fillId="12" borderId="1" xfId="0" applyFont="1" applyFill="1" applyBorder="1" applyAlignment="1">
      <alignment vertical="center" wrapText="1"/>
    </xf>
    <xf numFmtId="0" fontId="40" fillId="0" borderId="1" xfId="0" applyFont="1" applyFill="1" applyBorder="1" applyAlignment="1">
      <alignment vertical="center" wrapText="1"/>
    </xf>
    <xf numFmtId="0" fontId="9" fillId="12" borderId="1" xfId="0" applyFont="1" applyFill="1" applyBorder="1" applyAlignment="1">
      <alignment vertical="center"/>
    </xf>
    <xf numFmtId="0" fontId="28" fillId="0" borderId="0" xfId="0" applyFont="1" applyAlignment="1">
      <alignment vertical="center" wrapText="1"/>
    </xf>
    <xf numFmtId="0" fontId="1" fillId="12" borderId="1" xfId="0" applyFont="1" applyFill="1" applyBorder="1" applyAlignment="1"/>
    <xf numFmtId="0" fontId="1" fillId="12" borderId="0" xfId="0" applyFont="1" applyFill="1"/>
    <xf numFmtId="0" fontId="1" fillId="0" borderId="0" xfId="0" applyFont="1" applyFill="1"/>
    <xf numFmtId="0" fontId="41" fillId="0" borderId="0" xfId="0" applyFont="1" applyAlignment="1">
      <alignment vertical="center" wrapText="1"/>
    </xf>
    <xf numFmtId="0" fontId="40" fillId="12" borderId="1" xfId="0" applyFont="1" applyFill="1" applyBorder="1" applyAlignment="1">
      <alignment vertical="center" wrapText="1"/>
    </xf>
    <xf numFmtId="0" fontId="1" fillId="0" borderId="1" xfId="0" applyFont="1" applyFill="1" applyBorder="1"/>
    <xf numFmtId="0" fontId="1" fillId="0" borderId="1" xfId="0" applyFont="1" applyFill="1" applyBorder="1" applyAlignment="1">
      <alignment vertical="center" wrapText="1"/>
    </xf>
    <xf numFmtId="0" fontId="11" fillId="0" borderId="1" xfId="0" applyFont="1" applyFill="1" applyBorder="1" applyAlignment="1">
      <alignment vertical="center" wrapText="1"/>
    </xf>
    <xf numFmtId="0" fontId="1" fillId="10" borderId="1" xfId="0" applyFont="1" applyFill="1" applyBorder="1"/>
    <xf numFmtId="0" fontId="2" fillId="0" borderId="1" xfId="0" applyFont="1" applyBorder="1"/>
    <xf numFmtId="0" fontId="12" fillId="0" borderId="1" xfId="0" applyFont="1" applyBorder="1"/>
    <xf numFmtId="0" fontId="42" fillId="0" borderId="1" xfId="0" applyFont="1" applyBorder="1" applyAlignment="1">
      <alignment vertical="center"/>
    </xf>
    <xf numFmtId="0" fontId="19" fillId="0" borderId="1" xfId="0" applyFont="1" applyBorder="1" applyAlignment="1">
      <alignment vertical="center"/>
    </xf>
    <xf numFmtId="0" fontId="35" fillId="0" borderId="0" xfId="0" applyFont="1"/>
    <xf numFmtId="0" fontId="9" fillId="0" borderId="1" xfId="0" applyFont="1" applyFill="1" applyBorder="1" applyAlignment="1">
      <alignment horizontal="center" vertical="center"/>
    </xf>
    <xf numFmtId="0" fontId="8" fillId="0" borderId="1" xfId="0" applyFont="1" applyBorder="1"/>
    <xf numFmtId="0" fontId="11" fillId="0" borderId="1" xfId="0" applyFont="1" applyBorder="1"/>
    <xf numFmtId="0" fontId="1" fillId="13" borderId="4" xfId="0" applyFont="1" applyFill="1" applyBorder="1" applyAlignment="1"/>
    <xf numFmtId="0" fontId="19" fillId="0" borderId="1" xfId="0" applyFont="1" applyFill="1" applyBorder="1" applyAlignment="1">
      <alignment vertical="center"/>
    </xf>
    <xf numFmtId="0" fontId="1" fillId="0" borderId="4" xfId="0" applyFont="1" applyBorder="1"/>
    <xf numFmtId="0" fontId="1" fillId="0" borderId="5" xfId="0" applyFont="1" applyBorder="1"/>
    <xf numFmtId="0" fontId="1" fillId="0" borderId="0" xfId="0" applyFont="1" applyFill="1" applyBorder="1"/>
    <xf numFmtId="0" fontId="1" fillId="14" borderId="1" xfId="0" applyFont="1" applyFill="1" applyBorder="1" applyAlignment="1">
      <alignment vertical="center" wrapText="1"/>
    </xf>
    <xf numFmtId="0" fontId="12" fillId="0" borderId="1" xfId="0" applyFont="1" applyFill="1" applyBorder="1" applyAlignment="1">
      <alignment horizontal="left" vertical="center"/>
    </xf>
    <xf numFmtId="0" fontId="1" fillId="0" borderId="3" xfId="0" applyFont="1" applyBorder="1"/>
    <xf numFmtId="0" fontId="33" fillId="0" borderId="0" xfId="0" applyFont="1" applyAlignment="1">
      <alignment vertical="center" wrapText="1"/>
    </xf>
    <xf numFmtId="0" fontId="11" fillId="0" borderId="0" xfId="0" applyFont="1" applyAlignment="1">
      <alignment horizontal="center" vertical="center" wrapText="1"/>
    </xf>
    <xf numFmtId="0" fontId="28" fillId="0" borderId="0" xfId="0" applyFont="1" applyAlignment="1">
      <alignment horizontal="center" vertical="center" wrapText="1"/>
    </xf>
    <xf numFmtId="0" fontId="43" fillId="0" borderId="0" xfId="0" applyFont="1" applyAlignment="1">
      <alignment vertical="center"/>
    </xf>
    <xf numFmtId="0" fontId="33" fillId="0" borderId="0" xfId="0" applyFont="1" applyAlignment="1">
      <alignment horizontal="center" vertical="center" wrapText="1"/>
    </xf>
    <xf numFmtId="0" fontId="30" fillId="9" borderId="0" xfId="0" applyFont="1" applyFill="1" applyAlignment="1">
      <alignment horizontal="center" vertical="center" wrapText="1"/>
    </xf>
    <xf numFmtId="0" fontId="15" fillId="5" borderId="0" xfId="0" applyFont="1" applyFill="1" applyAlignment="1">
      <alignment horizontal="center" vertical="center" wrapText="1"/>
    </xf>
    <xf numFmtId="184" fontId="30" fillId="15" borderId="0" xfId="0" applyNumberFormat="1" applyFont="1" applyFill="1" applyAlignment="1">
      <alignment horizontal="center" vertical="center" wrapText="1"/>
    </xf>
    <xf numFmtId="0" fontId="44" fillId="0" borderId="0" xfId="0" applyFont="1" applyAlignment="1">
      <alignment horizontal="center" vertical="center" wrapText="1"/>
    </xf>
    <xf numFmtId="0" fontId="45" fillId="0" borderId="0" xfId="0" applyFont="1" applyAlignment="1">
      <alignment vertical="center" wrapText="1"/>
    </xf>
    <xf numFmtId="0" fontId="41" fillId="0" borderId="0" xfId="0" applyFont="1" applyAlignment="1">
      <alignment horizontal="center" vertical="center" wrapText="1"/>
    </xf>
    <xf numFmtId="0" fontId="28" fillId="16" borderId="0" xfId="0" applyFont="1" applyFill="1" applyAlignment="1">
      <alignment horizontal="center" vertical="center" wrapText="1"/>
    </xf>
    <xf numFmtId="0" fontId="28" fillId="0" borderId="1" xfId="0" applyFont="1" applyBorder="1" applyAlignment="1">
      <alignment horizontal="center" vertical="center"/>
    </xf>
    <xf numFmtId="0" fontId="28" fillId="0" borderId="2" xfId="0" applyFont="1" applyBorder="1" applyAlignment="1">
      <alignment horizontal="center" vertical="center"/>
    </xf>
    <xf numFmtId="0" fontId="1" fillId="0" borderId="0" xfId="0" applyFont="1" applyAlignment="1">
      <alignment horizontal="left" vertical="center"/>
    </xf>
    <xf numFmtId="0" fontId="1" fillId="0" borderId="0" xfId="0" applyFont="1" applyAlignment="1">
      <alignment horizontal="center" vertical="center"/>
    </xf>
    <xf numFmtId="43" fontId="1" fillId="0" borderId="0" xfId="1" applyFont="1" applyAlignment="1">
      <alignment horizontal="center" vertical="center"/>
    </xf>
    <xf numFmtId="179" fontId="1" fillId="0" borderId="0" xfId="1" applyNumberFormat="1" applyFont="1" applyAlignment="1">
      <alignment horizontal="center" vertical="center"/>
    </xf>
    <xf numFmtId="0" fontId="46" fillId="0" borderId="0" xfId="0" applyFont="1" applyAlignment="1">
      <alignment horizontal="left" vertical="center" wrapText="1"/>
    </xf>
    <xf numFmtId="0" fontId="1" fillId="0" borderId="1" xfId="0" applyFont="1" applyBorder="1" applyAlignment="1">
      <alignment horizontal="center" vertical="center"/>
    </xf>
    <xf numFmtId="0" fontId="3" fillId="0" borderId="1" xfId="0" applyFont="1" applyBorder="1" applyAlignment="1">
      <alignment horizontal="center" vertical="center"/>
    </xf>
    <xf numFmtId="0" fontId="3" fillId="17" borderId="1" xfId="0" applyFont="1" applyFill="1" applyBorder="1" applyAlignment="1">
      <alignment horizontal="center" vertical="center"/>
    </xf>
    <xf numFmtId="0" fontId="3" fillId="17" borderId="1" xfId="0" applyFont="1" applyFill="1" applyBorder="1" applyAlignment="1">
      <alignment horizontal="left" vertical="center"/>
    </xf>
    <xf numFmtId="43" fontId="3" fillId="17" borderId="1" xfId="1" applyFont="1" applyFill="1" applyBorder="1" applyAlignment="1">
      <alignment horizontal="center" vertical="center"/>
    </xf>
    <xf numFmtId="179" fontId="3" fillId="17" borderId="1" xfId="1" applyNumberFormat="1" applyFont="1" applyFill="1" applyBorder="1" applyAlignment="1">
      <alignment horizontal="center" vertical="center"/>
    </xf>
    <xf numFmtId="0" fontId="1" fillId="0" borderId="6" xfId="0" applyFont="1" applyBorder="1" applyAlignment="1">
      <alignment horizontal="center" vertical="center"/>
    </xf>
    <xf numFmtId="0" fontId="46" fillId="0" borderId="0" xfId="0" applyFont="1" applyAlignment="1">
      <alignment horizontal="left" vertical="center"/>
    </xf>
    <xf numFmtId="0" fontId="2" fillId="0" borderId="1" xfId="0" applyFont="1" applyBorder="1" applyAlignment="1">
      <alignment horizontal="center" vertical="center"/>
    </xf>
    <xf numFmtId="0" fontId="2" fillId="18" borderId="1" xfId="0" applyFont="1" applyFill="1" applyBorder="1" applyAlignment="1">
      <alignment horizontal="center" vertical="center"/>
    </xf>
    <xf numFmtId="0" fontId="1" fillId="0" borderId="1" xfId="0" applyFont="1" applyBorder="1" applyAlignment="1">
      <alignment horizontal="left" vertical="center"/>
    </xf>
    <xf numFmtId="179" fontId="1" fillId="0" borderId="1" xfId="1" applyNumberFormat="1" applyFont="1" applyBorder="1" applyAlignment="1">
      <alignment horizontal="center" vertical="center"/>
    </xf>
    <xf numFmtId="43" fontId="1" fillId="0" borderId="1" xfId="1" applyFont="1" applyBorder="1" applyAlignment="1">
      <alignment horizontal="center" vertical="center"/>
    </xf>
    <xf numFmtId="179" fontId="1" fillId="0" borderId="7" xfId="0" applyNumberFormat="1" applyFont="1" applyBorder="1" applyAlignment="1">
      <alignment horizontal="center" vertical="center"/>
    </xf>
    <xf numFmtId="0" fontId="1" fillId="18"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7" borderId="1" xfId="0" applyFont="1" applyFill="1" applyBorder="1" applyAlignment="1">
      <alignment horizontal="center" vertical="center"/>
    </xf>
    <xf numFmtId="179" fontId="1" fillId="17" borderId="1" xfId="1" applyNumberFormat="1" applyFont="1" applyFill="1" applyBorder="1" applyAlignment="1">
      <alignment horizontal="center" vertical="center"/>
    </xf>
    <xf numFmtId="0" fontId="0" fillId="0" borderId="0" xfId="0" applyFill="1" applyAlignment="1">
      <alignment vertical="center"/>
    </xf>
    <xf numFmtId="0" fontId="30" fillId="19" borderId="8" xfId="0" applyFont="1" applyFill="1" applyBorder="1" applyAlignment="1">
      <alignment horizontal="center" vertical="center" wrapText="1"/>
    </xf>
    <xf numFmtId="0" fontId="30" fillId="19" borderId="1" xfId="0" applyFont="1" applyFill="1" applyBorder="1" applyAlignment="1">
      <alignment horizontal="center" vertical="center" wrapText="1"/>
    </xf>
    <xf numFmtId="185" fontId="30" fillId="19" borderId="8" xfId="0" applyNumberFormat="1" applyFont="1" applyFill="1" applyBorder="1" applyAlignment="1">
      <alignment horizontal="center" vertical="center" wrapText="1"/>
    </xf>
    <xf numFmtId="0" fontId="30" fillId="19" borderId="9" xfId="0" applyFont="1" applyFill="1" applyBorder="1" applyAlignment="1">
      <alignment horizontal="center" vertical="center" wrapText="1"/>
    </xf>
    <xf numFmtId="185" fontId="30" fillId="19" borderId="9" xfId="0" applyNumberFormat="1" applyFont="1" applyFill="1" applyBorder="1" applyAlignment="1">
      <alignment horizontal="center" vertical="center" wrapText="1"/>
    </xf>
    <xf numFmtId="0" fontId="15" fillId="13" borderId="1" xfId="0" applyFont="1" applyFill="1" applyBorder="1" applyAlignment="1">
      <alignment vertical="center" wrapText="1"/>
    </xf>
    <xf numFmtId="0" fontId="30" fillId="13" borderId="1" xfId="0" applyFont="1" applyFill="1" applyBorder="1" applyAlignment="1">
      <alignment horizontal="center" vertical="center" wrapText="1"/>
    </xf>
    <xf numFmtId="0" fontId="30" fillId="13" borderId="1" xfId="0" applyFont="1" applyFill="1" applyBorder="1" applyAlignment="1">
      <alignment vertical="center" wrapText="1"/>
    </xf>
    <xf numFmtId="185" fontId="15" fillId="13" borderId="1" xfId="1" applyNumberFormat="1" applyFont="1" applyFill="1" applyBorder="1" applyAlignment="1" applyProtection="1">
      <alignment vertical="center" wrapText="1"/>
    </xf>
    <xf numFmtId="0" fontId="47" fillId="0" borderId="1" xfId="0" applyFont="1" applyFill="1" applyBorder="1" applyAlignment="1">
      <alignment vertical="center" wrapText="1"/>
    </xf>
    <xf numFmtId="0" fontId="28" fillId="0" borderId="1" xfId="0" applyFont="1" applyFill="1" applyBorder="1" applyAlignment="1">
      <alignment vertical="center"/>
    </xf>
    <xf numFmtId="0" fontId="13" fillId="0" borderId="1" xfId="0" applyFont="1" applyFill="1" applyBorder="1" applyAlignment="1">
      <alignment horizontal="center" vertical="center"/>
    </xf>
    <xf numFmtId="0" fontId="28" fillId="0" borderId="1" xfId="0" applyFont="1" applyFill="1" applyBorder="1" applyAlignment="1">
      <alignment horizontal="center" vertical="center"/>
    </xf>
    <xf numFmtId="185" fontId="28" fillId="0" borderId="1" xfId="1" applyNumberFormat="1" applyFont="1" applyFill="1" applyBorder="1" applyAlignment="1" applyProtection="1">
      <alignment vertical="center"/>
    </xf>
    <xf numFmtId="0" fontId="48" fillId="0" borderId="1" xfId="0" applyFont="1" applyFill="1" applyBorder="1" applyAlignment="1">
      <alignment vertical="center"/>
    </xf>
    <xf numFmtId="0" fontId="0" fillId="0" borderId="1" xfId="0" applyFont="1" applyFill="1" applyBorder="1" applyAlignment="1">
      <alignment horizontal="left" vertical="center"/>
    </xf>
    <xf numFmtId="0" fontId="48" fillId="0" borderId="1" xfId="0" applyFont="1" applyFill="1" applyBorder="1" applyAlignment="1">
      <alignment horizontal="left" vertical="center"/>
    </xf>
    <xf numFmtId="0" fontId="0" fillId="0" borderId="1" xfId="0" applyFill="1" applyBorder="1" applyAlignment="1">
      <alignment vertical="center"/>
    </xf>
    <xf numFmtId="0" fontId="13" fillId="0" borderId="1" xfId="0" applyFont="1" applyBorder="1" applyAlignment="1">
      <alignment horizontal="center" vertical="center"/>
    </xf>
    <xf numFmtId="0" fontId="48" fillId="0" borderId="1" xfId="0" applyFont="1" applyBorder="1" applyAlignment="1">
      <alignment vertical="center" wrapText="1"/>
    </xf>
    <xf numFmtId="0" fontId="32" fillId="0" borderId="8" xfId="0" applyFont="1" applyFill="1" applyBorder="1" applyAlignment="1">
      <alignment horizontal="center" vertical="center"/>
    </xf>
    <xf numFmtId="0" fontId="32" fillId="0" borderId="2" xfId="0" applyFont="1" applyFill="1" applyBorder="1" applyAlignment="1">
      <alignment horizontal="center" vertical="center"/>
    </xf>
    <xf numFmtId="0" fontId="32" fillId="0" borderId="9" xfId="0" applyFont="1" applyFill="1" applyBorder="1" applyAlignment="1">
      <alignment horizontal="center" vertical="center"/>
    </xf>
    <xf numFmtId="0" fontId="28" fillId="0" borderId="8" xfId="0" applyFont="1" applyFill="1" applyBorder="1" applyAlignment="1">
      <alignment vertical="center"/>
    </xf>
    <xf numFmtId="0" fontId="28" fillId="0" borderId="8" xfId="0" applyFont="1" applyFill="1" applyBorder="1" applyAlignment="1">
      <alignment horizontal="center" vertical="center"/>
    </xf>
    <xf numFmtId="0" fontId="49" fillId="0" borderId="1" xfId="0" applyFont="1" applyFill="1" applyBorder="1" applyAlignment="1">
      <alignment horizontal="center" vertical="center"/>
    </xf>
    <xf numFmtId="183" fontId="49" fillId="0" borderId="1" xfId="0" applyNumberFormat="1" applyFont="1" applyFill="1" applyBorder="1" applyAlignment="1">
      <alignment horizontal="center" vertical="center"/>
    </xf>
    <xf numFmtId="0" fontId="47" fillId="0" borderId="1" xfId="0" applyFont="1" applyFill="1" applyBorder="1" applyAlignment="1">
      <alignment vertical="center"/>
    </xf>
    <xf numFmtId="0" fontId="0" fillId="0" borderId="0" xfId="0" applyFill="1" applyAlignment="1">
      <alignment horizontal="right" vertical="center"/>
    </xf>
    <xf numFmtId="0" fontId="47" fillId="0" borderId="1" xfId="0" applyFont="1" applyFill="1" applyBorder="1" applyAlignment="1">
      <alignment horizontal="center" vertical="center"/>
    </xf>
    <xf numFmtId="0" fontId="15" fillId="12" borderId="1" xfId="0" applyFont="1" applyFill="1" applyBorder="1" applyAlignment="1">
      <alignment vertical="center" wrapText="1"/>
    </xf>
    <xf numFmtId="0" fontId="50" fillId="12" borderId="1" xfId="0" applyFont="1" applyFill="1" applyBorder="1" applyAlignment="1">
      <alignment vertical="center" wrapText="1"/>
    </xf>
    <xf numFmtId="0" fontId="51" fillId="12" borderId="1" xfId="0" applyFont="1" applyFill="1" applyBorder="1" applyAlignment="1">
      <alignment vertical="center"/>
    </xf>
    <xf numFmtId="0" fontId="51" fillId="12" borderId="1" xfId="0" applyFont="1" applyFill="1" applyBorder="1" applyAlignment="1">
      <alignment horizontal="center" vertical="center"/>
    </xf>
    <xf numFmtId="183" fontId="51" fillId="12" borderId="1" xfId="0" applyNumberFormat="1" applyFont="1" applyFill="1" applyBorder="1" applyAlignment="1">
      <alignment horizontal="right" vertical="center"/>
    </xf>
    <xf numFmtId="183" fontId="49" fillId="12" borderId="1" xfId="0" applyNumberFormat="1" applyFont="1" applyFill="1" applyBorder="1" applyAlignment="1">
      <alignment vertical="center"/>
    </xf>
    <xf numFmtId="0" fontId="51" fillId="0" borderId="1" xfId="0" applyFont="1" applyFill="1" applyBorder="1" applyAlignment="1">
      <alignment horizontal="center" vertical="center"/>
    </xf>
    <xf numFmtId="0" fontId="51" fillId="0" borderId="1" xfId="0" applyFont="1" applyFill="1" applyBorder="1" applyAlignment="1">
      <alignment horizontal="center" vertical="center" wrapText="1"/>
    </xf>
    <xf numFmtId="0" fontId="51" fillId="0" borderId="1" xfId="0" applyFont="1" applyFill="1" applyBorder="1" applyAlignment="1">
      <alignment horizontal="left" vertical="center" wrapText="1"/>
    </xf>
    <xf numFmtId="185" fontId="51" fillId="0" borderId="1" xfId="0" applyNumberFormat="1" applyFont="1" applyFill="1" applyBorder="1" applyAlignment="1">
      <alignment horizontal="right" vertical="center" wrapText="1"/>
    </xf>
    <xf numFmtId="0" fontId="52" fillId="0" borderId="1" xfId="0" applyFont="1" applyFill="1" applyBorder="1" applyAlignment="1">
      <alignment horizontal="center" vertical="center" wrapText="1"/>
    </xf>
    <xf numFmtId="0" fontId="53" fillId="0" borderId="1" xfId="0" applyFont="1" applyFill="1" applyBorder="1" applyAlignment="1">
      <alignment horizontal="center" vertical="center" wrapText="1"/>
    </xf>
    <xf numFmtId="0" fontId="52" fillId="12" borderId="1" xfId="0" applyFont="1" applyFill="1" applyBorder="1" applyAlignment="1">
      <alignment vertical="center" wrapText="1"/>
    </xf>
    <xf numFmtId="0" fontId="51" fillId="12" borderId="1" xfId="0" applyFont="1" applyFill="1" applyBorder="1" applyAlignment="1">
      <alignment horizontal="left" vertical="center"/>
    </xf>
    <xf numFmtId="0" fontId="54" fillId="0" borderId="1" xfId="0" applyFont="1" applyFill="1" applyBorder="1" applyAlignment="1">
      <alignment horizontal="center" vertical="center"/>
    </xf>
    <xf numFmtId="0" fontId="0" fillId="12" borderId="1" xfId="0" applyFill="1" applyBorder="1" applyAlignment="1">
      <alignment vertical="center"/>
    </xf>
    <xf numFmtId="0" fontId="0" fillId="12" borderId="1" xfId="0" applyFill="1" applyBorder="1" applyAlignment="1">
      <alignment horizontal="center" vertical="center"/>
    </xf>
    <xf numFmtId="0" fontId="0" fillId="12" borderId="1" xfId="0" applyFill="1" applyBorder="1" applyAlignment="1">
      <alignment horizontal="left" vertical="center"/>
    </xf>
    <xf numFmtId="183" fontId="0" fillId="12" borderId="1" xfId="0" applyNumberFormat="1" applyFill="1" applyBorder="1" applyAlignment="1">
      <alignment horizontal="right" vertical="center"/>
    </xf>
    <xf numFmtId="0" fontId="0" fillId="0" borderId="1" xfId="0" applyFill="1" applyBorder="1" applyAlignment="1">
      <alignment horizontal="center" vertical="center"/>
    </xf>
    <xf numFmtId="183" fontId="0" fillId="0" borderId="1" xfId="0" applyNumberFormat="1" applyFill="1" applyBorder="1" applyAlignment="1">
      <alignment horizontal="right" vertical="center"/>
    </xf>
    <xf numFmtId="183" fontId="0" fillId="0" borderId="1" xfId="0" applyNumberFormat="1" applyFill="1" applyBorder="1" applyAlignment="1">
      <alignment vertical="center"/>
    </xf>
    <xf numFmtId="183" fontId="0" fillId="12" borderId="1" xfId="0" applyNumberFormat="1" applyFill="1" applyBorder="1" applyAlignment="1">
      <alignment horizontal="left" vertical="center"/>
    </xf>
    <xf numFmtId="0" fontId="48" fillId="0" borderId="1" xfId="0" applyFont="1" applyFill="1" applyBorder="1" applyAlignment="1">
      <alignment horizontal="center" vertical="center"/>
    </xf>
    <xf numFmtId="0" fontId="55" fillId="19" borderId="1" xfId="0" applyFont="1" applyFill="1" applyBorder="1" applyAlignment="1">
      <alignment horizontal="center" vertical="center"/>
    </xf>
    <xf numFmtId="183" fontId="55" fillId="19" borderId="1" xfId="0" applyNumberFormat="1" applyFont="1" applyFill="1" applyBorder="1" applyAlignment="1">
      <alignment horizontal="center" vertical="center"/>
    </xf>
    <xf numFmtId="0" fontId="55" fillId="19" borderId="1" xfId="0" applyFont="1" applyFill="1" applyBorder="1" applyAlignment="1">
      <alignment vertical="center"/>
    </xf>
    <xf numFmtId="0" fontId="56" fillId="19" borderId="1" xfId="0" applyFont="1" applyFill="1" applyBorder="1" applyAlignment="1">
      <alignment vertical="center"/>
    </xf>
    <xf numFmtId="185" fontId="30" fillId="19" borderId="1" xfId="0" applyNumberFormat="1" applyFont="1" applyFill="1" applyBorder="1" applyAlignment="1">
      <alignment horizontal="center" vertical="center" wrapText="1"/>
    </xf>
    <xf numFmtId="0" fontId="30" fillId="12" borderId="1" xfId="0" applyFont="1" applyFill="1" applyBorder="1" applyAlignment="1">
      <alignment horizontal="center" vertical="center" wrapText="1"/>
    </xf>
    <xf numFmtId="0" fontId="30" fillId="12" borderId="1" xfId="0" applyFont="1" applyFill="1" applyBorder="1" applyAlignment="1">
      <alignment vertical="center" wrapText="1"/>
    </xf>
    <xf numFmtId="185" fontId="30" fillId="12" borderId="1" xfId="57" applyNumberFormat="1" applyFont="1" applyFill="1" applyBorder="1" applyAlignment="1">
      <alignment vertical="center" wrapText="1"/>
    </xf>
    <xf numFmtId="185" fontId="15" fillId="12" borderId="1" xfId="1" applyNumberFormat="1" applyFont="1" applyFill="1" applyBorder="1" applyAlignment="1" applyProtection="1">
      <alignment vertical="center" wrapText="1"/>
    </xf>
    <xf numFmtId="0" fontId="47" fillId="12" borderId="1" xfId="0" applyFont="1" applyFill="1" applyBorder="1" applyAlignment="1">
      <alignment vertical="center"/>
    </xf>
    <xf numFmtId="185" fontId="33" fillId="12" borderId="1" xfId="57" applyNumberFormat="1" applyFont="1" applyFill="1" applyBorder="1" applyAlignment="1">
      <alignment vertical="center" wrapText="1"/>
    </xf>
    <xf numFmtId="0" fontId="11" fillId="0" borderId="1" xfId="0" applyFont="1" applyFill="1" applyBorder="1" applyAlignment="1">
      <alignment horizontal="center" vertical="center"/>
    </xf>
    <xf numFmtId="0" fontId="55" fillId="19" borderId="3" xfId="0" applyFont="1" applyFill="1" applyBorder="1" applyAlignment="1">
      <alignment horizontal="center" vertical="center"/>
    </xf>
    <xf numFmtId="0" fontId="55" fillId="19" borderId="10" xfId="0" applyFont="1" applyFill="1" applyBorder="1" applyAlignment="1">
      <alignment horizontal="center" vertical="center"/>
    </xf>
    <xf numFmtId="0" fontId="55" fillId="19" borderId="4" xfId="0" applyFont="1" applyFill="1" applyBorder="1" applyAlignment="1">
      <alignment horizontal="center" vertical="center"/>
    </xf>
    <xf numFmtId="0" fontId="28" fillId="0" borderId="0" xfId="0" applyFont="1" applyAlignment="1">
      <alignment vertical="center"/>
    </xf>
    <xf numFmtId="0" fontId="28" fillId="0" borderId="0" xfId="0" applyFont="1" applyAlignment="1">
      <alignment horizontal="center" vertical="center"/>
    </xf>
    <xf numFmtId="0" fontId="57" fillId="0" borderId="0" xfId="0" applyFont="1" applyAlignment="1">
      <alignment vertical="center"/>
    </xf>
    <xf numFmtId="0" fontId="58" fillId="0" borderId="0" xfId="0" applyFont="1" applyAlignment="1">
      <alignment vertical="center"/>
    </xf>
    <xf numFmtId="186" fontId="28" fillId="0" borderId="0" xfId="0" applyNumberFormat="1" applyFont="1" applyAlignment="1" applyProtection="1">
      <alignment horizontal="center" vertical="center"/>
      <protection locked="0"/>
    </xf>
    <xf numFmtId="0" fontId="57" fillId="20" borderId="0" xfId="0" applyFont="1" applyFill="1" applyAlignment="1">
      <alignment vertical="center"/>
    </xf>
    <xf numFmtId="0" fontId="30" fillId="9" borderId="1" xfId="0" applyFont="1" applyFill="1" applyBorder="1" applyAlignment="1" applyProtection="1">
      <alignment horizontal="center" vertical="center" wrapText="1"/>
      <protection locked="0"/>
    </xf>
    <xf numFmtId="0" fontId="28" fillId="10" borderId="1" xfId="0" applyFont="1" applyFill="1" applyBorder="1" applyAlignment="1">
      <alignment vertical="center"/>
    </xf>
    <xf numFmtId="0" fontId="28" fillId="10" borderId="1" xfId="0" applyFont="1" applyFill="1" applyBorder="1" applyAlignment="1" applyProtection="1">
      <alignment vertical="center" wrapText="1"/>
      <protection locked="0"/>
    </xf>
    <xf numFmtId="187" fontId="59" fillId="0" borderId="1" xfId="0" applyNumberFormat="1" applyFont="1" applyBorder="1" applyAlignment="1" applyProtection="1">
      <alignment vertical="center" wrapText="1"/>
      <protection locked="0"/>
    </xf>
    <xf numFmtId="0" fontId="28" fillId="21" borderId="1" xfId="0" applyFont="1" applyFill="1" applyBorder="1" applyAlignment="1" applyProtection="1">
      <alignment horizontal="center" vertical="center" wrapText="1"/>
      <protection locked="0"/>
    </xf>
    <xf numFmtId="187" fontId="28" fillId="22" borderId="1" xfId="0" applyNumberFormat="1" applyFont="1" applyFill="1" applyBorder="1" applyAlignment="1">
      <alignment vertical="center" wrapText="1"/>
    </xf>
    <xf numFmtId="188" fontId="28" fillId="0" borderId="1" xfId="0" applyNumberFormat="1" applyFont="1" applyBorder="1" applyAlignment="1" applyProtection="1">
      <alignment horizontal="center" vertical="center" wrapText="1"/>
      <protection locked="0"/>
    </xf>
    <xf numFmtId="188" fontId="28" fillId="22" borderId="1" xfId="0" applyNumberFormat="1" applyFont="1" applyFill="1" applyBorder="1" applyAlignment="1">
      <alignment horizontal="center" vertical="center"/>
    </xf>
    <xf numFmtId="0" fontId="28" fillId="0" borderId="1" xfId="0" applyFont="1" applyBorder="1" applyAlignment="1" applyProtection="1">
      <alignment vertical="center"/>
      <protection locked="0"/>
    </xf>
    <xf numFmtId="0" fontId="57" fillId="5" borderId="0" xfId="0" applyFont="1" applyFill="1" applyAlignment="1">
      <alignment vertical="center"/>
    </xf>
    <xf numFmtId="188" fontId="28" fillId="0" borderId="1" xfId="0" applyNumberFormat="1" applyFont="1" applyBorder="1" applyAlignment="1">
      <alignment horizontal="center" vertical="center"/>
    </xf>
    <xf numFmtId="0" fontId="13" fillId="23" borderId="1" xfId="0" applyFont="1" applyFill="1" applyBorder="1" applyAlignment="1">
      <alignment vertical="center"/>
    </xf>
    <xf numFmtId="187" fontId="13" fillId="23" borderId="1" xfId="0" applyNumberFormat="1" applyFont="1" applyFill="1" applyBorder="1" applyAlignment="1">
      <alignment vertical="center" wrapText="1"/>
    </xf>
    <xf numFmtId="188" fontId="13" fillId="23" borderId="1" xfId="0" applyNumberFormat="1" applyFont="1" applyFill="1" applyBorder="1" applyAlignment="1" applyProtection="1">
      <alignment horizontal="center" vertical="center" wrapText="1"/>
      <protection locked="0"/>
    </xf>
    <xf numFmtId="188" fontId="13" fillId="23" borderId="1" xfId="0" applyNumberFormat="1" applyFont="1" applyFill="1" applyBorder="1" applyAlignment="1">
      <alignment horizontal="center" vertical="center"/>
    </xf>
    <xf numFmtId="0" fontId="13" fillId="23" borderId="1" xfId="0" applyFont="1" applyFill="1" applyBorder="1" applyAlignment="1" applyProtection="1">
      <alignment vertical="center"/>
      <protection locked="0"/>
    </xf>
    <xf numFmtId="188" fontId="28" fillId="0" borderId="1" xfId="0" applyNumberFormat="1" applyFont="1" applyBorder="1" applyAlignment="1">
      <alignment horizontal="center" vertical="center" wrapText="1"/>
    </xf>
    <xf numFmtId="0" fontId="13" fillId="0" borderId="1" xfId="0" applyFont="1" applyBorder="1" applyAlignment="1" applyProtection="1">
      <alignment vertical="center"/>
      <protection locked="0"/>
    </xf>
    <xf numFmtId="0" fontId="33" fillId="10" borderId="1" xfId="0" applyFont="1" applyFill="1" applyBorder="1" applyAlignment="1">
      <alignment vertical="center"/>
    </xf>
    <xf numFmtId="0" fontId="33" fillId="10" borderId="1" xfId="0" applyFont="1" applyFill="1" applyBorder="1" applyAlignment="1" applyProtection="1">
      <alignment vertical="center" wrapText="1"/>
      <protection locked="0"/>
    </xf>
    <xf numFmtId="187" fontId="33" fillId="10" borderId="1" xfId="0" applyNumberFormat="1" applyFont="1" applyFill="1" applyBorder="1" applyAlignment="1">
      <alignment vertical="center" wrapText="1"/>
    </xf>
    <xf numFmtId="188" fontId="33" fillId="10" borderId="1" xfId="0" applyNumberFormat="1" applyFont="1" applyFill="1" applyBorder="1" applyAlignment="1">
      <alignment horizontal="center" vertical="center" wrapText="1"/>
    </xf>
    <xf numFmtId="188" fontId="33" fillId="10" borderId="1" xfId="0" applyNumberFormat="1" applyFont="1" applyFill="1" applyBorder="1" applyAlignment="1">
      <alignment horizontal="right" vertical="center" wrapText="1"/>
    </xf>
    <xf numFmtId="184" fontId="33" fillId="10" borderId="1" xfId="0" applyNumberFormat="1" applyFont="1" applyFill="1" applyBorder="1" applyAlignment="1">
      <alignment horizontal="center" vertical="center" wrapText="1"/>
    </xf>
    <xf numFmtId="0" fontId="59" fillId="11" borderId="1" xfId="0" applyFont="1" applyFill="1" applyBorder="1" applyAlignment="1" applyProtection="1">
      <alignment vertical="center" wrapText="1"/>
      <protection locked="0"/>
    </xf>
    <xf numFmtId="189" fontId="13" fillId="24" borderId="1" xfId="0" applyNumberFormat="1" applyFont="1" applyFill="1" applyBorder="1" applyAlignment="1" applyProtection="1">
      <alignment vertical="center" wrapText="1"/>
      <protection locked="0"/>
    </xf>
    <xf numFmtId="190" fontId="13" fillId="11" borderId="1" xfId="0" applyNumberFormat="1" applyFont="1" applyFill="1" applyBorder="1" applyAlignment="1" applyProtection="1">
      <alignment horizontal="center" vertical="center"/>
      <protection locked="0"/>
    </xf>
    <xf numFmtId="191" fontId="13" fillId="11" borderId="1" xfId="0" applyNumberFormat="1" applyFont="1" applyFill="1" applyBorder="1" applyAlignment="1">
      <alignment horizontal="left" vertical="center" wrapText="1"/>
    </xf>
    <xf numFmtId="0" fontId="59" fillId="24" borderId="1" xfId="0" applyFont="1" applyFill="1" applyBorder="1" applyAlignment="1" applyProtection="1">
      <alignment horizontal="right" vertical="center" wrapText="1"/>
      <protection locked="0"/>
    </xf>
    <xf numFmtId="10" fontId="59" fillId="24" borderId="1" xfId="3" applyNumberFormat="1" applyFont="1" applyFill="1" applyBorder="1" applyAlignment="1" applyProtection="1">
      <alignment horizontal="center" vertical="center" wrapText="1"/>
    </xf>
    <xf numFmtId="0" fontId="13" fillId="11" borderId="1" xfId="0" applyFont="1" applyFill="1" applyBorder="1" applyAlignment="1" applyProtection="1">
      <alignment horizontal="center" vertical="center"/>
      <protection locked="0"/>
    </xf>
    <xf numFmtId="0" fontId="13" fillId="11" borderId="1" xfId="0" applyFont="1" applyFill="1" applyBorder="1" applyAlignment="1">
      <alignment horizontal="left" vertical="center" wrapText="1"/>
    </xf>
    <xf numFmtId="0" fontId="60" fillId="0" borderId="0" xfId="0" applyFont="1" applyAlignment="1">
      <alignment vertical="center"/>
    </xf>
    <xf numFmtId="0" fontId="30" fillId="25" borderId="1" xfId="0" applyFont="1" applyFill="1" applyBorder="1" applyAlignment="1" applyProtection="1">
      <alignment horizontal="center" vertical="center" wrapText="1"/>
      <protection locked="0"/>
    </xf>
    <xf numFmtId="0" fontId="33" fillId="0" borderId="0" xfId="0" applyFont="1" applyAlignment="1">
      <alignment vertical="center"/>
    </xf>
    <xf numFmtId="0" fontId="28" fillId="10" borderId="1" xfId="0" applyFont="1" applyFill="1" applyBorder="1" applyAlignment="1">
      <alignment vertical="center" wrapText="1"/>
    </xf>
    <xf numFmtId="0" fontId="28" fillId="0" borderId="1" xfId="0" applyFont="1" applyBorder="1" applyAlignment="1">
      <alignment horizontal="right" vertical="center"/>
    </xf>
    <xf numFmtId="192" fontId="28" fillId="0" borderId="1" xfId="0" applyNumberFormat="1" applyFont="1" applyBorder="1" applyAlignment="1">
      <alignment horizontal="right" vertical="center"/>
    </xf>
    <xf numFmtId="0" fontId="28" fillId="0" borderId="1" xfId="0" applyFont="1" applyBorder="1" applyAlignment="1">
      <alignment horizontal="left" vertical="center"/>
    </xf>
    <xf numFmtId="0" fontId="28" fillId="0" borderId="3" xfId="0" applyFont="1" applyBorder="1" applyAlignment="1">
      <alignment horizontal="left" vertical="center"/>
    </xf>
    <xf numFmtId="9" fontId="28" fillId="0" borderId="1" xfId="0" applyNumberFormat="1" applyFont="1" applyBorder="1" applyAlignment="1">
      <alignment horizontal="left" vertical="center"/>
    </xf>
    <xf numFmtId="0" fontId="28" fillId="0" borderId="8" xfId="0" applyFont="1" applyBorder="1" applyAlignment="1">
      <alignment horizontal="center" vertical="center"/>
    </xf>
    <xf numFmtId="0" fontId="28" fillId="0" borderId="9" xfId="0" applyFont="1" applyBorder="1" applyAlignment="1">
      <alignment horizontal="center" vertical="center"/>
    </xf>
    <xf numFmtId="0" fontId="33" fillId="0" borderId="1" xfId="0" applyFont="1" applyBorder="1" applyAlignment="1">
      <alignment horizontal="left" vertical="center"/>
    </xf>
    <xf numFmtId="9" fontId="33" fillId="0" borderId="1" xfId="0" applyNumberFormat="1" applyFont="1" applyBorder="1" applyAlignment="1">
      <alignment horizontal="left" vertical="center"/>
    </xf>
    <xf numFmtId="0" fontId="33" fillId="0" borderId="3" xfId="0" applyFont="1" applyBorder="1" applyAlignment="1">
      <alignment horizontal="left" vertical="center"/>
    </xf>
    <xf numFmtId="188" fontId="28" fillId="0" borderId="0" xfId="0" applyNumberFormat="1" applyFont="1" applyAlignment="1">
      <alignment vertical="center" wrapText="1"/>
    </xf>
    <xf numFmtId="179" fontId="28" fillId="0" borderId="0" xfId="1" applyNumberFormat="1" applyFont="1" applyFill="1" applyAlignment="1">
      <alignment vertical="center" wrapText="1"/>
    </xf>
    <xf numFmtId="188" fontId="33" fillId="0" borderId="0" xfId="0" applyNumberFormat="1" applyFont="1" applyAlignment="1">
      <alignment vertical="center" wrapText="1"/>
    </xf>
    <xf numFmtId="179" fontId="33" fillId="0" borderId="0" xfId="1" applyNumberFormat="1" applyFont="1" applyFill="1" applyAlignment="1">
      <alignment vertical="center" wrapText="1"/>
    </xf>
    <xf numFmtId="0" fontId="59" fillId="0" borderId="0" xfId="0" applyFont="1" applyAlignment="1">
      <alignment horizontal="left" vertical="center"/>
    </xf>
    <xf numFmtId="0" fontId="30" fillId="26" borderId="0" xfId="0" applyFont="1" applyFill="1" applyAlignment="1">
      <alignment horizontal="center" vertical="center" wrapText="1"/>
    </xf>
    <xf numFmtId="179" fontId="30" fillId="15" borderId="0" xfId="1" applyNumberFormat="1" applyFont="1" applyFill="1" applyBorder="1" applyAlignment="1">
      <alignment horizontal="center" vertical="center" wrapText="1"/>
    </xf>
    <xf numFmtId="184" fontId="30" fillId="26" borderId="0" xfId="0" applyNumberFormat="1" applyFont="1" applyFill="1" applyAlignment="1">
      <alignment horizontal="center" vertical="center" wrapText="1"/>
    </xf>
    <xf numFmtId="188" fontId="30" fillId="9" borderId="0" xfId="0" applyNumberFormat="1" applyFont="1" applyFill="1" applyAlignment="1">
      <alignment horizontal="center" vertical="center" wrapText="1"/>
    </xf>
    <xf numFmtId="179" fontId="30" fillId="9" borderId="0" xfId="1" applyNumberFormat="1" applyFont="1" applyFill="1" applyAlignment="1">
      <alignment horizontal="center" vertical="center" wrapText="1"/>
    </xf>
    <xf numFmtId="179" fontId="30" fillId="9" borderId="0" xfId="1" applyNumberFormat="1" applyFont="1" applyFill="1" applyBorder="1" applyAlignment="1">
      <alignment horizontal="center" vertical="center" wrapText="1"/>
    </xf>
    <xf numFmtId="43" fontId="30" fillId="9" borderId="0" xfId="1" applyFont="1" applyFill="1" applyBorder="1" applyAlignment="1">
      <alignment horizontal="center" vertical="center" wrapText="1"/>
    </xf>
    <xf numFmtId="0" fontId="30" fillId="15" borderId="0" xfId="0" applyFont="1" applyFill="1" applyAlignment="1">
      <alignment horizontal="center" vertical="center" wrapText="1"/>
    </xf>
    <xf numFmtId="0" fontId="33" fillId="0" borderId="11" xfId="0" applyFont="1" applyBorder="1" applyAlignment="1">
      <alignment vertical="center" wrapText="1"/>
    </xf>
    <xf numFmtId="0" fontId="28" fillId="0" borderId="11" xfId="0" applyFont="1" applyBorder="1" applyAlignment="1">
      <alignment horizontal="center" vertical="center" wrapText="1"/>
    </xf>
    <xf numFmtId="0" fontId="28" fillId="0" borderId="11" xfId="0" applyFont="1" applyBorder="1" applyAlignment="1">
      <alignment vertical="center" wrapText="1"/>
    </xf>
    <xf numFmtId="0" fontId="59" fillId="0" borderId="11" xfId="0" applyFont="1" applyBorder="1" applyAlignment="1">
      <alignment horizontal="center" vertical="center" wrapText="1"/>
    </xf>
    <xf numFmtId="0" fontId="11" fillId="0" borderId="11" xfId="0" applyFont="1" applyBorder="1" applyAlignment="1">
      <alignment vertical="center" wrapText="1"/>
    </xf>
    <xf numFmtId="0" fontId="28" fillId="0" borderId="11" xfId="1" applyNumberFormat="1" applyFont="1" applyFill="1" applyBorder="1" applyAlignment="1">
      <alignment horizontal="center" vertical="center" wrapText="1"/>
    </xf>
    <xf numFmtId="188" fontId="28" fillId="0" borderId="11" xfId="0" applyNumberFormat="1" applyFont="1" applyBorder="1" applyAlignment="1">
      <alignment horizontal="left" vertical="center" wrapText="1"/>
    </xf>
    <xf numFmtId="179" fontId="28" fillId="0" borderId="11" xfId="1" applyNumberFormat="1" applyFont="1" applyFill="1" applyBorder="1" applyAlignment="1">
      <alignment horizontal="left" vertical="center" wrapText="1"/>
    </xf>
    <xf numFmtId="179" fontId="28" fillId="0" borderId="11" xfId="0" applyNumberFormat="1" applyFont="1" applyBorder="1" applyAlignment="1">
      <alignment vertical="center" wrapText="1"/>
    </xf>
    <xf numFmtId="0" fontId="28" fillId="0" borderId="11" xfId="0" applyFont="1" applyBorder="1" applyAlignment="1">
      <alignment horizontal="left" vertical="center" wrapText="1"/>
    </xf>
    <xf numFmtId="0" fontId="28" fillId="0" borderId="11" xfId="0" applyFont="1" applyFill="1" applyBorder="1" applyAlignment="1">
      <alignment horizontal="center" vertical="center" wrapText="1"/>
    </xf>
    <xf numFmtId="0" fontId="13" fillId="0" borderId="11" xfId="0" applyFont="1" applyBorder="1" applyAlignment="1">
      <alignment horizontal="center" vertical="center" wrapText="1"/>
    </xf>
    <xf numFmtId="0" fontId="28" fillId="0" borderId="11" xfId="0" applyFont="1" applyFill="1" applyBorder="1" applyAlignment="1">
      <alignment vertical="center" wrapText="1"/>
    </xf>
    <xf numFmtId="0" fontId="28" fillId="5" borderId="11" xfId="0" applyFont="1" applyFill="1" applyBorder="1" applyAlignment="1">
      <alignment vertical="center" wrapText="1"/>
    </xf>
    <xf numFmtId="0" fontId="28" fillId="5" borderId="12" xfId="0" applyFont="1" applyFill="1" applyBorder="1" applyAlignment="1">
      <alignment horizontal="center" vertical="center" wrapText="1"/>
    </xf>
    <xf numFmtId="0" fontId="28" fillId="5" borderId="13" xfId="0" applyFont="1" applyFill="1" applyBorder="1" applyAlignment="1">
      <alignment horizontal="center" vertical="center" wrapText="1"/>
    </xf>
    <xf numFmtId="188" fontId="28" fillId="0" borderId="0" xfId="0" applyNumberFormat="1" applyFont="1" applyAlignment="1">
      <alignment horizontal="left" vertical="center" wrapText="1"/>
    </xf>
    <xf numFmtId="179" fontId="28" fillId="0" borderId="0" xfId="1" applyNumberFormat="1" applyFont="1" applyFill="1" applyAlignment="1">
      <alignment horizontal="left" vertical="center" wrapText="1"/>
    </xf>
    <xf numFmtId="179" fontId="28" fillId="0" borderId="0" xfId="0" applyNumberFormat="1" applyFont="1" applyAlignment="1">
      <alignment vertical="center" wrapText="1"/>
    </xf>
    <xf numFmtId="1" fontId="28" fillId="0" borderId="0" xfId="0" applyNumberFormat="1" applyFont="1" applyAlignment="1">
      <alignment horizontal="center" vertical="center" wrapText="1"/>
    </xf>
    <xf numFmtId="0" fontId="13" fillId="0" borderId="0" xfId="0" applyFont="1" applyAlignment="1">
      <alignment vertical="center" wrapText="1"/>
    </xf>
    <xf numFmtId="0" fontId="13" fillId="0" borderId="0" xfId="0" applyFont="1" applyAlignment="1">
      <alignment horizontal="center" vertical="center" wrapText="1"/>
    </xf>
    <xf numFmtId="193" fontId="28" fillId="0" borderId="0" xfId="0" applyNumberFormat="1" applyFont="1" applyAlignment="1">
      <alignment vertical="center"/>
    </xf>
    <xf numFmtId="0" fontId="33" fillId="0" borderId="0" xfId="0" applyFont="1" applyAlignment="1">
      <alignment horizontal="centerContinuous" vertical="center"/>
    </xf>
    <xf numFmtId="0" fontId="28" fillId="0" borderId="0" xfId="0" applyFont="1" applyAlignment="1">
      <alignment horizontal="centerContinuous" vertical="center" wrapText="1"/>
    </xf>
    <xf numFmtId="0" fontId="28" fillId="0" borderId="0" xfId="0" applyFont="1" applyAlignment="1">
      <alignment horizontal="centerContinuous" vertical="center"/>
    </xf>
    <xf numFmtId="194" fontId="28" fillId="0" borderId="0" xfId="0" applyNumberFormat="1" applyFont="1" applyAlignment="1">
      <alignment horizontal="centerContinuous" vertical="center"/>
    </xf>
    <xf numFmtId="194" fontId="28" fillId="0" borderId="0" xfId="1" applyNumberFormat="1" applyFont="1" applyAlignment="1">
      <alignment horizontal="centerContinuous" vertical="center"/>
    </xf>
    <xf numFmtId="0" fontId="59" fillId="0" borderId="0" xfId="0" applyFont="1" applyAlignment="1">
      <alignment horizontal="left" vertical="center" wrapText="1"/>
    </xf>
    <xf numFmtId="193" fontId="59" fillId="20" borderId="0" xfId="0" applyNumberFormat="1" applyFont="1" applyFill="1" applyAlignment="1">
      <alignment horizontal="left" vertical="center"/>
    </xf>
    <xf numFmtId="193" fontId="59" fillId="20" borderId="0" xfId="1" applyNumberFormat="1" applyFont="1" applyFill="1" applyAlignment="1">
      <alignment horizontal="left" vertical="center"/>
    </xf>
    <xf numFmtId="0" fontId="28" fillId="0" borderId="0" xfId="0" applyFont="1" applyAlignment="1">
      <alignment horizontal="left" vertical="center"/>
    </xf>
    <xf numFmtId="195" fontId="59" fillId="20" borderId="0" xfId="0" applyNumberFormat="1" applyFont="1" applyFill="1" applyAlignment="1">
      <alignment horizontal="left" vertical="center"/>
    </xf>
    <xf numFmtId="195" fontId="28" fillId="20" borderId="0" xfId="0" applyNumberFormat="1" applyFont="1" applyFill="1" applyAlignment="1">
      <alignment horizontal="right" vertical="center"/>
    </xf>
    <xf numFmtId="0" fontId="59" fillId="20" borderId="0" xfId="0" applyFont="1" applyFill="1" applyAlignment="1">
      <alignment horizontal="left" vertical="center"/>
    </xf>
    <xf numFmtId="0" fontId="61" fillId="0" borderId="0" xfId="0" applyFont="1" applyAlignment="1">
      <alignment vertical="center"/>
    </xf>
    <xf numFmtId="194" fontId="28" fillId="0" borderId="0" xfId="0" applyNumberFormat="1" applyFont="1" applyAlignment="1">
      <alignment vertical="center"/>
    </xf>
    <xf numFmtId="194" fontId="28" fillId="0" borderId="0" xfId="1" applyNumberFormat="1" applyFont="1" applyAlignment="1">
      <alignment vertical="center"/>
    </xf>
    <xf numFmtId="194" fontId="59" fillId="0" borderId="0" xfId="1" applyNumberFormat="1" applyFont="1" applyAlignment="1">
      <alignment vertical="center"/>
    </xf>
    <xf numFmtId="0" fontId="28" fillId="0" borderId="0" xfId="0" applyFont="1" applyAlignment="1">
      <alignment horizontal="left" vertical="center" wrapText="1"/>
    </xf>
    <xf numFmtId="193" fontId="28" fillId="0" borderId="0" xfId="0" applyNumberFormat="1" applyFont="1" applyAlignment="1">
      <alignment horizontal="right" vertical="center"/>
    </xf>
    <xf numFmtId="193" fontId="28" fillId="0" borderId="0" xfId="1" applyNumberFormat="1" applyFont="1" applyAlignment="1">
      <alignment horizontal="right" vertical="center"/>
    </xf>
    <xf numFmtId="195" fontId="28" fillId="0" borderId="0" xfId="0" applyNumberFormat="1" applyFont="1" applyAlignment="1">
      <alignment horizontal="right" vertical="center"/>
    </xf>
    <xf numFmtId="196" fontId="28" fillId="0" borderId="0" xfId="0" applyNumberFormat="1" applyFont="1" applyAlignment="1">
      <alignment vertical="center"/>
    </xf>
    <xf numFmtId="0" fontId="30" fillId="9" borderId="1" xfId="0" applyFont="1" applyFill="1" applyBorder="1" applyAlignment="1">
      <alignment horizontal="center" vertical="center" wrapText="1"/>
    </xf>
    <xf numFmtId="193" fontId="30" fillId="9" borderId="1" xfId="1" applyNumberFormat="1" applyFont="1" applyFill="1" applyBorder="1" applyAlignment="1">
      <alignment horizontal="center" vertical="center" wrapText="1"/>
    </xf>
    <xf numFmtId="0" fontId="30" fillId="0" borderId="0" xfId="0" applyFont="1" applyAlignment="1">
      <alignment horizontal="left" vertical="center" wrapText="1"/>
    </xf>
    <xf numFmtId="195" fontId="30" fillId="9" borderId="1" xfId="1" applyNumberFormat="1" applyFont="1" applyFill="1" applyBorder="1" applyAlignment="1">
      <alignment horizontal="center" vertical="center" wrapText="1"/>
    </xf>
    <xf numFmtId="196" fontId="30" fillId="9" borderId="1" xfId="1" applyNumberFormat="1" applyFont="1" applyFill="1" applyBorder="1" applyAlignment="1">
      <alignment horizontal="center" vertical="center" wrapText="1"/>
    </xf>
    <xf numFmtId="194" fontId="30" fillId="9" borderId="1" xfId="1" applyNumberFormat="1" applyFont="1" applyFill="1" applyBorder="1" applyAlignment="1">
      <alignment horizontal="center" vertical="center" wrapText="1"/>
    </xf>
    <xf numFmtId="0" fontId="28" fillId="10" borderId="1" xfId="0" applyFont="1" applyFill="1" applyBorder="1" applyAlignment="1">
      <alignment horizontal="center" vertical="center"/>
    </xf>
    <xf numFmtId="0" fontId="30" fillId="10" borderId="1" xfId="0" applyFont="1" applyFill="1" applyBorder="1" applyAlignment="1">
      <alignment horizontal="center" vertical="center" wrapText="1"/>
    </xf>
    <xf numFmtId="0" fontId="30" fillId="10" borderId="1" xfId="0" applyFont="1" applyFill="1" applyBorder="1" applyAlignment="1">
      <alignment vertical="center" wrapText="1"/>
    </xf>
    <xf numFmtId="185" fontId="30" fillId="10" borderId="1" xfId="57" applyNumberFormat="1" applyFont="1" applyFill="1" applyBorder="1" applyAlignment="1">
      <alignment vertical="center" wrapText="1"/>
    </xf>
    <xf numFmtId="185" fontId="15" fillId="10" borderId="1" xfId="1" applyNumberFormat="1" applyFont="1" applyFill="1" applyBorder="1" applyAlignment="1">
      <alignment vertical="center" wrapText="1"/>
    </xf>
    <xf numFmtId="194" fontId="15" fillId="10" borderId="1" xfId="1" applyNumberFormat="1" applyFont="1" applyFill="1" applyBorder="1" applyAlignment="1">
      <alignment vertical="center" wrapText="1"/>
    </xf>
    <xf numFmtId="0" fontId="15" fillId="10" borderId="1" xfId="0" applyFont="1" applyFill="1" applyBorder="1" applyAlignment="1">
      <alignment horizontal="left" vertical="center" wrapText="1"/>
    </xf>
    <xf numFmtId="193" fontId="15" fillId="10" borderId="1" xfId="0" applyNumberFormat="1" applyFont="1" applyFill="1" applyBorder="1" applyAlignment="1">
      <alignment horizontal="right" vertical="center" wrapText="1"/>
    </xf>
    <xf numFmtId="193" fontId="15" fillId="10" borderId="1" xfId="0" applyNumberFormat="1" applyFont="1" applyFill="1" applyBorder="1" applyAlignment="1">
      <alignment vertical="center" wrapText="1"/>
    </xf>
    <xf numFmtId="0" fontId="15" fillId="0" borderId="0" xfId="0" applyFont="1" applyAlignment="1">
      <alignment horizontal="left" vertical="center" wrapText="1"/>
    </xf>
    <xf numFmtId="185" fontId="28" fillId="0" borderId="1" xfId="1" applyNumberFormat="1" applyFont="1" applyBorder="1" applyAlignment="1">
      <alignment vertical="center"/>
    </xf>
    <xf numFmtId="193" fontId="28" fillId="0" borderId="1" xfId="1" applyNumberFormat="1" applyFont="1" applyBorder="1" applyAlignment="1">
      <alignment vertical="center"/>
    </xf>
    <xf numFmtId="195" fontId="28" fillId="0" borderId="1" xfId="0" applyNumberFormat="1" applyFont="1" applyBorder="1" applyAlignment="1">
      <alignment horizontal="right" vertical="center"/>
    </xf>
    <xf numFmtId="196" fontId="28" fillId="0" borderId="1" xfId="0" applyNumberFormat="1" applyFont="1" applyBorder="1" applyAlignment="1">
      <alignment vertical="center"/>
    </xf>
    <xf numFmtId="185" fontId="30" fillId="10" borderId="1" xfId="0" applyNumberFormat="1" applyFont="1" applyFill="1" applyBorder="1" applyAlignment="1">
      <alignment vertical="center" wrapText="1"/>
    </xf>
    <xf numFmtId="0" fontId="59" fillId="10" borderId="1" xfId="0" applyFont="1" applyFill="1" applyBorder="1" applyAlignment="1">
      <alignment vertical="center" wrapText="1"/>
    </xf>
    <xf numFmtId="193" fontId="15" fillId="10" borderId="1" xfId="1" applyNumberFormat="1" applyFont="1" applyFill="1" applyBorder="1" applyAlignment="1">
      <alignment vertical="center" wrapText="1"/>
    </xf>
    <xf numFmtId="0" fontId="62" fillId="0" borderId="1" xfId="0" applyFont="1" applyBorder="1" applyAlignment="1">
      <alignment vertical="center" wrapText="1"/>
    </xf>
    <xf numFmtId="0" fontId="11" fillId="10" borderId="1" xfId="0" applyFont="1" applyFill="1" applyBorder="1" applyAlignment="1">
      <alignment vertical="center" wrapText="1"/>
    </xf>
    <xf numFmtId="0" fontId="15" fillId="10" borderId="3" xfId="0" applyFont="1" applyFill="1" applyBorder="1" applyAlignment="1">
      <alignment horizontal="left" vertical="center" wrapText="1"/>
    </xf>
    <xf numFmtId="0" fontId="15" fillId="10" borderId="10" xfId="0" applyFont="1" applyFill="1" applyBorder="1" applyAlignment="1">
      <alignment horizontal="left" vertical="center" wrapText="1"/>
    </xf>
    <xf numFmtId="0" fontId="15" fillId="10" borderId="4" xfId="0" applyFont="1" applyFill="1" applyBorder="1" applyAlignment="1">
      <alignment horizontal="left" vertical="center" wrapText="1"/>
    </xf>
    <xf numFmtId="0" fontId="30" fillId="9" borderId="1" xfId="0" applyFont="1" applyFill="1" applyBorder="1" applyAlignment="1">
      <alignment vertical="center"/>
    </xf>
    <xf numFmtId="185" fontId="30" fillId="9" borderId="1" xfId="57" applyNumberFormat="1" applyFont="1" applyFill="1" applyBorder="1" applyAlignment="1">
      <alignment vertical="center" wrapText="1"/>
    </xf>
    <xf numFmtId="185" fontId="30" fillId="9" borderId="1" xfId="1" applyNumberFormat="1" applyFont="1" applyFill="1" applyBorder="1" applyAlignment="1">
      <alignment vertical="center" wrapText="1"/>
    </xf>
    <xf numFmtId="194" fontId="30" fillId="9" borderId="1" xfId="1" applyNumberFormat="1" applyFont="1" applyFill="1" applyBorder="1" applyAlignment="1">
      <alignment vertical="center" wrapText="1"/>
    </xf>
    <xf numFmtId="194" fontId="30" fillId="9" borderId="1" xfId="57" applyNumberFormat="1" applyFont="1" applyFill="1" applyBorder="1" applyAlignment="1">
      <alignment vertical="center" wrapText="1"/>
    </xf>
    <xf numFmtId="193" fontId="30" fillId="9" borderId="1" xfId="57" applyNumberFormat="1" applyFont="1" applyFill="1" applyBorder="1" applyAlignment="1">
      <alignment vertical="center" wrapText="1"/>
    </xf>
    <xf numFmtId="193" fontId="30" fillId="9" borderId="1" xfId="1" applyNumberFormat="1" applyFont="1" applyFill="1" applyBorder="1" applyAlignment="1">
      <alignment vertical="center" wrapText="1"/>
    </xf>
    <xf numFmtId="194" fontId="30" fillId="0" borderId="0" xfId="1" applyNumberFormat="1" applyFont="1" applyFill="1" applyBorder="1" applyAlignment="1">
      <alignment vertical="center" wrapText="1"/>
    </xf>
    <xf numFmtId="10" fontId="28" fillId="0" borderId="1" xfId="0" applyNumberFormat="1" applyFont="1" applyBorder="1" applyAlignment="1">
      <alignment horizontal="left" vertical="center"/>
    </xf>
    <xf numFmtId="185" fontId="28" fillId="0" borderId="1" xfId="0" applyNumberFormat="1" applyFont="1" applyBorder="1" applyAlignment="1">
      <alignment vertical="center"/>
    </xf>
    <xf numFmtId="194" fontId="28" fillId="0" borderId="1" xfId="1" applyNumberFormat="1" applyFont="1" applyBorder="1" applyAlignment="1">
      <alignment vertical="center"/>
    </xf>
    <xf numFmtId="0" fontId="46" fillId="0" borderId="1" xfId="0" applyFont="1" applyBorder="1" applyAlignment="1">
      <alignment horizontal="left" vertical="center" wrapText="1"/>
    </xf>
    <xf numFmtId="193" fontId="28" fillId="0" borderId="14" xfId="1" applyNumberFormat="1" applyFont="1" applyFill="1" applyBorder="1" applyAlignment="1">
      <alignment vertical="center"/>
    </xf>
    <xf numFmtId="193" fontId="28" fillId="0" borderId="14" xfId="1" applyNumberFormat="1" applyFont="1" applyFill="1" applyBorder="1" applyAlignment="1">
      <alignment horizontal="right" vertical="center"/>
    </xf>
    <xf numFmtId="193" fontId="28" fillId="0" borderId="0" xfId="1" applyNumberFormat="1" applyFont="1" applyFill="1" applyBorder="1" applyAlignment="1">
      <alignment horizontal="right" vertical="center"/>
    </xf>
    <xf numFmtId="194" fontId="13" fillId="0" borderId="15" xfId="0" applyNumberFormat="1" applyFont="1" applyBorder="1" applyAlignment="1">
      <alignment vertical="center"/>
    </xf>
    <xf numFmtId="194" fontId="13" fillId="0" borderId="16" xfId="1" applyNumberFormat="1" applyFont="1" applyBorder="1" applyAlignment="1">
      <alignment vertical="center"/>
    </xf>
    <xf numFmtId="193" fontId="13" fillId="0" borderId="17" xfId="1" applyNumberFormat="1" applyFont="1" applyBorder="1" applyAlignment="1">
      <alignment vertical="center"/>
    </xf>
    <xf numFmtId="193" fontId="13" fillId="0" borderId="15" xfId="1" applyNumberFormat="1" applyFont="1" applyBorder="1" applyAlignment="1">
      <alignment vertical="center"/>
    </xf>
    <xf numFmtId="193" fontId="13" fillId="0" borderId="16" xfId="1" applyNumberFormat="1" applyFont="1" applyBorder="1" applyAlignment="1">
      <alignment vertical="center"/>
    </xf>
    <xf numFmtId="193" fontId="13" fillId="0" borderId="18" xfId="1" applyNumberFormat="1" applyFont="1" applyBorder="1" applyAlignment="1">
      <alignment vertical="center"/>
    </xf>
    <xf numFmtId="197" fontId="28" fillId="0" borderId="0" xfId="1" applyNumberFormat="1" applyFont="1" applyAlignment="1">
      <alignment vertical="center"/>
    </xf>
    <xf numFmtId="197" fontId="28" fillId="0" borderId="0" xfId="1" applyNumberFormat="1" applyFont="1" applyAlignment="1">
      <alignment horizontal="right" vertical="center"/>
    </xf>
    <xf numFmtId="0" fontId="63" fillId="0" borderId="0" xfId="0" applyFont="1" applyAlignment="1">
      <alignment horizontal="centerContinuous" vertical="center"/>
    </xf>
    <xf numFmtId="197" fontId="28" fillId="0" borderId="0" xfId="1" applyNumberFormat="1" applyFont="1" applyAlignment="1">
      <alignment horizontal="centerContinuous" vertical="center"/>
    </xf>
    <xf numFmtId="0" fontId="59" fillId="0" borderId="0" xfId="0" applyFont="1" applyAlignment="1">
      <alignment vertical="center"/>
    </xf>
    <xf numFmtId="197" fontId="30" fillId="9" borderId="1" xfId="1" applyNumberFormat="1" applyFont="1" applyFill="1" applyBorder="1" applyAlignment="1">
      <alignment horizontal="center" vertical="center" wrapText="1"/>
    </xf>
    <xf numFmtId="0" fontId="15" fillId="17" borderId="1" xfId="0" applyFont="1" applyFill="1" applyBorder="1" applyAlignment="1">
      <alignment horizontal="center" vertical="center"/>
    </xf>
    <xf numFmtId="0" fontId="15" fillId="17" borderId="1" xfId="0" applyFont="1" applyFill="1" applyBorder="1" applyAlignment="1">
      <alignment horizontal="centerContinuous" vertical="center"/>
    </xf>
    <xf numFmtId="0" fontId="11" fillId="17" borderId="1" xfId="0" applyFont="1" applyFill="1" applyBorder="1" applyAlignment="1">
      <alignment horizontal="centerContinuous" vertical="center"/>
    </xf>
    <xf numFmtId="0" fontId="17" fillId="17" borderId="1" xfId="0" applyFont="1" applyFill="1" applyBorder="1" applyAlignment="1">
      <alignment vertical="center"/>
    </xf>
    <xf numFmtId="0" fontId="15" fillId="10" borderId="1" xfId="0" applyFont="1" applyFill="1" applyBorder="1" applyAlignment="1">
      <alignment horizontal="center" vertical="center" wrapText="1"/>
    </xf>
    <xf numFmtId="197" fontId="15" fillId="10" borderId="1" xfId="1" applyNumberFormat="1" applyFont="1" applyFill="1" applyBorder="1" applyAlignment="1">
      <alignment vertical="center" wrapText="1"/>
    </xf>
    <xf numFmtId="197" fontId="15" fillId="10" borderId="1" xfId="1" applyNumberFormat="1" applyFont="1" applyFill="1" applyBorder="1" applyAlignment="1">
      <alignment horizontal="right" vertical="center" wrapText="1"/>
    </xf>
    <xf numFmtId="0" fontId="28" fillId="17" borderId="1" xfId="0" applyFont="1" applyFill="1" applyBorder="1" applyAlignment="1">
      <alignment horizontal="left" vertical="center"/>
    </xf>
    <xf numFmtId="0" fontId="28" fillId="17" borderId="1" xfId="0" applyFont="1" applyFill="1" applyBorder="1" applyAlignment="1">
      <alignment horizontal="center" vertical="center"/>
    </xf>
    <xf numFmtId="0" fontId="8" fillId="17" borderId="1" xfId="0" applyFont="1" applyFill="1" applyBorder="1" applyAlignment="1">
      <alignment horizontal="center" vertical="center"/>
    </xf>
    <xf numFmtId="197" fontId="28" fillId="0" borderId="1" xfId="1" applyNumberFormat="1" applyFont="1" applyFill="1" applyBorder="1" applyAlignment="1">
      <alignment vertical="center"/>
    </xf>
    <xf numFmtId="197" fontId="28" fillId="0" borderId="1" xfId="1" applyNumberFormat="1" applyFont="1" applyBorder="1" applyAlignment="1">
      <alignment horizontal="right" vertical="center"/>
    </xf>
    <xf numFmtId="0" fontId="11" fillId="17" borderId="1" xfId="0" applyFont="1" applyFill="1" applyBorder="1" applyAlignment="1">
      <alignment horizontal="left" vertical="center"/>
    </xf>
    <xf numFmtId="0" fontId="11" fillId="17" borderId="1" xfId="0" applyFont="1" applyFill="1" applyBorder="1" applyAlignment="1">
      <alignment horizontal="center" vertical="center"/>
    </xf>
    <xf numFmtId="0" fontId="28" fillId="0" borderId="1" xfId="1" applyNumberFormat="1" applyFont="1" applyBorder="1" applyAlignment="1">
      <alignment horizontal="center" vertical="center"/>
    </xf>
    <xf numFmtId="197" fontId="28" fillId="0" borderId="1" xfId="1" applyNumberFormat="1" applyFont="1" applyBorder="1" applyAlignment="1">
      <alignment vertical="center"/>
    </xf>
    <xf numFmtId="197" fontId="28" fillId="10" borderId="1" xfId="1" applyNumberFormat="1" applyFont="1" applyFill="1" applyBorder="1" applyAlignment="1">
      <alignment horizontal="center" vertical="center"/>
    </xf>
    <xf numFmtId="197" fontId="33" fillId="10" borderId="1" xfId="1" applyNumberFormat="1" applyFont="1" applyFill="1" applyBorder="1" applyAlignment="1">
      <alignment horizontal="right" vertical="center"/>
    </xf>
    <xf numFmtId="0" fontId="28" fillId="10" borderId="1" xfId="0" applyFont="1" applyFill="1" applyBorder="1" applyAlignment="1">
      <alignment horizontal="left" vertical="center"/>
    </xf>
    <xf numFmtId="197" fontId="13" fillId="11" borderId="1" xfId="1" applyNumberFormat="1" applyFont="1" applyFill="1" applyBorder="1" applyAlignment="1" applyProtection="1">
      <alignment horizontal="right" vertical="center"/>
      <protection locked="0"/>
    </xf>
    <xf numFmtId="0" fontId="13" fillId="11" borderId="1" xfId="0" applyFont="1" applyFill="1" applyBorder="1" applyAlignment="1" applyProtection="1">
      <alignment horizontal="left" vertical="center"/>
      <protection locked="0"/>
    </xf>
    <xf numFmtId="197" fontId="28" fillId="10" borderId="1" xfId="0" applyNumberFormat="1" applyFont="1" applyFill="1" applyBorder="1" applyAlignment="1">
      <alignment horizontal="center" vertical="center"/>
    </xf>
    <xf numFmtId="197" fontId="33" fillId="10" borderId="1" xfId="0" applyNumberFormat="1" applyFont="1" applyFill="1" applyBorder="1" applyAlignment="1">
      <alignment horizontal="right" vertical="center"/>
    </xf>
    <xf numFmtId="0" fontId="11" fillId="0" borderId="0" xfId="0" applyFont="1" applyAlignment="1">
      <alignment horizontal="center" vertical="center"/>
    </xf>
    <xf numFmtId="0" fontId="11" fillId="0" borderId="1" xfId="0" applyFont="1" applyBorder="1" applyAlignment="1">
      <alignment horizontal="center" vertical="center"/>
    </xf>
    <xf numFmtId="196" fontId="11" fillId="0" borderId="1" xfId="0" applyNumberFormat="1" applyFont="1" applyBorder="1" applyAlignment="1">
      <alignment horizontal="center" vertical="center"/>
    </xf>
    <xf numFmtId="0" fontId="62" fillId="0" borderId="0" xfId="0" applyFont="1" applyAlignment="1">
      <alignment horizontal="left" vertical="center"/>
    </xf>
    <xf numFmtId="0" fontId="13" fillId="17" borderId="1" xfId="0" applyFont="1" applyFill="1" applyBorder="1" applyAlignment="1">
      <alignment horizontal="left" vertical="center"/>
    </xf>
    <xf numFmtId="0" fontId="13" fillId="17" borderId="1" xfId="0" applyFont="1" applyFill="1" applyBorder="1" applyAlignment="1">
      <alignment horizontal="center" vertical="center"/>
    </xf>
    <xf numFmtId="197" fontId="13" fillId="17" borderId="1" xfId="0" applyNumberFormat="1" applyFont="1" applyFill="1" applyBorder="1" applyAlignment="1">
      <alignment horizontal="center" vertical="center"/>
    </xf>
    <xf numFmtId="197" fontId="11" fillId="17" borderId="1" xfId="0" applyNumberFormat="1" applyFont="1" applyFill="1" applyBorder="1" applyAlignment="1">
      <alignment horizontal="center" vertical="center"/>
    </xf>
    <xf numFmtId="198" fontId="13" fillId="11" borderId="1" xfId="0" applyNumberFormat="1" applyFont="1" applyFill="1" applyBorder="1" applyAlignment="1" applyProtection="1">
      <alignment horizontal="right" vertical="center"/>
      <protection locked="0"/>
    </xf>
    <xf numFmtId="0" fontId="13" fillId="11" borderId="1" xfId="0" applyFont="1" applyFill="1" applyBorder="1" applyAlignment="1">
      <alignment horizontal="right" vertical="center"/>
    </xf>
    <xf numFmtId="0" fontId="28" fillId="0" borderId="0" xfId="0" applyFont="1" applyBorder="1" applyAlignment="1">
      <alignment vertical="center"/>
    </xf>
    <xf numFmtId="0" fontId="13" fillId="0" borderId="1" xfId="0" applyFont="1" applyBorder="1" applyAlignment="1">
      <alignment vertical="center"/>
    </xf>
    <xf numFmtId="0" fontId="64" fillId="0" borderId="0" xfId="0" applyFont="1" applyAlignment="1">
      <alignment horizontal="center" vertical="center" wrapText="1"/>
    </xf>
    <xf numFmtId="0" fontId="33" fillId="17" borderId="0" xfId="0" applyFont="1" applyFill="1" applyAlignment="1">
      <alignment horizontal="center" vertical="center"/>
    </xf>
    <xf numFmtId="0" fontId="28" fillId="17" borderId="0" xfId="0" applyFont="1" applyFill="1" applyAlignment="1">
      <alignment horizontal="left" vertical="center"/>
    </xf>
    <xf numFmtId="177" fontId="28" fillId="18" borderId="0" xfId="57" applyFont="1" applyFill="1" applyAlignment="1">
      <alignment horizontal="center" vertical="center"/>
    </xf>
    <xf numFmtId="0" fontId="28" fillId="17" borderId="0" xfId="0" applyFont="1" applyFill="1" applyAlignment="1">
      <alignment horizontal="center" vertical="center"/>
    </xf>
    <xf numFmtId="199" fontId="62" fillId="0" borderId="0" xfId="0" applyNumberFormat="1" applyFont="1" applyAlignment="1">
      <alignment horizontal="left" vertical="center"/>
    </xf>
    <xf numFmtId="199" fontId="28" fillId="0" borderId="0" xfId="0" applyNumberFormat="1" applyFont="1" applyAlignment="1">
      <alignment horizontal="center" vertical="center"/>
    </xf>
    <xf numFmtId="0" fontId="33" fillId="17" borderId="1" xfId="0" applyFont="1" applyFill="1" applyBorder="1" applyAlignment="1">
      <alignment horizontal="center" vertical="center"/>
    </xf>
    <xf numFmtId="177" fontId="28" fillId="18" borderId="1" xfId="57" applyFont="1" applyFill="1" applyBorder="1" applyAlignment="1">
      <alignment horizontal="center" vertical="center"/>
    </xf>
    <xf numFmtId="9" fontId="28" fillId="0" borderId="0" xfId="0" applyNumberFormat="1" applyFont="1" applyAlignment="1">
      <alignment horizontal="center" vertical="center"/>
    </xf>
    <xf numFmtId="197" fontId="11" fillId="0" borderId="1" xfId="0" applyNumberFormat="1" applyFont="1" applyBorder="1" applyAlignment="1">
      <alignment horizontal="right" vertical="center"/>
    </xf>
    <xf numFmtId="0" fontId="11" fillId="0" borderId="1" xfId="0" applyFont="1" applyBorder="1" applyAlignment="1">
      <alignment horizontal="left" vertical="center"/>
    </xf>
    <xf numFmtId="9" fontId="28" fillId="0" borderId="18" xfId="0" applyNumberFormat="1" applyFont="1" applyBorder="1" applyAlignment="1">
      <alignment horizontal="center" vertical="center"/>
    </xf>
    <xf numFmtId="0" fontId="28" fillId="17" borderId="3" xfId="0" applyFont="1" applyFill="1" applyBorder="1" applyAlignment="1">
      <alignment horizontal="center" vertical="center"/>
    </xf>
    <xf numFmtId="0" fontId="31" fillId="0" borderId="1" xfId="0" applyFont="1" applyBorder="1" applyAlignment="1">
      <alignment horizontal="center" vertical="center"/>
    </xf>
    <xf numFmtId="197" fontId="31" fillId="0" borderId="1" xfId="1" applyNumberFormat="1" applyFont="1" applyBorder="1" applyAlignment="1">
      <alignment vertical="center"/>
    </xf>
    <xf numFmtId="197" fontId="65" fillId="0" borderId="1" xfId="0" applyNumberFormat="1" applyFont="1" applyBorder="1" applyAlignment="1">
      <alignment horizontal="right" vertical="center"/>
    </xf>
    <xf numFmtId="9" fontId="65" fillId="0" borderId="1" xfId="3" applyFont="1" applyBorder="1" applyAlignment="1">
      <alignment horizontal="left" vertical="center"/>
    </xf>
    <xf numFmtId="0" fontId="31" fillId="17" borderId="1" xfId="0" applyFont="1" applyFill="1" applyBorder="1" applyAlignment="1">
      <alignment horizontal="left" vertical="center" wrapText="1"/>
    </xf>
    <xf numFmtId="0" fontId="31" fillId="18" borderId="1" xfId="0" applyFont="1" applyFill="1" applyBorder="1" applyAlignment="1">
      <alignment horizontal="center" vertical="center" wrapText="1"/>
    </xf>
    <xf numFmtId="9" fontId="11" fillId="0" borderId="1" xfId="3" applyFont="1" applyBorder="1" applyAlignment="1">
      <alignment horizontal="left" vertical="center"/>
    </xf>
    <xf numFmtId="200" fontId="11" fillId="0" borderId="0" xfId="0" applyNumberFormat="1" applyFont="1" applyAlignment="1">
      <alignment horizontal="center" vertical="center"/>
    </xf>
    <xf numFmtId="200" fontId="11" fillId="0" borderId="18" xfId="0" applyNumberFormat="1" applyFont="1" applyBorder="1" applyAlignment="1">
      <alignment horizontal="center" vertical="center"/>
    </xf>
    <xf numFmtId="201" fontId="11" fillId="0" borderId="0" xfId="0" applyNumberFormat="1" applyFont="1" applyAlignment="1">
      <alignment horizontal="center" vertical="center"/>
    </xf>
    <xf numFmtId="201" fontId="11" fillId="0" borderId="18" xfId="0" applyNumberFormat="1" applyFont="1" applyBorder="1" applyAlignment="1">
      <alignment horizontal="center" vertical="center"/>
    </xf>
    <xf numFmtId="9" fontId="11" fillId="0" borderId="0" xfId="0" applyNumberFormat="1" applyFont="1" applyAlignment="1">
      <alignment horizontal="center" vertical="center"/>
    </xf>
    <xf numFmtId="9" fontId="11" fillId="0" borderId="18" xfId="0" applyNumberFormat="1" applyFont="1" applyBorder="1" applyAlignment="1">
      <alignment horizontal="center" vertical="center"/>
    </xf>
    <xf numFmtId="0" fontId="11" fillId="0" borderId="18" xfId="0" applyFont="1" applyBorder="1" applyAlignment="1">
      <alignment horizontal="center" vertical="center"/>
    </xf>
    <xf numFmtId="0" fontId="30" fillId="9" borderId="1" xfId="0" applyFont="1" applyFill="1" applyBorder="1" applyAlignment="1">
      <alignment horizontal="left" vertical="center" wrapText="1"/>
    </xf>
    <xf numFmtId="197" fontId="30" fillId="9" borderId="1" xfId="0" applyNumberFormat="1" applyFont="1" applyFill="1" applyBorder="1" applyAlignment="1">
      <alignment vertical="center" wrapText="1"/>
    </xf>
    <xf numFmtId="197" fontId="30" fillId="9" borderId="1" xfId="57" applyNumberFormat="1" applyFont="1" applyFill="1" applyBorder="1" applyAlignment="1">
      <alignment vertical="center" wrapText="1"/>
    </xf>
    <xf numFmtId="10" fontId="28" fillId="0" borderId="1" xfId="3" applyNumberFormat="1" applyFont="1" applyBorder="1" applyAlignment="1">
      <alignment vertical="center" wrapText="1"/>
    </xf>
    <xf numFmtId="10" fontId="28" fillId="0" borderId="1" xfId="3" applyNumberFormat="1" applyFont="1" applyBorder="1" applyAlignment="1">
      <alignment horizontal="left" vertical="center"/>
    </xf>
    <xf numFmtId="10" fontId="28" fillId="0" borderId="1" xfId="3" applyNumberFormat="1" applyFont="1" applyBorder="1" applyAlignment="1">
      <alignment horizontal="center" vertical="center"/>
    </xf>
    <xf numFmtId="197" fontId="30" fillId="9" borderId="1" xfId="1" applyNumberFormat="1" applyFont="1" applyFill="1" applyBorder="1" applyAlignment="1">
      <alignment vertical="center" wrapText="1"/>
    </xf>
    <xf numFmtId="0" fontId="28" fillId="0" borderId="3" xfId="0" applyFont="1" applyBorder="1" applyAlignment="1">
      <alignment vertical="center"/>
    </xf>
    <xf numFmtId="0" fontId="28" fillId="0" borderId="10" xfId="0" applyFont="1" applyBorder="1" applyAlignment="1">
      <alignment vertical="center"/>
    </xf>
    <xf numFmtId="0" fontId="28" fillId="0" borderId="10" xfId="0" applyFont="1" applyBorder="1" applyAlignment="1">
      <alignment horizontal="center" vertical="center"/>
    </xf>
    <xf numFmtId="197" fontId="28" fillId="0" borderId="10" xfId="1" applyNumberFormat="1" applyFont="1" applyBorder="1" applyAlignment="1">
      <alignment vertical="center"/>
    </xf>
    <xf numFmtId="197" fontId="28" fillId="0" borderId="10" xfId="1" applyNumberFormat="1" applyFont="1" applyBorder="1" applyAlignment="1">
      <alignment horizontal="right" vertical="center"/>
    </xf>
    <xf numFmtId="0" fontId="28" fillId="0" borderId="4" xfId="0" applyFont="1" applyBorder="1" applyAlignment="1">
      <alignment vertical="center"/>
    </xf>
    <xf numFmtId="0" fontId="59" fillId="0" borderId="0" xfId="0" applyFont="1" applyAlignment="1">
      <alignment horizontal="center" vertical="center" wrapText="1"/>
    </xf>
    <xf numFmtId="10" fontId="33" fillId="0" borderId="0" xfId="0" applyNumberFormat="1" applyFont="1" applyAlignment="1">
      <alignment horizontal="center" vertical="center" wrapText="1"/>
    </xf>
    <xf numFmtId="179" fontId="33" fillId="0" borderId="0" xfId="1" applyNumberFormat="1" applyFont="1" applyFill="1" applyAlignment="1">
      <alignment horizontal="center" vertical="center" wrapText="1"/>
    </xf>
    <xf numFmtId="0" fontId="30" fillId="9" borderId="19" xfId="0" applyFont="1" applyFill="1" applyBorder="1" applyAlignment="1">
      <alignment horizontal="center" vertical="center" wrapText="1"/>
    </xf>
    <xf numFmtId="0" fontId="30" fillId="9" borderId="20" xfId="0" applyFont="1" applyFill="1" applyBorder="1" applyAlignment="1">
      <alignment horizontal="center" vertical="center" wrapText="1"/>
    </xf>
    <xf numFmtId="0" fontId="30" fillId="26" borderId="12" xfId="0" applyFont="1" applyFill="1" applyBorder="1" applyAlignment="1">
      <alignment horizontal="center" vertical="center" wrapText="1"/>
    </xf>
    <xf numFmtId="0" fontId="30" fillId="9" borderId="12" xfId="0" applyFont="1" applyFill="1" applyBorder="1" applyAlignment="1">
      <alignment horizontal="center" vertical="center" wrapText="1"/>
    </xf>
    <xf numFmtId="0" fontId="15" fillId="5" borderId="11" xfId="0" applyFont="1" applyFill="1" applyBorder="1" applyAlignment="1">
      <alignment horizontal="center" vertical="center" wrapText="1"/>
    </xf>
    <xf numFmtId="0" fontId="30" fillId="9" borderId="11" xfId="0" applyFont="1" applyFill="1" applyBorder="1" applyAlignment="1">
      <alignment horizontal="center" vertical="center" wrapText="1"/>
    </xf>
    <xf numFmtId="0" fontId="59" fillId="5" borderId="11" xfId="0" applyFont="1" applyFill="1" applyBorder="1" applyAlignment="1">
      <alignment horizontal="center" vertical="center" wrapText="1"/>
    </xf>
    <xf numFmtId="0" fontId="30" fillId="26" borderId="11" xfId="0" applyFont="1" applyFill="1" applyBorder="1" applyAlignment="1">
      <alignment horizontal="center" vertical="center" wrapText="1"/>
    </xf>
    <xf numFmtId="179" fontId="30" fillId="15" borderId="11" xfId="1" applyNumberFormat="1" applyFont="1" applyFill="1" applyBorder="1" applyAlignment="1">
      <alignment horizontal="center" vertical="center" wrapText="1"/>
    </xf>
    <xf numFmtId="184" fontId="30" fillId="26" borderId="11" xfId="0" applyNumberFormat="1" applyFont="1" applyFill="1" applyBorder="1" applyAlignment="1">
      <alignment horizontal="center" vertical="center" wrapText="1"/>
    </xf>
    <xf numFmtId="188" fontId="30" fillId="9" borderId="11" xfId="0" applyNumberFormat="1" applyFont="1" applyFill="1" applyBorder="1" applyAlignment="1">
      <alignment horizontal="center" vertical="center" wrapText="1"/>
    </xf>
    <xf numFmtId="179" fontId="30" fillId="9" borderId="11" xfId="1" applyNumberFormat="1" applyFont="1" applyFill="1" applyBorder="1" applyAlignment="1">
      <alignment horizontal="center" vertical="center" wrapText="1"/>
    </xf>
    <xf numFmtId="43" fontId="30" fillId="9" borderId="11" xfId="1" applyFont="1" applyFill="1" applyBorder="1" applyAlignment="1">
      <alignment horizontal="center" vertical="center" wrapText="1"/>
    </xf>
    <xf numFmtId="0" fontId="11" fillId="0" borderId="11" xfId="0" applyFont="1" applyBorder="1" applyAlignment="1">
      <alignment horizontal="center" vertical="center" wrapText="1"/>
    </xf>
    <xf numFmtId="0" fontId="30" fillId="15" borderId="11" xfId="0" applyFont="1" applyFill="1" applyBorder="1" applyAlignment="1">
      <alignment horizontal="center" vertical="center" wrapText="1"/>
    </xf>
    <xf numFmtId="184" fontId="30" fillId="15" borderId="11" xfId="0" applyNumberFormat="1" applyFont="1" applyFill="1" applyBorder="1" applyAlignment="1">
      <alignment horizontal="center" vertical="center" wrapText="1"/>
    </xf>
    <xf numFmtId="0" fontId="15" fillId="0" borderId="11" xfId="0" applyFont="1" applyBorder="1" applyAlignment="1">
      <alignment horizontal="center" vertical="center" wrapText="1"/>
    </xf>
    <xf numFmtId="0" fontId="13" fillId="0" borderId="11" xfId="0" applyFont="1" applyBorder="1" applyAlignment="1">
      <alignment vertical="center" wrapText="1"/>
    </xf>
    <xf numFmtId="0" fontId="66" fillId="0" borderId="11" xfId="0" applyFont="1" applyBorder="1" applyAlignment="1">
      <alignment vertical="center" wrapText="1"/>
    </xf>
    <xf numFmtId="1" fontId="28" fillId="0" borderId="11" xfId="1" applyNumberFormat="1" applyFont="1" applyFill="1" applyBorder="1" applyAlignment="1">
      <alignment horizontal="center" vertical="center" wrapText="1"/>
    </xf>
    <xf numFmtId="0" fontId="67" fillId="0" borderId="11" xfId="0" applyFont="1" applyBorder="1" applyAlignment="1">
      <alignment vertical="center" wrapText="1"/>
    </xf>
    <xf numFmtId="0" fontId="22" fillId="0" borderId="11" xfId="0" applyFont="1" applyBorder="1" applyAlignment="1">
      <alignment vertical="center" wrapText="1"/>
    </xf>
    <xf numFmtId="0" fontId="28" fillId="27" borderId="11" xfId="0" applyFont="1" applyFill="1" applyBorder="1" applyAlignment="1">
      <alignment vertical="center" wrapText="1"/>
    </xf>
    <xf numFmtId="0" fontId="28" fillId="0" borderId="12" xfId="0" applyFont="1" applyBorder="1" applyAlignment="1">
      <alignment vertical="center" wrapText="1"/>
    </xf>
    <xf numFmtId="0" fontId="68" fillId="0" borderId="11" xfId="0" applyFont="1" applyBorder="1" applyAlignment="1">
      <alignment vertical="center" wrapText="1"/>
    </xf>
    <xf numFmtId="0" fontId="28" fillId="5" borderId="11" xfId="0" applyFont="1" applyFill="1" applyBorder="1" applyAlignment="1">
      <alignment horizontal="center" vertical="center" wrapText="1"/>
    </xf>
    <xf numFmtId="0" fontId="28" fillId="0" borderId="13" xfId="0" applyFont="1" applyBorder="1" applyAlignment="1">
      <alignment vertical="center" wrapText="1"/>
    </xf>
    <xf numFmtId="1" fontId="28" fillId="0" borderId="11" xfId="0" applyNumberFormat="1" applyFont="1" applyBorder="1" applyAlignment="1">
      <alignment horizontal="center" vertical="center" wrapText="1"/>
    </xf>
    <xf numFmtId="0" fontId="11" fillId="0" borderId="11" xfId="0" applyFont="1" applyFill="1" applyBorder="1" applyAlignment="1">
      <alignment vertical="center" wrapText="1"/>
    </xf>
    <xf numFmtId="0" fontId="69" fillId="0" borderId="11" xfId="0" applyFont="1" applyFill="1" applyBorder="1" applyAlignment="1">
      <alignment vertical="center" wrapText="1"/>
    </xf>
    <xf numFmtId="0" fontId="41" fillId="0" borderId="11" xfId="0" applyFont="1" applyBorder="1" applyAlignment="1">
      <alignment vertical="center" wrapText="1"/>
    </xf>
    <xf numFmtId="0" fontId="41" fillId="0" borderId="11" xfId="0" applyFont="1" applyFill="1" applyBorder="1" applyAlignment="1">
      <alignment vertical="center" wrapText="1"/>
    </xf>
    <xf numFmtId="0" fontId="11" fillId="0" borderId="11" xfId="0" applyFont="1" applyFill="1" applyBorder="1" applyAlignment="1">
      <alignment horizontal="center" vertical="center" wrapText="1"/>
    </xf>
    <xf numFmtId="188" fontId="28" fillId="0" borderId="11" xfId="0" applyNumberFormat="1" applyFont="1" applyFill="1" applyBorder="1" applyAlignment="1">
      <alignment horizontal="center" vertical="center"/>
    </xf>
    <xf numFmtId="0" fontId="0" fillId="0" borderId="11" xfId="0" applyBorder="1"/>
    <xf numFmtId="0" fontId="28" fillId="0" borderId="21" xfId="0" applyFont="1" applyBorder="1" applyAlignment="1">
      <alignment vertical="center" wrapText="1"/>
    </xf>
    <xf numFmtId="0" fontId="15" fillId="0" borderId="11" xfId="0" applyFont="1" applyFill="1" applyBorder="1" applyAlignment="1">
      <alignment horizontal="center" vertical="center" wrapText="1"/>
    </xf>
    <xf numFmtId="185" fontId="28" fillId="0" borderId="0" xfId="0" applyNumberFormat="1" applyFont="1" applyAlignment="1">
      <alignment vertical="center"/>
    </xf>
    <xf numFmtId="185" fontId="28" fillId="0" borderId="0" xfId="1" applyNumberFormat="1" applyFont="1" applyAlignment="1">
      <alignment vertical="center"/>
    </xf>
    <xf numFmtId="202" fontId="28" fillId="0" borderId="0" xfId="1" applyNumberFormat="1" applyFont="1" applyAlignment="1">
      <alignment horizontal="right" vertical="center"/>
    </xf>
    <xf numFmtId="185" fontId="28" fillId="0" borderId="0" xfId="0" applyNumberFormat="1" applyFont="1" applyAlignment="1">
      <alignment horizontal="centerContinuous" vertical="center"/>
    </xf>
    <xf numFmtId="185" fontId="28" fillId="0" borderId="0" xfId="1" applyNumberFormat="1" applyFont="1" applyAlignment="1">
      <alignment horizontal="centerContinuous" vertical="center"/>
    </xf>
    <xf numFmtId="0" fontId="43" fillId="0" borderId="0" xfId="0" applyFont="1" applyAlignment="1">
      <alignment horizontal="left" vertical="center" wrapText="1"/>
    </xf>
    <xf numFmtId="202" fontId="59" fillId="20" borderId="0" xfId="1" applyNumberFormat="1" applyFont="1" applyFill="1" applyAlignment="1">
      <alignment horizontal="left" vertical="center"/>
    </xf>
    <xf numFmtId="0" fontId="59" fillId="0" borderId="0" xfId="0" applyFont="1" applyAlignment="1">
      <alignment horizontal="center" vertical="center"/>
    </xf>
    <xf numFmtId="185" fontId="70" fillId="0" borderId="0" xfId="1" applyNumberFormat="1" applyFont="1" applyAlignment="1">
      <alignment vertical="center"/>
    </xf>
    <xf numFmtId="188" fontId="30" fillId="9" borderId="1" xfId="0" applyNumberFormat="1" applyFont="1" applyFill="1" applyBorder="1" applyAlignment="1">
      <alignment horizontal="center" vertical="center" wrapText="1"/>
    </xf>
    <xf numFmtId="185" fontId="30" fillId="28" borderId="1" xfId="0" applyNumberFormat="1" applyFont="1" applyFill="1" applyBorder="1" applyAlignment="1">
      <alignment horizontal="center" vertical="center" wrapText="1"/>
    </xf>
    <xf numFmtId="185" fontId="30" fillId="9" borderId="1" xfId="0" applyNumberFormat="1" applyFont="1" applyFill="1" applyBorder="1" applyAlignment="1">
      <alignment horizontal="center" vertical="center" wrapText="1"/>
    </xf>
    <xf numFmtId="193" fontId="30" fillId="9" borderId="4" xfId="1" applyNumberFormat="1" applyFont="1" applyFill="1" applyBorder="1" applyAlignment="1">
      <alignment horizontal="center" vertical="center" wrapText="1"/>
    </xf>
    <xf numFmtId="202" fontId="30" fillId="9" borderId="1" xfId="1" applyNumberFormat="1" applyFont="1" applyFill="1" applyBorder="1" applyAlignment="1">
      <alignment horizontal="center" vertical="center" wrapText="1"/>
    </xf>
    <xf numFmtId="195" fontId="30" fillId="9" borderId="0" xfId="1" applyNumberFormat="1" applyFont="1" applyFill="1" applyAlignment="1">
      <alignment horizontal="center" vertical="center" wrapText="1"/>
    </xf>
    <xf numFmtId="203" fontId="15" fillId="10" borderId="1" xfId="0" applyNumberFormat="1" applyFont="1" applyFill="1" applyBorder="1" applyAlignment="1">
      <alignment horizontal="center" vertical="center" wrapText="1"/>
    </xf>
    <xf numFmtId="0" fontId="71" fillId="10" borderId="1" xfId="0" applyFont="1" applyFill="1" applyBorder="1" applyAlignment="1">
      <alignment horizontal="left" vertical="center" wrapText="1"/>
    </xf>
    <xf numFmtId="193" fontId="15" fillId="10" borderId="4" xfId="0" applyNumberFormat="1" applyFont="1" applyFill="1" applyBorder="1" applyAlignment="1">
      <alignment horizontal="right" vertical="center" wrapText="1"/>
    </xf>
    <xf numFmtId="202" fontId="15" fillId="10" borderId="1" xfId="1" applyNumberFormat="1" applyFont="1" applyFill="1" applyBorder="1" applyAlignment="1">
      <alignment horizontal="right" vertical="center" wrapText="1"/>
    </xf>
    <xf numFmtId="195" fontId="15" fillId="10" borderId="0" xfId="0" applyNumberFormat="1" applyFont="1" applyFill="1" applyAlignment="1">
      <alignment horizontal="right" vertical="center" wrapText="1"/>
    </xf>
    <xf numFmtId="195" fontId="15" fillId="10" borderId="1" xfId="0" applyNumberFormat="1" applyFont="1" applyFill="1" applyBorder="1" applyAlignment="1">
      <alignment horizontal="right" vertical="center" wrapText="1"/>
    </xf>
    <xf numFmtId="196" fontId="15" fillId="10" borderId="1" xfId="0" applyNumberFormat="1" applyFont="1" applyFill="1" applyBorder="1" applyAlignment="1">
      <alignment horizontal="right" vertical="center" wrapText="1"/>
    </xf>
    <xf numFmtId="193" fontId="28" fillId="0" borderId="4" xfId="1" applyNumberFormat="1" applyFont="1" applyBorder="1" applyAlignment="1">
      <alignment vertical="center"/>
    </xf>
    <xf numFmtId="202" fontId="28" fillId="0" borderId="1" xfId="1" applyNumberFormat="1" applyFont="1" applyBorder="1" applyAlignment="1">
      <alignment vertical="center"/>
    </xf>
    <xf numFmtId="203" fontId="28" fillId="0" borderId="1" xfId="0" applyNumberFormat="1" applyFont="1" applyBorder="1" applyAlignment="1">
      <alignment horizontal="center" vertical="center"/>
    </xf>
    <xf numFmtId="193" fontId="15" fillId="10" borderId="4" xfId="1" applyNumberFormat="1" applyFont="1" applyFill="1" applyBorder="1" applyAlignment="1">
      <alignment horizontal="right" vertical="center" wrapText="1"/>
    </xf>
    <xf numFmtId="195" fontId="15" fillId="10" borderId="0" xfId="1" applyNumberFormat="1" applyFont="1" applyFill="1" applyAlignment="1">
      <alignment horizontal="right" vertical="center" wrapText="1"/>
    </xf>
    <xf numFmtId="195" fontId="15" fillId="10" borderId="1" xfId="1" applyNumberFormat="1" applyFont="1" applyFill="1" applyBorder="1" applyAlignment="1">
      <alignment horizontal="right" vertical="center" wrapText="1"/>
    </xf>
    <xf numFmtId="196" fontId="15" fillId="10" borderId="1" xfId="1" applyNumberFormat="1" applyFont="1" applyFill="1" applyBorder="1" applyAlignment="1">
      <alignment horizontal="right" vertical="center" wrapText="1"/>
    </xf>
    <xf numFmtId="194" fontId="71" fillId="10" borderId="1" xfId="1" applyNumberFormat="1" applyFont="1" applyFill="1" applyBorder="1" applyAlignment="1">
      <alignment vertical="center" wrapText="1"/>
    </xf>
    <xf numFmtId="194" fontId="15" fillId="0" borderId="0" xfId="1" applyNumberFormat="1" applyFont="1" applyFill="1" applyBorder="1" applyAlignment="1">
      <alignment vertical="center" wrapText="1"/>
    </xf>
    <xf numFmtId="195" fontId="15" fillId="10" borderId="0" xfId="1" applyNumberFormat="1" applyFont="1" applyFill="1" applyBorder="1" applyAlignment="1">
      <alignment horizontal="right" vertical="center" wrapText="1"/>
    </xf>
    <xf numFmtId="0" fontId="43" fillId="0" borderId="1" xfId="0" applyFont="1" applyBorder="1" applyAlignment="1">
      <alignment horizontal="left" vertical="center" wrapText="1"/>
    </xf>
    <xf numFmtId="195" fontId="28" fillId="29" borderId="1" xfId="0" applyNumberFormat="1" applyFont="1" applyFill="1" applyBorder="1" applyAlignment="1">
      <alignment horizontal="right" vertical="center"/>
    </xf>
    <xf numFmtId="0" fontId="72" fillId="0" borderId="1" xfId="0" applyFont="1" applyBorder="1" applyAlignment="1">
      <alignment horizontal="left" vertical="center" wrapText="1"/>
    </xf>
    <xf numFmtId="204" fontId="46" fillId="0" borderId="1" xfId="0" applyNumberFormat="1" applyFont="1" applyBorder="1" applyAlignment="1">
      <alignment horizontal="left" vertical="center" wrapText="1"/>
    </xf>
    <xf numFmtId="0" fontId="46" fillId="0" borderId="1" xfId="0" applyFont="1" applyFill="1" applyBorder="1" applyAlignment="1">
      <alignment horizontal="left" vertical="center" wrapText="1"/>
    </xf>
    <xf numFmtId="0" fontId="57" fillId="0" borderId="1" xfId="0" applyFont="1" applyBorder="1" applyAlignment="1">
      <alignment horizontal="left" vertical="center" wrapText="1"/>
    </xf>
    <xf numFmtId="195" fontId="28" fillId="29" borderId="0" xfId="0" applyNumberFormat="1" applyFont="1" applyFill="1" applyAlignment="1">
      <alignment horizontal="right" vertical="center"/>
    </xf>
    <xf numFmtId="194" fontId="72" fillId="10" borderId="1" xfId="1" applyNumberFormat="1" applyFont="1" applyFill="1" applyBorder="1" applyAlignment="1">
      <alignment vertical="center" wrapText="1"/>
    </xf>
    <xf numFmtId="185" fontId="15" fillId="10" borderId="1" xfId="0" applyNumberFormat="1" applyFont="1" applyFill="1" applyBorder="1" applyAlignment="1">
      <alignment vertical="center" wrapText="1"/>
    </xf>
    <xf numFmtId="194" fontId="71" fillId="10" borderId="1" xfId="0" applyNumberFormat="1" applyFont="1" applyFill="1" applyBorder="1" applyAlignment="1">
      <alignment vertical="center" wrapText="1"/>
    </xf>
    <xf numFmtId="194" fontId="15" fillId="0" borderId="0" xfId="0" applyNumberFormat="1" applyFont="1" applyAlignment="1">
      <alignment vertical="center" wrapText="1"/>
    </xf>
    <xf numFmtId="0" fontId="73" fillId="0" borderId="1" xfId="0" applyFont="1" applyFill="1" applyBorder="1" applyAlignment="1">
      <alignment horizontal="left" vertical="center" wrapText="1"/>
    </xf>
    <xf numFmtId="205" fontId="28" fillId="0" borderId="1" xfId="0" applyNumberFormat="1" applyFont="1" applyBorder="1" applyAlignment="1">
      <alignment horizontal="center" vertical="center"/>
    </xf>
    <xf numFmtId="185" fontId="28" fillId="0" borderId="0" xfId="1" applyNumberFormat="1" applyFont="1" applyBorder="1" applyAlignment="1">
      <alignment vertical="center"/>
    </xf>
    <xf numFmtId="194" fontId="74" fillId="9" borderId="1" xfId="1" applyNumberFormat="1" applyFont="1" applyFill="1" applyBorder="1" applyAlignment="1">
      <alignment vertical="center" wrapText="1"/>
    </xf>
    <xf numFmtId="195" fontId="30" fillId="9" borderId="0" xfId="1" applyNumberFormat="1" applyFont="1" applyFill="1" applyBorder="1" applyAlignment="1">
      <alignment horizontal="right" vertical="center" wrapText="1"/>
    </xf>
    <xf numFmtId="195" fontId="30" fillId="9" borderId="4" xfId="1" applyNumberFormat="1" applyFont="1" applyFill="1" applyBorder="1" applyAlignment="1">
      <alignment horizontal="right" vertical="center" wrapText="1"/>
    </xf>
    <xf numFmtId="195" fontId="30" fillId="9" borderId="1" xfId="1" applyNumberFormat="1" applyFont="1" applyFill="1" applyBorder="1" applyAlignment="1">
      <alignment horizontal="right" vertical="center" wrapText="1"/>
    </xf>
    <xf numFmtId="0" fontId="74" fillId="9" borderId="1" xfId="0" applyFont="1" applyFill="1" applyBorder="1" applyAlignment="1">
      <alignment horizontal="left" vertical="center" wrapText="1"/>
    </xf>
    <xf numFmtId="0" fontId="30" fillId="0" borderId="0" xfId="0" applyFont="1" applyAlignment="1">
      <alignment vertical="center"/>
    </xf>
    <xf numFmtId="185" fontId="13" fillId="0" borderId="15" xfId="0" applyNumberFormat="1" applyFont="1" applyBorder="1" applyAlignment="1">
      <alignment vertical="center"/>
    </xf>
    <xf numFmtId="185" fontId="13" fillId="0" borderId="16" xfId="1" applyNumberFormat="1" applyFont="1" applyBorder="1" applyAlignment="1">
      <alignment vertical="center"/>
    </xf>
    <xf numFmtId="185" fontId="13" fillId="0" borderId="18" xfId="1" applyNumberFormat="1" applyFont="1" applyBorder="1" applyAlignment="1">
      <alignment vertical="center"/>
    </xf>
    <xf numFmtId="202" fontId="13" fillId="0" borderId="17" xfId="1" applyNumberFormat="1" applyFont="1" applyBorder="1" applyAlignment="1">
      <alignment vertical="center"/>
    </xf>
    <xf numFmtId="195" fontId="13" fillId="0" borderId="0" xfId="1" applyNumberFormat="1" applyFont="1" applyAlignment="1">
      <alignment vertical="center"/>
    </xf>
    <xf numFmtId="195" fontId="13" fillId="0" borderId="15" xfId="1" applyNumberFormat="1" applyFont="1" applyBorder="1" applyAlignment="1">
      <alignment vertical="center"/>
    </xf>
    <xf numFmtId="195" fontId="13" fillId="0" borderId="16" xfId="1" applyNumberFormat="1" applyFont="1" applyBorder="1" applyAlignment="1">
      <alignment vertical="center"/>
    </xf>
    <xf numFmtId="195" fontId="13" fillId="0" borderId="18" xfId="1" applyNumberFormat="1" applyFont="1" applyBorder="1" applyAlignment="1">
      <alignment vertical="center"/>
    </xf>
    <xf numFmtId="194" fontId="13" fillId="0" borderId="17" xfId="1" applyNumberFormat="1" applyFont="1" applyBorder="1" applyAlignment="1">
      <alignment vertical="center"/>
    </xf>
    <xf numFmtId="194" fontId="13" fillId="0" borderId="18" xfId="1" applyNumberFormat="1" applyFont="1" applyBorder="1" applyAlignment="1">
      <alignment vertical="center"/>
    </xf>
    <xf numFmtId="0" fontId="30" fillId="0" borderId="1" xfId="0" applyFont="1" applyBorder="1" applyAlignment="1">
      <alignment horizontal="center" vertical="center"/>
    </xf>
    <xf numFmtId="0" fontId="1" fillId="0" borderId="0" xfId="0" applyFont="1" applyAlignment="1">
      <alignment vertical="center" wrapText="1"/>
    </xf>
    <xf numFmtId="197" fontId="1" fillId="0" borderId="0" xfId="0" applyNumberFormat="1" applyFont="1" applyAlignment="1">
      <alignment vertical="center"/>
    </xf>
    <xf numFmtId="9" fontId="1" fillId="0" borderId="0" xfId="3" applyFont="1" applyAlignment="1">
      <alignment vertical="center"/>
    </xf>
    <xf numFmtId="0" fontId="2" fillId="0" borderId="0" xfId="0" applyFont="1" applyAlignment="1">
      <alignment vertical="center"/>
    </xf>
    <xf numFmtId="0" fontId="63" fillId="0" borderId="0" xfId="0" applyFont="1" applyAlignment="1">
      <alignment horizontal="center" vertical="center"/>
    </xf>
    <xf numFmtId="0" fontId="13" fillId="20" borderId="0" xfId="0" applyFont="1" applyFill="1" applyAlignment="1">
      <alignment vertical="center"/>
    </xf>
    <xf numFmtId="0" fontId="3" fillId="0" borderId="0" xfId="0" applyFont="1" applyAlignment="1">
      <alignment horizontal="right" vertical="center"/>
    </xf>
    <xf numFmtId="9" fontId="1" fillId="0" borderId="0" xfId="3" applyFont="1" applyBorder="1" applyAlignment="1">
      <alignment vertical="center"/>
    </xf>
    <xf numFmtId="197" fontId="3" fillId="0" borderId="0" xfId="0" applyNumberFormat="1" applyFont="1" applyAlignment="1">
      <alignment horizontal="right" vertical="center"/>
    </xf>
    <xf numFmtId="0" fontId="2" fillId="0" borderId="22" xfId="0" applyFont="1" applyBorder="1" applyAlignment="1">
      <alignment vertical="center"/>
    </xf>
    <xf numFmtId="0" fontId="1" fillId="0" borderId="23" xfId="0" applyFont="1" applyBorder="1" applyAlignment="1">
      <alignment vertical="center"/>
    </xf>
    <xf numFmtId="9" fontId="75" fillId="0" borderId="0" xfId="3" applyFont="1" applyBorder="1" applyAlignment="1">
      <alignment vertical="center"/>
    </xf>
    <xf numFmtId="197" fontId="75" fillId="0" borderId="0" xfId="3" applyNumberFormat="1" applyFont="1" applyBorder="1" applyAlignment="1">
      <alignment vertical="center"/>
    </xf>
    <xf numFmtId="0" fontId="2" fillId="0" borderId="24" xfId="0" applyFont="1" applyBorder="1" applyAlignment="1">
      <alignment vertical="center"/>
    </xf>
    <xf numFmtId="14" fontId="1" fillId="0" borderId="25" xfId="0" applyNumberFormat="1" applyFont="1" applyBorder="1" applyAlignment="1">
      <alignment vertical="center"/>
    </xf>
    <xf numFmtId="0" fontId="5" fillId="9" borderId="1" xfId="0" applyFont="1" applyFill="1" applyBorder="1" applyAlignment="1">
      <alignment horizontal="center" vertical="center"/>
    </xf>
    <xf numFmtId="197" fontId="5" fillId="9" borderId="1" xfId="0" applyNumberFormat="1" applyFont="1" applyFill="1" applyBorder="1" applyAlignment="1">
      <alignment horizontal="center" vertical="center" wrapText="1"/>
    </xf>
    <xf numFmtId="9" fontId="5" fillId="9" borderId="1" xfId="3" applyFont="1" applyFill="1" applyBorder="1" applyAlignment="1">
      <alignment horizontal="center" vertical="center"/>
    </xf>
    <xf numFmtId="196" fontId="3" fillId="0" borderId="1" xfId="1" applyNumberFormat="1" applyFont="1" applyBorder="1" applyAlignment="1">
      <alignment vertical="center"/>
    </xf>
    <xf numFmtId="197" fontId="3" fillId="0" borderId="1" xfId="1" applyNumberFormat="1" applyFont="1" applyBorder="1" applyAlignment="1">
      <alignment vertical="center"/>
    </xf>
    <xf numFmtId="9" fontId="3" fillId="0" borderId="1" xfId="3" applyFont="1" applyBorder="1" applyAlignment="1">
      <alignment horizontal="center" vertical="center"/>
    </xf>
    <xf numFmtId="0" fontId="75" fillId="0" borderId="0" xfId="0" applyFont="1" applyAlignment="1">
      <alignment vertical="center"/>
    </xf>
    <xf numFmtId="0" fontId="3" fillId="0" borderId="1" xfId="0" applyFont="1" applyBorder="1" applyAlignment="1">
      <alignment horizontal="left" vertical="center"/>
    </xf>
    <xf numFmtId="196" fontId="1" fillId="0" borderId="1" xfId="1" applyNumberFormat="1" applyFont="1" applyBorder="1" applyAlignment="1">
      <alignment vertical="center"/>
    </xf>
    <xf numFmtId="197" fontId="1" fillId="0" borderId="1" xfId="1" applyNumberFormat="1" applyFont="1" applyBorder="1" applyAlignment="1">
      <alignment vertical="center"/>
    </xf>
    <xf numFmtId="9" fontId="1" fillId="0" borderId="1" xfId="3" applyFont="1" applyBorder="1" applyAlignment="1">
      <alignment horizontal="center" vertical="center"/>
    </xf>
    <xf numFmtId="0" fontId="3" fillId="10" borderId="1" xfId="0" applyFont="1" applyFill="1" applyBorder="1" applyAlignment="1">
      <alignment horizontal="center" vertical="center"/>
    </xf>
    <xf numFmtId="197" fontId="3" fillId="10" borderId="1" xfId="1" applyNumberFormat="1" applyFont="1" applyFill="1" applyBorder="1" applyAlignment="1">
      <alignment vertical="center"/>
    </xf>
    <xf numFmtId="196" fontId="3" fillId="10" borderId="1" xfId="1" applyNumberFormat="1" applyFont="1" applyFill="1" applyBorder="1" applyAlignment="1">
      <alignment vertical="center"/>
    </xf>
    <xf numFmtId="0" fontId="3" fillId="10" borderId="1" xfId="0" applyFont="1" applyFill="1" applyBorder="1" applyAlignment="1">
      <alignment horizontal="left" vertical="center"/>
    </xf>
    <xf numFmtId="43" fontId="2" fillId="0" borderId="0" xfId="0" applyNumberFormat="1" applyFont="1" applyAlignment="1">
      <alignment vertical="center"/>
    </xf>
    <xf numFmtId="10" fontId="1" fillId="0" borderId="1" xfId="3" applyNumberFormat="1" applyFont="1" applyBorder="1" applyAlignment="1">
      <alignment horizontal="center" vertical="center"/>
    </xf>
    <xf numFmtId="9" fontId="1" fillId="0" borderId="1" xfId="3" applyFont="1" applyBorder="1" applyAlignment="1">
      <alignment vertical="center"/>
    </xf>
    <xf numFmtId="197" fontId="5" fillId="9" borderId="1" xfId="1" applyNumberFormat="1" applyFont="1" applyFill="1" applyBorder="1" applyAlignment="1">
      <alignment vertical="center"/>
    </xf>
    <xf numFmtId="9" fontId="5" fillId="9" borderId="1" xfId="3" applyFont="1" applyFill="1" applyBorder="1" applyAlignment="1">
      <alignment vertical="center"/>
    </xf>
    <xf numFmtId="0" fontId="5" fillId="9" borderId="1" xfId="0" applyFont="1" applyFill="1" applyBorder="1" applyAlignment="1">
      <alignment horizontal="left" vertical="center"/>
    </xf>
    <xf numFmtId="0" fontId="3" fillId="30" borderId="1" xfId="0" applyFont="1" applyFill="1" applyBorder="1" applyAlignment="1">
      <alignment horizontal="center" vertical="center"/>
    </xf>
    <xf numFmtId="197" fontId="3" fillId="30" borderId="1" xfId="3" applyNumberFormat="1" applyFont="1" applyFill="1" applyBorder="1" applyAlignment="1">
      <alignment horizontal="right" vertical="center"/>
    </xf>
    <xf numFmtId="9" fontId="3" fillId="30" borderId="1" xfId="3" applyFont="1" applyFill="1" applyBorder="1" applyAlignment="1">
      <alignment horizontal="center" vertical="center"/>
    </xf>
    <xf numFmtId="10" fontId="3" fillId="30" borderId="1" xfId="3" applyNumberFormat="1" applyFont="1" applyFill="1" applyBorder="1" applyAlignment="1">
      <alignment horizontal="right" vertical="center"/>
    </xf>
    <xf numFmtId="0" fontId="3" fillId="30" borderId="1" xfId="0" applyFont="1" applyFill="1" applyBorder="1" applyAlignment="1">
      <alignment horizontal="left" vertical="center"/>
    </xf>
    <xf numFmtId="196" fontId="1" fillId="0" borderId="1" xfId="1" applyNumberFormat="1" applyFont="1" applyFill="1" applyBorder="1" applyAlignment="1">
      <alignment vertical="center"/>
    </xf>
    <xf numFmtId="9" fontId="1" fillId="31" borderId="1" xfId="3" applyFont="1" applyFill="1" applyBorder="1" applyAlignment="1">
      <alignment horizontal="center" vertical="center"/>
    </xf>
    <xf numFmtId="9" fontId="3" fillId="10" borderId="1" xfId="3" applyFont="1" applyFill="1" applyBorder="1" applyAlignment="1">
      <alignment vertical="center"/>
    </xf>
    <xf numFmtId="0" fontId="7" fillId="9" borderId="1" xfId="0" applyFont="1" applyFill="1" applyBorder="1" applyAlignment="1">
      <alignment horizontal="center" vertical="center"/>
    </xf>
    <xf numFmtId="0" fontId="3" fillId="30" borderId="3" xfId="0" applyFont="1" applyFill="1" applyBorder="1" applyAlignment="1">
      <alignment horizontal="center" vertical="center"/>
    </xf>
    <xf numFmtId="0" fontId="3" fillId="30" borderId="4" xfId="0" applyFont="1" applyFill="1" applyBorder="1" applyAlignment="1">
      <alignment horizontal="center" vertical="center"/>
    </xf>
    <xf numFmtId="196" fontId="3" fillId="30" borderId="3" xfId="3" applyNumberFormat="1" applyFont="1" applyFill="1" applyBorder="1" applyAlignment="1">
      <alignment horizontal="center" vertical="center"/>
    </xf>
    <xf numFmtId="196" fontId="3" fillId="30" borderId="10" xfId="3" applyNumberFormat="1" applyFont="1" applyFill="1" applyBorder="1" applyAlignment="1">
      <alignment horizontal="center" vertical="center"/>
    </xf>
    <xf numFmtId="196" fontId="3" fillId="30" borderId="4" xfId="3" applyNumberFormat="1" applyFont="1" applyFill="1" applyBorder="1" applyAlignment="1">
      <alignment horizontal="center" vertical="center"/>
    </xf>
    <xf numFmtId="0" fontId="1" fillId="0" borderId="0" xfId="0" applyFont="1" applyAlignment="1">
      <alignment horizontal="left" vertical="center" wrapText="1"/>
    </xf>
    <xf numFmtId="0" fontId="2" fillId="0" borderId="0" xfId="0" applyFont="1" applyAlignment="1">
      <alignment vertical="center" wrapText="1"/>
    </xf>
    <xf numFmtId="0" fontId="59" fillId="15" borderId="1" xfId="56" applyFont="1" applyFill="1" applyBorder="1" applyAlignment="1" applyProtection="1">
      <alignment horizontal="center" vertical="center" wrapText="1"/>
      <protection locked="0"/>
    </xf>
    <xf numFmtId="0" fontId="13" fillId="11" borderId="1" xfId="0" applyFont="1" applyFill="1" applyBorder="1" applyAlignment="1" applyProtection="1">
      <alignment horizontal="center" vertical="center" wrapText="1"/>
      <protection locked="0"/>
    </xf>
    <xf numFmtId="0" fontId="59" fillId="15" borderId="26" xfId="56" applyFont="1" applyFill="1" applyBorder="1" applyAlignment="1" applyProtection="1">
      <alignment horizontal="center" vertical="center" wrapText="1"/>
      <protection locked="0"/>
    </xf>
    <xf numFmtId="9" fontId="13" fillId="11" borderId="1" xfId="3" applyFont="1" applyFill="1" applyBorder="1" applyAlignment="1" applyProtection="1">
      <alignment horizontal="center" vertical="center" wrapText="1"/>
      <protection locked="0"/>
    </xf>
    <xf numFmtId="0" fontId="1" fillId="0" borderId="0" xfId="0" applyFont="1" applyAlignment="1">
      <alignment horizontal="centerContinuous" vertical="center"/>
    </xf>
    <xf numFmtId="0" fontId="30" fillId="9" borderId="26" xfId="56" applyFont="1" applyFill="1" applyBorder="1" applyAlignment="1" applyProtection="1">
      <alignment horizontal="center" vertical="center" wrapText="1"/>
      <protection locked="0"/>
    </xf>
    <xf numFmtId="0" fontId="30" fillId="9" borderId="26" xfId="56" applyFont="1" applyFill="1" applyBorder="1" applyAlignment="1" applyProtection="1">
      <alignment horizontal="left" vertical="center" wrapText="1"/>
      <protection locked="0"/>
    </xf>
    <xf numFmtId="0" fontId="13" fillId="11" borderId="1" xfId="0" applyFont="1" applyFill="1" applyBorder="1" applyAlignment="1" applyProtection="1">
      <alignment vertical="center" wrapText="1"/>
      <protection locked="0"/>
    </xf>
    <xf numFmtId="206" fontId="13" fillId="11" borderId="1" xfId="3" applyNumberFormat="1" applyFont="1" applyFill="1" applyBorder="1" applyAlignment="1">
      <alignment horizontal="left" vertical="center" wrapText="1"/>
    </xf>
    <xf numFmtId="0" fontId="11" fillId="10" borderId="1" xfId="0" applyFont="1" applyFill="1" applyBorder="1" applyAlignment="1" applyProtection="1">
      <alignment vertical="center" wrapText="1"/>
      <protection locked="0" hidden="1"/>
    </xf>
    <xf numFmtId="0" fontId="11" fillId="0" borderId="1" xfId="0" applyFont="1" applyBorder="1" applyAlignment="1" applyProtection="1">
      <alignment horizontal="center" vertical="center" wrapText="1"/>
      <protection locked="0" hidden="1"/>
    </xf>
    <xf numFmtId="0" fontId="11" fillId="0" borderId="1" xfId="0" applyFont="1" applyBorder="1" applyAlignment="1" applyProtection="1">
      <alignment horizontal="left" vertical="center" wrapText="1"/>
      <protection locked="0" hidden="1"/>
    </xf>
    <xf numFmtId="9" fontId="11" fillId="0" borderId="1" xfId="0" applyNumberFormat="1" applyFont="1" applyBorder="1" applyAlignment="1" applyProtection="1">
      <alignment horizontal="center" vertical="center"/>
      <protection locked="0" hidden="1"/>
    </xf>
    <xf numFmtId="0" fontId="11" fillId="0" borderId="1" xfId="0" applyFont="1" applyBorder="1" applyAlignment="1" applyProtection="1">
      <alignment horizontal="center" vertical="center" wrapText="1"/>
      <protection hidden="1"/>
    </xf>
    <xf numFmtId="207" fontId="28" fillId="0" borderId="1" xfId="0" applyNumberFormat="1" applyFont="1" applyBorder="1" applyAlignment="1">
      <alignment horizontal="left" vertical="center" wrapText="1"/>
    </xf>
    <xf numFmtId="0" fontId="2" fillId="0" borderId="0" xfId="0" applyFont="1" applyAlignment="1">
      <alignment horizontal="left" vertical="center"/>
    </xf>
    <xf numFmtId="0" fontId="3" fillId="5" borderId="0" xfId="0" applyFont="1" applyFill="1" applyAlignment="1">
      <alignment horizontal="left" vertical="center"/>
    </xf>
    <xf numFmtId="2" fontId="13" fillId="11" borderId="1" xfId="0" applyNumberFormat="1" applyFont="1" applyFill="1" applyBorder="1" applyAlignment="1" applyProtection="1">
      <alignment horizontal="center" vertical="center"/>
      <protection locked="0"/>
    </xf>
    <xf numFmtId="0" fontId="46" fillId="32" borderId="0" xfId="50" applyFont="1" applyFill="1" applyAlignment="1" applyProtection="1">
      <alignment horizontal="center" vertical="center" wrapText="1"/>
      <protection locked="0"/>
    </xf>
    <xf numFmtId="0" fontId="76" fillId="32" borderId="0" xfId="50" applyFont="1" applyFill="1" applyAlignment="1" applyProtection="1">
      <alignment horizontal="center" vertical="center"/>
      <protection locked="0"/>
    </xf>
    <xf numFmtId="0" fontId="46" fillId="33" borderId="0" xfId="0" applyFont="1" applyFill="1" applyAlignment="1" applyProtection="1">
      <alignment horizontal="center" vertical="center"/>
      <protection locked="0"/>
    </xf>
    <xf numFmtId="0" fontId="76" fillId="33" borderId="0" xfId="0" applyFont="1" applyFill="1" applyAlignment="1" applyProtection="1">
      <alignment horizontal="center" vertical="center"/>
      <protection locked="0"/>
    </xf>
    <xf numFmtId="0" fontId="1" fillId="26" borderId="0" xfId="0" applyFont="1" applyFill="1" applyAlignment="1">
      <alignment horizontal="center" vertical="center"/>
    </xf>
    <xf numFmtId="208" fontId="76" fillId="32" borderId="0" xfId="50" applyNumberFormat="1" applyFont="1" applyFill="1" applyAlignment="1" applyProtection="1">
      <alignment horizontal="center" vertical="center" wrapText="1"/>
    </xf>
    <xf numFmtId="9" fontId="11" fillId="0" borderId="1" xfId="0" applyNumberFormat="1" applyFont="1" applyBorder="1" applyAlignment="1" applyProtection="1">
      <alignment horizontal="center" vertical="center" wrapText="1"/>
      <protection locked="0" hidden="1"/>
    </xf>
    <xf numFmtId="14" fontId="46" fillId="0" borderId="0" xfId="0" applyNumberFormat="1" applyFont="1" applyAlignment="1" applyProtection="1">
      <alignment horizontal="center" vertical="center" wrapText="1"/>
      <protection locked="0"/>
    </xf>
    <xf numFmtId="0" fontId="46" fillId="0" borderId="0" xfId="0" applyFont="1" applyAlignment="1" applyProtection="1">
      <alignment horizontal="center" vertical="center" wrapText="1"/>
      <protection locked="0"/>
    </xf>
    <xf numFmtId="209" fontId="11" fillId="0" borderId="1" xfId="3" applyNumberFormat="1" applyFont="1" applyBorder="1" applyAlignment="1" applyProtection="1">
      <alignment horizontal="center" vertical="center" wrapText="1"/>
      <protection locked="0" hidden="1"/>
    </xf>
    <xf numFmtId="0" fontId="13" fillId="11" borderId="0" xfId="0" applyFont="1" applyFill="1" applyAlignment="1" applyProtection="1">
      <alignment horizontal="center" vertical="center" wrapText="1"/>
      <protection locked="0"/>
    </xf>
    <xf numFmtId="0" fontId="71" fillId="34" borderId="27" xfId="49" applyFont="1" applyFill="1" applyAlignment="1">
      <alignment horizontal="center" vertical="center"/>
    </xf>
    <xf numFmtId="0" fontId="71" fillId="34" borderId="27" xfId="49" applyFont="1" applyFill="1" applyAlignment="1">
      <alignment horizontal="center" vertical="center" wrapText="1"/>
    </xf>
    <xf numFmtId="210" fontId="11" fillId="0" borderId="1" xfId="0" applyNumberFormat="1" applyFont="1" applyBorder="1" applyAlignment="1" applyProtection="1">
      <alignment horizontal="center" vertical="center" wrapText="1"/>
      <protection locked="0" hidden="1"/>
    </xf>
    <xf numFmtId="211" fontId="76" fillId="34" borderId="0" xfId="0" applyNumberFormat="1" applyFont="1" applyFill="1" applyAlignment="1">
      <alignment horizontal="center" vertical="center" wrapText="1"/>
    </xf>
    <xf numFmtId="1" fontId="46" fillId="34" borderId="0" xfId="0" applyNumberFormat="1" applyFont="1" applyFill="1" applyAlignment="1">
      <alignment horizontal="center" vertical="center" wrapText="1"/>
    </xf>
    <xf numFmtId="10" fontId="46" fillId="34" borderId="0" xfId="3" applyNumberFormat="1" applyFont="1" applyFill="1" applyAlignment="1" applyProtection="1">
      <alignment horizontal="center" vertical="center" wrapText="1"/>
    </xf>
    <xf numFmtId="0" fontId="46" fillId="34" borderId="0" xfId="0" applyFont="1" applyFill="1" applyAlignment="1">
      <alignment horizontal="center" vertical="center" wrapText="1"/>
    </xf>
    <xf numFmtId="0" fontId="46" fillId="34" borderId="28" xfId="0" applyFont="1" applyFill="1" applyBorder="1" applyAlignment="1">
      <alignment horizontal="center" vertical="center" wrapText="1"/>
    </xf>
    <xf numFmtId="0" fontId="46" fillId="34" borderId="0" xfId="1" applyNumberFormat="1" applyFont="1" applyFill="1" applyAlignment="1" applyProtection="1">
      <alignment horizontal="center" vertical="center" wrapText="1"/>
    </xf>
    <xf numFmtId="184" fontId="11" fillId="0" borderId="1" xfId="0" applyNumberFormat="1" applyFont="1" applyBorder="1" applyAlignment="1" applyProtection="1">
      <alignment horizontal="center" vertical="center" wrapText="1"/>
      <protection locked="0" hidden="1"/>
    </xf>
    <xf numFmtId="14" fontId="76" fillId="34" borderId="0" xfId="50" applyNumberFormat="1" applyFont="1" applyFill="1" applyAlignment="1" applyProtection="1">
      <alignment horizontal="center" vertical="center" wrapText="1"/>
    </xf>
    <xf numFmtId="1" fontId="76" fillId="34" borderId="0" xfId="50" applyNumberFormat="1" applyFont="1" applyFill="1" applyAlignment="1" applyProtection="1">
      <alignment horizontal="center" vertical="center" wrapText="1"/>
    </xf>
    <xf numFmtId="10" fontId="76" fillId="34" borderId="0" xfId="50" applyNumberFormat="1" applyFont="1" applyFill="1" applyAlignment="1" applyProtection="1">
      <alignment horizontal="center" vertical="center" wrapText="1"/>
    </xf>
    <xf numFmtId="9" fontId="76" fillId="34" borderId="0" xfId="50" applyNumberFormat="1" applyFont="1" applyFill="1" applyAlignment="1" applyProtection="1">
      <alignment horizontal="center" vertical="center" wrapText="1"/>
    </xf>
    <xf numFmtId="9" fontId="76" fillId="34" borderId="0" xfId="50" applyNumberFormat="1" applyFont="1" applyFill="1" applyAlignment="1" applyProtection="1">
      <alignment horizontal="center" vertical="center"/>
    </xf>
    <xf numFmtId="208" fontId="76" fillId="34" borderId="28" xfId="50" applyNumberFormat="1" applyFont="1" applyFill="1" applyBorder="1" applyAlignment="1" applyProtection="1">
      <alignment horizontal="center" vertical="center" wrapText="1"/>
    </xf>
    <xf numFmtId="208" fontId="76" fillId="34" borderId="0" xfId="50" applyNumberFormat="1" applyFont="1" applyFill="1" applyAlignment="1" applyProtection="1">
      <alignment horizontal="center" vertical="center" wrapText="1"/>
    </xf>
    <xf numFmtId="9" fontId="11" fillId="0" borderId="1" xfId="3" applyFont="1" applyBorder="1" applyAlignment="1" applyProtection="1">
      <alignment horizontal="center" vertical="center" wrapText="1"/>
      <protection hidden="1"/>
    </xf>
    <xf numFmtId="0" fontId="13" fillId="11" borderId="1" xfId="0" applyFont="1" applyFill="1" applyBorder="1" applyAlignment="1">
      <alignment horizontal="center" vertical="center"/>
    </xf>
    <xf numFmtId="9" fontId="13" fillId="11" borderId="1" xfId="3" applyNumberFormat="1" applyFont="1" applyFill="1" applyBorder="1" applyAlignment="1" applyProtection="1">
      <alignment horizontal="center" vertical="center" wrapText="1"/>
      <protection locked="0"/>
    </xf>
    <xf numFmtId="0" fontId="13" fillId="0" borderId="1" xfId="0" applyFont="1" applyBorder="1" applyAlignment="1" applyProtection="1">
      <alignment horizontal="left" vertical="center" wrapText="1"/>
      <protection locked="0" hidden="1"/>
    </xf>
    <xf numFmtId="0" fontId="46" fillId="20" borderId="1" xfId="0" applyFont="1" applyFill="1" applyBorder="1" applyAlignment="1">
      <alignment vertical="center"/>
    </xf>
    <xf numFmtId="0" fontId="46" fillId="20" borderId="1" xfId="0" applyFont="1" applyFill="1" applyBorder="1" applyAlignment="1">
      <alignment horizontal="center" vertical="center"/>
    </xf>
    <xf numFmtId="0" fontId="77" fillId="20" borderId="1" xfId="0" applyFont="1" applyFill="1" applyBorder="1" applyAlignment="1">
      <alignment vertical="center"/>
    </xf>
    <xf numFmtId="0" fontId="1" fillId="0" borderId="0" xfId="0" applyFont="1" applyBorder="1" applyAlignment="1">
      <alignment vertical="center"/>
    </xf>
    <xf numFmtId="0" fontId="13" fillId="11" borderId="0" xfId="0" applyFont="1" applyFill="1" applyBorder="1" applyAlignment="1" applyProtection="1">
      <alignment horizontal="center" vertical="center" wrapText="1"/>
      <protection locked="0"/>
    </xf>
    <xf numFmtId="0" fontId="11" fillId="0" borderId="0" xfId="0" applyFont="1" applyAlignment="1">
      <alignment vertical="center"/>
    </xf>
    <xf numFmtId="0" fontId="46" fillId="20" borderId="1" xfId="0" applyFont="1" applyFill="1" applyBorder="1" applyAlignment="1">
      <alignment vertical="center" wrapText="1"/>
    </xf>
    <xf numFmtId="0" fontId="11" fillId="5" borderId="0" xfId="0" applyFont="1" applyFill="1" applyAlignment="1">
      <alignment vertical="center"/>
    </xf>
    <xf numFmtId="0" fontId="1" fillId="0" borderId="0" xfId="0" applyFont="1" applyAlignment="1">
      <alignment horizontal="left"/>
    </xf>
    <xf numFmtId="0" fontId="78" fillId="0" borderId="0" xfId="0" applyFont="1" applyAlignment="1">
      <alignment horizontal="centerContinuous"/>
    </xf>
    <xf numFmtId="0" fontId="79" fillId="0" borderId="0" xfId="0" applyFont="1" applyAlignment="1">
      <alignment horizontal="centerContinuous"/>
    </xf>
    <xf numFmtId="0" fontId="1" fillId="0" borderId="0" xfId="0" applyFont="1" applyAlignment="1">
      <alignment horizontal="centerContinuous"/>
    </xf>
    <xf numFmtId="0" fontId="60" fillId="0" borderId="0" xfId="0" applyFont="1"/>
    <xf numFmtId="0" fontId="80" fillId="0" borderId="0" xfId="0" applyFont="1" applyAlignment="1">
      <alignment horizontal="left"/>
    </xf>
    <xf numFmtId="0" fontId="80" fillId="0" borderId="0" xfId="0" applyFont="1"/>
    <xf numFmtId="212" fontId="80" fillId="0" borderId="0" xfId="53" applyNumberFormat="1" applyFont="1" applyAlignment="1">
      <alignment horizontal="left" vertical="center"/>
    </xf>
    <xf numFmtId="212" fontId="1" fillId="0" borderId="0" xfId="53" applyNumberFormat="1" applyFont="1" applyAlignment="1">
      <alignment horizontal="left" vertical="center"/>
    </xf>
    <xf numFmtId="0" fontId="81" fillId="0" borderId="1" xfId="0" applyFont="1" applyBorder="1" applyAlignment="1">
      <alignment horizontal="center" vertical="center"/>
    </xf>
    <xf numFmtId="0" fontId="81" fillId="0" borderId="1" xfId="0" applyFont="1" applyBorder="1" applyAlignment="1">
      <alignment vertical="center"/>
    </xf>
    <xf numFmtId="0" fontId="12" fillId="0" borderId="1" xfId="0" applyFont="1" applyBorder="1" applyAlignment="1">
      <alignment horizontal="center" vertical="center"/>
    </xf>
    <xf numFmtId="0" fontId="12" fillId="0" borderId="1" xfId="0" applyFont="1" applyBorder="1" applyAlignment="1">
      <alignment vertical="center"/>
    </xf>
    <xf numFmtId="0" fontId="82" fillId="0" borderId="1" xfId="6" applyBorder="1" applyAlignment="1">
      <alignment vertical="center"/>
    </xf>
    <xf numFmtId="0" fontId="12" fillId="0" borderId="1" xfId="0" applyFont="1" applyBorder="1" applyAlignment="1">
      <alignment horizontal="left" vertical="center"/>
    </xf>
    <xf numFmtId="0" fontId="28" fillId="0" borderId="0" xfId="0" applyFont="1" applyAlignment="1">
      <alignment horizontal="right" vertical="top" wrapText="1"/>
    </xf>
    <xf numFmtId="0" fontId="83" fillId="0" borderId="0" xfId="0" applyFont="1" applyAlignment="1">
      <alignment vertical="center"/>
    </xf>
    <xf numFmtId="0" fontId="84" fillId="0" borderId="0" xfId="0" applyFont="1" applyAlignment="1">
      <alignment vertical="center"/>
    </xf>
    <xf numFmtId="196" fontId="3" fillId="0" borderId="1" xfId="1" applyNumberFormat="1" applyFont="1" applyBorder="1" applyAlignment="1">
      <alignment horizontal="center" vertical="center"/>
    </xf>
    <xf numFmtId="196" fontId="3" fillId="0" borderId="1" xfId="1" applyNumberFormat="1" applyFont="1" applyBorder="1" applyAlignment="1">
      <alignment horizontal="center" vertical="center" wrapText="1"/>
    </xf>
    <xf numFmtId="0" fontId="3" fillId="0" borderId="1" xfId="0" applyFont="1" applyBorder="1" applyAlignment="1">
      <alignment vertical="center" wrapText="1"/>
    </xf>
    <xf numFmtId="0" fontId="0" fillId="0" borderId="0" xfId="0" applyAlignment="1">
      <alignment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0" xfId="0" applyFont="1" applyAlignment="1">
      <alignment horizontal="right"/>
    </xf>
    <xf numFmtId="179" fontId="1" fillId="0" borderId="0" xfId="1" applyNumberFormat="1" applyFont="1" applyAlignment="1"/>
    <xf numFmtId="179" fontId="1" fillId="0" borderId="0" xfId="3" applyNumberFormat="1" applyFont="1" applyAlignment="1"/>
    <xf numFmtId="0" fontId="81" fillId="10" borderId="29" xfId="0" applyFont="1" applyFill="1" applyBorder="1" applyAlignment="1">
      <alignment vertical="center"/>
    </xf>
    <xf numFmtId="179" fontId="1" fillId="0" borderId="30" xfId="1" applyNumberFormat="1" applyFont="1" applyBorder="1" applyAlignment="1"/>
    <xf numFmtId="0" fontId="81" fillId="10" borderId="30" xfId="0" applyFont="1" applyFill="1" applyBorder="1" applyAlignment="1">
      <alignment horizontal="center" vertical="center"/>
    </xf>
    <xf numFmtId="179" fontId="1" fillId="0" borderId="31" xfId="1" applyNumberFormat="1" applyFont="1" applyBorder="1" applyAlignment="1"/>
    <xf numFmtId="0" fontId="81" fillId="10" borderId="32" xfId="0" applyFont="1" applyFill="1" applyBorder="1" applyAlignment="1">
      <alignment vertical="center"/>
    </xf>
    <xf numFmtId="179" fontId="1" fillId="0" borderId="11" xfId="1" applyNumberFormat="1" applyFont="1" applyBorder="1" applyAlignment="1"/>
    <xf numFmtId="0" fontId="81" fillId="10" borderId="11" xfId="0" applyFont="1" applyFill="1" applyBorder="1" applyAlignment="1">
      <alignment horizontal="center" vertical="center"/>
    </xf>
    <xf numFmtId="179" fontId="1" fillId="0" borderId="33" xfId="1" applyNumberFormat="1" applyFont="1" applyBorder="1" applyAlignment="1"/>
    <xf numFmtId="9" fontId="1" fillId="0" borderId="11" xfId="3" applyFont="1" applyBorder="1" applyAlignment="1"/>
    <xf numFmtId="9" fontId="1" fillId="0" borderId="33" xfId="3" applyFont="1" applyBorder="1" applyAlignment="1"/>
    <xf numFmtId="179" fontId="1" fillId="0" borderId="11" xfId="1" applyNumberFormat="1" applyFont="1" applyBorder="1" applyAlignment="1">
      <alignment horizontal="left"/>
    </xf>
    <xf numFmtId="0" fontId="4" fillId="0" borderId="0" xfId="0" applyFont="1"/>
    <xf numFmtId="0" fontId="81" fillId="10" borderId="32" xfId="0" applyFont="1" applyFill="1" applyBorder="1" applyAlignment="1">
      <alignment horizontal="left" vertical="center"/>
    </xf>
    <xf numFmtId="179" fontId="3" fillId="10" borderId="11" xfId="1" applyNumberFormat="1" applyFont="1" applyFill="1" applyBorder="1" applyAlignment="1">
      <alignment horizontal="left"/>
    </xf>
    <xf numFmtId="43" fontId="1" fillId="0" borderId="11" xfId="1" applyFont="1" applyBorder="1" applyAlignment="1">
      <alignment horizontal="center"/>
    </xf>
    <xf numFmtId="179" fontId="3" fillId="10" borderId="11" xfId="1" applyNumberFormat="1" applyFont="1" applyFill="1" applyBorder="1" applyAlignment="1">
      <alignment horizontal="center" vertical="center"/>
    </xf>
    <xf numFmtId="43" fontId="1" fillId="0" borderId="33" xfId="1" applyFont="1" applyBorder="1" applyAlignment="1">
      <alignment horizontal="center"/>
    </xf>
    <xf numFmtId="0" fontId="81" fillId="10" borderId="11" xfId="0" applyFont="1" applyFill="1" applyBorder="1" applyAlignment="1">
      <alignment horizontal="left" vertical="center"/>
    </xf>
    <xf numFmtId="0" fontId="81" fillId="10" borderId="11" xfId="0" applyFont="1" applyFill="1" applyBorder="1" applyAlignment="1">
      <alignment horizontal="left" vertical="center" wrapText="1"/>
    </xf>
    <xf numFmtId="0" fontId="81" fillId="10" borderId="33" xfId="0" applyFont="1" applyFill="1" applyBorder="1" applyAlignment="1">
      <alignment horizontal="left" vertical="center" wrapText="1"/>
    </xf>
    <xf numFmtId="0" fontId="12" fillId="10" borderId="32" xfId="0" applyFont="1" applyFill="1" applyBorder="1" applyAlignment="1">
      <alignment vertical="center"/>
    </xf>
    <xf numFmtId="179" fontId="1" fillId="0" borderId="11" xfId="3" applyNumberFormat="1" applyFont="1" applyBorder="1" applyAlignment="1"/>
    <xf numFmtId="179" fontId="1" fillId="0" borderId="11" xfId="1" applyNumberFormat="1" applyFont="1" applyBorder="1" applyAlignment="1">
      <alignment horizontal="center" vertical="center"/>
    </xf>
    <xf numFmtId="179" fontId="1" fillId="0" borderId="33" xfId="0" applyNumberFormat="1" applyFont="1" applyBorder="1"/>
    <xf numFmtId="0" fontId="12" fillId="10" borderId="32" xfId="0" applyFont="1" applyFill="1" applyBorder="1" applyAlignment="1">
      <alignment vertical="center" wrapText="1"/>
    </xf>
    <xf numFmtId="179" fontId="1" fillId="0" borderId="11" xfId="3" applyNumberFormat="1" applyFont="1" applyBorder="1" applyAlignment="1">
      <alignment vertical="center"/>
    </xf>
    <xf numFmtId="179" fontId="1" fillId="0" borderId="11" xfId="3" applyNumberFormat="1" applyFont="1" applyBorder="1" applyAlignment="1">
      <alignment horizontal="center" vertical="center"/>
    </xf>
    <xf numFmtId="0" fontId="12" fillId="10" borderId="34" xfId="0" applyFont="1" applyFill="1" applyBorder="1" applyAlignment="1">
      <alignment vertical="center"/>
    </xf>
    <xf numFmtId="179" fontId="1" fillId="0" borderId="35" xfId="1" applyNumberFormat="1" applyFont="1" applyBorder="1" applyAlignment="1"/>
    <xf numFmtId="179" fontId="1" fillId="0" borderId="35" xfId="1" applyNumberFormat="1" applyFont="1" applyBorder="1" applyAlignment="1">
      <alignment horizontal="center" vertical="center"/>
    </xf>
    <xf numFmtId="179" fontId="1" fillId="0" borderId="36" xfId="1" applyNumberFormat="1" applyFont="1" applyBorder="1" applyAlignment="1"/>
    <xf numFmtId="0" fontId="3" fillId="5" borderId="0" xfId="0" applyFont="1" applyFill="1"/>
    <xf numFmtId="10" fontId="3" fillId="5" borderId="0" xfId="3" applyNumberFormat="1" applyFont="1" applyFill="1" applyAlignment="1"/>
    <xf numFmtId="0" fontId="3" fillId="10" borderId="29" xfId="0" applyFont="1" applyFill="1" applyBorder="1" applyAlignment="1">
      <alignment horizontal="center" vertical="center"/>
    </xf>
    <xf numFmtId="0" fontId="3" fillId="10" borderId="30" xfId="0" applyFont="1" applyFill="1" applyBorder="1" applyAlignment="1">
      <alignment horizontal="center" vertical="center"/>
    </xf>
    <xf numFmtId="179" fontId="3" fillId="10" borderId="30" xfId="0" applyNumberFormat="1" applyFont="1" applyFill="1" applyBorder="1" applyAlignment="1">
      <alignment horizontal="center" vertical="center"/>
    </xf>
    <xf numFmtId="179" fontId="3" fillId="10" borderId="31" xfId="0" applyNumberFormat="1" applyFont="1" applyFill="1" applyBorder="1" applyAlignment="1">
      <alignment horizontal="center" vertical="center"/>
    </xf>
    <xf numFmtId="0" fontId="3" fillId="0" borderId="32" xfId="0" applyFont="1" applyBorder="1" applyAlignment="1">
      <alignment horizontal="center" vertical="center"/>
    </xf>
    <xf numFmtId="179" fontId="3" fillId="0" borderId="11" xfId="0" applyNumberFormat="1" applyFont="1" applyBorder="1" applyAlignment="1">
      <alignment horizontal="center" vertical="center"/>
    </xf>
    <xf numFmtId="9" fontId="3" fillId="0" borderId="11" xfId="3" applyFont="1" applyBorder="1" applyAlignment="1">
      <alignment horizontal="center" vertical="center"/>
    </xf>
    <xf numFmtId="179" fontId="81" fillId="0" borderId="11" xfId="0" applyNumberFormat="1" applyFont="1" applyBorder="1" applyAlignment="1">
      <alignment horizontal="center" vertical="center"/>
    </xf>
    <xf numFmtId="179" fontId="81" fillId="0" borderId="33" xfId="0" applyNumberFormat="1" applyFont="1" applyBorder="1" applyAlignment="1">
      <alignment horizontal="center" vertical="center"/>
    </xf>
    <xf numFmtId="179" fontId="3" fillId="0" borderId="33" xfId="0" applyNumberFormat="1" applyFont="1" applyBorder="1" applyAlignment="1">
      <alignment horizontal="center" vertical="center"/>
    </xf>
    <xf numFmtId="0" fontId="1" fillId="0" borderId="32" xfId="0" applyFont="1" applyBorder="1" applyAlignment="1">
      <alignment horizontal="right"/>
    </xf>
    <xf numFmtId="179" fontId="1" fillId="0" borderId="11" xfId="0" applyNumberFormat="1" applyFont="1" applyBorder="1" applyAlignment="1">
      <alignment horizontal="right" vertical="center"/>
    </xf>
    <xf numFmtId="9" fontId="1" fillId="0" borderId="11" xfId="3" applyFont="1" applyBorder="1" applyAlignment="1">
      <alignment horizontal="right" vertical="center"/>
    </xf>
    <xf numFmtId="179" fontId="12" fillId="0" borderId="11" xfId="0" applyNumberFormat="1" applyFont="1" applyBorder="1" applyAlignment="1">
      <alignment horizontal="center" vertical="center"/>
    </xf>
    <xf numFmtId="179" fontId="12" fillId="0" borderId="33" xfId="0" applyNumberFormat="1" applyFont="1" applyBorder="1" applyAlignment="1">
      <alignment horizontal="center" vertical="center"/>
    </xf>
    <xf numFmtId="179" fontId="1" fillId="0" borderId="11" xfId="0" applyNumberFormat="1" applyFont="1" applyBorder="1" applyAlignment="1">
      <alignment horizontal="center" vertical="center"/>
    </xf>
    <xf numFmtId="9" fontId="1" fillId="0" borderId="11" xfId="3" applyFont="1" applyBorder="1" applyAlignment="1">
      <alignment horizontal="center" vertical="center"/>
    </xf>
    <xf numFmtId="179" fontId="1" fillId="0" borderId="33" xfId="0" applyNumberFormat="1" applyFont="1" applyBorder="1" applyAlignment="1">
      <alignment horizontal="center" vertical="center"/>
    </xf>
    <xf numFmtId="0" fontId="3" fillId="10" borderId="34" xfId="0" applyFont="1" applyFill="1" applyBorder="1" applyAlignment="1">
      <alignment horizontal="center" vertical="center"/>
    </xf>
    <xf numFmtId="179" fontId="3" fillId="10" borderId="35" xfId="0" applyNumberFormat="1" applyFont="1" applyFill="1" applyBorder="1" applyAlignment="1">
      <alignment horizontal="center" vertical="center"/>
    </xf>
    <xf numFmtId="9" fontId="3" fillId="10" borderId="35" xfId="3" applyFont="1" applyFill="1" applyBorder="1" applyAlignment="1">
      <alignment horizontal="center" vertical="center"/>
    </xf>
    <xf numFmtId="179" fontId="81" fillId="10" borderId="35" xfId="0" applyNumberFormat="1" applyFont="1" applyFill="1" applyBorder="1" applyAlignment="1">
      <alignment horizontal="center" vertical="center"/>
    </xf>
    <xf numFmtId="179" fontId="81" fillId="10" borderId="36" xfId="0" applyNumberFormat="1" applyFont="1" applyFill="1" applyBorder="1" applyAlignment="1">
      <alignment horizontal="center" vertical="center"/>
    </xf>
    <xf numFmtId="179" fontId="3" fillId="10" borderId="36" xfId="0" applyNumberFormat="1" applyFont="1" applyFill="1" applyBorder="1" applyAlignment="1">
      <alignment horizontal="center" vertical="center"/>
    </xf>
    <xf numFmtId="179" fontId="12" fillId="0" borderId="0" xfId="1" applyNumberFormat="1" applyFont="1" applyAlignment="1">
      <alignment horizontal="center" vertical="center"/>
    </xf>
    <xf numFmtId="0" fontId="3" fillId="10" borderId="37" xfId="0" applyFont="1" applyFill="1" applyBorder="1" applyAlignment="1">
      <alignment horizontal="center" vertical="center"/>
    </xf>
    <xf numFmtId="179" fontId="3" fillId="10" borderId="38" xfId="0" applyNumberFormat="1" applyFont="1" applyFill="1" applyBorder="1" applyAlignment="1">
      <alignment horizontal="center" vertical="center"/>
    </xf>
    <xf numFmtId="0" fontId="3" fillId="35" borderId="38" xfId="0" applyFont="1" applyFill="1" applyBorder="1" applyAlignment="1">
      <alignment horizontal="center" vertical="center"/>
    </xf>
    <xf numFmtId="179" fontId="81" fillId="10" borderId="38" xfId="0" applyNumberFormat="1" applyFont="1" applyFill="1" applyBorder="1" applyAlignment="1">
      <alignment horizontal="center" vertical="center"/>
    </xf>
    <xf numFmtId="179" fontId="81" fillId="10" borderId="39" xfId="0" applyNumberFormat="1" applyFont="1" applyFill="1" applyBorder="1" applyAlignment="1">
      <alignment horizontal="center" vertical="center"/>
    </xf>
    <xf numFmtId="0" fontId="2" fillId="0" borderId="3" xfId="0" applyFont="1" applyBorder="1" applyAlignment="1">
      <alignment horizontal="center" vertical="center"/>
    </xf>
    <xf numFmtId="179" fontId="2" fillId="0" borderId="10" xfId="1" applyNumberFormat="1" applyFont="1" applyBorder="1" applyAlignment="1">
      <alignment horizontal="center" vertical="center"/>
    </xf>
    <xf numFmtId="179" fontId="2" fillId="0" borderId="4" xfId="1" applyNumberFormat="1" applyFont="1" applyBorder="1" applyAlignment="1">
      <alignment horizontal="center" vertical="center"/>
    </xf>
    <xf numFmtId="179" fontId="1" fillId="0" borderId="0" xfId="1" applyNumberFormat="1" applyFont="1" applyAlignment="1">
      <alignment horizontal="right"/>
    </xf>
    <xf numFmtId="179" fontId="1" fillId="0" borderId="0" xfId="3" applyNumberFormat="1" applyFont="1" applyAlignment="1">
      <alignment horizontal="right"/>
    </xf>
    <xf numFmtId="179" fontId="1" fillId="0" borderId="0" xfId="1" applyNumberFormat="1" applyFont="1" applyAlignment="1">
      <alignment horizontal="right" vertical="center"/>
    </xf>
    <xf numFmtId="0" fontId="75" fillId="35" borderId="38" xfId="0" applyFont="1" applyFill="1" applyBorder="1" applyAlignment="1">
      <alignment horizontal="center" vertical="center"/>
    </xf>
    <xf numFmtId="0" fontId="1" fillId="0" borderId="0" xfId="3" applyNumberFormat="1" applyFont="1" applyAlignment="1"/>
    <xf numFmtId="0" fontId="5" fillId="2" borderId="1" xfId="0" applyFont="1" applyFill="1" applyBorder="1" applyAlignment="1">
      <alignment horizontal="center" vertical="center"/>
    </xf>
    <xf numFmtId="0" fontId="8" fillId="0" borderId="1" xfId="0" applyFont="1" applyBorder="1" applyAlignment="1">
      <alignment horizontal="center" vertical="center"/>
    </xf>
    <xf numFmtId="0" fontId="9" fillId="0" borderId="1" xfId="0" applyFont="1" applyBorder="1" applyAlignment="1">
      <alignment horizontal="center" vertical="center"/>
    </xf>
    <xf numFmtId="179" fontId="9" fillId="0" borderId="1" xfId="1" applyNumberFormat="1" applyFont="1" applyBorder="1" applyAlignment="1">
      <alignment horizontal="center" vertical="center"/>
    </xf>
    <xf numFmtId="179" fontId="9" fillId="0" borderId="40" xfId="1" applyNumberFormat="1" applyFont="1" applyBorder="1" applyAlignment="1">
      <alignment horizontal="center" vertical="center"/>
    </xf>
    <xf numFmtId="179" fontId="85" fillId="0" borderId="41" xfId="1" applyNumberFormat="1" applyFont="1" applyBorder="1" applyAlignment="1">
      <alignment horizontal="center" vertical="center"/>
    </xf>
    <xf numFmtId="0" fontId="3" fillId="0" borderId="0" xfId="0" applyFont="1"/>
    <xf numFmtId="0" fontId="1" fillId="18" borderId="1" xfId="0" applyFont="1" applyFill="1" applyBorder="1"/>
    <xf numFmtId="0" fontId="3" fillId="0" borderId="0" xfId="0" applyFont="1" applyAlignment="1">
      <alignment horizontal="left"/>
    </xf>
    <xf numFmtId="0" fontId="28" fillId="0" borderId="0" xfId="0" applyFont="1" applyAlignment="1">
      <alignment horizontal="left"/>
    </xf>
    <xf numFmtId="49" fontId="28" fillId="0" borderId="0" xfId="0" applyNumberFormat="1" applyFont="1" applyAlignment="1">
      <alignment horizontal="left"/>
    </xf>
    <xf numFmtId="0" fontId="12" fillId="18" borderId="1" xfId="0" applyFont="1" applyFill="1" applyBorder="1"/>
    <xf numFmtId="0" fontId="1" fillId="18" borderId="1" xfId="0" applyFont="1" applyFill="1" applyBorder="1" applyAlignment="1">
      <alignment vertical="center"/>
    </xf>
    <xf numFmtId="14" fontId="1" fillId="0" borderId="1" xfId="0" applyNumberFormat="1" applyFont="1" applyBorder="1" applyAlignment="1">
      <alignment horizontal="left" vertical="center"/>
    </xf>
    <xf numFmtId="0" fontId="1" fillId="0" borderId="1" xfId="0" applyFont="1" applyBorder="1" applyAlignment="1">
      <alignment horizontal="left" vertical="center" wrapText="1"/>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4" xfId="0" applyFont="1" applyBorder="1" applyAlignment="1">
      <alignment horizontal="center" vertical="center"/>
    </xf>
    <xf numFmtId="14" fontId="1" fillId="0" borderId="1" xfId="0" applyNumberFormat="1" applyFont="1" applyBorder="1" applyAlignment="1">
      <alignment horizontal="center" vertical="center"/>
    </xf>
    <xf numFmtId="0" fontId="3" fillId="0" borderId="1" xfId="0" applyFont="1" applyBorder="1" applyAlignment="1">
      <alignment horizontal="left" vertical="center" wrapText="1"/>
    </xf>
    <xf numFmtId="9" fontId="28" fillId="0" borderId="18" xfId="0" applyNumberFormat="1" applyFont="1" applyBorder="1" applyAlignment="1" quotePrefix="1">
      <alignment horizontal="center" vertical="center"/>
    </xf>
    <xf numFmtId="9" fontId="11" fillId="0" borderId="18" xfId="0" applyNumberFormat="1" applyFont="1" applyBorder="1" applyAlignment="1" quotePrefix="1">
      <alignment horizontal="center" vertical="center"/>
    </xf>
  </cellXfs>
  <cellStyles count="6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PSHeading 2 2 2" xfId="49"/>
    <cellStyle name="PSSpacer" xfId="50"/>
    <cellStyle name="常规 16" xfId="51"/>
    <cellStyle name="常规 2" xfId="52"/>
    <cellStyle name="常规 2 4" xfId="53"/>
    <cellStyle name="常规 3" xfId="54"/>
    <cellStyle name="常规 4" xfId="55"/>
    <cellStyle name="常规 7" xfId="56"/>
    <cellStyle name="千位分隔 2" xfId="57"/>
    <cellStyle name="千位分隔 3" xfId="58"/>
    <cellStyle name="千位分隔 4" xfId="59"/>
    <cellStyle name="千位分隔 5" xfId="60"/>
    <cellStyle name="常规 12 2" xfId="61"/>
  </cellStyles>
  <dxfs count="81">
    <dxf>
      <numFmt numFmtId="179" formatCode="_ * #,##0_ ;_ * \-#,##0_ ;_ * &quot;-&quot;??_ ;_ @_ "/>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numFmt numFmtId="179" formatCode="_ * #,##0_ ;_ * \-#,##0_ ;_ * &quot;-&quot;??_ ;_ @_ "/>
    </dxf>
    <dxf>
      <numFmt numFmtId="179" formatCode="_ * #,##0_ ;_ * \-#,##0_ ;_ * &quot;-&quot;??_ ;_ @_ "/>
    </dxf>
    <dxf>
      <numFmt numFmtId="179" formatCode="_ * #,##0_ ;_ * \-#,##0_ ;_ * &quot;-&quot;??_ ;_ @_ "/>
    </dxf>
    <dxf>
      <numFmt numFmtId="179" formatCode="_ * #,##0_ ;_ * \-#,##0_ ;_ * &quot;-&quot;??_ ;_ @_ "/>
    </dxf>
    <dxf>
      <font>
        <b val="1"/>
      </font>
    </dxf>
    <dxf>
      <font>
        <b val="1"/>
      </font>
    </dxf>
    <dxf>
      <numFmt numFmtId="179" formatCode="_ * #,##0_ ;_ * \-#,##0_ ;_ * &quot;-&quot;??_ ;_ @_ "/>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name val="微软雅黑"/>
        <scheme val="none"/>
        <charset val="134"/>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numFmt numFmtId="179" formatCode="_ * #,##0_ ;_ * \-#,##0_ ;_ * &quot;-&quot;??_ ;_ @_ "/>
    </dxf>
    <dxf>
      <numFmt numFmtId="179" formatCode="_ * #,##0_ ;_ * \-#,##0_ ;_ * &quot;-&quot;??_ ;_ @_ "/>
    </dxf>
    <dxf>
      <numFmt numFmtId="179" formatCode="_ * #,##0_ ;_ * \-#,##0_ ;_ * &quot;-&quot;??_ ;_ @_ "/>
    </dxf>
    <dxf>
      <numFmt numFmtId="179" formatCode="_ * #,##0_ ;_ * \-#,##0_ ;_ * &quot;-&quot;??_ ;_ @_ "/>
    </dxf>
    <dxf>
      <font>
        <color rgb="FF9C0006"/>
      </font>
      <fill>
        <patternFill patternType="solid">
          <bgColor rgb="FFFFC7CE"/>
        </patternFill>
      </fill>
    </dxf>
    <dxf>
      <fill>
        <patternFill patternType="solid">
          <bgColor theme="2"/>
        </patternFill>
      </fill>
    </dxf>
    <dxf>
      <border>
        <left style="hair">
          <color auto="1"/>
        </left>
        <right style="hair">
          <color auto="1"/>
        </right>
        <top style="hair">
          <color auto="1"/>
        </top>
        <bottom style="hair">
          <color auto="1"/>
        </bottom>
      </border>
    </dxf>
    <dxf>
      <fill>
        <patternFill patternType="solid">
          <bgColor rgb="FFFFFF00"/>
        </patternFill>
      </fill>
    </dxf>
    <dxf>
      <font>
        <color rgb="FFFF0000"/>
      </font>
    </dxf>
    <dxf>
      <font>
        <b val="1"/>
        <i val="0"/>
        <color rgb="FFFF0000"/>
      </font>
    </dxf>
    <dxf>
      <border>
        <left style="dotted">
          <color auto="1"/>
        </left>
        <right style="dotted">
          <color auto="1"/>
        </right>
        <top style="dotted">
          <color auto="1"/>
        </top>
        <bottom style="dotted">
          <color auto="1"/>
        </bottom>
      </border>
    </dxf>
    <dxf>
      <fill>
        <patternFill patternType="solid">
          <bgColor theme="2"/>
        </patternFill>
      </fill>
      <border>
        <left style="hair">
          <color auto="1"/>
        </left>
        <right style="hair">
          <color auto="1"/>
        </right>
        <top style="hair">
          <color auto="1"/>
        </top>
        <bottom style="hair">
          <color auto="1"/>
        </bottom>
      </border>
    </dxf>
    <dxf>
      <fill>
        <patternFill patternType="solid">
          <bgColor rgb="FFFF0000"/>
        </patternFill>
      </fill>
    </dxf>
  </dxfs>
  <tableStyles count="0" defaultTableStyle="TableStyleMedium2" defaultPivotStyle="PivotStyleLight16"/>
  <colors>
    <mruColors>
      <color rgb="0000FFFF"/>
      <color rgb="002F75B5"/>
      <color rgb="00FF8181"/>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0" Type="http://schemas.openxmlformats.org/officeDocument/2006/relationships/styles" Target="styles.xml"/><Relationship Id="rId3" Type="http://schemas.openxmlformats.org/officeDocument/2006/relationships/worksheet" Target="worksheets/sheet3.xml"/><Relationship Id="rId29" Type="http://schemas.openxmlformats.org/officeDocument/2006/relationships/sheetMetadata" Target="metadata.xml"/><Relationship Id="rId28" Type="http://schemas.openxmlformats.org/officeDocument/2006/relationships/sharedStrings" Target="sharedStrings.xml"/><Relationship Id="rId27" Type="http://schemas.openxmlformats.org/officeDocument/2006/relationships/theme" Target="theme/theme1.xml"/><Relationship Id="rId26" Type="http://schemas.openxmlformats.org/officeDocument/2006/relationships/pivotCacheDefinition" Target="pivotCache/pivotCacheDefinition1.xml"/><Relationship Id="rId25" Type="http://schemas.openxmlformats.org/officeDocument/2006/relationships/customXml" Target="../customXml/item1.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198120</xdr:colOff>
      <xdr:row>0</xdr:row>
      <xdr:rowOff>0</xdr:rowOff>
    </xdr:from>
    <xdr:to>
      <xdr:col>15</xdr:col>
      <xdr:colOff>324442</xdr:colOff>
      <xdr:row>20</xdr:row>
      <xdr:rowOff>57571</xdr:rowOff>
    </xdr:to>
    <xdr:pic>
      <xdr:nvPicPr>
        <xdr:cNvPr id="3" name="图片 2"/>
        <xdr:cNvPicPr>
          <a:picLocks noChangeAspect="1"/>
        </xdr:cNvPicPr>
      </xdr:nvPicPr>
      <xdr:blipFill>
        <a:blip r:embed="rId1"/>
        <a:stretch>
          <a:fillRect/>
        </a:stretch>
      </xdr:blipFill>
      <xdr:spPr>
        <a:xfrm>
          <a:off x="11772900" y="0"/>
          <a:ext cx="6831330" cy="501777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4354830</xdr:colOff>
      <xdr:row>1</xdr:row>
      <xdr:rowOff>0</xdr:rowOff>
    </xdr:from>
    <xdr:to>
      <xdr:col>3</xdr:col>
      <xdr:colOff>298450</xdr:colOff>
      <xdr:row>2</xdr:row>
      <xdr:rowOff>160655</xdr:rowOff>
    </xdr:to>
    <xdr:pic>
      <xdr:nvPicPr>
        <xdr:cNvPr id="3" name="图片 2" descr="C:/Users/UL-BJ-195/Desktop/有临医药标志源文件（中文彩色）.png有临医药标志源文件（中文彩色）"/>
        <xdr:cNvPicPr>
          <a:picLocks noChangeAspect="1"/>
        </xdr:cNvPicPr>
      </xdr:nvPicPr>
      <xdr:blipFill>
        <a:blip r:embed="rId1"/>
        <a:srcRect/>
        <a:stretch>
          <a:fillRect/>
        </a:stretch>
      </xdr:blipFill>
      <xdr:spPr>
        <a:xfrm>
          <a:off x="5947410" y="198120"/>
          <a:ext cx="1422400" cy="3587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5433.5044571759" refreshedBy="UL-BJ-248" recordCount="773">
  <cacheSource type="worksheet">
    <worksheetSource ref="A2:AG983" sheet="服务费底表"/>
  </cacheSource>
  <cacheFields count="31">
    <cacheField name="业务大类" numFmtId="0"/>
    <cacheField name="2级单位" numFmtId="0">
      <sharedItems containsBlank="1" count="11">
        <s v="份"/>
        <s v="次"/>
        <s v="个"/>
        <s v="次 "/>
        <s v="月*中心"/>
        <s v="月"/>
        <s v="例"/>
        <s v="页"/>
        <s v="条"/>
        <s v="例次"/>
        <m/>
      </sharedItems>
    </cacheField>
    <cacheField name="2级数量" numFmtId="0">
      <sharedItems containsString="0" containsBlank="1" containsNumber="1" containsInteger="1" minValue="0" maxValue="1975" count="37">
        <n v="0"/>
        <n v="6"/>
        <m/>
        <n v="79" u="1"/>
        <n v="13" u="1"/>
        <n v="125" u="1"/>
        <n v="180" u="1"/>
        <n v="5" u="1"/>
        <n v="40" u="1"/>
        <n v="1975" u="1"/>
        <n v="2" u="1"/>
        <n v="1580" u="1"/>
        <n v="16" u="1"/>
        <n v="17" u="1"/>
        <n v="90" u="1"/>
        <n v="20" u="1"/>
        <n v="56" u="1"/>
        <n v="33" u="1"/>
        <n v="22" u="1"/>
        <n v="1" u="1"/>
        <n v="3" u="1"/>
        <n v="790" u="1"/>
        <n v="24" u="1"/>
        <n v="25" u="1"/>
        <n v="9" u="1"/>
        <n v="43" u="1"/>
        <n v="26" u="1"/>
        <n v="27" u="1"/>
        <n v="260" u="1"/>
        <n v="10" u="1"/>
        <n v="28" u="1"/>
        <n v="29" u="1"/>
        <n v="30" u="1"/>
        <n v="450" u="1"/>
        <n v="31" u="1"/>
        <n v="12" u="1"/>
        <n v="32" u="1"/>
      </sharedItems>
    </cacheField>
    <cacheField name="辅助列1" numFmtId="0"/>
    <cacheField name="辅助列2" numFmtId="0"/>
    <cacheField name="客户任务代码" numFmtId="0"/>
    <cacheField name="合同类型" numFmtId="0"/>
    <cacheField name="审阅筛选" numFmtId="0"/>
    <cacheField name="1级编码" numFmtId="0">
      <sharedItems containsBlank="1" count="31">
        <s v="I001"/>
        <s v="I002"/>
        <s v="I003"/>
        <s v="I004"/>
        <s v="I005"/>
        <s v="I006"/>
        <s v="I007"/>
        <s v="I008"/>
        <s v="I009"/>
        <s v="I010"/>
        <s v="I011"/>
        <s v="I012"/>
        <s v="I013"/>
        <s v="I014"/>
        <s v="I015"/>
        <m/>
        <s v="A" u="1"/>
        <s v="B" u="1"/>
        <s v="C" u="1"/>
        <s v="D" u="1"/>
        <s v="E" u="1"/>
        <s v="F" u="1"/>
        <s v="G" u="1"/>
        <s v="H" u="1"/>
        <s v="I" u="1"/>
        <s v="J" u="1"/>
        <s v="K" u="1"/>
        <s v="L" u="1"/>
        <s v="M" u="1"/>
        <s v="N" u="1"/>
        <s v="O" u="1"/>
      </sharedItems>
    </cacheField>
    <cacheField name="1级名称" numFmtId="0">
      <sharedItems containsBlank="1" count="16">
        <s v="研究文件撰写和审核"/>
        <s v="试验准备"/>
        <s v="遗传办递交和跟进"/>
        <s v="召开研究者会议"/>
        <s v="临床监查和中心管理"/>
        <s v="项目管理"/>
        <s v="医学监查"/>
        <s v="数据管理"/>
        <s v="生物统计及分析"/>
        <s v="临床药理"/>
        <s v="安全警戒"/>
        <s v="医学撰写"/>
        <s v="非盲临床运营"/>
        <s v="质量保证"/>
        <s v="国家局核查支持"/>
        <m/>
      </sharedItems>
    </cacheField>
    <cacheField name="2级编码" numFmtId="0">
      <sharedItems containsBlank="1" count="343">
        <s v="A001"/>
        <s v="A002"/>
        <s v="A003"/>
        <s v="A004"/>
        <s v="A005"/>
        <s v="A006"/>
        <s v="A007"/>
        <s v="A008"/>
        <s v="A009"/>
        <s v="A010"/>
        <s v="A011"/>
        <s v="A012"/>
        <s v="A013"/>
        <s v="A014"/>
        <s v="A015"/>
        <s v="A016"/>
        <s v="A017"/>
        <s v="A018"/>
        <s v="A019"/>
        <s v="A020"/>
        <s v="A021"/>
        <s v="A022"/>
        <s v="A023"/>
        <s v="A024"/>
        <s v="A025"/>
        <s v="A026"/>
        <s v="A027"/>
        <s v="A028"/>
        <s v="A029"/>
        <s v="A030"/>
        <s v="A031"/>
        <s v="A032"/>
        <s v="A033"/>
        <s v="A034"/>
        <s v="A035"/>
        <s v="A036"/>
        <s v="A037"/>
        <s v="A038"/>
        <s v="A039"/>
        <s v="A040"/>
        <s v="A041"/>
        <s v="A042"/>
        <s v="A043"/>
        <s v="A044"/>
        <s v="A045"/>
        <s v="A046"/>
        <s v="A047"/>
        <s v="A048"/>
        <s v="A049"/>
        <s v="A050"/>
        <s v="A051"/>
        <s v="A052"/>
        <s v="A053"/>
        <s v="A054"/>
        <s v="A055"/>
        <s v="A056"/>
        <s v="A057"/>
        <s v="A058"/>
        <s v="A059"/>
        <s v="A060"/>
        <s v="A061"/>
        <s v="A062"/>
        <s v="A063"/>
        <s v="A064"/>
        <s v="A065"/>
        <s v="A066"/>
        <s v="A067"/>
        <s v="A068"/>
        <s v="A069"/>
        <s v="A070"/>
        <s v="A071"/>
        <s v="A072"/>
        <s v="A073"/>
        <s v="A074"/>
        <s v="A075"/>
        <s v="A076"/>
        <s v="A077"/>
        <s v="A078"/>
        <s v="A079"/>
        <s v="A080"/>
        <s v="A081"/>
        <s v="A082"/>
        <s v="A083"/>
        <s v="A084"/>
        <s v="A085"/>
        <s v="A086"/>
        <s v="A087"/>
        <s v="A088"/>
        <s v="A089"/>
        <s v="A090"/>
        <s v="A091"/>
        <s v="A092"/>
        <s v="A093"/>
        <s v="A094"/>
        <s v="A095"/>
        <s v="A096"/>
        <s v="A097"/>
        <s v="A098"/>
        <s v="A099"/>
        <s v="A100"/>
        <s v="A101"/>
        <s v="A102"/>
        <s v="A103"/>
        <s v="A104"/>
        <s v="A105"/>
        <s v="A106"/>
        <s v="A107"/>
        <s v="A108"/>
        <s v="A109"/>
        <s v="A110"/>
        <s v="A111"/>
        <s v="A112"/>
        <s v="A113"/>
        <s v="A114"/>
        <s v="A115"/>
        <s v="A116"/>
        <s v="A117"/>
        <s v="A118"/>
        <s v="A119"/>
        <s v="A120"/>
        <s v="A121"/>
        <s v="A122"/>
        <s v="A123"/>
        <s v="A124"/>
        <s v="A125"/>
        <s v="A126"/>
        <s v="A127"/>
        <s v="A128"/>
        <s v="A129"/>
        <s v="A130"/>
        <s v="A131"/>
        <s v="A132"/>
        <s v="A133"/>
        <s v="A134"/>
        <s v="A135"/>
        <s v="A136"/>
        <s v="A137"/>
        <s v="A138"/>
        <s v="A139"/>
        <s v="A140"/>
        <s v="A141"/>
        <s v="A142"/>
        <s v="A143"/>
        <s v="A144"/>
        <s v="A145"/>
        <s v="A146"/>
        <s v="A147"/>
        <s v="A148"/>
        <s v="A149"/>
        <s v="A150"/>
        <s v="A151"/>
        <s v="A152"/>
        <s v="A153"/>
        <s v="A154"/>
        <s v="A155"/>
        <s v="A156"/>
        <s v="A157"/>
        <s v="A158"/>
        <s v="A159"/>
        <s v="A160"/>
        <s v="A161"/>
        <s v="A162"/>
        <s v="A163"/>
        <s v="A164"/>
        <s v="A165"/>
        <s v="A166"/>
        <s v="A167"/>
        <s v="A168"/>
        <s v="A169"/>
        <s v="A170"/>
        <s v="A171"/>
        <m/>
        <s v="A01" u="1"/>
        <s v="A02" u="1"/>
        <s v="A03" u="1"/>
        <s v="A04" u="1"/>
        <s v="A05" u="1"/>
        <s v="A06" u="1"/>
        <s v="A07" u="1"/>
        <s v="B01" u="1"/>
        <s v="B02" u="1"/>
        <s v="B03" u="1"/>
        <s v="B04" u="1"/>
        <s v="B05" u="1"/>
        <s v="B06" u="1"/>
        <s v="B07" u="1"/>
        <s v="B08" u="1"/>
        <s v="B09" u="1"/>
        <s v="B10" u="1"/>
        <s v="B11" u="1"/>
        <s v="B12" u="1"/>
        <s v="C01" u="1"/>
        <s v="C02" u="1"/>
        <s v="C03" u="1"/>
        <s v="C04" u="1"/>
        <s v="C05" u="1"/>
        <s v="D01" u="1"/>
        <s v="D02" u="1"/>
        <s v="D03" u="1"/>
        <s v="D04" u="1"/>
        <s v="D05" u="1"/>
        <s v="D06" u="1"/>
        <s v="E01" u="1"/>
        <s v="E02" u="1"/>
        <s v="E03" u="1"/>
        <s v="E04" u="1"/>
        <s v="E05" u="1"/>
        <s v="E06" u="1"/>
        <s v="E07" u="1"/>
        <s v="E08" u="1"/>
        <s v="E09" u="1"/>
        <s v="E10" u="1"/>
        <s v="E11" u="1"/>
        <s v="E12" u="1"/>
        <s v="E13" u="1"/>
        <s v="E14" u="1"/>
        <s v="E15" u="1"/>
        <s v="E16" u="1"/>
        <s v="E17" u="1"/>
        <s v="E18" u="1"/>
        <s v="E19" u="1"/>
        <s v="E20" u="1"/>
        <s v="E21" u="1"/>
        <s v="F01" u="1"/>
        <s v="F02" u="1"/>
        <s v="F03" u="1"/>
        <s v="F04" u="1"/>
        <s v="F05" u="1"/>
        <s v="F06" u="1"/>
        <s v="F07" u="1"/>
        <s v="F08" u="1"/>
        <s v="F09" u="1"/>
        <s v="F10" u="1"/>
        <s v="F11" u="1"/>
        <s v="F12" u="1"/>
        <s v="F13" u="1"/>
        <s v="F14" u="1"/>
        <s v="F15" u="1"/>
        <s v="F16" u="1"/>
        <s v="F17" u="1"/>
        <s v="F18" u="1"/>
        <s v="F19" u="1"/>
        <s v="F20" u="1"/>
        <s v="G01" u="1"/>
        <s v="G02" u="1"/>
        <s v="G03" u="1"/>
        <s v="G04" u="1"/>
        <s v="G05" u="1"/>
        <s v="G06" u="1"/>
        <s v="G07" u="1"/>
        <s v="G08" u="1"/>
        <s v="G09" u="1"/>
        <s v="G10" u="1"/>
        <s v="G11" u="1"/>
        <s v="G12" u="1"/>
        <s v="G13" u="1"/>
        <s v="H01" u="1"/>
        <s v="H02" u="1"/>
        <s v="H03" u="1"/>
        <s v="H04" u="1"/>
        <s v="H05" u="1"/>
        <s v="H06" u="1"/>
        <s v="H07" u="1"/>
        <s v="H08" u="1"/>
        <s v="H09" u="1"/>
        <s v="H10" u="1"/>
        <s v="H11" u="1"/>
        <s v="H12" u="1"/>
        <s v="H13" u="1"/>
        <s v="H14" u="1"/>
        <s v="H15" u="1"/>
        <s v="H16" u="1"/>
        <s v="H17" u="1"/>
        <s v="H18" u="1"/>
        <s v="H19" u="1"/>
        <s v="I01" u="1"/>
        <s v="I02" u="1"/>
        <s v="I03" u="1"/>
        <s v="I04" u="1"/>
        <s v="I05" u="1"/>
        <s v="I06" u="1"/>
        <s v="I07" u="1"/>
        <s v="I08" u="1"/>
        <s v="I09" u="1"/>
        <s v="I10" u="1"/>
        <s v="I11" u="1"/>
        <s v="I12" u="1"/>
        <s v="I13" u="1"/>
        <s v="I14" u="1"/>
        <s v="I15" u="1"/>
        <s v="I16" u="1"/>
        <s v="I17" u="1"/>
        <s v="I18" u="1"/>
        <s v="I19" u="1"/>
        <s v="I20" u="1"/>
        <s v="J01" u="1"/>
        <s v="J02" u="1"/>
        <s v="J03" u="1"/>
        <s v="J04" u="1"/>
        <s v="J05" u="1"/>
        <s v="J06" u="1"/>
        <s v="K01" u="1"/>
        <s v="K02" u="1"/>
        <s v="K03" u="1"/>
        <s v="K04" u="1"/>
        <s v="K05" u="1"/>
        <s v="K06" u="1"/>
        <s v="K07" u="1"/>
        <s v="K08" u="1"/>
        <s v="K09" u="1"/>
        <s v="K10" u="1"/>
        <s v="K11" u="1"/>
        <s v="K12" u="1"/>
        <s v="K13" u="1"/>
        <s v="K14" u="1"/>
        <s v="K15" u="1"/>
        <s v="K16" u="1"/>
        <s v="K17" u="1"/>
        <s v="K18" u="1"/>
        <s v="K19" u="1"/>
        <s v="L01" u="1"/>
        <s v="L02" u="1"/>
        <s v="L03" u="1"/>
        <s v="L04" u="1"/>
        <s v="M01" u="1"/>
        <s v="M02" u="1"/>
        <s v="M03" u="1"/>
        <s v="M04" u="1"/>
        <s v="M05" u="1"/>
        <s v="M06" u="1"/>
        <s v="M07" u="1"/>
        <s v="M08" u="1"/>
        <s v="M09" u="1"/>
        <s v="M10" u="1"/>
        <s v="M11" u="1"/>
        <s v="N01" u="1"/>
        <s v="N02" u="1"/>
        <s v="N03" u="1"/>
        <s v="N04" u="1"/>
        <s v="O01" u="1"/>
        <s v="O02" u="1"/>
        <s v="O03" u="1"/>
        <s v="O04" u="1"/>
      </sharedItems>
    </cacheField>
    <cacheField name="2级名称" numFmtId="0">
      <sharedItems containsBlank="1" count="176">
        <s v="方案撰写"/>
        <s v="撰写CRF"/>
        <s v="方案版本更新"/>
        <s v="主知情同意撰写"/>
        <s v="主知情同意版本更新"/>
        <s v="受试者日记卡撰写"/>
        <s v="受试者招募广告撰写"/>
        <s v="召开客户启动会"/>
        <s v="方案培训"/>
        <s v="中心可行性调研"/>
        <s v="筛选访视"/>
        <s v="机构立项"/>
        <s v="首次伦理文件准备和递交"/>
        <s v="中心知情同意书撰写"/>
        <s v="EDC上线前测试"/>
        <s v="研究中心启动文件准备和快递"/>
        <s v="临床试验国家局备案"/>
        <s v="临床试验省局备案"/>
        <s v="ClinicalTrials翻译"/>
        <s v="遗传办首次国际合作审批申报"/>
        <s v="遗传办国际合作备案申报"/>
        <s v="遗传办数据备份备案申报"/>
        <s v="遗传办变更申报"/>
        <s v="遗传办国际合作总结报告撰写"/>
        <s v="召开方案讨论会"/>
        <s v="召开首次研究者会"/>
        <s v="SRC/SMC章程撰写"/>
        <s v="召开SRC/SMC会"/>
        <s v="召开中期研究者会"/>
        <s v="召开研究总结会"/>
        <s v="准备或签署研究中心合同"/>
        <s v="启动访视"/>
        <s v="启动访视_启动会的医学远程支持"/>
        <s v="常规监查访视"/>
        <s v="计划外访视"/>
        <s v="协同访视"/>
        <s v="远程访视/电话访视"/>
        <s v="质控访视"/>
        <s v="稽查陪同"/>
        <s v="中心安全性报告管理"/>
        <s v="中心费用支付支持"/>
        <s v="研究简报撰写"/>
        <s v="研究药品申请管理"/>
        <s v="研究物资申请和采购管理"/>
        <s v="后续伦理文件准备和递交"/>
        <s v="伦理年度报告准备和递交"/>
        <s v="中心日常支持和管理"/>
        <s v="自查访视"/>
        <s v="数据清理访视"/>
        <s v="总结报告CSR中心签字和盖章"/>
        <s v="关闭访视"/>
        <s v="项目管理计划PMP撰写"/>
        <s v="研究中心监查和管理计划CMP撰写"/>
        <s v="中心实验室操作手册审核"/>
        <s v="药物管理手册IPMP审核"/>
        <s v="文件创建和维护"/>
        <s v="供应商筛选和合同建立"/>
        <s v="SMO日常沟通"/>
        <s v="招募日常沟通"/>
        <s v="生物分析实验室日常沟通"/>
        <s v="物流日常沟通"/>
        <s v="IRC日常沟通"/>
        <s v="保险日常沟通"/>
        <s v="中心实验室日常沟通"/>
        <s v="其他供应商日常沟通"/>
        <s v="召开客户电话会"/>
        <s v="致客户项目进展报告撰写"/>
        <s v="召开客户面对面会"/>
        <s v="召开项目电话会"/>
        <s v="召开监查员会"/>
        <s v="文件移交至客户"/>
        <s v="医学监查计划MMP撰写"/>
        <s v="医学监查培训"/>
        <s v="CRA和中心的医学支持"/>
        <s v="入组失败受试者的招募评估"/>
        <s v="受试者合格性审核"/>
        <s v="方案偏离审核"/>
        <s v="EDC数据列表审核"/>
        <s v="医学编码审核"/>
        <s v="药物或疾病编码审核"/>
        <s v="医学监查报告撰写"/>
        <s v="SAE报告医学审核"/>
        <s v="DSUR医学审核"/>
        <s v="医学项目管理"/>
        <s v="撰写数据管理文档"/>
        <s v="搭建数据库界面"/>
        <s v="设置数据核查程序"/>
        <s v="用户接受性测试(UAT)"/>
        <s v="搭建随机发药系统"/>
        <s v="实施质疑管理_系统自动质疑"/>
        <s v="实施质疑管理_人工审核质疑"/>
        <s v="核查外部数据一致性"/>
        <s v="实施医学编码"/>
        <s v="核查SAE一致性"/>
        <s v="递交常规进度报告"/>
        <s v="递交项目定制报告"/>
        <s v="审核方案偏离数据"/>
        <s v="实施日常数据库维护"/>
        <s v="召开数据审核会"/>
        <s v="数据库锁定"/>
        <s v="撰写数据管理报告"/>
        <s v="数据管理项目管理"/>
        <s v="数据库变更"/>
        <s v="撰写统计分析计划SAP"/>
        <s v="制定和实施随机化方案"/>
        <s v="计划和实施药物编盲"/>
        <s v="制定统计TLFs模板"/>
        <s v="撰写SDTM CRF注释和映射规范"/>
        <s v="生成SDTM数据集"/>
        <s v="撰写ADaM数据集或分析数据集衍生规范"/>
        <s v="生成ADaM数据集或衍生数据集"/>
        <s v="生成统计TLFs"/>
        <s v="生成PK/PD统计TFLs"/>
        <s v="生成BE/BA/FE/DDI 统计TFLs"/>
        <s v="Dry Run"/>
        <s v="期中分析"/>
        <s v="最终分析"/>
        <s v="完成电子数据递交资料"/>
        <s v="撰写统计分析报告(SAR)"/>
        <s v="生物统计及分析项目管理"/>
        <s v="撰写DSMB/DMC/IDMC章程"/>
        <s v="完成DSMB/DMC/IDMC报告TFLs"/>
        <s v="参加和协助DSMB/DMC/IDMC会议"/>
        <s v="PK/PD分析"/>
        <s v="Pop PK/PD(E-R)分析计划撰写"/>
        <s v="整理Pop PK/PD(E-R)分析数据集"/>
        <s v="Pop PK/PD(E-R)分析建模与模拟"/>
        <s v="Pop PK/PD(E-R)分析报告撰写"/>
        <s v="临床药理项目管理"/>
        <s v="安全管理计划SMP撰写"/>
        <s v="药物警戒协议撰写"/>
        <s v="药物警戒委托协议撰写"/>
        <s v="安全性专有数据集建立"/>
        <s v="安全性数据库配置和测试"/>
        <s v="ICSR报告流程培训"/>
        <s v="ICSR报告处理"/>
        <s v="SAE交叉报告一致性比对"/>
        <s v="SUSAR报告递交"/>
        <s v="SUSAR交叉报告"/>
        <s v="定期汇总安全性报告"/>
        <s v="安全性数据库维护"/>
        <s v="DSUR撰写(中文)"/>
        <s v="DSUR翻译"/>
        <s v="DSUR递交"/>
        <s v="安全性数据库变更"/>
        <s v="特殊事件的处理"/>
        <s v="安全信号检测"/>
        <s v="安全警戒项目管理"/>
        <s v="研究者手册版本更新"/>
        <s v="研究总结报告撰写"/>
        <s v="SAE个案描述撰写"/>
        <s v="其他报告撰写"/>
        <s v="召开非盲客户启动会"/>
        <s v="非盲监查计划撰写"/>
        <s v="非盲药物管理计划撰写"/>
        <s v="非盲团队培训"/>
        <s v="召开非盲监查员会"/>
        <s v="召开非盲客户电话会"/>
        <s v="非盲启动访视"/>
        <s v="非盲常规监查访视"/>
        <s v="非盲中心日常支持和管理"/>
        <s v="非盲文件管理"/>
        <s v="非盲项目管理"/>
        <s v="稽查计划撰写"/>
        <s v="研究中心稽查"/>
        <s v="临床试验主文件稽查"/>
        <s v="IRC稽查"/>
        <s v="核查前现场准备"/>
        <s v="核查前准备-系统填报"/>
        <s v="现场支持"/>
        <s v="核查后支持报告回复"/>
        <m/>
        <s v="机构自查访视" u="1"/>
        <s v="研究者手册更新" u="1"/>
        <s v="撰写非盲监查计划" u="1"/>
        <s v="撰写非盲药物管理计划" u="1"/>
      </sharedItems>
    </cacheField>
    <cacheField name="3级编码" numFmtId="0">
      <sharedItems containsBlank="1" count="1112">
        <s v="T0001"/>
        <s v="T0002"/>
        <s v="T0003"/>
        <s v="T0004"/>
        <s v="T0005"/>
        <s v="T0006"/>
        <s v="T0007"/>
        <s v="T0008"/>
        <s v="T0009"/>
        <s v="T0010"/>
        <s v="T0011"/>
        <s v="T0012"/>
        <s v="T0013"/>
        <s v="T0014"/>
        <s v="T0015"/>
        <s v="T0016"/>
        <s v="T0017"/>
        <s v="T0018"/>
        <s v="T0019"/>
        <s v="T0020"/>
        <s v="T0021"/>
        <s v="T0022"/>
        <s v="T0023"/>
        <s v="T0024"/>
        <s v="T0025"/>
        <s v="T0026"/>
        <s v="T0027"/>
        <s v="T0028"/>
        <s v="T0029"/>
        <s v="T0030"/>
        <s v="T0031"/>
        <s v="T0032"/>
        <s v="T0033"/>
        <s v="T0034"/>
        <s v="T0035"/>
        <s v="T0036"/>
        <s v="T0037"/>
        <s v="T0038"/>
        <s v="T0039"/>
        <s v="T0040"/>
        <s v="T0041"/>
        <s v="T0042"/>
        <s v="T0043"/>
        <s v="T0044"/>
        <s v="T0045"/>
        <s v="T0046"/>
        <s v="T0047"/>
        <s v="T0048"/>
        <s v="T0049"/>
        <s v="T0050"/>
        <s v="T0051"/>
        <s v="T0052"/>
        <s v="T0053"/>
        <s v="T0054"/>
        <s v="T0055"/>
        <s v="T0056"/>
        <s v="T0057"/>
        <s v="T0058"/>
        <s v="T0059"/>
        <s v="T0060"/>
        <s v="T0061"/>
        <s v="T0062"/>
        <s v="T0063"/>
        <s v="T0064"/>
        <s v="T0065"/>
        <s v="T0066"/>
        <s v="T0067"/>
        <s v="T0068"/>
        <s v="T0069"/>
        <s v="T0070"/>
        <s v="T0071"/>
        <s v="T0072"/>
        <s v="T0073"/>
        <s v="T0074"/>
        <s v="T0075"/>
        <s v="T0076"/>
        <s v="T0077"/>
        <s v="T0078"/>
        <s v="T0079"/>
        <s v="T0080"/>
        <s v="T0081"/>
        <s v="T0082"/>
        <s v="T0083"/>
        <s v="T0084"/>
        <s v="T0085"/>
        <s v="T0086"/>
        <s v="T0087"/>
        <s v="T0088"/>
        <s v="T0089"/>
        <s v="T0090"/>
        <s v="T0091"/>
        <s v="T0092"/>
        <s v="T0093"/>
        <s v="T0094"/>
        <s v="T0095"/>
        <s v="T0096"/>
        <s v="T0097"/>
        <s v="T0098"/>
        <s v="T0099"/>
        <s v="T0100"/>
        <s v="T0101"/>
        <s v="T0102"/>
        <s v="T0103"/>
        <s v="T0104"/>
        <s v="T0105"/>
        <s v="T0106"/>
        <s v="T0107"/>
        <s v="T0108"/>
        <s v="T0109"/>
        <s v="T0110"/>
        <s v="T0111"/>
        <s v="T0112"/>
        <s v="T0113"/>
        <s v="T0114"/>
        <s v="T0115"/>
        <s v="T0116"/>
        <s v="T0117"/>
        <s v="T0118"/>
        <s v="T0119"/>
        <s v="T0120"/>
        <s v="T0121"/>
        <s v="T0122"/>
        <s v="T0123"/>
        <s v="T0124"/>
        <s v="T0125"/>
        <s v="T0126"/>
        <s v="T0127"/>
        <s v="T0128"/>
        <s v="T0129"/>
        <s v="T0130"/>
        <s v="T0131"/>
        <s v="T0132"/>
        <s v="T0133"/>
        <s v="T0134"/>
        <s v="T0135"/>
        <s v="T0136"/>
        <s v="T0137"/>
        <s v="T0138"/>
        <s v="T0139"/>
        <s v="T0140"/>
        <s v="T0141"/>
        <s v="T0142"/>
        <s v="T0143"/>
        <s v="T0144"/>
        <s v="T0145"/>
        <s v="T0146"/>
        <s v="T0147"/>
        <s v="T0148"/>
        <s v="T0149"/>
        <s v="T0150"/>
        <s v="T0151"/>
        <s v="T0152"/>
        <s v="T0153"/>
        <s v="T0154"/>
        <s v="T0155"/>
        <s v="T0156"/>
        <s v="T0157"/>
        <s v="T0158"/>
        <s v="T0159"/>
        <s v="T0160"/>
        <s v="T0161"/>
        <s v="T0162"/>
        <s v="T0163"/>
        <s v="T0164"/>
        <s v="T0165"/>
        <s v="T0166"/>
        <s v="T0167"/>
        <s v="T0168"/>
        <s v="T0169"/>
        <s v="T0170"/>
        <s v="T0171"/>
        <s v="T0172"/>
        <s v="T0173"/>
        <s v="T0174"/>
        <s v="T0175"/>
        <s v="T0176"/>
        <s v="T0177"/>
        <s v="T0178"/>
        <s v="T0179"/>
        <s v="T0180"/>
        <s v="T0181"/>
        <s v="T0182"/>
        <s v="T0183"/>
        <s v="T0184"/>
        <s v="T0185"/>
        <s v="T0186"/>
        <s v="T0187"/>
        <s v="T0188"/>
        <s v="T0189"/>
        <s v="T0190"/>
        <s v="T0191"/>
        <s v="T0192"/>
        <s v="T0193"/>
        <s v="T0194"/>
        <s v="T0195"/>
        <s v="T0196"/>
        <s v="T0197"/>
        <s v="T0198"/>
        <s v="T0199"/>
        <s v="T0200"/>
        <s v="T0201"/>
        <s v="T0202"/>
        <s v="T0203"/>
        <s v="T0204"/>
        <s v="T0205"/>
        <s v="T0206"/>
        <s v="T0207"/>
        <s v="T0208"/>
        <s v="T0209"/>
        <s v="T0210"/>
        <s v="T0211"/>
        <s v="T0212"/>
        <s v="T0213"/>
        <s v="T0214"/>
        <s v="T0215"/>
        <s v="T0216"/>
        <s v="T0217"/>
        <s v="T0218"/>
        <s v="T0219"/>
        <s v="T0220"/>
        <s v="T0221"/>
        <s v="T0222"/>
        <s v="T0223"/>
        <s v="T0224"/>
        <s v="T0225"/>
        <s v="T0226"/>
        <s v="T0227"/>
        <s v="T0228"/>
        <s v="T0229"/>
        <s v="T0230"/>
        <s v="T0231"/>
        <s v="T0232"/>
        <s v="T0233"/>
        <s v="T0234"/>
        <s v="T0235"/>
        <s v="T0236"/>
        <s v="T0237"/>
        <s v="T0238"/>
        <s v="T0239"/>
        <s v="T0240"/>
        <s v="T0241"/>
        <s v="T0242"/>
        <s v="T0243"/>
        <s v="T0244"/>
        <s v="T0245"/>
        <s v="T0246"/>
        <s v="T0247"/>
        <s v="T0248"/>
        <s v="T0249"/>
        <s v="T0250"/>
        <s v="T0251"/>
        <s v="T0252"/>
        <s v="T0253"/>
        <s v="T0254"/>
        <s v="T0255"/>
        <s v="T0256"/>
        <s v="T0257"/>
        <s v="T0258"/>
        <s v="T0259"/>
        <s v="T0260"/>
        <s v="T0261"/>
        <s v="T0262"/>
        <s v="T0263"/>
        <s v="T0264"/>
        <s v="T0265"/>
        <s v="T0266"/>
        <s v="T0267"/>
        <s v="T0268"/>
        <s v="T0269"/>
        <s v="T0270"/>
        <s v="T0271"/>
        <s v="T0272"/>
        <s v="T0273"/>
        <s v="T0274"/>
        <s v="T0275"/>
        <s v="T0276"/>
        <s v="T0277"/>
        <s v="T0278"/>
        <s v="T0279"/>
        <s v="T0280"/>
        <s v="T0281"/>
        <s v="T0282"/>
        <s v="T0283"/>
        <s v="T0284"/>
        <s v="T0285"/>
        <s v="T0286"/>
        <s v="T0287"/>
        <s v="T0288"/>
        <s v="T0289"/>
        <s v="T0290"/>
        <s v="T0291"/>
        <s v="T0292"/>
        <s v="T0293"/>
        <s v="T0294"/>
        <s v="T0295"/>
        <s v="T0296"/>
        <s v="T0297"/>
        <s v="T0298"/>
        <s v="T0299"/>
        <s v="T0300"/>
        <s v="T0301"/>
        <s v="T0302"/>
        <s v="T0303"/>
        <s v="T0304"/>
        <s v="T0305"/>
        <s v="T0306"/>
        <s v="T0307"/>
        <s v="T0308"/>
        <s v="T0309"/>
        <s v="T0310"/>
        <s v="T0311"/>
        <s v="T0312"/>
        <s v="T0313"/>
        <s v="T0314"/>
        <s v="T0315"/>
        <s v="T0316"/>
        <s v="T0317"/>
        <s v="T0318"/>
        <s v="T0319"/>
        <s v="T0320"/>
        <s v="T0321"/>
        <s v="T0322"/>
        <s v="T0323"/>
        <s v="T0324"/>
        <s v="T0325"/>
        <s v="T0326"/>
        <s v="T0327"/>
        <s v="T0328"/>
        <s v="T0329"/>
        <s v="T0330"/>
        <s v="T0331"/>
        <s v="T0332"/>
        <s v="T0333"/>
        <s v="T0334"/>
        <s v="T0335"/>
        <s v="T0336"/>
        <s v="T0337"/>
        <s v="T0338"/>
        <s v="T0339"/>
        <s v="T0340"/>
        <s v="T0341"/>
        <s v="T0342"/>
        <s v="T0343"/>
        <s v="T0344"/>
        <s v="T0345"/>
        <s v="T0346"/>
        <s v="T0347"/>
        <s v="T0348"/>
        <s v="T0349"/>
        <s v="T0350"/>
        <s v="T0351"/>
        <s v="T0352"/>
        <s v="T0353"/>
        <s v="T0354"/>
        <s v="T0355"/>
        <s v="T0356"/>
        <s v="T0357"/>
        <s v="T0358"/>
        <s v="T0359"/>
        <s v="T0360"/>
        <s v="T0361"/>
        <s v="T0362"/>
        <s v="T0363"/>
        <s v="T0364"/>
        <s v="T0365"/>
        <s v="T0366"/>
        <s v="T0367"/>
        <s v="T0368"/>
        <s v="T0369"/>
        <s v="T0370"/>
        <s v="T0371"/>
        <s v="T0372"/>
        <s v="T0373"/>
        <s v="T0374"/>
        <s v="T0375"/>
        <s v="T0376"/>
        <s v="T0377"/>
        <s v="T0378"/>
        <s v="T0379"/>
        <s v="T0380"/>
        <s v="T0381"/>
        <s v="T0382"/>
        <s v="T0383"/>
        <s v="T0384"/>
        <s v="T0385"/>
        <s v="T0386"/>
        <s v="T0387"/>
        <s v="T0388"/>
        <s v="T0389"/>
        <s v="T0390"/>
        <s v="T0391"/>
        <s v="T0392"/>
        <s v="T0393"/>
        <s v="T0394"/>
        <s v="T0395"/>
        <s v="T0396"/>
        <s v="T0397"/>
        <s v="T0398"/>
        <s v="T0399"/>
        <s v="T0400"/>
        <s v="T0401"/>
        <s v="T0402"/>
        <s v="T0403"/>
        <s v="T0404"/>
        <s v="T0405"/>
        <s v="T0406"/>
        <s v="T0407"/>
        <s v="T0408"/>
        <s v="T0409"/>
        <s v="T0410"/>
        <s v="T0411"/>
        <s v="T0412"/>
        <s v="T0413"/>
        <s v="T0414"/>
        <s v="T0415"/>
        <s v="T0416"/>
        <s v="T0417"/>
        <s v="T0418"/>
        <s v="T0419"/>
        <s v="T0420"/>
        <s v="T0421"/>
        <s v="T0422"/>
        <s v="T0423"/>
        <s v="T0424"/>
        <s v="T0425"/>
        <s v="T0426"/>
        <s v="T0427"/>
        <s v="T0428"/>
        <s v="T0429"/>
        <s v="T0430"/>
        <s v="T0431"/>
        <s v="T0432"/>
        <s v="T0433"/>
        <s v="T0434"/>
        <s v="T0435"/>
        <s v="T0436"/>
        <s v="T0437"/>
        <s v="T0438"/>
        <s v="T0439"/>
        <s v="T0440"/>
        <s v="T0441"/>
        <s v="T0442"/>
        <s v="T0443"/>
        <s v="T0444"/>
        <s v="T0445"/>
        <s v="T0446"/>
        <s v="T0447"/>
        <s v="T0448"/>
        <s v="T0449"/>
        <s v="T0450"/>
        <s v="T0451"/>
        <s v="T0452"/>
        <s v="T0453"/>
        <s v="T0454"/>
        <s v="T0455"/>
        <s v="T0456"/>
        <s v="T0457"/>
        <s v="T0458"/>
        <s v="T0459"/>
        <s v="T0460"/>
        <s v="T0461"/>
        <s v="T0462"/>
        <s v="T0463"/>
        <s v="T0464"/>
        <s v="T0465"/>
        <s v="T0466"/>
        <s v="T0467"/>
        <s v="T0468"/>
        <s v="T0469"/>
        <s v="T0470"/>
        <s v="T0471"/>
        <s v="T0472"/>
        <s v="T0473"/>
        <s v="T0474"/>
        <s v="T0475"/>
        <s v="T0476"/>
        <s v="T0477"/>
        <s v="T0478"/>
        <s v="T0479"/>
        <s v="T0480"/>
        <s v="T0481"/>
        <s v="T0482"/>
        <s v="T0483"/>
        <s v="T0484"/>
        <s v="T0485"/>
        <s v="T0486"/>
        <s v="T0487"/>
        <s v="T0488"/>
        <s v="T0489"/>
        <s v="T0490"/>
        <s v="T0491"/>
        <s v="T0492"/>
        <s v="T0493"/>
        <s v="T0494"/>
        <s v="T0495"/>
        <s v="T0496"/>
        <s v="T0497"/>
        <s v="T0498"/>
        <s v="T0499"/>
        <s v="T0500"/>
        <s v="T0501"/>
        <s v="T0502"/>
        <s v="T0503"/>
        <s v="T0504"/>
        <s v="T0505"/>
        <s v="T0506"/>
        <s v="T0507"/>
        <s v="T0508"/>
        <s v="T0509"/>
        <s v="T0510"/>
        <s v="T0511"/>
        <s v="T0512"/>
        <s v="T0513"/>
        <s v="T0514"/>
        <s v="T0515"/>
        <s v="T0516"/>
        <s v="T0517"/>
        <s v="T0518"/>
        <s v="T0519"/>
        <s v="T0520"/>
        <s v="T0521"/>
        <s v="T0522"/>
        <s v="T0523"/>
        <s v="T0524"/>
        <s v="T0525"/>
        <s v="T0526"/>
        <s v="T0527"/>
        <s v="T0528"/>
        <s v="T0529"/>
        <s v="T0530"/>
        <s v="T0531"/>
        <s v="T0532"/>
        <s v="T0533"/>
        <s v="T0534"/>
        <s v="T0535"/>
        <s v="T0536"/>
        <s v="T0537"/>
        <s v="T0538"/>
        <s v="T0539"/>
        <s v="T0540"/>
        <s v="T0541"/>
        <s v="T0542"/>
        <s v="T0543"/>
        <s v="T0544"/>
        <s v="T0545"/>
        <s v="T0546"/>
        <s v="T0547"/>
        <s v="T0548"/>
        <s v="T0549"/>
        <s v="T0550"/>
        <s v="T0551"/>
        <s v="T0552"/>
        <s v="T0553"/>
        <s v="T0554"/>
        <s v="T0555"/>
        <s v="T0556"/>
        <m/>
        <s v="A01a" u="1"/>
        <s v="A01b" u="1"/>
        <s v="A01c" u="1"/>
        <s v="A01d" u="1"/>
        <s v="A01e" u="1"/>
        <s v="A01f" u="1"/>
        <s v="A01g" u="1"/>
        <s v="A02a" u="1"/>
        <s v="A02b" u="1"/>
        <s v="A02c" u="1"/>
        <s v="A02d" u="1"/>
        <s v="A02e" u="1"/>
        <s v="A03a" u="1"/>
        <s v="A03b" u="1"/>
        <s v="A03c" u="1"/>
        <s v="A04a" u="1"/>
        <s v="A04b" u="1"/>
        <s v="A04c" u="1"/>
        <s v="A05a" u="1"/>
        <s v="A05b" u="1"/>
        <s v="A06a" u="1"/>
        <s v="A06b" u="1"/>
        <s v="A07a" u="1"/>
        <s v="A07b" u="1"/>
        <s v="B01a" u="1"/>
        <s v="B01b" u="1"/>
        <s v="B02a" u="1"/>
        <s v="B02b" u="1"/>
        <s v="B03a" u="1"/>
        <s v="B03b" u="1"/>
        <s v="B04a" u="1"/>
        <s v="B04b" u="1"/>
        <s v="B04c" u="1"/>
        <s v="B05a" u="1"/>
        <s v="B05b" u="1"/>
        <s v="B06a" u="1"/>
        <s v="B06b" u="1"/>
        <s v="B07a" u="1"/>
        <s v="B07b" u="1"/>
        <s v="B08a" u="1"/>
        <s v="B09a" u="1"/>
        <s v="B09b" u="1"/>
        <s v="B10a" u="1"/>
        <s v="B11a" u="1"/>
        <s v="B12a" u="1"/>
        <s v="B12b" u="1"/>
        <s v="C01a" u="1"/>
        <s v="C01b" u="1"/>
        <s v="C01c" u="1"/>
        <s v="C02a" u="1"/>
        <s v="C02b" u="1"/>
        <s v="C03a" u="1"/>
        <s v="C03b" u="1"/>
        <s v="C04a" u="1"/>
        <s v="C04b" u="1"/>
        <s v="C04c" u="1"/>
        <s v="C05a" u="1"/>
        <s v="C05b" u="1"/>
        <s v="C05c" u="1"/>
        <s v="D01a" u="1"/>
        <s v="D01b" u="1"/>
        <s v="D02a" u="1"/>
        <s v="D02b" u="1"/>
        <s v="D02c" u="1"/>
        <s v="D03a" u="1"/>
        <s v="D03b" u="1"/>
        <s v="D04a" u="1"/>
        <s v="D04b" u="1"/>
        <s v="D04c" u="1"/>
        <s v="D04d" u="1"/>
        <s v="D04e" u="1"/>
        <s v="D04f" u="1"/>
        <s v="D04g" u="1"/>
        <s v="D05a" u="1"/>
        <s v="D05b" u="1"/>
        <s v="D06a" u="1"/>
        <s v="D06b" u="1"/>
        <s v="E01a" u="1"/>
        <s v="E01b" u="1"/>
        <s v="E01c" u="1"/>
        <s v="E01d" u="1"/>
        <s v="E02a" u="1"/>
        <s v="E02b" u="1"/>
        <s v="E02c" u="1"/>
        <s v="E03a" u="1"/>
        <s v="E03b" u="1"/>
        <s v="E04a" u="1"/>
        <s v="E04b" u="1"/>
        <s v="E04c" u="1"/>
        <s v="E05a" u="1"/>
        <s v="E05b" u="1"/>
        <s v="E05c" u="1"/>
        <s v="E06a" u="1"/>
        <s v="E06b" u="1"/>
        <s v="E06c" u="1"/>
        <s v="E07a" u="1"/>
        <s v="E07b" u="1"/>
        <s v="E07c" u="1"/>
        <s v="E08a" u="1"/>
        <s v="E08b" u="1"/>
        <s v="E08c" u="1"/>
        <s v="E09a" u="1"/>
        <s v="E10a" u="1"/>
        <s v="E10b" u="1"/>
        <s v="E11a" u="1"/>
        <s v="E11b" u="1"/>
        <s v="E11c" u="1"/>
        <s v="E12a" u="1"/>
        <s v="E12b" u="1"/>
        <s v="E13a" u="1"/>
        <s v="E14a" u="1"/>
        <s v="E15a" u="1"/>
        <s v="E15b" u="1"/>
        <s v="E16a" u="1"/>
        <s v="E16b" u="1"/>
        <s v="E17a" u="1"/>
        <s v="E17b" u="1"/>
        <s v="E17c" u="1"/>
        <s v="E17d" u="1"/>
        <s v="E17e" u="1"/>
        <s v="E17f" u="1"/>
        <s v="E18a" u="1"/>
        <s v="E18b" u="1"/>
        <s v="E18c" u="1"/>
        <s v="E19a" u="1"/>
        <s v="E19b" u="1"/>
        <s v="E19c" u="1"/>
        <s v="E20a" u="1"/>
        <s v="E21a" u="1"/>
        <s v="E21b" u="1"/>
        <s v="E21c" u="1"/>
        <s v="F01a" u="1"/>
        <s v="F01b" u="1"/>
        <s v="F01c" u="1"/>
        <s v="F01d" u="1"/>
        <s v="F01e" u="1"/>
        <s v="F02a" u="1"/>
        <s v="F02b" u="1"/>
        <s v="F03a" u="1"/>
        <s v="F04a" u="1"/>
        <s v="F05a" u="1"/>
        <s v="F05b" u="1"/>
        <s v="F05c" u="1"/>
        <s v="F05d" u="1"/>
        <s v="F05e" u="1"/>
        <s v="F05f" u="1"/>
        <s v="F06a" u="1"/>
        <s v="F07a" u="1"/>
        <s v="F08a" u="1"/>
        <s v="F09a" u="1"/>
        <s v="F10a" u="1"/>
        <s v="F11a" u="1"/>
        <s v="F12a" u="1"/>
        <s v="F13a" u="1"/>
        <s v="F14a" u="1"/>
        <s v="F15a" u="1"/>
        <s v="F15b" u="1"/>
        <s v="F16a" u="1"/>
        <s v="F17a" u="1"/>
        <s v="F18a" u="1"/>
        <s v="F18b" u="1"/>
        <s v="F19a" u="1"/>
        <s v="F20a" u="1"/>
        <s v="G01a" u="1"/>
        <s v="G01b" u="1"/>
        <s v="G01c" u="1"/>
        <s v="G02a" u="1"/>
        <s v="G02b" u="1"/>
        <s v="G03a" u="1"/>
        <s v="G04a" u="1"/>
        <s v="G04b" u="1"/>
        <s v="G05a" u="1"/>
        <s v="G05b" u="1"/>
        <s v="G06a" u="1"/>
        <s v="G06b" u="1"/>
        <s v="G07a" u="1"/>
        <s v="G07b" u="1"/>
        <s v="G07c" u="1"/>
        <s v="G07d" u="1"/>
        <s v="G08a" u="1"/>
        <s v="G08b" u="1"/>
        <s v="G09a" u="1"/>
        <s v="G09b" u="1"/>
        <s v="G10a" u="1"/>
        <s v="G10b" u="1"/>
        <s v="G10c" u="1"/>
        <s v="G10d" u="1"/>
        <s v="G10e" u="1"/>
        <s v="G10f" u="1"/>
        <s v="G11a" u="1"/>
        <s v="G12a" u="1"/>
        <s v="G13a" u="1"/>
        <s v="G13b" u="1"/>
        <s v="H01a" u="1"/>
        <s v="H01b" u="1"/>
        <s v="H01c" u="1"/>
        <s v="H01d" u="1"/>
        <s v="H01e" u="1"/>
        <s v="H01f" u="1"/>
        <s v="H01g" u="1"/>
        <s v="H01h" u="1"/>
        <s v="H01i" u="1"/>
        <s v="H01j" u="1"/>
        <s v="H01k" u="1"/>
        <s v="H01l" u="1"/>
        <s v="H01m" u="1"/>
        <s v="H02a" u="1"/>
        <s v="H02b" u="1"/>
        <s v="H02c" u="1"/>
        <s v="H02d" u="1"/>
        <s v="H02e" u="1"/>
        <s v="H02f" u="1"/>
        <s v="H02g" u="1"/>
        <s v="H02h" u="1"/>
        <s v="H02i" u="1"/>
        <s v="H02j" u="1"/>
        <s v="H02k" u="1"/>
        <s v="H02l" u="1"/>
        <s v="H02m" u="1"/>
        <s v="H02n" u="1"/>
        <s v="H02o" u="1"/>
        <s v="H02p" u="1"/>
        <s v="H03a" u="1"/>
        <s v="H03b" u="1"/>
        <s v="H03c" u="1"/>
        <s v="H03d" u="1"/>
        <s v="H03e" u="1"/>
        <s v="H03f" u="1"/>
        <s v="H04a" u="1"/>
        <s v="H04b" u="1"/>
        <s v="H04c" u="1"/>
        <s v="H05a" u="1"/>
        <s v="H05b" u="1"/>
        <s v="H05c" u="1"/>
        <s v="H05d" u="1"/>
        <s v="H05e" u="1"/>
        <s v="H05f" u="1"/>
        <s v="H05g" u="1"/>
        <s v="H05h" u="1"/>
        <s v="H05i" u="1"/>
        <s v="H05j" u="1"/>
        <s v="H05k" u="1"/>
        <s v="H06a" u="1"/>
        <s v="H06b" u="1"/>
        <s v="H07c" u="1"/>
        <s v="H07d" u="1"/>
        <s v="H07e" u="1"/>
        <s v="H07f" u="1"/>
        <s v="H07g" u="1"/>
        <s v="H08a" u="1"/>
        <s v="H08b" u="1"/>
        <s v="H08c" u="1"/>
        <s v="H08d" u="1"/>
        <s v="H08e" u="1"/>
        <s v="H08f" u="1"/>
        <s v="H08g" u="1"/>
        <s v="H09a" u="1"/>
        <s v="H09b" u="1"/>
        <s v="H09c" u="1"/>
        <s v="H09d" u="1"/>
        <s v="H09e" u="1"/>
        <s v="H10a" u="1"/>
        <s v="H10b" u="1"/>
        <s v="H10c" u="1"/>
        <s v="H10d" u="1"/>
        <s v="H10e" u="1"/>
        <s v="H11a" u="1"/>
        <s v="H12a" u="1"/>
        <s v="H12b" u="1"/>
        <s v="H12c" u="1"/>
        <s v="H12d" u="1"/>
        <s v="H13a" u="1"/>
        <s v="H13b" u="1"/>
        <s v="H13c" u="1"/>
        <s v="H13d" u="1"/>
        <s v="H13e" u="1"/>
        <s v="H13f" u="1"/>
        <s v="H13g" u="1"/>
        <s v="H14a" u="1"/>
        <s v="H14b" u="1"/>
        <s v="H14c" u="1"/>
        <s v="H14d" u="1"/>
        <s v="H15a" u="1"/>
        <s v="H15b" u="1"/>
        <s v="H15c" u="1"/>
        <s v="H15d" u="1"/>
        <s v="H15e" u="1"/>
        <s v="H16a" u="1"/>
        <s v="H16b" u="1"/>
        <s v="H16c" u="1"/>
        <s v="H16d" u="1"/>
        <s v="H16e" u="1"/>
        <s v="H16f" u="1"/>
        <s v="H16g" u="1"/>
        <s v="H16h" u="1"/>
        <s v="H16i" u="1"/>
        <s v="H16j" u="1"/>
        <s v="H17a" u="1"/>
        <s v="H17b" u="1"/>
        <s v="H18a" u="1"/>
        <s v="H18b" u="1"/>
        <s v="H19a" u="1"/>
        <s v="H19b" u="1"/>
        <s v="H19c" u="1"/>
        <s v="H19d" u="1"/>
        <s v="H19e" u="1"/>
        <s v="H19f" u="1"/>
        <s v="H19g" u="1"/>
        <s v="H19h" u="1"/>
        <s v="H19i" u="1"/>
        <s v="H19j" u="1"/>
        <s v="H19k" u="1"/>
        <s v="H19l" u="1"/>
        <s v="H19m" u="1"/>
        <s v="H19n" u="1"/>
        <s v="H19o" u="1"/>
        <s v="H19p" u="1"/>
        <s v="H19q" u="1"/>
        <s v="H19r" u="1"/>
        <s v="H19s" u="1"/>
        <s v="H19t" u="1"/>
        <s v="H19u" u="1"/>
        <s v="H19v" u="1"/>
        <s v="H19w" u="1"/>
        <s v="H19x" u="1"/>
        <s v="H19y" u="1"/>
        <s v="H19z" u="1"/>
        <s v="H19z1" u="1"/>
        <s v="I01a" u="1"/>
        <s v="I01b" u="1"/>
        <s v="I01c" u="1"/>
        <s v="I02a" u="1"/>
        <s v="I02b" u="1"/>
        <s v="I02c" u="1"/>
        <s v="I02d" u="1"/>
        <s v="I03e" u="1"/>
        <s v="I03f" u="1"/>
        <s v="I03g" u="1"/>
        <s v="I04a" u="1"/>
        <s v="I04b" u="1"/>
        <s v="I04c" u="1"/>
        <s v="I04d" u="1"/>
        <s v="I04e" u="1"/>
        <s v="I04f" u="1"/>
        <s v="I04g" u="1"/>
        <s v="I05a" u="1"/>
        <s v="I05b" u="1"/>
        <s v="I05c" u="1"/>
        <s v="I05d" u="1"/>
        <s v="I06e" u="1"/>
        <s v="I06f" u="1"/>
        <s v="I06g" u="1"/>
        <s v="I06h" u="1"/>
        <s v="I06i" u="1"/>
        <s v="I06j" u="1"/>
        <s v="I07a" u="1"/>
        <s v="I07b" u="1"/>
        <s v="I08c" u="1"/>
        <s v="I08d" u="1"/>
        <s v="I08e" u="1"/>
        <s v="I08f" u="1"/>
        <s v="I08g" u="1"/>
        <s v="I08h" u="1"/>
        <s v="I09a" u="1"/>
        <s v="I09b" u="1"/>
        <s v="I09c" u="1"/>
        <s v="I09d" u="1"/>
        <s v="I09e" u="1"/>
        <s v="I09f" u="1"/>
        <s v="I10a" u="1"/>
        <s v="I10b" u="1"/>
        <s v="I10c" u="1"/>
        <s v="I10d" u="1"/>
        <s v="I10e" u="1"/>
        <s v="I10f" u="1"/>
        <s v="I11a" u="1"/>
        <s v="I11b" u="1"/>
        <s v="I11c" u="1"/>
        <s v="I11d" u="1"/>
        <s v="I11e" u="1"/>
        <s v="I11f" u="1"/>
        <s v="I12a" u="1"/>
        <s v="I12b" u="1"/>
        <s v="I12c" u="1"/>
        <s v="I12d" u="1"/>
        <s v="I12e" u="1"/>
        <s v="I12f" u="1"/>
        <s v="I12g" u="1"/>
        <s v="I13h" u="1"/>
        <s v="I13i" u="1"/>
        <s v="I13j" u="1"/>
        <s v="I13k" u="1"/>
        <s v="I13l" u="1"/>
        <s v="I13m" u="1"/>
        <s v="I13n" u="1"/>
        <s v="I13o" u="1"/>
        <s v="I13p" u="1"/>
        <s v="I13q" u="1"/>
        <s v="I13r" u="1"/>
        <s v="I13s" u="1"/>
        <s v="I14a" u="1"/>
        <s v="I14b" u="1"/>
        <s v="I14c" u="1"/>
        <s v="I14d" u="1"/>
        <s v="I14e" u="1"/>
        <s v="I14f" u="1"/>
        <s v="I14g" u="1"/>
        <s v="I14h" u="1"/>
        <s v="I14i" u="1"/>
        <s v="I15a" u="1"/>
        <s v="I15b" u="1"/>
        <s v="I15c" u="1"/>
        <s v="I15d" u="1"/>
        <s v="I15e" u="1"/>
        <s v="I15f" u="1"/>
        <s v="I15g" u="1"/>
        <s v="I15h" u="1"/>
        <s v="I15i" u="1"/>
        <s v="I15j" u="1"/>
        <s v="I16a" u="1"/>
        <s v="I16b" u="1"/>
        <s v="I16c" u="1"/>
        <s v="I17a" u="1"/>
        <s v="I17b" u="1"/>
        <s v="I18a" u="1"/>
        <s v="I19a" u="1"/>
        <s v="I19b" u="1"/>
        <s v="I19c" u="1"/>
        <s v="I19d" u="1"/>
        <s v="I20e" u="1"/>
        <s v="I20f" u="1"/>
        <s v="I20g" u="1"/>
        <s v="I20h" u="1"/>
        <s v="I20i" u="1"/>
        <s v="I20j" u="1"/>
        <s v="I20k" u="1"/>
        <s v="I20l" u="1"/>
        <s v="I20m" u="1"/>
        <s v="I20n" u="1"/>
        <s v="I20o" u="1"/>
        <s v="I20p" u="1"/>
        <s v="I20q" u="1"/>
        <s v="J01a" u="1"/>
        <s v="J01b" u="1"/>
        <s v="J02a" u="1"/>
        <s v="J02b" u="1"/>
        <s v="J03c" u="1"/>
        <s v="J03d" u="1"/>
        <s v="J04a" u="1"/>
        <s v="J04b" u="1"/>
        <s v="J04c" u="1"/>
        <s v="J04d" u="1"/>
        <s v="J04e" u="1"/>
        <s v="J05a" u="1"/>
        <s v="J05b" u="1"/>
        <s v="J06b" u="1"/>
        <s v="K01a" u="1"/>
        <s v="K02b" u="1"/>
        <s v="K03c" u="1"/>
        <s v="K04a" u="1"/>
        <s v="K04b" u="1"/>
        <s v="K05a" u="1"/>
        <s v="K05b" u="1"/>
        <s v="K05c" u="1"/>
        <s v="K05d" u="1"/>
        <s v="K05e" u="1"/>
        <s v="K05f" u="1"/>
        <s v="K06a" u="1"/>
        <s v="K07b" u="1"/>
        <s v="K07c" u="1"/>
        <s v="K07d" u="1"/>
        <s v="K07e" u="1"/>
        <s v="K07f" u="1"/>
        <s v="K07g" u="1"/>
        <s v="K07h" u="1"/>
        <s v="K07i" u="1"/>
        <s v="K07j" u="1"/>
        <s v="K08a" u="1"/>
        <s v="K09a" u="1"/>
        <s v="K09b" u="1"/>
        <s v="K10a" u="1"/>
        <s v="K11a" u="1"/>
        <s v="K12a" u="1"/>
        <s v="K13a" u="1"/>
        <s v="K13b" u="1"/>
        <s v="K13c" u="1"/>
        <s v="K13d" u="1"/>
        <s v="K13e" u="1"/>
        <s v="K13f" u="1"/>
        <s v="K13g" u="1"/>
        <s v="K13h" u="1"/>
        <s v="K13i" u="1"/>
        <s v="K13j" u="1"/>
        <s v="K14a" u="1"/>
        <s v="K14b" u="1"/>
        <s v="K15a" u="1"/>
        <s v="K16a" u="1"/>
        <s v="K16b" u="1"/>
        <s v="K16c" u="1"/>
        <s v="K17a" u="1"/>
        <s v="K18a" u="1"/>
        <s v="K19a" u="1"/>
        <s v="K19b" u="1"/>
        <s v="L01a" u="1"/>
        <s v="L01b" u="1"/>
        <s v="L02a" u="1"/>
        <s v="L02b" u="1"/>
        <s v="L02c" u="1"/>
        <s v="L02d" u="1"/>
        <s v="L02e" u="1"/>
        <s v="L03a" u="1"/>
        <s v="L04a" u="1"/>
        <s v="L04b" u="1"/>
        <s v="M01a" u="1"/>
        <s v="M02a" u="1"/>
        <s v="M03a" u="1"/>
        <s v="M04a" u="1"/>
        <s v="M05a" u="1"/>
        <s v="M06a" u="1"/>
        <s v="M07a" u="1"/>
        <s v="M07b" u="1"/>
        <s v="M07c" u="1"/>
        <s v="M08a" u="1"/>
        <s v="M08b" u="1"/>
        <s v="M08c" u="1"/>
        <s v="M09a" u="1"/>
        <s v="M10a" u="1"/>
        <s v="M11a" u="1"/>
        <s v="N01a" u="1"/>
        <s v="N01b" u="1"/>
        <s v="N02a" u="1"/>
        <s v="N02b" u="1"/>
        <s v="N02c" u="1"/>
        <s v="N02d" u="1"/>
        <s v="N02e" u="1"/>
        <s v="N02f" u="1"/>
        <s v="N02g" u="1"/>
        <s v="N02h" u="1"/>
        <s v="N03a" u="1"/>
        <s v="N03b" u="1"/>
        <s v="N03c" u="1"/>
        <s v="N03d" u="1"/>
        <s v="N03e" u="1"/>
        <s v="N03f" u="1"/>
        <s v="N04a" u="1"/>
        <s v="N04b" u="1"/>
        <s v="N04c" u="1"/>
        <s v="N04d" u="1"/>
        <s v="N04e" u="1"/>
        <s v="N04f" u="1"/>
        <s v="N04g" u="1"/>
        <s v="O01a" u="1"/>
        <s v="O02b" u="1"/>
        <s v="O03c" u="1"/>
        <s v="O04e" u="1"/>
      </sharedItems>
    </cacheField>
    <cacheField name="3级名称" numFmtId="0">
      <sharedItems containsBlank="1" count="563">
        <s v="方案摘要撰写"/>
        <s v="方案摘要审核"/>
        <s v="方案全文撰写"/>
        <s v="方案全文格式拼写等质量QC"/>
        <s v="方案全文审核"/>
        <s v="方案讨论后方案修订"/>
        <s v="方案讨论后方案审阅"/>
        <s v="熟悉项目资料"/>
        <s v="起草CRF唯一页页面"/>
        <s v="起草CRF Matrix"/>
        <s v="CRF审阅"/>
        <s v="CRF审核会议召开"/>
        <s v="执行期方案修订撰写"/>
        <s v="执行期方案修订QC"/>
        <s v="执行期方案修订审阅"/>
        <s v="主知情同意书初稿撰写"/>
        <s v="主知情同意书修改"/>
        <s v="主知情同意书审阅"/>
        <s v="主知情同意书修订撰写"/>
        <s v="主知情同意书修订审阅"/>
        <s v="受试者日记卡撰写"/>
        <s v="受试者日记卡医学审阅"/>
        <s v="受试者招募广告撰写"/>
        <s v="受试者招募广告医学审阅"/>
        <s v="准备客户启动会"/>
        <s v="参加客户启动会"/>
        <s v="准备方案培训"/>
        <s v="参加方案培训"/>
        <s v="设计中心可行性调研问卷"/>
        <s v="电话调研中心可行性"/>
        <s v="审核结果并生成筛选中心名单"/>
        <s v="准备筛选访视"/>
        <s v="筛选访视及撰写报告"/>
        <s v="审核筛选访视报告"/>
        <s v="立项资料准备和递交"/>
        <s v="立项资料审核"/>
        <s v="首次伦理资料准备和递交(含首次复审)"/>
        <s v="首次伦理资料审核(含首次复审)"/>
        <s v="中心知情同意书撰写"/>
        <s v="中心知情同意书审核"/>
        <s v="EDC上线前测试"/>
        <s v="研究中心启动文件准备"/>
        <s v="研究中心启动文件整理和运送"/>
        <s v="临床试验国家局备案"/>
        <s v="临床试验省局备案"/>
        <s v="ClinicalTrials翻译"/>
        <s v="ClinicalTrials翻译审核"/>
        <s v="首次申报系统填报和跟踪"/>
        <s v="首次申报跟进研究中心合作单位签章/承诺书"/>
        <s v="首次申报国际合作纸质文件准备"/>
        <s v="合作备案系统填报和跟踪"/>
        <s v="合作备案跟进研究中心合作单位签章/承诺书"/>
        <s v="备份备案申报系统填报和跟踪"/>
        <s v="备份备案申报跟进研究中心合作单位签章/承诺书"/>
        <s v="变更申报系统填报和跟踪"/>
        <s v="变更申报跟进研究中心合作单位签章/承诺书"/>
        <s v="变更(审批)纸质文件准备"/>
        <s v="总结报告系统填报和跟踪"/>
        <s v="总结报告跟进研究中心合作单位签章/承诺书"/>
        <s v="总结报告纸质文件准备"/>
        <s v="准备方案讨论会"/>
        <s v="参加方案讨论会"/>
        <s v="准备首次研究者会"/>
        <s v="参加首次研究者会"/>
        <s v="参加监查员培训"/>
        <s v="SRC/SMC章程撰写"/>
        <s v="SRC/SMC章程审阅"/>
        <s v="准备SRC/SMC会"/>
        <s v="SRC/SMC数据清理和导出"/>
        <s v="产生SRC/SMC统计TLFs"/>
        <s v="验证SRC/SMC统计TLFs"/>
        <s v="运行SRC/SMC统计TLFs"/>
        <s v="审核SRC/SMC统计TLFs"/>
        <s v="参加SRC/SMC会"/>
        <s v="准备中期研究者会"/>
        <s v="参加中期研究者会"/>
        <s v="准备研究总结会"/>
        <s v="参加研究总结会"/>
        <s v="合同模板和预算"/>
        <s v="协商研究中心合同"/>
        <s v="PM协助及审核研究中心合同"/>
        <s v="协助研究中心合同审核、签署相关流程"/>
        <s v="准备启动访视"/>
        <s v="启动访视及撰写报告"/>
        <s v="审核启动访视报告"/>
        <s v="准备中心启动会"/>
        <s v="参加中心启动会"/>
        <s v="准备常规监查访视"/>
        <s v="常规监查访视和撰写报告"/>
        <s v="审核常规监查访视报告"/>
        <s v="准备计划外访视"/>
        <s v="计划外访视及撰写报告"/>
        <s v="审核计划外访视报告"/>
        <s v="准备协同访视"/>
        <s v="协同访视及撰写报告"/>
        <s v="协同访视报告审核"/>
        <s v="准备远程电话访视"/>
        <s v="远程/电话访视及撰写报告"/>
        <s v="远程电话访视报告审核"/>
        <s v="准备质控访视"/>
        <s v="质控访视及撰写报告"/>
        <s v="质控访视报告审核"/>
        <s v="稽查陪同"/>
        <s v="跟进研究中心SAE记录和报告"/>
        <s v="特别关注事件AESI记录和报告"/>
        <s v="中心费用支付发起及管理"/>
        <s v="中心费用审核"/>
        <s v="中心费用支付财务流程"/>
        <s v="研究简报信息支持"/>
        <s v="撰写研究简报"/>
        <s v="研究药品申请管理"/>
        <s v="研究物资申请和采购管理"/>
        <s v="后续伦理文件准备和递交"/>
        <s v="后续伦理文件审核"/>
        <s v="伦理年度报告准备和递交"/>
        <s v="伦理年度资料审核"/>
        <s v="日常支持和管理/筛选期+入组期"/>
        <s v="日常支持和管理/治疗期"/>
        <s v="日常支持和管理/随访期"/>
        <s v="日常支持和管理/长随访期"/>
        <s v="日常支持和管理/锁库期"/>
        <s v="日常支持和管理"/>
        <s v="准备机构自查访视"/>
        <s v="机构自查访视和撰写报告"/>
        <s v="机构自查访视报告审核"/>
        <s v="准备数据清理访视"/>
        <s v="数据清理访视及撰写报告"/>
        <s v="数据清理访视报告审核"/>
        <s v="总结报告CSR研究中心签字和盖章"/>
        <s v="准备关闭访视"/>
        <s v="关闭访视及撰写报告"/>
        <s v="关闭访视报告审核"/>
        <s v="服务范围和时间计划撰写和审核"/>
        <s v="质量管理计划撰写和审核"/>
        <s v="沟通管理计划撰写和审核"/>
        <s v="风险管理计划撰写和审核"/>
        <s v="文件管理计划撰写和审核"/>
        <s v="CMP的撰写"/>
        <s v="CMP的审核"/>
        <s v="中心实验室操作手册审核"/>
        <s v="药物管理手册IPMP审核"/>
        <s v="文件夹创建(CTMS,TMF,表格等)/启动期"/>
        <s v="文件夹维护(CTMS,TMF,表格等)/筛选期+入组期"/>
        <s v="文件夹维护(CTMS,TMF,表格等)/治疗随访期"/>
        <s v="文件夹维护(CTMS,TMF,表格等)/长随访期"/>
        <s v="文件夹维护(CTMS,TMF,表格等)/锁库期"/>
        <s v="TMF质控/服务期"/>
        <s v="供应商筛选和合同建立"/>
        <s v="SMO日常沟通"/>
        <s v="招募日常沟通"/>
        <s v="生物分析实验室日常沟通"/>
        <s v="物流日常沟通"/>
        <s v="IRC日常沟通"/>
        <s v="保险日常沟通"/>
        <s v="中心实验室日常沟通"/>
        <s v="其他供应商日常沟通"/>
        <s v="准备客户电话会"/>
        <s v="参加客户电话会"/>
        <s v="致客户项目进展报告撰写"/>
        <s v="参加客户现场沟通会议"/>
        <s v="准备项目电话会"/>
        <s v="参加项目电话会"/>
        <s v="参加监查员会议"/>
        <s v="文件移交至客户"/>
        <s v="MMP撰写"/>
        <s v="MMP附录方案偏离定义列表"/>
        <s v="MMP审阅"/>
        <s v="医学监查培训准备"/>
        <s v="医学监查培训参会"/>
        <s v="CRA和中心的医学支持"/>
        <s v="入组失败受试者的招募评估"/>
        <s v="入组失败受试者的招募复核"/>
        <s v="受试者合格性审核"/>
        <s v="受试者合格性复核"/>
        <s v="方案偏离的审核"/>
        <s v="方案偏离的复核"/>
        <s v="实验室检查、合并用药、AE、有效性数据、用药情况等一级审核"/>
        <s v="实验室检查、合并用药、AE、有效性数据、用药情况等二级审核"/>
        <s v="EDC定期数据清理并发送回复query"/>
        <s v="EDC疑难问题答疑"/>
        <s v="医学编码审核"/>
        <s v="医学编码复核"/>
        <s v="药物或疾病编码审核"/>
        <s v="药物或疾病编码复核"/>
        <s v="产生MMR统计TLFs"/>
        <s v="验证MMR统计TLFs"/>
        <s v="运行MMR统计TLFs"/>
        <s v="审核MMR统计TLFs"/>
        <s v="MMR撰写和修订"/>
        <s v="MMR审阅"/>
        <s v="SAE报告医学审核"/>
        <s v="DSUR医学审核"/>
        <s v="医学监查日常沟通和文件管理"/>
        <s v="医学监查日常沟通和文件管理-长随访期"/>
        <s v="DMP起草与定稿"/>
        <s v="DMP审核"/>
        <s v="CCG起草和定稿"/>
        <s v="CCG审核"/>
        <s v="DVP起草和定稿"/>
        <s v="DVP审核"/>
        <s v="召开DVP审核会议"/>
        <s v="SAE一致性核查计划起草和定稿"/>
        <s v="SAE一致性核查计划审核"/>
        <s v="医学编码计划起草和定稿"/>
        <s v="医学编码计划审核"/>
        <s v="医学编码规范起草和定稿"/>
        <s v="医学编码规范审核"/>
        <s v="URL网址层级架构搭建"/>
        <s v="URL项目层级架构搭建"/>
        <s v="衍生变量与动态设置"/>
        <s v="创建唯一页页面"/>
        <s v="创建重复页页面"/>
        <s v="eCRF唯一页页面验证"/>
        <s v="eCRF重复页页面验证"/>
        <s v="eCRF唯一页页面测试"/>
        <s v="eCRF重复页页面测试"/>
        <s v="EDC功能模块搭建(编码、实验室等)"/>
        <s v="EDC功能模块测试(编码、实验室等)"/>
        <s v="EDC与其他系统对接搭建"/>
        <s v="EDC与其他系统对接测试"/>
        <s v="数据库上线前检查"/>
        <s v="数据库上线操作"/>
        <s v="EDC培训(含随机发药系统,如适用)"/>
        <s v="逻辑核查系统程序编程"/>
        <s v="逻辑核查系统程序验证"/>
        <s v="逻辑核查系统程序测试"/>
        <s v="逻辑核查程序测试后的调整"/>
        <s v="人工审核线下列表编程(SAS)"/>
        <s v="人工审核线下列表测试(SAS)"/>
        <s v="面向项目组的UAT培训(UAT会议)"/>
        <s v="项目组UAT测试后的EDC调整"/>
        <s v="UAT测试计划/报告"/>
        <s v="随机系统数据库搭建"/>
        <s v="随机系统内部测试"/>
        <s v="随机系统项目组测试前培训"/>
        <s v="随机系统项目组测试后的系统调整"/>
        <s v="随机系统数据库内部测试"/>
        <s v="随机系统数据库项目组成员测试"/>
        <s v="发药系统设置"/>
        <s v="发药系统设置质控"/>
        <s v="发药系统内部测试"/>
        <s v="发药系统项目组测试前培训"/>
        <s v="发药系统项目组测试后的系统调整"/>
        <s v="EDC内触发的自动质疑管理"/>
        <s v="批量数据定期清理"/>
        <s v="召开期中数据清理会议"/>
        <s v="人工数据线下列表运行(SAS)"/>
        <s v="人工数据线下列表抽取(非SAS)"/>
        <s v="人工数据列表审核"/>
        <s v="人工审核的手动质疑管理"/>
        <s v="DTA起草和定稿"/>
        <s v="DTA审核"/>
        <s v="传输测试"/>
        <s v="外部数据一致性核查报表编程(SAS)"/>
        <s v="外部数据一致性核查报表测试(SAS)"/>
        <s v="外部数据一致性核查报表运行(SAS)"/>
        <s v="外部数据一致性审核"/>
        <s v="医学编码MedDRA"/>
        <s v="医学编码WHODrug"/>
        <s v="医学编码质控"/>
        <s v="医学编码词典版本更新"/>
        <s v="医学编码报告制作和提交"/>
        <s v="安全性数据库数据传输/按项目计"/>
        <s v="SAE一致性核查报表编程(SAS)"/>
        <s v="SAE一致性核查报表测试(SAS)"/>
        <s v="SAE一致性核查报表运行(SAS)"/>
        <s v="SAE一致性审核"/>
        <s v="递交常规进度报告"/>
        <s v="其他项目要求报告编程"/>
        <s v="其他项目要求报告测试"/>
        <s v="其他项目要求报告说明"/>
        <s v="其他项目要求报告抽取和提交"/>
        <s v="方案偏离列表编程说明"/>
        <s v="方案偏离列表编程(SAS)"/>
        <s v="方案偏离列表测试(SAS)"/>
        <s v="方案偏离列表运行(SAS)"/>
        <s v="方案偏离列表核查"/>
        <s v="方案偏离最终合并表"/>
        <s v="方案偏离最终合并表核查"/>
        <s v="EDC实验室范围值录入和管理"/>
        <s v="EDC运维和账号管理"/>
        <s v="EDC模块运维和账号管理"/>
        <s v="随机发药系统运维和账号管理"/>
        <s v="准备数据审核会"/>
        <s v="产生统计TLFs"/>
        <s v="验证统计TLFs"/>
        <s v="参加数据审核会"/>
        <s v="数据审核会后跟进"/>
        <s v="质控数据抽取"/>
        <s v="数据质控核查"/>
        <s v="数据质控报告起草和定稿"/>
        <s v="数据质控报告审核"/>
        <s v="数据库导出、传输与刻盘"/>
        <s v="数据库锁库前检查"/>
        <s v="数据库锁定/重新锁定"/>
        <s v="数据库解锁申请"/>
        <s v="数据库账号移除"/>
        <s v="数据锁库签批"/>
        <s v="DMR起草和定稿"/>
        <s v="DMR审核"/>
        <s v="项目组日常沟通和文件管理/建库期+锁库期"/>
        <s v="项目组日常沟通和文件管理/FPI-LPO清理期间"/>
        <s v="熟悉项目变更资料"/>
        <s v="变更CRF唯一页页面"/>
        <s v="变更CRF Matrix"/>
        <s v="CRF变更审核"/>
        <s v="CCG变更和定稿"/>
        <s v="CCG变更审核"/>
        <s v="DVP变更和定稿"/>
        <s v="DVP变更审核"/>
        <s v="数据库唯一页面变更"/>
        <s v="数据库重复页面变更"/>
        <s v="eCRF唯一页页面变更验证"/>
        <s v="eCRF重复页页面变更验证"/>
        <s v="eCRF唯一页页面变更测试"/>
        <s v="eCRF重复页页面变更测试"/>
        <s v="数据迁移计划"/>
        <s v="预迁移(数据及报告比对程序编程及运行)"/>
        <s v="预迁移测试(比对数据/报告的核查)"/>
        <s v="正式迁移"/>
        <s v="数据库变更的上线前检查"/>
        <s v="数据库变更的上线操作"/>
        <s v="数据库变更的逻辑核查系统程序编程"/>
        <s v="数据库变更的逻辑核查系统程序验证"/>
        <s v="数据库变更的逻辑核查系统程序测试"/>
        <s v="数据库变更的逻辑核查程序测试后的调整"/>
        <s v="变更后面向项目组的UAT培训(UAT会议)"/>
        <s v="变更后项目组UAT测试后的EDC调整"/>
        <s v="变更后UAT测试计划/报告"/>
        <s v="统计分析计划起草"/>
        <s v="统计分析计划审核"/>
        <s v="统计分析计划的修订"/>
        <s v="随机化方案起草和修订"/>
        <s v="随机化方案审核"/>
        <s v="随机化程序和列表审核"/>
        <s v="非盲随机化方案执行/线上"/>
        <s v="编盲资料的起草和修订"/>
        <s v="编盲资料的审核"/>
        <s v="现场编盲指导和资料归档"/>
        <s v="TLFs模板起草- Unique"/>
        <s v="TLFs模板起草- Repeat"/>
        <s v="TLFs模板审核- Unique"/>
        <s v="TLFs模板审核- Repeat"/>
        <s v="TLFs模板的修改和定稿- Unique"/>
        <s v="TLFs模板的修改和定稿- Repeat"/>
        <s v="TLFs审核"/>
        <s v="制作SDTM aCRF"/>
        <s v="审核SDTM aCRF"/>
        <s v="编写SDTM数据集映射规范"/>
        <s v="审核SDTM数据集映射规范"/>
        <s v="产生SDTM数据集"/>
        <s v="验证SDTM数据集"/>
        <s v="审核SDTM数据集"/>
        <s v="转换SDTM数据集 - XPT格式"/>
        <s v="审核SDTM数据集 - XPT格式"/>
        <s v="检查SDTM数据集合规"/>
        <s v="编写分析数据集衍生规范"/>
        <s v="审核分析数据集衍生规范"/>
        <s v="产生分析数据集"/>
        <s v="验证分析数据集"/>
        <s v="审核分析数据集"/>
        <s v="转换分析数据集 - XPT格式"/>
        <s v="审核分析数据集 - XPT格式"/>
        <s v="检查ADaM数据集合规"/>
        <s v="产生统计TLFs - Unique"/>
        <s v="验证统计TLFs - Unique"/>
        <s v="审核统计TLFs - Unique"/>
        <s v="产生统计TLFs - Repeated"/>
        <s v="验证统计TLFs - Repeated"/>
        <s v="审核统计TLFs - Repeated"/>
        <s v="产生PK/PD统计TLFs - Unique"/>
        <s v="验证PK/PD统计TLFs - Unique"/>
        <s v="审核PK/PD统计TLFs - Unique"/>
        <s v="产生PK/PD统计TLFs - Repeated"/>
        <s v="验证PK/PD统计TLFs - Repeated"/>
        <s v="审核PK/PD统计TLFs - Repeated"/>
        <s v="产生BE/BA/FE/DDI统计TLFs - Unique"/>
        <s v="验证BE/BA/FE/DDI统计TLFs - Unique"/>
        <s v="审核BE/BA/FE/DDI统计TLFs - Unique"/>
        <s v="产生BE/BA/FE/DDI统计TLFs - Repeated"/>
        <s v="验证BE/BA/FE/DDI统计TLFs - Repeated"/>
        <s v="审核BE/BA/FE/DDI统计TLFs - Repeated"/>
        <s v="Dry Run的数据准备"/>
        <s v="Dry Run的程序运行"/>
        <s v="Dry Run程序的验证和修订"/>
        <s v="Dry Run的数据集合规性检查"/>
        <s v="Dry Run的TLFs合并"/>
        <s v="Dry Run的结果审核"/>
        <s v="Dry Run的TLFs交付"/>
        <s v="期中分析的集中质疑清理"/>
        <s v="人工数据审核"/>
        <s v="数据质控"/>
        <s v="数据集抽提与传输"/>
        <s v="SAP/TLF Shells, 如适用"/>
        <s v="期中分析的数据准备"/>
        <s v="期中分析的程序运行"/>
        <s v="期中分析程序的验证和修订"/>
        <s v="期中分析的数据集合规性检查"/>
        <s v="期中分析的TLFs合并"/>
        <s v="期中分析的结果审核"/>
        <s v="期中分析的TLFs交付"/>
        <s v="最终分析的数据准备"/>
        <s v="最终分析的程序运行"/>
        <s v="最终分析程序的验证和修订"/>
        <s v="最终分析的数据集合规性检查"/>
        <s v="最终分析的Topline Results合并"/>
        <s v="最终分析的所有TLFs合并"/>
        <s v="最终分析的结果审核"/>
        <s v="Topline Results交付(20 TLFs以内)"/>
        <s v="所有TLFs交付"/>
        <s v="生成Define-XML/SDTM"/>
        <s v="审阅Define-XML/SDTM"/>
        <s v="生成Define-XML/ADaM"/>
        <s v="审阅Define-XML/ADaM"/>
        <s v="制定SDTM审阅指南"/>
        <s v="审核SDTM审阅指南"/>
        <s v="制定ADaM审阅指南"/>
        <s v="审核ADaM审阅指南"/>
        <s v="刻盘电子数据递交资料"/>
        <s v="审核电子数据递交资料"/>
        <s v="统计分析报告SAR的起草"/>
        <s v="统计分析报告SAR的审核"/>
        <s v="统计分析报告SAR的修订"/>
        <s v="生物统计的项目管理"/>
        <s v="统计分析的项目管理"/>
        <s v="撰写DSMB/DMC/IDMC章程"/>
        <s v="产生DSMB/DMC/IDMC报告TFLs"/>
        <s v="验证DSMB/DMC/IDMC报告TFLs"/>
        <s v="运行DSMB/DMC/IDMC报告TFLs"/>
        <s v="审核DSMB/DMC/IDMC报告TFLs"/>
        <s v="准备DSMB/DMC/IDMC会议材料"/>
        <s v="参加和协助DSMB/DMC/IDMC会议"/>
        <s v="完成DSMB/DMC/IDMC会议纪要"/>
        <s v="沟通和管理DSMB/DMC/IDMC"/>
        <s v="DSMB/DMC/IDMC统计分析计划起草"/>
        <s v="DSMB/DMC/IDMC统计分析计划审核"/>
        <s v="DSMB/DMC/IDMC统计分析计划的修改和定稿"/>
        <s v="DSMB/DMC/IDMC会议的TLFs模板起草- Unique"/>
        <s v="DSMB/DMC/IDMC会议的TLFs模板起草- Repeat"/>
        <s v="DSMB/DMC/IDMC会议的TLFs模板审核- Unique"/>
        <s v="DSMB/DMC/IDMC会议的TLFs模板审核- Repeat"/>
        <s v="DSMB/DMC/IDMC会议的TLFs模板的修改和定稿- Unique"/>
        <s v="DSMB/DMC/IDMC会议的TLFs模板的修改和定稿- Repeat"/>
        <s v="PK/PD参数计算及图表绘制"/>
        <s v="PK/PD结果汇总及解读(PPT)"/>
        <s v="PopPK/PD(E-R)分析计划起草和修订"/>
        <s v="PopPK/PD(E-R)分析计划审核和定稿"/>
        <s v="Pop PK/PD(E-R)分析数据清洗和整理"/>
        <s v="Pop PK/PD(E-R)分析数据集复核"/>
        <s v="PopPK/PD模型建立"/>
        <s v="PopPK/PD模型验证"/>
        <s v="PopPK/PD模型模拟"/>
        <s v="暴露-效应(E-R)分析"/>
        <s v="PopPK/PD(E-R)分析结果PPT制作及汇报"/>
        <s v="Pop PK/PD(E-R)分析报告起草和修订"/>
        <s v="Pop PK/PD(E-R)分析报告审核和定稿"/>
        <s v="临床药理项目管理"/>
        <s v="安全管理计划(SMP)撰写"/>
        <s v="药物警戒协议撰写"/>
        <s v="药物警戒委托协议撰写"/>
        <s v="启动前文档准备"/>
        <s v="非盲安全性数据集建立及文档访问权限设置"/>
        <s v=" 安全性数据库配置"/>
        <s v="Gateway测试服务"/>
        <s v="XML递交测试服务"/>
        <s v="XML导入及导出测试服务"/>
        <s v="安全性数据库用户体验测试"/>
        <s v="安全性数据库使用操作培训"/>
        <s v="ICSR报告流程培训"/>
        <s v="ICSR安全性信息的接收、病例描述撰写、录入和MedDRA编码"/>
        <s v="ICSR质量控制"/>
        <s v="ICSR安全性信息医学审核及质疑的总结"/>
        <s v="ICSR安全性信息的发出质疑和随访追踪"/>
        <s v="ICSR报告定稿，锁定，归档"/>
        <s v="潜在SUSAR的破盲处理"/>
        <s v="境内SUSAR报告汉译英翻译，并导出XML/CIOMS英文报告"/>
        <s v="ICSR药物信息的WHO Drug编码"/>
        <s v="境外报告的接收和处理"/>
        <s v="SAE交叉报告一致性比对"/>
        <s v="本研究SUSAR报告的境内递交"/>
        <s v="本研究的SUSAR报告的境外递交"/>
        <s v="SUSAR交叉报告"/>
        <s v="定期汇总安全性报告"/>
        <s v="安全性数据库维护"/>
        <s v="DSUR撰写计划制定"/>
        <s v="DSUR会议等形式的沟通"/>
        <s v="DSUR数据清理和导出提供"/>
        <s v="DSUR撰写资料收集、整理、汇总"/>
        <s v="DSUR文献检索"/>
        <s v="产生DSUR统计TLFs"/>
        <s v="验证DSUR统计TLFs"/>
        <s v="运行DSUR统计TLFs"/>
        <s v="DSUR撰写"/>
        <s v="DSUR质量控制和审核"/>
        <s v="DSUR英译汉翻译"/>
        <s v="DSUR汉译英翻译"/>
        <s v="DSUR监管部门递交"/>
        <s v="数据库变更XML导入及导出测试服务"/>
        <s v="安全性数据库数据转移(转入)"/>
        <s v="安全性数据库数据转移(转出)"/>
        <s v="特殊事件的处理"/>
        <s v="安全信号检测"/>
        <s v="日常沟通和管理"/>
        <s v="日常沟通和管理(长随访期)"/>
        <s v="研究者手册更新撰写"/>
        <s v="研究者手册更新审阅"/>
        <s v="研究总结报告框架搭建"/>
        <s v="研究总结报告TFL审核"/>
        <s v="研究总结报告撰写"/>
        <s v="研究总结报告审阅"/>
        <s v="CSR附件和参考文献整理"/>
        <s v="SAE个案描述"/>
        <s v="其他报告草拟和修订"/>
        <s v="其他报告审阅"/>
        <s v="召开非盲客户启动会"/>
        <s v="撰写非盲监查计划"/>
        <s v="撰写非盲药物管理计划"/>
        <s v="非盲团队培训"/>
        <s v="召开非盲监查员会"/>
        <s v="召开非盲客户电话会"/>
        <s v="准备非盲启动访视"/>
        <s v="非盲启动访视及撰写报告"/>
        <s v="非盲启动访视报告审核"/>
        <s v="准备非盲常规监查访视"/>
        <s v="非盲常规监查访视及撰写报告"/>
        <s v="非盲常规监查报告审核"/>
        <s v="非盲中心日常支持和管理"/>
        <s v="非盲文件管理"/>
        <s v="非盲项目管理"/>
        <s v="稽查计划制定"/>
        <s v="稽查计划审核"/>
        <s v="研究中心稽查准备"/>
        <s v="研究中心稽查前TMF审阅"/>
        <s v="研究中心稽查差旅"/>
        <s v="研究中心现场稽查"/>
        <s v="研究中心稽查报告撰写"/>
        <s v="研究中心稽查报告审核"/>
        <s v="研究中心跟进稽查发现"/>
        <s v="研究中心发送稽查证明"/>
        <s v="TMF稽查准备"/>
        <s v="TMF稽查执行"/>
        <s v="TMF稽查报告撰写"/>
        <s v="TMF稽查报告审核"/>
        <s v="跟进TMF稽查发现"/>
        <s v="发送TMF稽查证明"/>
        <s v="IRC稽查准备"/>
        <s v="IRC稽查差旅"/>
        <s v="IRC现场稽查"/>
        <s v="IRC稽查报告撰写"/>
        <s v="IRC稽查报告审核"/>
        <s v="跟进IRC稽查发现"/>
        <s v="发送IRC稽查证明"/>
        <s v="核查前现场准备"/>
        <s v="核查前准备-系统填报"/>
        <s v="核查现场支持"/>
        <s v="核查后支持报告回复"/>
        <m/>
        <s v="Dry Run的程序验证" u="1"/>
        <s v="期中分析的程序验证" u="1"/>
        <s v="最终分析的程序验证" u="1"/>
        <s v="PK/PD结果汇总及解读(PTT)" u="1"/>
        <s v="方案摘要审阅" u="1"/>
        <s v="方案全文审阅" u="1"/>
      </sharedItems>
    </cacheField>
    <cacheField name="备注" numFmtId="0"/>
    <cacheField name="单位数量" numFmtId="0">
      <sharedItems containsString="0" containsBlank="1" containsNumber="1" minValue="0" maxValue="2370" count="42">
        <n v="0"/>
        <m/>
        <n v="13" u="1"/>
        <n v="125" u="1"/>
        <n v="79" u="1"/>
        <n v="2370" u="1"/>
        <n v="180" u="1"/>
        <n v="5" u="1"/>
        <n v="40" u="1"/>
        <n v="2" u="1"/>
        <n v="6" u="1"/>
        <n v="1580" u="1"/>
        <n v="16" u="1"/>
        <n v="17" u="1"/>
        <n v="50" u="1"/>
        <n v="1185" u="1"/>
        <n v="7" u="1"/>
        <n v="20" u="1"/>
        <n v="56" u="1"/>
        <n v="33" u="1"/>
        <n v="210" u="1"/>
        <n v="22" u="1"/>
        <n v="1" u="1"/>
        <n v="480" u="1"/>
        <n v="3" u="1"/>
        <n v="790" u="1"/>
        <n v="24" u="1"/>
        <n v="25" u="1"/>
        <n v="150" u="1"/>
        <n v="9" u="1"/>
        <n v="43" u="1"/>
        <n v="26" u="1"/>
        <n v="27" u="1"/>
        <n v="3.5" u="1"/>
        <n v="10" u="1"/>
        <n v="28" u="1"/>
        <n v="30" u="1"/>
        <n v="450" u="1"/>
        <n v="31" u="1"/>
        <n v="4" u="1"/>
        <n v="12" u="1"/>
        <n v="32" u="1"/>
      </sharedItems>
    </cacheField>
    <cacheField name="单位类型" numFmtId="0">
      <sharedItems containsBlank="1" count="12">
        <s v="份"/>
        <s v="次"/>
        <s v="页"/>
        <s v="个"/>
        <s v="月*中心"/>
        <s v="月"/>
        <s v="例"/>
        <s v="条"/>
        <s v="例次"/>
        <s v="研究"/>
        <m/>
        <s v="人次" u="1"/>
      </sharedItems>
    </cacheField>
    <cacheField name="是否执行" numFmtId="0">
      <sharedItems containsString="0" containsBlank="1" containsNumber="1" containsInteger="1" minValue="0" maxValue="1" count="3">
        <n v="0"/>
        <m/>
        <n v="1" u="1"/>
      </sharedItems>
    </cacheField>
    <cacheField name="业务属性" numFmtId="0">
      <sharedItems containsBlank="1" count="11">
        <s v="医学撰写"/>
        <s v="临床药理"/>
        <s v="生物统计"/>
        <s v="项目管理"/>
        <s v="数据管理"/>
        <s v="统计分析"/>
        <s v="临床监查"/>
        <s v="医学监查"/>
        <s v="药物警戒"/>
        <s v="质量保证"/>
        <m/>
      </sharedItems>
    </cacheField>
    <cacheField name="角色" numFmtId="0">
      <sharedItems containsBlank="1" count="27">
        <s v="MM"/>
        <s v="CPS"/>
        <s v="ST"/>
        <s v="MD"/>
        <s v="CPSS"/>
        <s v="STM"/>
        <s v="MS"/>
        <s v="PM"/>
        <s v="DM"/>
        <s v="LDM"/>
        <s v="SAM"/>
        <s v="CRA"/>
        <s v="CTA"/>
        <s v="PMD"/>
        <s v="PVM"/>
        <s v="SA"/>
        <s v="QCM"/>
        <s v="DBP"/>
        <s v="Coder"/>
        <s v="PVP"/>
        <s v="PVS"/>
        <s v="QAM"/>
        <s v="QAD"/>
        <s v="QAS"/>
        <m/>
        <s v="LST" u="1"/>
        <s v="LSA" u="1"/>
      </sharedItems>
    </cacheField>
    <cacheField name="角色中文" numFmtId="0"/>
    <cacheField name="小时单价" numFmtId="0"/>
    <cacheField name="标准工时" numFmtId="0"/>
    <cacheField name="调整后的_x000a_单位小时" numFmtId="0"/>
    <cacheField name="报价_x000a_单位小时" numFmtId="0"/>
    <cacheField name="单价" numFmtId="0"/>
    <cacheField name="总小时" numFmtId="0"/>
    <cacheField name="小计" numFmtId="0"/>
    <cacheField name="折扣后单价" numFmtId="0"/>
    <cacheField name="折扣金额" numFmtId="0"/>
    <cacheField name="折扣后小计" numFmtId="0"/>
  </cacheFields>
</pivotCacheDefinition>
</file>

<file path=xl/pivotCache/pivotCacheRecords1.xml><?xml version="1.0" encoding="utf-8"?>
<pivotCacheRecords xmlns="http://schemas.openxmlformats.org/spreadsheetml/2006/main" xmlns:r="http://schemas.openxmlformats.org/officeDocument/2006/relationships" count="773">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r>
    <m/>
    <x v="4294967295"/>
    <x v="4294967295"/>
    <m/>
    <m/>
    <m/>
    <m/>
    <m/>
    <x v="4294967295"/>
    <x v="4294967295"/>
    <x v="4294967295"/>
    <x v="4294967295"/>
    <x v="4294967295"/>
    <x v="4294967295"/>
    <m/>
    <x v="4294967295"/>
    <x v="4294967295"/>
    <x v="4294967295"/>
    <x v="4294967295"/>
    <x v="4294967295"/>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2" cacheId="0" autoFormatId="1" applyNumberFormats="0" applyBorderFormats="0" applyFontFormats="0" applyPatternFormats="0" applyAlignmentFormats="0" applyWidthHeightFormats="1" dataCaption="值" updatedVersion="8" minRefreshableVersion="3" createdVersion="8" useAutoFormatting="1" compact="0" indent="0" compactData="0" gridDropZones="1" showDrill="0" multipleFieldFilters="0">
  <location ref="M5:W779" firstHeaderRow="1" firstDataRow="2" firstDataCol="7" rowPageCount="1" colPageCount="1"/>
  <pivotFields count="31">
    <pivotField compact="0" outline="0" showAll="0"/>
    <pivotField compact="0" defaultSubtotal="0" outline="0" showAll="0"/>
    <pivotField compact="0" defaultSubtotal="0" outline="0" showAll="0"/>
    <pivotField compact="0" outline="0" showAll="0"/>
    <pivotField compact="0" outline="0" showAll="0"/>
    <pivotField compact="0" outline="0" showAll="0"/>
    <pivotField compact="0" outline="0" showAll="0"/>
    <pivotField compact="0" outline="0" showAll="0"/>
    <pivotField compact="0" defaultSubtotal="0" outline="0" showAll="0">
      <items count="31">
        <item m="1" x="16"/>
        <item m="1" x="17"/>
        <item m="1" x="18"/>
        <item m="1" x="19"/>
        <item m="1" x="20"/>
        <item m="1" x="21"/>
        <item m="1" x="22"/>
        <item m="1" x="23"/>
        <item m="1" x="24"/>
        <item m="1" x="25"/>
        <item m="1" x="26"/>
        <item m="1" x="27"/>
        <item m="1" x="28"/>
        <item m="1" x="29"/>
        <item m="1" x="30"/>
        <item x="15"/>
        <item x="0"/>
        <item x="1"/>
        <item x="2"/>
        <item x="3"/>
        <item x="4"/>
        <item x="5"/>
        <item x="6"/>
        <item x="7"/>
        <item x="8"/>
        <item x="9"/>
        <item x="10"/>
        <item x="11"/>
        <item x="12"/>
        <item x="13"/>
        <item x="14"/>
      </items>
    </pivotField>
    <pivotField compact="0" defaultSubtotal="0" outline="0" showAll="0">
      <items count="16">
        <item x="10"/>
        <item x="12"/>
        <item x="14"/>
        <item x="4"/>
        <item x="9"/>
        <item x="8"/>
        <item x="1"/>
        <item x="7"/>
        <item x="5"/>
        <item x="0"/>
        <item x="6"/>
        <item x="11"/>
        <item x="2"/>
        <item x="3"/>
        <item x="13"/>
        <item x="15"/>
      </items>
    </pivotField>
    <pivotField axis="axisRow" compact="0" sortType="ascending" defaultSubtotal="0" outline="0" showAll="0">
      <items count="343">
        <item x="0"/>
        <item x="1"/>
        <item x="2"/>
        <item x="3"/>
        <item x="4"/>
        <item x="5"/>
        <item x="6"/>
        <item x="7"/>
        <item x="8"/>
        <item m="1" x="172"/>
        <item x="9"/>
        <item x="10"/>
        <item x="11"/>
        <item x="12"/>
        <item x="13"/>
        <item x="14"/>
        <item x="15"/>
        <item x="16"/>
        <item x="17"/>
        <item x="18"/>
        <item m="1" x="173"/>
        <item x="19"/>
        <item x="20"/>
        <item x="21"/>
        <item x="22"/>
        <item x="23"/>
        <item x="24"/>
        <item x="25"/>
        <item x="26"/>
        <item x="27"/>
        <item x="28"/>
        <item m="1" x="174"/>
        <item x="29"/>
        <item x="30"/>
        <item x="31"/>
        <item x="32"/>
        <item x="33"/>
        <item x="34"/>
        <item x="35"/>
        <item x="36"/>
        <item x="37"/>
        <item x="38"/>
        <item m="1" x="175"/>
        <item x="39"/>
        <item x="40"/>
        <item x="41"/>
        <item x="42"/>
        <item x="43"/>
        <item x="44"/>
        <item x="45"/>
        <item x="46"/>
        <item x="47"/>
        <item x="48"/>
        <item m="1" x="176"/>
        <item x="49"/>
        <item x="50"/>
        <item x="51"/>
        <item x="52"/>
        <item x="53"/>
        <item x="54"/>
        <item x="55"/>
        <item x="56"/>
        <item x="57"/>
        <item x="58"/>
        <item m="1" x="177"/>
        <item x="59"/>
        <item x="60"/>
        <item x="61"/>
        <item x="62"/>
        <item x="63"/>
        <item x="64"/>
        <item x="65"/>
        <item x="66"/>
        <item x="67"/>
        <item x="68"/>
        <item m="1" x="17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x="171"/>
      </items>
    </pivotField>
    <pivotField axis="axisRow" compact="0" defaultSubtotal="0" outline="0" showAll="0">
      <items count="176">
        <item x="18"/>
        <item x="73"/>
        <item x="114"/>
        <item x="143"/>
        <item x="142"/>
        <item x="82"/>
        <item x="141"/>
        <item x="14"/>
        <item x="77"/>
        <item x="135"/>
        <item x="134"/>
        <item x="166"/>
        <item x="61"/>
        <item x="123"/>
        <item x="127"/>
        <item x="124"/>
        <item x="126"/>
        <item x="81"/>
        <item x="150"/>
        <item x="136"/>
        <item x="57"/>
        <item x="26"/>
        <item x="137"/>
        <item x="138"/>
        <item x="129"/>
        <item x="147"/>
        <item x="146"/>
        <item x="144"/>
        <item x="133"/>
        <item x="140"/>
        <item x="132"/>
        <item x="62"/>
        <item x="122"/>
        <item x="33"/>
        <item x="85"/>
        <item x="88"/>
        <item x="94"/>
        <item x="95"/>
        <item x="139"/>
        <item x="2"/>
        <item x="8"/>
        <item x="76"/>
        <item x="0"/>
        <item x="159"/>
        <item x="158"/>
        <item x="155"/>
        <item x="161"/>
        <item x="162"/>
        <item x="160"/>
        <item x="56"/>
        <item x="50"/>
        <item x="93"/>
        <item x="170"/>
        <item x="167"/>
        <item x="168"/>
        <item x="91"/>
        <item x="44"/>
        <item x="11"/>
        <item m="1" x="172"/>
        <item x="163"/>
        <item x="38"/>
        <item x="105"/>
        <item x="34"/>
        <item x="16"/>
        <item x="17"/>
        <item x="165"/>
        <item x="128"/>
        <item x="45"/>
        <item x="115"/>
        <item x="151"/>
        <item x="64"/>
        <item x="31"/>
        <item x="32"/>
        <item x="74"/>
        <item x="10"/>
        <item x="86"/>
        <item x="96"/>
        <item x="110"/>
        <item x="113"/>
        <item x="112"/>
        <item x="108"/>
        <item x="111"/>
        <item x="59"/>
        <item x="119"/>
        <item x="97"/>
        <item x="92"/>
        <item x="90"/>
        <item x="89"/>
        <item x="12"/>
        <item x="75"/>
        <item x="5"/>
        <item x="6"/>
        <item x="101"/>
        <item x="102"/>
        <item x="99"/>
        <item x="48"/>
        <item x="145"/>
        <item x="121"/>
        <item x="117"/>
        <item x="55"/>
        <item x="70"/>
        <item x="60"/>
        <item x="169"/>
        <item x="51"/>
        <item x="35"/>
        <item x="41"/>
        <item x="43"/>
        <item x="42"/>
        <item m="1" x="173"/>
        <item x="164"/>
        <item x="52"/>
        <item x="15"/>
        <item x="149"/>
        <item x="54"/>
        <item x="79"/>
        <item x="131"/>
        <item x="130"/>
        <item x="78"/>
        <item x="80"/>
        <item x="71"/>
        <item x="72"/>
        <item x="83"/>
        <item x="22"/>
        <item x="20"/>
        <item x="23"/>
        <item x="19"/>
        <item x="21"/>
        <item x="87"/>
        <item x="36"/>
        <item x="58"/>
        <item x="27"/>
        <item x="24"/>
        <item x="156"/>
        <item x="157"/>
        <item x="152"/>
        <item x="69"/>
        <item x="65"/>
        <item x="67"/>
        <item x="7"/>
        <item x="25"/>
        <item x="98"/>
        <item x="68"/>
        <item x="29"/>
        <item x="28"/>
        <item x="125"/>
        <item x="104"/>
        <item x="106"/>
        <item x="37"/>
        <item x="66"/>
        <item x="39"/>
        <item x="40"/>
        <item x="9"/>
        <item x="46"/>
        <item x="53"/>
        <item x="63"/>
        <item x="13"/>
        <item x="4"/>
        <item x="3"/>
        <item x="109"/>
        <item x="1"/>
        <item x="120"/>
        <item x="107"/>
        <item m="1" x="174"/>
        <item m="1" x="175"/>
        <item x="100"/>
        <item x="84"/>
        <item x="118"/>
        <item x="103"/>
        <item x="30"/>
        <item x="49"/>
        <item x="116"/>
        <item x="171"/>
        <item x="153"/>
        <item x="154"/>
        <item x="148"/>
        <item x="47"/>
      </items>
    </pivotField>
    <pivotField axis="axisRow" compact="0" defaultSubtotal="0" outline="0" showAll="0">
      <items count="1112">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8"/>
        <item m="1" x="1109"/>
        <item m="1" x="1110"/>
        <item m="1" x="1111"/>
        <item x="556"/>
        <item m="1" x="598"/>
        <item m="1" x="1011"/>
        <item m="1" x="1069"/>
        <item m="1" x="11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s>
    </pivotField>
    <pivotField axis="axisRow" compact="0" defaultSubtotal="0" outline="0" showAll="0">
      <items count="563">
        <item x="462"/>
        <item x="306"/>
        <item x="307"/>
        <item x="196"/>
        <item x="197"/>
        <item x="45"/>
        <item x="46"/>
        <item x="138"/>
        <item x="137"/>
        <item x="169"/>
        <item x="305"/>
        <item x="11"/>
        <item x="10"/>
        <item x="510"/>
        <item x="194"/>
        <item x="195"/>
        <item x="298"/>
        <item x="299"/>
        <item x="386"/>
        <item x="388"/>
        <item m="1" x="557"/>
        <item x="383"/>
        <item x="387"/>
        <item x="385"/>
        <item x="382"/>
        <item x="442"/>
        <item x="441"/>
        <item x="438"/>
        <item x="437"/>
        <item x="440"/>
        <item x="439"/>
        <item x="436"/>
        <item x="434"/>
        <item x="435"/>
        <item x="495"/>
        <item x="485"/>
        <item x="496"/>
        <item x="486"/>
        <item x="488"/>
        <item x="191"/>
        <item x="494"/>
        <item x="493"/>
        <item x="492"/>
        <item x="484"/>
        <item x="487"/>
        <item x="250"/>
        <item x="251"/>
        <item x="308"/>
        <item x="309"/>
        <item x="198"/>
        <item x="199"/>
        <item x="314"/>
        <item x="312"/>
        <item x="214"/>
        <item x="212"/>
        <item x="315"/>
        <item x="313"/>
        <item x="215"/>
        <item x="213"/>
        <item x="178"/>
        <item x="217"/>
        <item x="216"/>
        <item x="281"/>
        <item x="243"/>
        <item x="222"/>
        <item x="40"/>
        <item x="279"/>
        <item x="179"/>
        <item x="219"/>
        <item x="218"/>
        <item x="280"/>
        <item x="463"/>
        <item x="472"/>
        <item x="469"/>
        <item x="471"/>
        <item x="473"/>
        <item x="468"/>
        <item x="476"/>
        <item x="470"/>
        <item x="549"/>
        <item x="548"/>
        <item x="546"/>
        <item x="545"/>
        <item x="152"/>
        <item x="547"/>
        <item x="165"/>
        <item x="166"/>
        <item x="164"/>
        <item x="189"/>
        <item x="188"/>
        <item x="443"/>
        <item m="1" x="560"/>
        <item x="80"/>
        <item x="454"/>
        <item x="455"/>
        <item x="448"/>
        <item x="447"/>
        <item x="445"/>
        <item x="446"/>
        <item x="453"/>
        <item x="449"/>
        <item x="451"/>
        <item x="450"/>
        <item x="190"/>
        <item x="511"/>
        <item x="478"/>
        <item x="263"/>
        <item x="264"/>
        <item x="265"/>
        <item x="201"/>
        <item x="202"/>
        <item x="266"/>
        <item x="393"/>
        <item x="148"/>
        <item x="68"/>
        <item x="66"/>
        <item x="65"/>
        <item x="481"/>
        <item x="344"/>
        <item x="343"/>
        <item x="340"/>
        <item x="339"/>
        <item x="342"/>
        <item x="341"/>
        <item x="345"/>
        <item x="542"/>
        <item x="541"/>
        <item x="540"/>
        <item x="539"/>
        <item x="146"/>
        <item x="408"/>
        <item x="231"/>
        <item x="207"/>
        <item x="208"/>
        <item x="465"/>
        <item x="464"/>
        <item x="457"/>
        <item x="501"/>
        <item x="467"/>
        <item x="262"/>
        <item x="499"/>
        <item x="498"/>
        <item x="483"/>
        <item x="466"/>
        <item x="153"/>
        <item x="452"/>
        <item x="53"/>
        <item x="52"/>
        <item x="479"/>
        <item x="480"/>
        <item x="336"/>
        <item x="337"/>
        <item x="348"/>
        <item x="356"/>
        <item x="56"/>
        <item x="304"/>
        <item x="303"/>
        <item x="328"/>
        <item x="326"/>
        <item x="327"/>
        <item x="55"/>
        <item x="54"/>
        <item x="73"/>
        <item x="27"/>
        <item x="61"/>
        <item x="431"/>
        <item x="162"/>
        <item x="64"/>
        <item x="157"/>
        <item x="25"/>
        <item x="159"/>
        <item x="63"/>
        <item x="286"/>
        <item x="161"/>
        <item x="77"/>
        <item x="75"/>
        <item x="86"/>
        <item x="379"/>
        <item x="376"/>
        <item x="426"/>
        <item x="489"/>
        <item x="184"/>
        <item x="373"/>
        <item x="370"/>
        <item x="350"/>
        <item x="69"/>
        <item x="358"/>
        <item x="284"/>
        <item x="367"/>
        <item x="364"/>
        <item x="88"/>
        <item x="252"/>
        <item x="210"/>
        <item x="211"/>
        <item x="267"/>
        <item x="29"/>
        <item x="482"/>
        <item x="551"/>
        <item x="544"/>
        <item x="240"/>
        <item x="238"/>
        <item x="239"/>
        <item x="242"/>
        <item x="241"/>
        <item x="175"/>
        <item x="174"/>
        <item x="273"/>
        <item x="272"/>
        <item x="274"/>
        <item x="276"/>
        <item x="275"/>
        <item x="277"/>
        <item x="278"/>
        <item x="3"/>
        <item m="1" x="562"/>
        <item x="2"/>
        <item x="6"/>
        <item x="5"/>
        <item m="1" x="561"/>
        <item x="0"/>
        <item x="461"/>
        <item x="525"/>
        <item x="524"/>
        <item x="522"/>
        <item x="521"/>
        <item x="335"/>
        <item x="517"/>
        <item x="527"/>
        <item x="528"/>
        <item x="526"/>
        <item x="135"/>
        <item x="132"/>
        <item x="550"/>
        <item x="543"/>
        <item x="103"/>
        <item x="147"/>
        <item x="134"/>
        <item x="433"/>
        <item x="131"/>
        <item x="130"/>
        <item x="78"/>
        <item x="51"/>
        <item x="50"/>
        <item x="555"/>
        <item x="552"/>
        <item x="553"/>
        <item x="554"/>
        <item x="113"/>
        <item x="112"/>
        <item x="124"/>
        <item x="123"/>
        <item x="530"/>
        <item x="529"/>
        <item x="102"/>
        <item x="91"/>
        <item x="363"/>
        <item x="355"/>
        <item x="475"/>
        <item x="477"/>
        <item x="418"/>
        <item x="35"/>
        <item x="34"/>
        <item x="43"/>
        <item x="44"/>
        <item x="456"/>
        <item x="114"/>
        <item x="115"/>
        <item x="226"/>
        <item x="223"/>
        <item x="225"/>
        <item x="224"/>
        <item x="229"/>
        <item x="244"/>
        <item x="398"/>
        <item x="400"/>
        <item m="1" x="558"/>
        <item x="395"/>
        <item x="389"/>
        <item x="399"/>
        <item x="397"/>
        <item x="394"/>
        <item x="512"/>
        <item x="513"/>
        <item x="155"/>
        <item x="268"/>
        <item x="269"/>
        <item x="271"/>
        <item x="270"/>
        <item x="83"/>
        <item x="460"/>
        <item x="9"/>
        <item x="8"/>
        <item x="474"/>
        <item x="249"/>
        <item x="227"/>
        <item x="228"/>
        <item x="248"/>
        <item x="390"/>
        <item x="247"/>
        <item x="246"/>
        <item x="502"/>
        <item x="503"/>
        <item x="121"/>
        <item x="116"/>
        <item x="118"/>
        <item x="120"/>
        <item x="119"/>
        <item x="117"/>
        <item x="171"/>
        <item x="170"/>
        <item x="32"/>
        <item x="28"/>
        <item x="417"/>
        <item x="381"/>
        <item x="378"/>
        <item x="429"/>
        <item x="187"/>
        <item x="375"/>
        <item x="372"/>
        <item x="347"/>
        <item x="415"/>
        <item x="352"/>
        <item x="354"/>
        <item x="349"/>
        <item x="72"/>
        <item x="89"/>
        <item x="419"/>
        <item x="360"/>
        <item x="362"/>
        <item x="357"/>
        <item x="92"/>
        <item x="30"/>
        <item x="84"/>
        <item x="33"/>
        <item x="369"/>
        <item x="366"/>
        <item x="413"/>
        <item x="411"/>
        <item x="412"/>
        <item x="410"/>
        <item x="150"/>
        <item x="423"/>
        <item x="177"/>
        <item x="176"/>
        <item x="37"/>
        <item x="36"/>
        <item x="48"/>
        <item x="49"/>
        <item x="47"/>
        <item x="173"/>
        <item x="172"/>
        <item x="21"/>
        <item x="20"/>
        <item x="23"/>
        <item x="22"/>
        <item x="302"/>
        <item x="7"/>
        <item x="392"/>
        <item x="497"/>
        <item x="325"/>
        <item x="322"/>
        <item x="324"/>
        <item x="323"/>
        <item x="321"/>
        <item x="320"/>
        <item x="292"/>
        <item x="295"/>
        <item x="221"/>
        <item x="220"/>
        <item x="294"/>
        <item x="293"/>
        <item x="310"/>
        <item x="296"/>
        <item x="311"/>
        <item x="316"/>
        <item x="127"/>
        <item x="126"/>
        <item x="287"/>
        <item x="297"/>
        <item x="391"/>
        <item x="290"/>
        <item x="291"/>
        <item x="289"/>
        <item x="282"/>
        <item x="334"/>
        <item x="332"/>
        <item x="333"/>
        <item x="233"/>
        <item x="232"/>
        <item x="236"/>
        <item x="237"/>
        <item x="235"/>
        <item x="234"/>
        <item x="409"/>
        <item x="104"/>
        <item x="500"/>
        <item x="420"/>
        <item x="421"/>
        <item x="422"/>
        <item x="424"/>
        <item x="331"/>
        <item x="329"/>
        <item x="330"/>
        <item x="253"/>
        <item x="254"/>
        <item x="255"/>
        <item x="256"/>
        <item x="432"/>
        <item x="136"/>
        <item x="141"/>
        <item x="142"/>
        <item x="145"/>
        <item x="144"/>
        <item x="143"/>
        <item x="163"/>
        <item x="151"/>
        <item x="338"/>
        <item x="230"/>
        <item x="301"/>
        <item x="300"/>
        <item x="79"/>
        <item x="95"/>
        <item x="94"/>
        <item x="81"/>
        <item x="108"/>
        <item x="111"/>
        <item x="110"/>
        <item x="505"/>
        <item x="504"/>
        <item x="538"/>
        <item x="537"/>
        <item x="536"/>
        <item x="535"/>
        <item x="533"/>
        <item x="532"/>
        <item x="531"/>
        <item x="42"/>
        <item x="41"/>
        <item x="534"/>
        <item x="507"/>
        <item x="506"/>
        <item x="509"/>
        <item x="508"/>
        <item x="209"/>
        <item x="380"/>
        <item x="377"/>
        <item x="427"/>
        <item x="490"/>
        <item x="185"/>
        <item x="374"/>
        <item x="371"/>
        <item x="351"/>
        <item x="70"/>
        <item x="359"/>
        <item x="285"/>
        <item x="368"/>
        <item x="365"/>
        <item x="140"/>
        <item x="183"/>
        <item x="182"/>
        <item x="459"/>
        <item x="458"/>
        <item x="257"/>
        <item x="258"/>
        <item x="261"/>
        <item x="260"/>
        <item x="181"/>
        <item x="205"/>
        <item x="206"/>
        <item x="203"/>
        <item x="204"/>
        <item x="180"/>
        <item x="259"/>
        <item x="168"/>
        <item x="167"/>
        <item x="192"/>
        <item x="193"/>
        <item x="317"/>
        <item x="318"/>
        <item x="97"/>
        <item x="98"/>
        <item x="428"/>
        <item x="491"/>
        <item x="186"/>
        <item x="71"/>
        <item x="149"/>
        <item x="200"/>
        <item x="518"/>
        <item x="519"/>
        <item x="514"/>
        <item x="245"/>
        <item x="319"/>
        <item x="13"/>
        <item x="14"/>
        <item x="12"/>
        <item x="416"/>
        <item x="414"/>
        <item x="346"/>
        <item x="101"/>
        <item x="100"/>
        <item x="288"/>
        <item x="133"/>
        <item x="158"/>
        <item x="106"/>
        <item x="107"/>
        <item x="105"/>
        <item x="139"/>
        <item x="154"/>
        <item x="39"/>
        <item x="38"/>
        <item x="15"/>
        <item x="17"/>
        <item x="19"/>
        <item x="18"/>
        <item x="16"/>
        <item x="353"/>
        <item x="361"/>
        <item x="425"/>
        <item x="515"/>
        <item x="516"/>
        <item x="109"/>
        <item x="430"/>
        <item x="67"/>
        <item x="87"/>
        <item x="26"/>
        <item x="60"/>
        <item x="523"/>
        <item x="520"/>
        <item x="129"/>
        <item x="122"/>
        <item x="90"/>
        <item x="156"/>
        <item x="24"/>
        <item x="82"/>
        <item x="31"/>
        <item x="62"/>
        <item x="125"/>
        <item x="283"/>
        <item x="160"/>
        <item x="93"/>
        <item x="76"/>
        <item x="96"/>
        <item x="99"/>
        <item x="74"/>
        <item x="85"/>
        <item x="128"/>
        <item x="58"/>
        <item x="57"/>
        <item x="59"/>
        <item x="405"/>
        <item m="1" x="559"/>
        <item x="402"/>
        <item x="407"/>
        <item x="404"/>
        <item x="401"/>
        <item x="406"/>
        <item x="556"/>
        <item x="1"/>
        <item x="4"/>
        <item x="384"/>
        <item x="396"/>
        <item x="403"/>
        <item x="444"/>
      </items>
    </pivotField>
    <pivotField compact="0" outline="0" showAll="0"/>
    <pivotField axis="axisRow" compact="0" defaultSubtotal="0" outline="0" showAll="0">
      <items count="42">
        <item x="0"/>
        <item m="1" x="22"/>
        <item m="1" x="9"/>
        <item m="1" x="24"/>
        <item m="1" x="33"/>
        <item m="1" x="39"/>
        <item m="1" x="7"/>
        <item m="1" x="10"/>
        <item m="1" x="16"/>
        <item m="1" x="29"/>
        <item m="1" x="34"/>
        <item m="1" x="40"/>
        <item m="1" x="2"/>
        <item m="1" x="12"/>
        <item m="1" x="13"/>
        <item m="1" x="17"/>
        <item m="1" x="21"/>
        <item m="1" x="26"/>
        <item m="1" x="27"/>
        <item m="1" x="31"/>
        <item m="1" x="32"/>
        <item m="1" x="35"/>
        <item m="1" x="36"/>
        <item m="1" x="38"/>
        <item m="1" x="41"/>
        <item m="1" x="19"/>
        <item m="1" x="8"/>
        <item m="1" x="30"/>
        <item m="1" x="14"/>
        <item m="1" x="18"/>
        <item m="1" x="4"/>
        <item m="1" x="3"/>
        <item m="1" x="28"/>
        <item m="1" x="6"/>
        <item m="1" x="20"/>
        <item m="1" x="37"/>
        <item m="1" x="23"/>
        <item m="1" x="25"/>
        <item m="1" x="15"/>
        <item m="1" x="11"/>
        <item m="1" x="5"/>
        <item x="1"/>
      </items>
    </pivotField>
    <pivotField axis="axisRow" compact="0" defaultSubtotal="0" outline="0" showAll="0">
      <items count="12">
        <item x="1"/>
        <item x="0"/>
        <item x="3"/>
        <item x="6"/>
        <item x="8"/>
        <item m="1" x="11"/>
        <item x="7"/>
        <item x="9"/>
        <item x="2"/>
        <item x="5"/>
        <item x="4"/>
        <item x="10"/>
      </items>
    </pivotField>
    <pivotField axis="axisPage" compact="0" outline="0" multipleItemSelectionAllowed="1" showAll="0">
      <items count="4">
        <item x="0"/>
        <item m="1" x="2"/>
        <item x="1"/>
        <item t="default"/>
      </items>
    </pivotField>
    <pivotField compact="0" defaultSubtotal="0" outline="0" showAll="0">
      <items count="11">
        <item x="6"/>
        <item x="1"/>
        <item x="2"/>
        <item x="4"/>
        <item x="5"/>
        <item x="3"/>
        <item x="8"/>
        <item x="7"/>
        <item x="0"/>
        <item x="9"/>
        <item x="10"/>
      </items>
    </pivotField>
    <pivotField axis="axisRow" compact="0" defaultSubtotal="0" outline="0" showAll="0">
      <items count="27">
        <item x="18"/>
        <item x="1"/>
        <item x="4"/>
        <item x="11"/>
        <item x="12"/>
        <item x="17"/>
        <item x="8"/>
        <item x="9"/>
        <item m="1" x="26"/>
        <item m="1" x="25"/>
        <item x="3"/>
        <item x="0"/>
        <item x="6"/>
        <item x="7"/>
        <item x="13"/>
        <item x="14"/>
        <item x="19"/>
        <item x="20"/>
        <item x="22"/>
        <item x="21"/>
        <item x="23"/>
        <item x="16"/>
        <item x="10"/>
        <item x="5"/>
        <item x="24"/>
        <item x="15"/>
        <item x="2"/>
      </items>
    </pivotField>
    <pivotField compact="0" outline="0" showAll="0"/>
    <pivotField compact="0" outline="0" showAll="0"/>
    <pivotField compact="0" outline="0" showAll="0"/>
    <pivotField compact="0" outline="0" showAll="0"/>
    <pivotField dataField="1" compact="0" outline="0" showAll="0"/>
    <pivotField compact="0" outline="0" showAll="0"/>
    <pivotField dataField="1" compact="0" outline="0" showAll="0"/>
    <pivotField compact="0" outline="0" showAll="0"/>
    <pivotField dataField="1" compact="0" outline="0" showAll="0"/>
    <pivotField compact="0" outline="0" showAll="0"/>
    <pivotField dataField="1" compact="0" outline="0" showAll="0"/>
  </pivotFields>
  <rowFields count="7">
    <field x="10"/>
    <field x="11"/>
    <field x="12"/>
    <field x="13"/>
    <field x="19"/>
    <field x="15"/>
    <field x="16"/>
  </rowFields>
  <rowItems count="773">
    <i>
      <x/>
      <x v="42"/>
      <x v="556"/>
      <x v="219"/>
      <x v="1"/>
      <x/>
      <x v="1"/>
    </i>
    <i r="4">
      <x v="11"/>
      <x/>
      <x v="1"/>
    </i>
    <i r="4">
      <x v="26"/>
      <x/>
      <x v="1"/>
    </i>
    <i r="2">
      <x v="557"/>
      <x v="557"/>
      <x v="2"/>
      <x/>
      <x/>
    </i>
    <i r="4">
      <x v="10"/>
      <x/>
      <x/>
    </i>
    <i r="4">
      <x v="23"/>
      <x/>
      <x/>
    </i>
    <i r="2">
      <x v="558"/>
      <x v="215"/>
      <x v="11"/>
      <x/>
      <x v="1"/>
    </i>
    <i r="2">
      <x v="559"/>
      <x v="213"/>
      <x v="12"/>
      <x/>
      <x v="1"/>
    </i>
    <i r="2">
      <x v="560"/>
      <x v="558"/>
      <x v="2"/>
      <x/>
      <x/>
    </i>
    <i r="4">
      <x v="10"/>
      <x/>
      <x/>
    </i>
    <i r="4">
      <x v="23"/>
      <x/>
      <x/>
    </i>
    <i r="2">
      <x v="561"/>
      <x v="217"/>
      <x v="11"/>
      <x/>
      <x/>
    </i>
    <i r="2">
      <x v="562"/>
      <x v="216"/>
      <x v="2"/>
      <x/>
      <x/>
    </i>
    <i r="4">
      <x v="10"/>
      <x/>
      <x/>
    </i>
    <i r="4">
      <x v="13"/>
      <x/>
      <x/>
    </i>
    <i r="4">
      <x v="23"/>
      <x/>
      <x/>
    </i>
    <i>
      <x v="1"/>
      <x v="159"/>
      <x v="563"/>
      <x v="356"/>
      <x v="6"/>
      <x/>
      <x/>
    </i>
    <i r="2">
      <x v="564"/>
      <x v="291"/>
      <x v="6"/>
      <x/>
      <x v="8"/>
    </i>
    <i r="2">
      <x v="565"/>
      <x v="290"/>
      <x v="6"/>
      <x/>
      <x v="1"/>
    </i>
    <i r="2">
      <x v="566"/>
      <x v="12"/>
      <x v="7"/>
      <x/>
      <x/>
    </i>
    <i r="4">
      <x v="11"/>
      <x/>
      <x/>
    </i>
    <i r="4">
      <x v="13"/>
      <x/>
      <x/>
    </i>
    <i r="4">
      <x v="22"/>
      <x/>
      <x/>
    </i>
    <i r="4">
      <x v="26"/>
      <x/>
      <x/>
    </i>
    <i r="2">
      <x v="567"/>
      <x v="11"/>
      <x v="7"/>
      <x/>
      <x/>
    </i>
    <i>
      <x v="2"/>
      <x v="39"/>
      <x v="568"/>
      <x v="494"/>
      <x v="11"/>
      <x/>
      <x/>
    </i>
    <i r="2">
      <x v="569"/>
      <x v="492"/>
      <x v="12"/>
      <x/>
      <x/>
    </i>
    <i r="2">
      <x v="570"/>
      <x v="493"/>
      <x v="10"/>
      <x/>
      <x/>
    </i>
    <i r="4">
      <x v="26"/>
      <x/>
      <x/>
    </i>
    <i>
      <x v="3"/>
      <x v="157"/>
      <x v="571"/>
      <x v="510"/>
      <x v="12"/>
      <x/>
      <x v="1"/>
    </i>
    <i r="2">
      <x v="572"/>
      <x v="514"/>
      <x v="11"/>
      <x/>
      <x/>
    </i>
    <i r="2">
      <x v="573"/>
      <x v="511"/>
      <x v="10"/>
      <x/>
      <x/>
    </i>
    <i r="4">
      <x v="13"/>
      <x/>
      <x/>
    </i>
    <i>
      <x v="4"/>
      <x v="156"/>
      <x v="574"/>
      <x v="513"/>
      <x v="12"/>
      <x/>
      <x/>
    </i>
    <i r="2">
      <x v="575"/>
      <x v="512"/>
      <x v="11"/>
      <x/>
      <x/>
    </i>
    <i>
      <x v="5"/>
      <x v="90"/>
      <x v="576"/>
      <x v="352"/>
      <x v="13"/>
      <x/>
      <x/>
    </i>
    <i r="2">
      <x v="577"/>
      <x v="351"/>
      <x v="11"/>
      <x/>
      <x/>
    </i>
    <i>
      <x v="6"/>
      <x v="91"/>
      <x v="578"/>
      <x v="354"/>
      <x v="13"/>
      <x/>
      <x/>
    </i>
    <i r="2">
      <x v="579"/>
      <x v="353"/>
      <x v="11"/>
      <x/>
      <x/>
    </i>
    <i>
      <x v="7"/>
      <x v="138"/>
      <x v="580"/>
      <x v="532"/>
      <x v="13"/>
      <x/>
      <x/>
    </i>
    <i r="2">
      <x v="581"/>
      <x v="169"/>
      <x v="2"/>
      <x/>
      <x/>
    </i>
    <i r="4">
      <x v="3"/>
      <x/>
      <x/>
    </i>
    <i r="4">
      <x v="4"/>
      <x/>
      <x/>
    </i>
    <i r="4">
      <x v="7"/>
      <x/>
      <x/>
    </i>
    <i r="4">
      <x v="11"/>
      <x/>
      <x/>
    </i>
    <i r="4">
      <x v="13"/>
      <x/>
      <x/>
    </i>
    <i r="4">
      <x v="14"/>
      <x/>
      <x/>
    </i>
    <i r="4">
      <x v="15"/>
      <x/>
      <x/>
    </i>
    <i r="4">
      <x v="26"/>
      <x/>
      <x/>
    </i>
    <i>
      <x v="8"/>
      <x v="40"/>
      <x v="582"/>
      <x v="524"/>
      <x v="11"/>
      <x/>
      <x/>
    </i>
    <i r="2">
      <x v="583"/>
      <x v="163"/>
      <x v="1"/>
      <x/>
      <x/>
    </i>
    <i r="4">
      <x v="3"/>
      <x/>
      <x/>
    </i>
    <i r="4">
      <x v="4"/>
      <x/>
      <x/>
    </i>
    <i r="4">
      <x v="7"/>
      <x/>
      <x/>
    </i>
    <i r="4">
      <x v="10"/>
      <x/>
      <x/>
    </i>
    <i r="4">
      <x v="11"/>
      <x/>
      <x/>
    </i>
    <i r="4">
      <x v="13"/>
      <x/>
      <x/>
    </i>
    <i r="4">
      <x v="15"/>
      <x/>
      <x/>
    </i>
    <i r="4">
      <x v="26"/>
      <x/>
      <x/>
    </i>
    <i>
      <x v="10"/>
      <x v="151"/>
      <x v="584"/>
      <x v="311"/>
      <x v="13"/>
      <x/>
      <x v="1"/>
    </i>
    <i r="2">
      <x v="585"/>
      <x v="195"/>
      <x v="3"/>
      <x/>
      <x/>
    </i>
    <i r="2">
      <x v="586"/>
      <x v="331"/>
      <x v="13"/>
      <x/>
      <x v="1"/>
    </i>
    <i>
      <x v="11"/>
      <x v="74"/>
      <x v="587"/>
      <x v="534"/>
      <x v="3"/>
      <x/>
      <x/>
    </i>
    <i r="2">
      <x v="588"/>
      <x v="310"/>
      <x v="3"/>
      <x/>
      <x/>
    </i>
    <i r="2">
      <x v="589"/>
      <x v="333"/>
      <x v="13"/>
      <x/>
      <x/>
    </i>
    <i>
      <x v="12"/>
      <x v="57"/>
      <x v="590"/>
      <x v="261"/>
      <x v="3"/>
      <x/>
      <x/>
    </i>
    <i r="4">
      <x v="4"/>
      <x/>
      <x/>
    </i>
    <i r="2">
      <x v="591"/>
      <x v="260"/>
      <x v="13"/>
      <x/>
      <x/>
    </i>
    <i>
      <x v="13"/>
      <x v="88"/>
      <x v="592"/>
      <x v="345"/>
      <x v="3"/>
      <x/>
      <x/>
    </i>
    <i r="4">
      <x v="4"/>
      <x/>
      <x/>
    </i>
    <i r="2">
      <x v="593"/>
      <x v="344"/>
      <x v="13"/>
      <x/>
      <x/>
    </i>
    <i>
      <x v="14"/>
      <x v="155"/>
      <x v="594"/>
      <x v="509"/>
      <x v="3"/>
      <x/>
      <x/>
    </i>
    <i r="2">
      <x v="595"/>
      <x v="508"/>
      <x v="13"/>
      <x/>
      <x/>
    </i>
    <i>
      <x v="15"/>
      <x v="7"/>
      <x v="596"/>
      <x v="65"/>
      <x v="3"/>
      <x/>
      <x/>
    </i>
    <i r="4">
      <x v="13"/>
      <x/>
      <x/>
    </i>
    <i>
      <x v="16"/>
      <x v="111"/>
      <x v="597"/>
      <x v="437"/>
      <x v="3"/>
      <x/>
      <x/>
    </i>
    <i r="2">
      <x v="598"/>
      <x v="436"/>
      <x v="4"/>
      <x/>
      <x/>
    </i>
    <i>
      <x v="17"/>
      <x v="63"/>
      <x v="599"/>
      <x v="262"/>
      <x v="13"/>
      <x/>
      <x/>
    </i>
    <i>
      <x v="18"/>
      <x v="64"/>
      <x v="600"/>
      <x v="263"/>
      <x v="3"/>
      <x/>
      <x/>
    </i>
    <i>
      <x v="19"/>
      <x/>
      <x v="601"/>
      <x v="5"/>
      <x v="12"/>
      <x/>
      <x/>
    </i>
    <i r="2">
      <x v="602"/>
      <x v="6"/>
      <x v="11"/>
      <x/>
      <x/>
    </i>
    <i>
      <x v="21"/>
      <x v="125"/>
      <x v="603"/>
      <x v="348"/>
      <x v="13"/>
      <x/>
      <x/>
    </i>
    <i r="2">
      <x v="604"/>
      <x v="346"/>
      <x v="3"/>
      <x/>
      <x/>
    </i>
    <i r="2">
      <x v="605"/>
      <x v="347"/>
      <x v="4"/>
      <x/>
      <x/>
    </i>
    <i>
      <x v="22"/>
      <x v="123"/>
      <x v="606"/>
      <x v="242"/>
      <x v="13"/>
      <x/>
      <x/>
    </i>
    <i r="2">
      <x v="607"/>
      <x v="241"/>
      <x v="3"/>
      <x/>
      <x/>
    </i>
    <i>
      <x v="23"/>
      <x v="126"/>
      <x v="608"/>
      <x v="147"/>
      <x v="13"/>
      <x/>
      <x/>
    </i>
    <i r="2">
      <x v="609"/>
      <x v="146"/>
      <x v="3"/>
      <x/>
      <x/>
    </i>
    <i>
      <x v="24"/>
      <x v="122"/>
      <x v="610"/>
      <x v="161"/>
      <x v="13"/>
      <x/>
      <x/>
    </i>
    <i r="2">
      <x v="611"/>
      <x v="160"/>
      <x v="3"/>
      <x/>
      <x/>
    </i>
    <i r="2">
      <x v="612"/>
      <x v="154"/>
      <x v="4"/>
      <x/>
      <x/>
    </i>
    <i>
      <x v="25"/>
      <x v="124"/>
      <x v="613"/>
      <x v="547"/>
      <x v="13"/>
      <x/>
      <x/>
    </i>
    <i r="2">
      <x v="614"/>
      <x v="546"/>
      <x v="3"/>
      <x/>
      <x v="2"/>
    </i>
    <i r="2">
      <x v="615"/>
      <x v="548"/>
      <x v="4"/>
      <x/>
      <x v="1"/>
    </i>
    <i>
      <x v="26"/>
      <x v="131"/>
      <x v="616"/>
      <x v="525"/>
      <x v="10"/>
      <x/>
      <x/>
    </i>
    <i r="4">
      <x v="11"/>
      <x/>
      <x/>
    </i>
    <i r="2">
      <x v="617"/>
      <x v="164"/>
      <x v="1"/>
      <x/>
      <x/>
    </i>
    <i r="4">
      <x v="11"/>
      <x/>
      <x/>
    </i>
    <i r="4">
      <x v="12"/>
      <x/>
      <x/>
    </i>
    <i r="4">
      <x v="13"/>
      <x/>
      <x/>
    </i>
    <i r="4">
      <x v="26"/>
      <x/>
      <x/>
    </i>
    <i>
      <x v="27"/>
      <x v="139"/>
      <x v="618"/>
      <x v="535"/>
      <x v="3"/>
      <x/>
      <x/>
    </i>
    <i r="4">
      <x v="4"/>
      <x/>
      <x/>
    </i>
    <i r="4">
      <x v="11"/>
      <x/>
      <x/>
    </i>
    <i r="4">
      <x v="13"/>
      <x/>
      <x/>
    </i>
    <i r="2">
      <x v="619"/>
      <x v="171"/>
      <x v="3"/>
      <x/>
      <x/>
    </i>
    <i r="4">
      <x v="4"/>
      <x/>
      <x/>
    </i>
    <i r="4">
      <x v="10"/>
      <x/>
      <x/>
    </i>
    <i r="4">
      <x v="11"/>
      <x/>
      <x/>
    </i>
    <i r="4">
      <x v="13"/>
      <x/>
      <x/>
    </i>
    <i r="4">
      <x v="26"/>
      <x/>
      <x/>
    </i>
    <i r="2">
      <x v="620"/>
      <x v="167"/>
      <x v="3"/>
      <x/>
      <x/>
    </i>
    <i r="4">
      <x v="13"/>
      <x/>
      <x/>
    </i>
    <i>
      <x v="28"/>
      <x v="21"/>
      <x v="621"/>
      <x v="116"/>
      <x v="11"/>
      <x/>
      <x/>
    </i>
    <i r="2">
      <x v="622"/>
      <x v="115"/>
      <x v="10"/>
      <x/>
      <x/>
    </i>
    <i>
      <x v="29"/>
      <x v="130"/>
      <x v="623"/>
      <x v="522"/>
      <x v="10"/>
      <x/>
      <x/>
    </i>
    <i r="4">
      <x v="11"/>
      <x/>
      <x/>
    </i>
    <i r="2">
      <x v="624"/>
      <x v="114"/>
      <x v="6"/>
      <x/>
      <x/>
    </i>
    <i r="2">
      <x v="625"/>
      <x v="185"/>
      <x v="25"/>
      <x/>
      <x v="2"/>
    </i>
    <i r="2">
      <x v="626"/>
      <x v="452"/>
      <x v="25"/>
      <x/>
      <x v="2"/>
    </i>
    <i r="2">
      <x v="627"/>
      <x v="484"/>
      <x v="22"/>
      <x/>
      <x/>
    </i>
    <i r="2">
      <x v="628"/>
      <x v="324"/>
      <x v="26"/>
      <x/>
      <x/>
    </i>
    <i r="2">
      <x v="629"/>
      <x v="162"/>
      <x v="11"/>
      <x/>
      <x/>
    </i>
    <i r="4">
      <x v="12"/>
      <x/>
      <x/>
    </i>
    <i r="4">
      <x v="13"/>
      <x/>
      <x/>
    </i>
    <i>
      <x v="30"/>
      <x v="143"/>
      <x v="630"/>
      <x v="543"/>
      <x v="3"/>
      <x/>
      <x/>
    </i>
    <i r="4">
      <x v="4"/>
      <x/>
      <x/>
    </i>
    <i r="4">
      <x v="11"/>
      <x/>
      <x/>
    </i>
    <i r="4">
      <x v="13"/>
      <x/>
      <x/>
    </i>
    <i r="2">
      <x v="631"/>
      <x v="175"/>
      <x v="3"/>
      <x/>
      <x/>
    </i>
    <i r="4">
      <x v="4"/>
      <x/>
      <x/>
    </i>
    <i r="4">
      <x v="11"/>
      <x/>
      <x/>
    </i>
    <i r="4">
      <x v="13"/>
      <x/>
      <x/>
    </i>
    <i>
      <x v="32"/>
      <x v="142"/>
      <x v="632"/>
      <x v="540"/>
      <x v="3"/>
      <x/>
      <x/>
    </i>
    <i r="4">
      <x v="4"/>
      <x/>
      <x/>
    </i>
    <i r="4">
      <x v="11"/>
      <x/>
      <x/>
    </i>
    <i r="4">
      <x v="13"/>
      <x/>
      <x/>
    </i>
    <i r="2">
      <x v="633"/>
      <x v="174"/>
      <x v="3"/>
      <x/>
      <x/>
    </i>
    <i r="4">
      <x v="4"/>
      <x/>
      <x/>
    </i>
    <i r="4">
      <x v="10"/>
      <x/>
      <x/>
    </i>
    <i r="4">
      <x v="11"/>
      <x/>
      <x/>
    </i>
    <i r="4">
      <x v="13"/>
      <x/>
      <x/>
    </i>
    <i>
      <x v="33"/>
      <x v="168"/>
      <x v="634"/>
      <x v="240"/>
      <x v="13"/>
      <x/>
      <x/>
    </i>
    <i r="2">
      <x v="635"/>
      <x v="420"/>
      <x v="3"/>
      <x/>
      <x/>
    </i>
    <i r="2">
      <x v="636"/>
      <x v="92"/>
      <x v="13"/>
      <x/>
      <x/>
    </i>
    <i r="2">
      <x v="637"/>
      <x v="423"/>
      <x v="3"/>
      <x/>
      <x/>
    </i>
    <i>
      <x v="34"/>
      <x v="71"/>
      <x v="638"/>
      <x v="533"/>
      <x v="3"/>
      <x/>
      <x/>
    </i>
    <i r="2">
      <x v="639"/>
      <x v="288"/>
      <x v="3"/>
      <x/>
      <x/>
    </i>
    <i r="2">
      <x v="640"/>
      <x v="332"/>
      <x v="13"/>
      <x/>
      <x/>
    </i>
    <i>
      <x v="35"/>
      <x v="72"/>
      <x v="641"/>
      <x v="544"/>
      <x v="11"/>
      <x/>
      <x/>
    </i>
    <i r="2">
      <x v="642"/>
      <x v="176"/>
      <x v="10"/>
      <x/>
      <x/>
    </i>
    <i r="4">
      <x v="11"/>
      <x/>
      <x/>
    </i>
    <i>
      <x v="36"/>
      <x v="33"/>
      <x v="643"/>
      <x v="523"/>
      <x v="3"/>
      <x/>
      <x/>
    </i>
    <i r="2">
      <x v="644"/>
      <x v="190"/>
      <x v="3"/>
      <x/>
      <x/>
    </i>
    <i r="2">
      <x v="645"/>
      <x v="325"/>
      <x v="13"/>
      <x/>
      <x/>
    </i>
    <i>
      <x v="37"/>
      <x v="62"/>
      <x v="646"/>
      <x v="530"/>
      <x v="3"/>
      <x/>
      <x/>
    </i>
    <i r="2">
      <x v="647"/>
      <x v="254"/>
      <x v="3"/>
      <x/>
      <x/>
    </i>
    <i r="2">
      <x v="648"/>
      <x v="330"/>
      <x v="13"/>
      <x/>
      <x/>
    </i>
    <i>
      <x v="38"/>
      <x v="104"/>
      <x v="649"/>
      <x v="539"/>
      <x v="13"/>
      <x/>
      <x/>
    </i>
    <i r="2">
      <x v="650"/>
      <x v="422"/>
      <x v="13"/>
      <x/>
      <x/>
    </i>
    <i r="2">
      <x v="651"/>
      <x v="421"/>
      <x v="14"/>
      <x/>
      <x/>
    </i>
    <i>
      <x v="39"/>
      <x v="128"/>
      <x v="652"/>
      <x v="541"/>
      <x v="3"/>
      <x/>
      <x/>
    </i>
    <i r="2">
      <x v="653"/>
      <x v="479"/>
      <x v="3"/>
      <x/>
      <x/>
    </i>
    <i r="2">
      <x v="654"/>
      <x v="480"/>
      <x v="13"/>
      <x/>
      <x/>
    </i>
    <i>
      <x v="40"/>
      <x v="147"/>
      <x v="655"/>
      <x v="542"/>
      <x v="21"/>
      <x/>
      <x/>
    </i>
    <i r="2">
      <x v="656"/>
      <x v="499"/>
      <x v="21"/>
      <x/>
      <x/>
    </i>
    <i r="2">
      <x v="657"/>
      <x v="498"/>
      <x v="14"/>
      <x/>
      <x/>
    </i>
    <i>
      <x v="41"/>
      <x v="60"/>
      <x v="658"/>
      <x v="253"/>
      <x v="3"/>
      <x/>
      <x/>
    </i>
    <i r="4">
      <x v="13"/>
      <x/>
      <x/>
    </i>
    <i>
      <x v="43"/>
      <x v="149"/>
      <x v="659"/>
      <x v="234"/>
      <x v="3"/>
      <x/>
      <x v="2"/>
    </i>
    <i r="4">
      <x v="13"/>
      <x/>
      <x v="2"/>
    </i>
    <i r="2">
      <x v="660"/>
      <x v="394"/>
      <x v="3"/>
      <x/>
      <x v="2"/>
    </i>
    <i>
      <x v="44"/>
      <x v="150"/>
      <x v="661"/>
      <x v="505"/>
      <x v="3"/>
      <x/>
      <x/>
    </i>
    <i r="2">
      <x v="662"/>
      <x v="503"/>
      <x v="13"/>
      <x/>
      <x/>
    </i>
    <i r="2">
      <x v="663"/>
      <x v="504"/>
      <x v="4"/>
      <x/>
      <x/>
    </i>
    <i>
      <x v="45"/>
      <x v="105"/>
      <x v="664"/>
      <x v="424"/>
      <x v="3"/>
      <x/>
      <x/>
    </i>
    <i r="2">
      <x v="665"/>
      <x v="520"/>
      <x v="13"/>
      <x/>
      <x/>
    </i>
    <i>
      <x v="46"/>
      <x v="107"/>
      <x v="666"/>
      <x v="426"/>
      <x v="3"/>
      <x/>
      <x/>
    </i>
    <i r="4">
      <x v="13"/>
      <x/>
      <x/>
    </i>
    <i>
      <x v="47"/>
      <x v="106"/>
      <x v="667"/>
      <x v="425"/>
      <x v="3"/>
      <x/>
      <x/>
    </i>
    <i r="4">
      <x v="13"/>
      <x/>
      <x/>
    </i>
    <i>
      <x v="48"/>
      <x v="56"/>
      <x v="668"/>
      <x v="248"/>
      <x v="3"/>
      <x/>
      <x/>
    </i>
    <i r="4">
      <x v="4"/>
      <x/>
      <x/>
    </i>
    <i r="2">
      <x v="669"/>
      <x v="247"/>
      <x v="13"/>
      <x/>
      <x/>
    </i>
    <i>
      <x v="49"/>
      <x v="67"/>
      <x v="670"/>
      <x v="265"/>
      <x v="3"/>
      <x/>
      <x/>
    </i>
    <i r="2">
      <x v="671"/>
      <x v="266"/>
      <x v="13"/>
      <x/>
      <x/>
    </i>
    <i>
      <x v="50"/>
      <x v="152"/>
      <x v="672"/>
      <x v="303"/>
      <x v="3"/>
      <x/>
      <x v="10"/>
    </i>
    <i r="2">
      <x v="673"/>
      <x v="307"/>
      <x v="3"/>
      <x/>
      <x v="10"/>
    </i>
    <i r="2">
      <x v="674"/>
      <x v="304"/>
      <x v="3"/>
      <x/>
      <x v="10"/>
    </i>
    <i r="2">
      <x v="675"/>
      <x v="306"/>
      <x v="3"/>
      <x/>
      <x v="10"/>
    </i>
    <i r="2">
      <x v="676"/>
      <x v="305"/>
      <x v="3"/>
      <x/>
      <x v="10"/>
    </i>
    <i r="2">
      <x v="677"/>
      <x v="302"/>
      <x v="13"/>
      <x/>
      <x v="9"/>
    </i>
    <i>
      <x v="51"/>
      <x v="175"/>
      <x v="678"/>
      <x v="529"/>
      <x v="3"/>
      <x/>
      <x/>
    </i>
    <i r="2">
      <x v="679"/>
      <x v="250"/>
      <x v="3"/>
      <x/>
      <x/>
    </i>
    <i r="2">
      <x v="680"/>
      <x v="249"/>
      <x v="13"/>
      <x/>
      <x/>
    </i>
    <i>
      <x v="52"/>
      <x v="95"/>
      <x v="681"/>
      <x v="536"/>
      <x v="3"/>
      <x/>
      <x/>
    </i>
    <i r="2">
      <x v="682"/>
      <x v="376"/>
      <x v="3"/>
      <x/>
      <x/>
    </i>
    <i r="2">
      <x v="683"/>
      <x v="375"/>
      <x v="13"/>
      <x/>
      <x/>
    </i>
    <i>
      <x v="54"/>
      <x v="169"/>
      <x v="684"/>
      <x v="545"/>
      <x v="3"/>
      <x/>
      <x/>
    </i>
    <i>
      <x v="55"/>
      <x v="50"/>
      <x v="685"/>
      <x v="528"/>
      <x v="3"/>
      <x/>
      <x/>
    </i>
    <i r="2">
      <x v="686"/>
      <x v="239"/>
      <x v="3"/>
      <x/>
      <x/>
    </i>
    <i r="2">
      <x v="687"/>
      <x v="238"/>
      <x v="13"/>
      <x/>
      <x/>
    </i>
    <i>
      <x v="56"/>
      <x v="103"/>
      <x v="688"/>
      <x v="231"/>
      <x v="13"/>
      <x/>
      <x v="1"/>
    </i>
    <i r="4">
      <x v="14"/>
      <x/>
      <x v="1"/>
    </i>
    <i r="2">
      <x v="689"/>
      <x v="501"/>
      <x v="13"/>
      <x/>
      <x v="1"/>
    </i>
    <i r="4">
      <x v="14"/>
      <x/>
      <x v="1"/>
    </i>
    <i r="2">
      <x v="690"/>
      <x v="236"/>
      <x v="13"/>
      <x/>
      <x v="1"/>
    </i>
    <i r="4">
      <x v="14"/>
      <x/>
      <x v="1"/>
    </i>
    <i r="2">
      <x v="691"/>
      <x v="230"/>
      <x v="13"/>
      <x/>
      <x v="1"/>
    </i>
    <i r="4">
      <x v="14"/>
      <x/>
      <x v="1"/>
    </i>
    <i r="2">
      <x v="692"/>
      <x v="408"/>
      <x v="13"/>
      <x/>
      <x v="1"/>
    </i>
    <i r="4">
      <x v="14"/>
      <x/>
      <x v="1"/>
    </i>
    <i>
      <x v="57"/>
      <x v="110"/>
      <x v="693"/>
      <x v="8"/>
      <x v="13"/>
      <x/>
      <x v="1"/>
    </i>
    <i r="2">
      <x v="694"/>
      <x v="7"/>
      <x v="14"/>
      <x/>
      <x v="1"/>
    </i>
    <i>
      <x v="58"/>
      <x v="153"/>
      <x v="695"/>
      <x v="506"/>
      <x v="13"/>
      <x/>
      <x/>
    </i>
    <i>
      <x v="59"/>
      <x v="113"/>
      <x v="696"/>
      <x v="457"/>
      <x v="13"/>
      <x/>
      <x/>
    </i>
    <i>
      <x v="60"/>
      <x v="99"/>
      <x v="697"/>
      <x v="409"/>
      <x v="3"/>
      <x/>
      <x v="9"/>
    </i>
    <i r="4">
      <x v="4"/>
      <x/>
      <x v="9"/>
    </i>
    <i r="4">
      <x v="13"/>
      <x/>
      <x v="9"/>
    </i>
    <i r="2">
      <x v="698"/>
      <x v="410"/>
      <x v="3"/>
      <x/>
      <x v="9"/>
    </i>
    <i r="4">
      <x v="4"/>
      <x/>
      <x v="9"/>
    </i>
    <i r="4">
      <x v="13"/>
      <x/>
      <x v="9"/>
    </i>
    <i r="2">
      <x v="699"/>
      <x v="413"/>
      <x v="3"/>
      <x/>
      <x v="9"/>
    </i>
    <i r="4">
      <x v="4"/>
      <x/>
      <x v="9"/>
    </i>
    <i r="4">
      <x v="13"/>
      <x/>
      <x v="9"/>
    </i>
    <i r="2">
      <x v="700"/>
      <x v="412"/>
      <x v="3"/>
      <x/>
      <x v="9"/>
    </i>
    <i r="4">
      <x v="4"/>
      <x/>
      <x v="9"/>
    </i>
    <i r="4">
      <x v="13"/>
      <x/>
      <x v="9"/>
    </i>
    <i r="2">
      <x v="701"/>
      <x v="411"/>
      <x v="3"/>
      <x/>
      <x v="9"/>
    </i>
    <i r="4">
      <x v="4"/>
      <x/>
      <x v="9"/>
    </i>
    <i r="4">
      <x v="13"/>
      <x/>
      <x v="9"/>
    </i>
    <i r="2">
      <x v="702"/>
      <x v="129"/>
      <x v="21"/>
      <x/>
      <x/>
    </i>
    <i>
      <x v="61"/>
      <x v="49"/>
      <x v="703"/>
      <x v="235"/>
      <x v="13"/>
      <x/>
      <x v="2"/>
    </i>
    <i>
      <x v="62"/>
      <x v="20"/>
      <x v="704"/>
      <x v="113"/>
      <x v="13"/>
      <x/>
      <x v="9"/>
    </i>
    <i>
      <x v="63"/>
      <x v="129"/>
      <x v="705"/>
      <x v="485"/>
      <x v="13"/>
      <x/>
      <x v="9"/>
    </i>
    <i>
      <x v="65"/>
      <x v="82"/>
      <x v="706"/>
      <x v="340"/>
      <x v="13"/>
      <x/>
      <x v="9"/>
    </i>
    <i>
      <x v="66"/>
      <x v="101"/>
      <x v="707"/>
      <x v="415"/>
      <x v="13"/>
      <x/>
      <x v="9"/>
    </i>
    <i>
      <x v="67"/>
      <x v="12"/>
      <x v="708"/>
      <x v="83"/>
      <x v="13"/>
      <x/>
      <x v="9"/>
    </i>
    <i>
      <x v="68"/>
      <x v="31"/>
      <x v="709"/>
      <x v="144"/>
      <x v="13"/>
      <x/>
      <x/>
    </i>
    <i>
      <x v="69"/>
      <x v="154"/>
      <x v="710"/>
      <x v="507"/>
      <x v="13"/>
      <x/>
      <x v="9"/>
    </i>
    <i>
      <x v="70"/>
      <x v="70"/>
      <x v="711"/>
      <x v="283"/>
      <x v="13"/>
      <x/>
      <x v="9"/>
    </i>
    <i>
      <x v="71"/>
      <x v="136"/>
      <x v="712"/>
      <x v="531"/>
      <x v="13"/>
      <x/>
      <x/>
    </i>
    <i r="2">
      <x v="713"/>
      <x v="168"/>
      <x v="2"/>
      <x/>
      <x/>
    </i>
    <i r="4">
      <x v="4"/>
      <x/>
      <x/>
    </i>
    <i r="4">
      <x v="7"/>
      <x/>
      <x/>
    </i>
    <i r="4">
      <x v="11"/>
      <x/>
      <x/>
    </i>
    <i r="4">
      <x v="13"/>
      <x/>
      <x/>
    </i>
    <i r="4">
      <x v="14"/>
      <x/>
      <x/>
    </i>
    <i r="4">
      <x v="15"/>
      <x/>
      <x/>
    </i>
    <i r="4">
      <x v="26"/>
      <x/>
      <x/>
    </i>
    <i>
      <x v="72"/>
      <x v="148"/>
      <x v="714"/>
      <x v="502"/>
      <x v="13"/>
      <x/>
      <x/>
    </i>
    <i>
      <x v="73"/>
      <x v="137"/>
      <x v="715"/>
      <x v="170"/>
      <x v="10"/>
      <x/>
      <x/>
    </i>
    <i r="4">
      <x v="11"/>
      <x/>
      <x/>
    </i>
    <i r="4">
      <x v="13"/>
      <x/>
      <x/>
    </i>
    <i r="4">
      <x v="14"/>
      <x/>
      <x/>
    </i>
    <i>
      <x v="74"/>
      <x v="141"/>
      <x v="716"/>
      <x v="538"/>
      <x v="11"/>
      <x/>
      <x/>
    </i>
    <i r="4">
      <x v="13"/>
      <x/>
      <x/>
    </i>
    <i r="2">
      <x v="717"/>
      <x v="173"/>
      <x v="2"/>
      <x/>
      <x/>
    </i>
    <i r="4">
      <x v="3"/>
      <x/>
      <x/>
    </i>
    <i r="4">
      <x v="4"/>
      <x/>
      <x/>
    </i>
    <i r="4">
      <x v="7"/>
      <x/>
      <x/>
    </i>
    <i r="4">
      <x v="11"/>
      <x/>
      <x/>
    </i>
    <i r="4">
      <x v="13"/>
      <x/>
      <x/>
    </i>
    <i r="4">
      <x v="14"/>
      <x/>
      <x/>
    </i>
    <i r="4">
      <x v="15"/>
      <x/>
      <x/>
    </i>
    <i r="4">
      <x v="26"/>
      <x/>
      <x/>
    </i>
    <i>
      <x v="76"/>
      <x v="135"/>
      <x v="718"/>
      <x v="166"/>
      <x v="3"/>
      <x/>
      <x/>
    </i>
    <i r="4">
      <x v="4"/>
      <x/>
      <x/>
    </i>
    <i r="4">
      <x v="13"/>
      <x/>
      <x/>
    </i>
    <i>
      <x v="77"/>
      <x v="100"/>
      <x v="719"/>
      <x v="414"/>
      <x v="3"/>
      <x/>
      <x/>
    </i>
    <i r="4">
      <x v="4"/>
      <x/>
      <x/>
    </i>
    <i r="4">
      <x v="13"/>
      <x/>
      <x/>
    </i>
    <i>
      <x v="78"/>
      <x v="119"/>
      <x v="720"/>
      <x v="87"/>
      <x v="11"/>
      <x/>
      <x/>
    </i>
    <i r="2">
      <x v="721"/>
      <x v="85"/>
      <x v="11"/>
      <x/>
      <x/>
    </i>
    <i r="2">
      <x v="722"/>
      <x v="86"/>
      <x v="10"/>
      <x/>
      <x/>
    </i>
    <i>
      <x v="79"/>
      <x v="120"/>
      <x v="723"/>
      <x v="474"/>
      <x v="11"/>
      <x/>
      <x/>
    </i>
    <i r="2">
      <x v="724"/>
      <x v="473"/>
      <x v="11"/>
      <x/>
      <x/>
    </i>
    <i>
      <x v="80"/>
      <x v="1"/>
      <x v="725"/>
      <x v="9"/>
      <x v="10"/>
      <x/>
      <x v="9"/>
    </i>
    <i r="4">
      <x v="11"/>
      <x/>
      <x v="9"/>
    </i>
    <i r="4">
      <x v="12"/>
      <x/>
      <x v="9"/>
    </i>
    <i>
      <x v="81"/>
      <x v="73"/>
      <x v="726"/>
      <x v="309"/>
      <x v="11"/>
      <x/>
      <x v="3"/>
    </i>
    <i r="2">
      <x v="727"/>
      <x v="308"/>
      <x v="10"/>
      <x/>
      <x v="3"/>
    </i>
    <i>
      <x v="82"/>
      <x v="89"/>
      <x v="728"/>
      <x v="350"/>
      <x v="11"/>
      <x/>
      <x v="3"/>
    </i>
    <i r="2">
      <x v="729"/>
      <x v="349"/>
      <x v="10"/>
      <x/>
      <x v="3"/>
    </i>
    <i>
      <x v="83"/>
      <x v="41"/>
      <x v="730"/>
      <x v="205"/>
      <x v="11"/>
      <x/>
      <x v="9"/>
    </i>
    <i r="2">
      <x v="731"/>
      <x v="204"/>
      <x v="10"/>
      <x/>
      <x v="9"/>
    </i>
    <i>
      <x v="84"/>
      <x v="8"/>
      <x v="732"/>
      <x v="343"/>
      <x v="11"/>
      <x/>
      <x v="3"/>
    </i>
    <i r="2">
      <x v="733"/>
      <x v="342"/>
      <x v="10"/>
      <x/>
      <x v="3"/>
    </i>
    <i r="2">
      <x v="734"/>
      <x v="59"/>
      <x v="11"/>
      <x/>
      <x v="9"/>
    </i>
    <i r="4">
      <x v="12"/>
      <x/>
      <x v="9"/>
    </i>
    <i r="2">
      <x v="735"/>
      <x v="67"/>
      <x v="10"/>
      <x/>
      <x v="9"/>
    </i>
    <i>
      <x v="85"/>
      <x v="117"/>
      <x v="736"/>
      <x v="471"/>
      <x v="11"/>
      <x/>
      <x v="9"/>
    </i>
    <i r="2">
      <x v="737"/>
      <x v="466"/>
      <x v="10"/>
      <x/>
      <x v="9"/>
    </i>
    <i>
      <x v="86"/>
      <x v="114"/>
      <x v="738"/>
      <x v="459"/>
      <x v="11"/>
      <x/>
      <x v="9"/>
    </i>
    <i r="2">
      <x v="739"/>
      <x v="458"/>
      <x v="10"/>
      <x/>
      <x v="9"/>
    </i>
    <i>
      <x v="87"/>
      <x v="118"/>
      <x v="740"/>
      <x v="181"/>
      <x v="25"/>
      <x/>
      <x v="2"/>
    </i>
    <i r="2">
      <x v="741"/>
      <x v="448"/>
      <x v="25"/>
      <x/>
      <x v="2"/>
    </i>
    <i r="2">
      <x v="742"/>
      <x v="483"/>
      <x v="22"/>
      <x/>
      <x v="1"/>
    </i>
    <i r="2">
      <x v="743"/>
      <x v="316"/>
      <x v="26"/>
      <x/>
      <x v="1"/>
    </i>
    <i r="2">
      <x v="744"/>
      <x v="89"/>
      <x v="11"/>
      <x/>
      <x v="1"/>
    </i>
    <i r="2">
      <x v="745"/>
      <x v="88"/>
      <x v="10"/>
      <x/>
      <x v="1"/>
    </i>
    <i>
      <x v="88"/>
      <x v="17"/>
      <x v="746"/>
      <x v="103"/>
      <x v="11"/>
      <x/>
      <x v="2"/>
    </i>
    <i>
      <x v="89"/>
      <x v="5"/>
      <x v="747"/>
      <x v="39"/>
      <x v="11"/>
      <x/>
      <x/>
    </i>
    <i>
      <x v="90"/>
      <x v="121"/>
      <x v="748"/>
      <x v="475"/>
      <x v="11"/>
      <x/>
      <x v="9"/>
    </i>
    <i r="2">
      <x v="749"/>
      <x v="476"/>
      <x v="11"/>
      <x/>
      <x v="9"/>
    </i>
    <i>
      <x v="91"/>
      <x v="165"/>
      <x v="750"/>
      <x v="14"/>
      <x v="6"/>
      <x/>
      <x v="1"/>
    </i>
    <i r="2">
      <x v="751"/>
      <x v="15"/>
      <x v="5"/>
      <x/>
      <x v="1"/>
    </i>
    <i r="4">
      <x v="7"/>
      <x/>
      <x v="1"/>
    </i>
    <i r="4">
      <x v="11"/>
      <x/>
      <x v="1"/>
    </i>
    <i r="4">
      <x v="13"/>
      <x/>
      <x v="1"/>
    </i>
    <i r="2">
      <x v="752"/>
      <x v="3"/>
      <x v="6"/>
      <x/>
      <x v="1"/>
    </i>
    <i r="2">
      <x v="753"/>
      <x v="4"/>
      <x v="7"/>
      <x/>
      <x v="1"/>
    </i>
    <i r="4">
      <x v="11"/>
      <x/>
      <x v="1"/>
    </i>
    <i r="2">
      <x v="754"/>
      <x v="49"/>
      <x v="6"/>
      <x/>
      <x v="6"/>
    </i>
    <i r="2">
      <x v="755"/>
      <x v="50"/>
      <x v="5"/>
      <x/>
      <x v="6"/>
    </i>
    <i r="4">
      <x v="7"/>
      <x/>
      <x v="6"/>
    </i>
    <i r="4">
      <x v="11"/>
      <x/>
      <x v="1"/>
    </i>
    <i r="4">
      <x v="26"/>
      <x/>
      <x v="1"/>
    </i>
    <i r="2">
      <x v="756"/>
      <x v="486"/>
      <x v="7"/>
      <x/>
      <x/>
    </i>
    <i r="2">
      <x v="757"/>
      <x v="109"/>
      <x v="7"/>
      <x/>
      <x v="1"/>
    </i>
    <i r="2">
      <x v="758"/>
      <x v="110"/>
      <x v="15"/>
      <x/>
      <x v="1"/>
    </i>
    <i r="2">
      <x v="759"/>
      <x v="469"/>
      <x v="7"/>
      <x/>
      <x v="1"/>
    </i>
    <i r="2">
      <x v="760"/>
      <x v="470"/>
      <x/>
      <x/>
      <x v="1"/>
    </i>
    <i r="2">
      <x v="761"/>
      <x v="467"/>
      <x/>
      <x/>
      <x v="1"/>
    </i>
    <i r="2">
      <x v="762"/>
      <x v="468"/>
      <x v="7"/>
      <x/>
      <x v="1"/>
    </i>
    <i>
      <x v="92"/>
      <x v="34"/>
      <x v="763"/>
      <x v="132"/>
      <x v="5"/>
      <x/>
      <x v="2"/>
    </i>
    <i r="2">
      <x v="764"/>
      <x v="133"/>
      <x v="5"/>
      <x/>
      <x v="2"/>
    </i>
    <i r="2">
      <x v="765"/>
      <x v="443"/>
      <x v="5"/>
      <x/>
      <x/>
    </i>
    <i r="2">
      <x v="766"/>
      <x v="192"/>
      <x v="5"/>
      <x/>
      <x v="8"/>
    </i>
    <i r="2">
      <x v="767"/>
      <x v="193"/>
      <x v="5"/>
      <x/>
      <x v="8"/>
    </i>
    <i r="2">
      <x v="768"/>
      <x v="54"/>
      <x v="5"/>
      <x/>
      <x v="8"/>
    </i>
    <i r="2">
      <x v="769"/>
      <x v="58"/>
      <x v="5"/>
      <x/>
      <x v="8"/>
    </i>
    <i r="2">
      <x v="770"/>
      <x v="53"/>
      <x v="6"/>
      <x/>
      <x v="8"/>
    </i>
    <i r="2">
      <x v="771"/>
      <x v="57"/>
      <x v="6"/>
      <x/>
      <x v="8"/>
    </i>
    <i r="2">
      <x v="772"/>
      <x v="61"/>
      <x v="5"/>
      <x/>
      <x/>
    </i>
    <i r="2">
      <x v="773"/>
      <x v="60"/>
      <x v="6"/>
      <x/>
      <x/>
    </i>
    <i r="2">
      <x v="774"/>
      <x v="69"/>
      <x v="6"/>
      <x/>
      <x v="2"/>
    </i>
    <i r="2">
      <x v="775"/>
      <x v="68"/>
      <x v="6"/>
      <x/>
      <x v="2"/>
    </i>
    <i r="2">
      <x v="776"/>
      <x v="368"/>
      <x v="6"/>
      <x/>
      <x/>
    </i>
    <i r="2">
      <x v="777"/>
      <x v="367"/>
      <x v="5"/>
      <x/>
      <x/>
    </i>
    <i r="2">
      <x v="778"/>
      <x v="64"/>
      <x v="7"/>
      <x/>
      <x/>
    </i>
    <i r="4">
      <x v="26"/>
      <x/>
      <x/>
    </i>
    <i>
      <x v="93"/>
      <x v="75"/>
      <x v="779"/>
      <x v="268"/>
      <x v="5"/>
      <x/>
      <x v="6"/>
    </i>
    <i r="2">
      <x v="780"/>
      <x v="270"/>
      <x v="5"/>
      <x/>
      <x v="6"/>
    </i>
    <i r="2">
      <x v="781"/>
      <x v="269"/>
      <x v="6"/>
      <x/>
      <x v="6"/>
    </i>
    <i r="2">
      <x v="782"/>
      <x v="267"/>
      <x v="5"/>
      <x/>
      <x v="6"/>
    </i>
    <i r="2">
      <x v="783"/>
      <x v="294"/>
      <x v="5"/>
      <x/>
      <x v="6"/>
    </i>
    <i r="2">
      <x v="784"/>
      <x v="295"/>
      <x v="6"/>
      <x/>
      <x v="6"/>
    </i>
    <i>
      <x v="94"/>
      <x v="127"/>
      <x v="785"/>
      <x v="271"/>
      <x v="5"/>
      <x/>
      <x/>
    </i>
    <i r="4">
      <x v="7"/>
      <x/>
      <x/>
    </i>
    <i r="2">
      <x v="786"/>
      <x v="417"/>
      <x v="5"/>
      <x/>
      <x/>
    </i>
    <i r="2">
      <x v="787"/>
      <x v="131"/>
      <x v="6"/>
      <x/>
      <x v="1"/>
    </i>
    <i>
      <x v="95"/>
      <x v="35"/>
      <x v="788"/>
      <x v="388"/>
      <x v="5"/>
      <x/>
      <x v="2"/>
    </i>
    <i r="2">
      <x v="789"/>
      <x v="387"/>
      <x v="5"/>
      <x/>
      <x/>
    </i>
    <i r="2">
      <x v="790"/>
      <x v="392"/>
      <x v="5"/>
      <x/>
      <x/>
    </i>
    <i r="4">
      <x v="7"/>
      <x/>
      <x/>
    </i>
    <i r="4">
      <x v="26"/>
      <x/>
      <x/>
    </i>
    <i r="2">
      <x v="791"/>
      <x v="391"/>
      <x v="5"/>
      <x/>
      <x v="2"/>
    </i>
    <i r="4">
      <x v="7"/>
      <x/>
      <x/>
    </i>
    <i r="2">
      <x v="792"/>
      <x v="389"/>
      <x v="26"/>
      <x/>
      <x/>
    </i>
    <i r="2">
      <x v="793"/>
      <x v="390"/>
      <x v="26"/>
      <x/>
      <x/>
    </i>
    <i r="2">
      <x v="794"/>
      <x v="200"/>
      <x v="5"/>
      <x/>
      <x/>
    </i>
    <i r="4">
      <x v="26"/>
      <x/>
      <x/>
    </i>
    <i r="2">
      <x v="795"/>
      <x v="201"/>
      <x v="5"/>
      <x/>
      <x/>
    </i>
    <i r="2">
      <x v="796"/>
      <x v="199"/>
      <x v="6"/>
      <x/>
      <x/>
    </i>
    <i r="4">
      <x v="7"/>
      <x/>
      <x/>
    </i>
    <i r="4">
      <x v="26"/>
      <x/>
      <x/>
    </i>
    <i r="2">
      <x v="797"/>
      <x v="203"/>
      <x v="5"/>
      <x/>
      <x/>
    </i>
    <i r="4">
      <x v="7"/>
      <x/>
      <x/>
    </i>
    <i r="4">
      <x v="26"/>
      <x/>
      <x/>
    </i>
    <i r="2">
      <x v="798"/>
      <x v="202"/>
      <x v="5"/>
      <x/>
      <x/>
    </i>
    <i r="4">
      <x v="7"/>
      <x/>
      <x/>
    </i>
    <i>
      <x v="96"/>
      <x v="87"/>
      <x v="799"/>
      <x v="63"/>
      <x v="6"/>
      <x/>
      <x v="6"/>
    </i>
    <i r="2">
      <x v="800"/>
      <x v="272"/>
      <x v="6"/>
      <x/>
      <x/>
    </i>
    <i>
      <x v="97"/>
      <x v="86"/>
      <x v="801"/>
      <x v="490"/>
      <x v="7"/>
      <x/>
      <x/>
    </i>
    <i r="2">
      <x v="802"/>
      <x v="299"/>
      <x v="5"/>
      <x/>
      <x/>
    </i>
    <i r="2">
      <x v="803"/>
      <x v="298"/>
      <x v="6"/>
      <x/>
      <x/>
    </i>
    <i r="2">
      <x v="804"/>
      <x v="296"/>
      <x v="6"/>
      <x/>
      <x v="6"/>
    </i>
    <i r="2">
      <x v="805"/>
      <x v="293"/>
      <x v="6"/>
      <x/>
      <x v="6"/>
    </i>
    <i>
      <x v="98"/>
      <x v="55"/>
      <x v="806"/>
      <x v="45"/>
      <x v="7"/>
      <x/>
      <x v="1"/>
    </i>
    <i r="2">
      <x v="807"/>
      <x v="46"/>
      <x v="26"/>
      <x/>
      <x/>
    </i>
    <i r="2">
      <x v="808"/>
      <x v="191"/>
      <x v="5"/>
      <x/>
      <x/>
    </i>
    <i r="2">
      <x v="809"/>
      <x v="403"/>
      <x v="5"/>
      <x/>
      <x v="6"/>
    </i>
    <i r="2">
      <x v="810"/>
      <x v="404"/>
      <x v="6"/>
      <x/>
      <x v="6"/>
    </i>
    <i r="2">
      <x v="811"/>
      <x v="405"/>
      <x v="5"/>
      <x/>
      <x v="6"/>
    </i>
    <i r="2">
      <x v="812"/>
      <x v="406"/>
      <x v="6"/>
      <x/>
      <x/>
    </i>
    <i>
      <x v="99"/>
      <x v="85"/>
      <x v="813"/>
      <x v="462"/>
      <x/>
      <x/>
      <x v="2"/>
    </i>
    <i r="2">
      <x v="814"/>
      <x v="463"/>
      <x/>
      <x/>
      <x v="2"/>
    </i>
    <i r="2">
      <x v="815"/>
      <x v="472"/>
      <x/>
      <x/>
      <x v="2"/>
    </i>
    <i r="2">
      <x v="816"/>
      <x v="465"/>
      <x/>
      <x/>
      <x/>
    </i>
    <i r="2">
      <x v="817"/>
      <x v="464"/>
      <x/>
      <x/>
      <x/>
    </i>
    <i>
      <x v="100"/>
      <x v="51"/>
      <x v="818"/>
      <x v="139"/>
      <x v="15"/>
      <x/>
      <x v="2"/>
    </i>
    <i r="2">
      <x v="819"/>
      <x v="106"/>
      <x v="5"/>
      <x/>
      <x v="6"/>
    </i>
    <i r="2">
      <x v="820"/>
      <x v="107"/>
      <x v="6"/>
      <x/>
      <x v="6"/>
    </i>
    <i r="2">
      <x v="821"/>
      <x v="108"/>
      <x v="5"/>
      <x/>
      <x v="6"/>
    </i>
    <i r="2">
      <x v="822"/>
      <x v="111"/>
      <x v="6"/>
      <x/>
      <x v="6"/>
    </i>
    <i>
      <x v="101"/>
      <x v="36"/>
      <x v="823"/>
      <x v="194"/>
      <x v="6"/>
      <x/>
      <x v="2"/>
    </i>
    <i r="4">
      <x v="7"/>
      <x/>
      <x v="2"/>
    </i>
    <i>
      <x v="102"/>
      <x v="37"/>
      <x v="824"/>
      <x v="284"/>
      <x v="5"/>
      <x/>
      <x v="2"/>
    </i>
    <i r="2">
      <x v="825"/>
      <x v="285"/>
      <x v="6"/>
      <x/>
      <x v="2"/>
    </i>
    <i r="2">
      <x v="826"/>
      <x v="287"/>
      <x v="7"/>
      <x/>
      <x v="2"/>
    </i>
    <i r="2">
      <x v="827"/>
      <x v="286"/>
      <x v="5"/>
      <x/>
      <x/>
    </i>
    <i>
      <x v="103"/>
      <x v="76"/>
      <x v="828"/>
      <x v="207"/>
      <x v="6"/>
      <x/>
      <x v="6"/>
    </i>
    <i r="2">
      <x v="829"/>
      <x v="206"/>
      <x v="5"/>
      <x/>
      <x v="6"/>
    </i>
    <i r="2">
      <x v="830"/>
      <x v="208"/>
      <x v="6"/>
      <x/>
      <x v="6"/>
    </i>
    <i r="2">
      <x v="831"/>
      <x v="210"/>
      <x v="5"/>
      <x/>
      <x/>
    </i>
    <i r="2">
      <x v="832"/>
      <x v="209"/>
      <x v="6"/>
      <x/>
      <x v="6"/>
    </i>
    <i r="2">
      <x v="833"/>
      <x v="211"/>
      <x v="5"/>
      <x/>
      <x/>
    </i>
    <i r="2">
      <x v="834"/>
      <x v="212"/>
      <x v="6"/>
      <x/>
      <x/>
    </i>
    <i r="4">
      <x v="26"/>
      <x/>
      <x/>
    </i>
    <i>
      <x v="104"/>
      <x v="84"/>
      <x v="835"/>
      <x v="66"/>
      <x v="6"/>
      <x/>
      <x v="2"/>
    </i>
    <i r="2">
      <x v="836"/>
      <x v="70"/>
      <x v="5"/>
      <x/>
      <x v="9"/>
    </i>
    <i r="2">
      <x v="837"/>
      <x v="62"/>
      <x v="5"/>
      <x/>
      <x v="9"/>
    </i>
    <i r="2">
      <x v="838"/>
      <x v="383"/>
      <x v="5"/>
      <x/>
      <x v="9"/>
    </i>
    <i>
      <x v="105"/>
      <x v="140"/>
      <x v="839"/>
      <x v="537"/>
      <x v="7"/>
      <x/>
      <x/>
    </i>
    <i r="4">
      <x v="11"/>
      <x/>
      <x/>
    </i>
    <i r="4">
      <x v="26"/>
      <x/>
      <x/>
    </i>
    <i r="2">
      <x v="840"/>
      <x v="187"/>
      <x v="25"/>
      <x/>
      <x v="2"/>
    </i>
    <i r="2">
      <x v="841"/>
      <x v="454"/>
      <x v="25"/>
      <x/>
      <x v="2"/>
    </i>
    <i r="2">
      <x v="842"/>
      <x v="172"/>
      <x v="7"/>
      <x/>
      <x/>
    </i>
    <i r="4">
      <x v="11"/>
      <x/>
      <x/>
    </i>
    <i r="4">
      <x v="13"/>
      <x/>
      <x/>
    </i>
    <i r="4">
      <x v="25"/>
      <x/>
      <x/>
    </i>
    <i r="4">
      <x v="26"/>
      <x/>
      <x/>
    </i>
    <i r="2">
      <x v="843"/>
      <x v="377"/>
      <x v="7"/>
      <x/>
      <x/>
    </i>
    <i r="4">
      <x v="26"/>
      <x/>
      <x/>
    </i>
    <i>
      <x v="106"/>
      <x v="94"/>
      <x v="844"/>
      <x v="500"/>
      <x v="5"/>
      <x/>
      <x/>
    </i>
    <i r="2">
      <x v="845"/>
      <x v="382"/>
      <x v="6"/>
      <x/>
      <x/>
    </i>
    <i r="2">
      <x v="846"/>
      <x v="380"/>
      <x v="6"/>
      <x/>
      <x v="1"/>
    </i>
    <i r="2">
      <x v="847"/>
      <x v="381"/>
      <x v="7"/>
      <x/>
      <x/>
    </i>
    <i r="2">
      <x v="848"/>
      <x v="365"/>
      <x v="5"/>
      <x/>
      <x/>
    </i>
    <i r="4">
      <x v="7"/>
      <x/>
      <x/>
    </i>
    <i r="2">
      <x v="849"/>
      <x v="370"/>
      <x v="6"/>
      <x/>
      <x/>
    </i>
    <i r="2">
      <x v="850"/>
      <x v="369"/>
      <x v="6"/>
      <x/>
      <x/>
    </i>
    <i r="2">
      <x v="851"/>
      <x v="366"/>
      <x v="6"/>
      <x/>
      <x/>
    </i>
    <i r="2">
      <x v="852"/>
      <x v="372"/>
      <x v="5"/>
      <x/>
      <x/>
    </i>
    <i r="2">
      <x v="853"/>
      <x v="378"/>
      <x v="26"/>
      <x/>
      <x/>
    </i>
    <i>
      <x v="107"/>
      <x v="164"/>
      <x v="854"/>
      <x v="16"/>
      <x v="6"/>
      <x/>
      <x v="1"/>
    </i>
    <i r="2">
      <x v="855"/>
      <x v="17"/>
      <x v="7"/>
      <x/>
      <x v="1"/>
    </i>
    <i>
      <x v="108"/>
      <x v="92"/>
      <x v="856"/>
      <x v="419"/>
      <x v="7"/>
      <x/>
      <x v="9"/>
    </i>
    <i r="2">
      <x v="857"/>
      <x v="418"/>
      <x v="7"/>
      <x/>
      <x v="9"/>
    </i>
    <i>
      <x v="109"/>
      <x v="93"/>
      <x v="858"/>
      <x v="355"/>
      <x v="6"/>
      <x/>
      <x/>
    </i>
    <i r="2">
      <x v="859"/>
      <x v="156"/>
      <x v="7"/>
      <x/>
      <x v="8"/>
    </i>
    <i r="2">
      <x v="860"/>
      <x v="155"/>
      <x v="6"/>
      <x/>
      <x v="1"/>
    </i>
    <i r="2">
      <x v="861"/>
      <x v="10"/>
      <x v="7"/>
      <x/>
      <x v="1"/>
    </i>
    <i r="2">
      <x v="862"/>
      <x v="1"/>
      <x v="6"/>
      <x/>
      <x v="1"/>
    </i>
    <i r="2">
      <x v="863"/>
      <x v="2"/>
      <x v="7"/>
      <x/>
      <x v="1"/>
    </i>
    <i r="2">
      <x v="864"/>
      <x v="47"/>
      <x v="6"/>
      <x/>
      <x v="6"/>
    </i>
    <i r="2">
      <x v="865"/>
      <x v="48"/>
      <x v="5"/>
      <x/>
      <x v="6"/>
    </i>
    <i r="4">
      <x v="7"/>
      <x/>
      <x v="6"/>
    </i>
    <i r="2">
      <x v="866"/>
      <x v="371"/>
      <x v="5"/>
      <x/>
      <x v="8"/>
    </i>
    <i r="2">
      <x v="867"/>
      <x v="373"/>
      <x v="5"/>
      <x/>
      <x v="8"/>
    </i>
    <i r="2">
      <x v="868"/>
      <x v="52"/>
      <x v="5"/>
      <x/>
      <x v="8"/>
    </i>
    <i r="2">
      <x v="869"/>
      <x v="56"/>
      <x v="5"/>
      <x/>
      <x v="8"/>
    </i>
    <i r="2">
      <x v="870"/>
      <x v="51"/>
      <x v="6"/>
      <x/>
      <x v="8"/>
    </i>
    <i r="2">
      <x v="871"/>
      <x v="55"/>
      <x v="6"/>
      <x/>
      <x v="8"/>
    </i>
    <i r="2">
      <x v="872"/>
      <x v="374"/>
      <x v="5"/>
      <x/>
      <x/>
    </i>
    <i r="2">
      <x v="873"/>
      <x v="477"/>
      <x v="5"/>
      <x/>
      <x/>
    </i>
    <i r="2">
      <x v="874"/>
      <x v="478"/>
      <x v="5"/>
      <x/>
      <x/>
    </i>
    <i r="2">
      <x v="875"/>
      <x v="491"/>
      <x v="5"/>
      <x/>
      <x/>
    </i>
    <i r="2">
      <x v="876"/>
      <x v="364"/>
      <x v="6"/>
      <x/>
      <x/>
    </i>
    <i r="2">
      <x v="877"/>
      <x v="363"/>
      <x v="5"/>
      <x/>
      <x/>
    </i>
    <i r="2">
      <x v="878"/>
      <x v="360"/>
      <x v="5"/>
      <x/>
      <x v="6"/>
    </i>
    <i r="2">
      <x v="879"/>
      <x v="362"/>
      <x v="5"/>
      <x/>
      <x v="6"/>
    </i>
    <i r="2">
      <x v="880"/>
      <x v="361"/>
      <x v="6"/>
      <x/>
      <x v="6"/>
    </i>
    <i r="2">
      <x v="881"/>
      <x v="359"/>
      <x v="5"/>
      <x/>
      <x v="6"/>
    </i>
    <i r="2">
      <x v="882"/>
      <x v="158"/>
      <x v="5"/>
      <x/>
      <x/>
    </i>
    <i r="4">
      <x v="7"/>
      <x/>
      <x/>
    </i>
    <i r="2">
      <x v="883"/>
      <x v="159"/>
      <x v="5"/>
      <x/>
      <x/>
    </i>
    <i r="2">
      <x v="884"/>
      <x v="157"/>
      <x v="6"/>
      <x/>
      <x v="1"/>
    </i>
    <i>
      <x v="110"/>
      <x v="167"/>
      <x v="885"/>
      <x v="401"/>
      <x v="1"/>
      <x/>
      <x v="1"/>
    </i>
    <i r="4">
      <x v="26"/>
      <x/>
      <x v="1"/>
    </i>
    <i r="2">
      <x v="886"/>
      <x v="402"/>
      <x v="2"/>
      <x/>
      <x/>
    </i>
    <i r="4">
      <x v="11"/>
      <x/>
      <x/>
    </i>
    <i r="4">
      <x v="22"/>
      <x/>
      <x/>
    </i>
    <i r="4">
      <x v="23"/>
      <x/>
      <x/>
    </i>
    <i r="2">
      <x v="887"/>
      <x v="400"/>
      <x v="26"/>
      <x/>
      <x/>
    </i>
    <i>
      <x v="111"/>
      <x v="145"/>
      <x v="888"/>
      <x v="385"/>
      <x v="26"/>
      <x/>
      <x/>
    </i>
    <i r="2">
      <x v="889"/>
      <x v="386"/>
      <x v="23"/>
      <x/>
      <x/>
    </i>
    <i r="2">
      <x v="890"/>
      <x v="384"/>
      <x v="23"/>
      <x/>
      <x/>
    </i>
    <i r="2">
      <x v="891"/>
      <x v="225"/>
      <x v="26"/>
      <x/>
      <x/>
    </i>
    <i>
      <x v="112"/>
      <x v="61"/>
      <x v="892"/>
      <x v="150"/>
      <x v="26"/>
      <x/>
      <x/>
    </i>
    <i r="2">
      <x v="893"/>
      <x v="151"/>
      <x v="23"/>
      <x/>
      <x/>
    </i>
    <i r="2">
      <x v="894"/>
      <x v="416"/>
      <x v="26"/>
      <x/>
      <x/>
    </i>
    <i>
      <x v="113"/>
      <x v="146"/>
      <x v="895"/>
      <x v="121"/>
      <x v="26"/>
      <x/>
      <x v="2"/>
    </i>
    <i r="2">
      <x v="896"/>
      <x v="120"/>
      <x v="26"/>
      <x/>
      <x v="2"/>
    </i>
    <i r="2">
      <x v="897"/>
      <x v="123"/>
      <x v="22"/>
      <x/>
      <x v="2"/>
    </i>
    <i r="4">
      <x v="23"/>
      <x/>
      <x v="2"/>
    </i>
    <i r="2">
      <x v="898"/>
      <x v="122"/>
      <x v="22"/>
      <x/>
      <x v="2"/>
    </i>
    <i r="4">
      <x v="23"/>
      <x/>
      <x v="2"/>
    </i>
    <i r="2">
      <x v="899"/>
      <x v="119"/>
      <x v="26"/>
      <x/>
      <x v="2"/>
    </i>
    <i r="2">
      <x v="900"/>
      <x v="118"/>
      <x v="26"/>
      <x/>
      <x v="2"/>
    </i>
    <i r="2">
      <x v="901"/>
      <x v="124"/>
      <x v="11"/>
      <x/>
      <x/>
    </i>
    <i>
      <x v="114"/>
      <x v="161"/>
      <x v="902"/>
      <x v="497"/>
      <x v="25"/>
      <x/>
      <x v="2"/>
    </i>
    <i r="2">
      <x v="903"/>
      <x v="319"/>
      <x v="22"/>
      <x/>
      <x v="2"/>
    </i>
    <i r="2">
      <x v="904"/>
      <x v="152"/>
      <x v="25"/>
      <x/>
      <x v="2"/>
    </i>
    <i r="2">
      <x v="905"/>
      <x v="323"/>
      <x v="22"/>
      <x/>
      <x v="2"/>
    </i>
    <i r="4">
      <x v="25"/>
      <x/>
      <x v="2"/>
    </i>
    <i>
      <x v="115"/>
      <x v="80"/>
      <x v="906"/>
      <x v="184"/>
      <x v="25"/>
      <x/>
      <x v="2"/>
    </i>
    <i r="2">
      <x v="907"/>
      <x v="451"/>
      <x v="25"/>
      <x/>
      <x v="2"/>
    </i>
    <i r="2">
      <x v="908"/>
      <x v="321"/>
      <x v="22"/>
      <x/>
      <x v="2"/>
    </i>
    <i r="4">
      <x v="26"/>
      <x/>
      <x/>
    </i>
    <i r="2">
      <x v="909"/>
      <x v="515"/>
      <x v="25"/>
      <x/>
      <x v="2"/>
    </i>
    <i r="2">
      <x v="910"/>
      <x v="322"/>
      <x v="25"/>
      <x/>
      <x v="2"/>
    </i>
    <i r="2">
      <x v="911"/>
      <x v="256"/>
      <x v="25"/>
      <x/>
      <x v="2"/>
    </i>
    <i>
      <x v="116"/>
      <x v="158"/>
      <x v="912"/>
      <x v="153"/>
      <x v="25"/>
      <x/>
      <x v="2"/>
    </i>
    <i r="2">
      <x v="913"/>
      <x v="329"/>
      <x v="22"/>
      <x/>
      <x v="2"/>
    </i>
    <i r="4">
      <x v="25"/>
      <x/>
      <x v="2"/>
    </i>
    <i r="4">
      <x v="26"/>
      <x/>
      <x v="2"/>
    </i>
    <i>
      <x v="117"/>
      <x v="77"/>
      <x v="914"/>
      <x v="186"/>
      <x v="25"/>
      <x/>
      <x v="2"/>
    </i>
    <i r="2">
      <x v="915"/>
      <x v="453"/>
      <x v="25"/>
      <x/>
      <x v="2"/>
    </i>
    <i r="2">
      <x v="916"/>
      <x v="327"/>
      <x v="22"/>
      <x/>
      <x v="2"/>
    </i>
    <i r="4">
      <x v="26"/>
      <x/>
      <x v="2"/>
    </i>
    <i r="2">
      <x v="917"/>
      <x v="516"/>
      <x v="25"/>
      <x/>
      <x v="2"/>
    </i>
    <i r="2">
      <x v="918"/>
      <x v="328"/>
      <x v="25"/>
      <x/>
      <x v="2"/>
    </i>
    <i r="2">
      <x v="919"/>
      <x v="255"/>
      <x v="25"/>
      <x/>
      <x v="2"/>
    </i>
    <i>
      <x v="118"/>
      <x v="81"/>
      <x v="920"/>
      <x v="189"/>
      <x v="25"/>
      <x/>
      <x v="2"/>
    </i>
    <i r="2">
      <x v="921"/>
      <x v="456"/>
      <x v="25"/>
      <x/>
      <x v="2"/>
    </i>
    <i r="2">
      <x v="922"/>
      <x v="335"/>
      <x v="22"/>
      <x/>
      <x v="2"/>
    </i>
    <i r="4">
      <x v="26"/>
      <x/>
      <x v="2"/>
    </i>
    <i r="2">
      <x v="923"/>
      <x v="188"/>
      <x v="25"/>
      <x/>
      <x v="2"/>
    </i>
    <i r="2">
      <x v="924"/>
      <x v="455"/>
      <x v="25"/>
      <x/>
      <x v="2"/>
    </i>
    <i r="2">
      <x v="925"/>
      <x v="334"/>
      <x v="22"/>
      <x/>
      <x v="2"/>
    </i>
    <i r="4">
      <x v="26"/>
      <x/>
      <x v="2"/>
    </i>
    <i>
      <x v="119"/>
      <x v="79"/>
      <x v="926"/>
      <x v="183"/>
      <x v="25"/>
      <x/>
      <x v="2"/>
    </i>
    <i r="2">
      <x v="927"/>
      <x v="450"/>
      <x v="25"/>
      <x/>
      <x v="2"/>
    </i>
    <i r="2">
      <x v="928"/>
      <x v="318"/>
      <x v="1"/>
      <x/>
      <x v="2"/>
    </i>
    <i r="4">
      <x v="22"/>
      <x/>
      <x v="2"/>
    </i>
    <i r="4">
      <x v="26"/>
      <x/>
      <x v="2"/>
    </i>
    <i r="2">
      <x v="929"/>
      <x v="182"/>
      <x v="25"/>
      <x/>
      <x v="2"/>
    </i>
    <i r="2">
      <x v="930"/>
      <x v="449"/>
      <x v="25"/>
      <x/>
      <x v="2"/>
    </i>
    <i r="2">
      <x v="931"/>
      <x v="317"/>
      <x v="1"/>
      <x/>
      <x v="2"/>
    </i>
    <i r="4">
      <x v="22"/>
      <x/>
      <x v="2"/>
    </i>
    <i r="4">
      <x v="26"/>
      <x/>
      <x v="2"/>
    </i>
    <i>
      <x v="120"/>
      <x v="78"/>
      <x v="932"/>
      <x v="178"/>
      <x v="25"/>
      <x/>
      <x v="2"/>
    </i>
    <i r="2">
      <x v="933"/>
      <x v="445"/>
      <x v="25"/>
      <x/>
      <x v="2"/>
    </i>
    <i r="2">
      <x v="934"/>
      <x v="314"/>
      <x v="1"/>
      <x/>
      <x v="2"/>
    </i>
    <i r="4">
      <x v="22"/>
      <x/>
      <x v="2"/>
    </i>
    <i r="4">
      <x v="26"/>
      <x/>
      <x v="2"/>
    </i>
    <i r="2">
      <x v="935"/>
      <x v="177"/>
      <x v="25"/>
      <x/>
      <x v="2"/>
    </i>
    <i r="2">
      <x v="936"/>
      <x v="444"/>
      <x v="25"/>
      <x/>
      <x v="2"/>
    </i>
    <i r="2">
      <x v="937"/>
      <x v="313"/>
      <x v="1"/>
      <x/>
      <x v="2"/>
    </i>
    <i r="4">
      <x v="22"/>
      <x/>
      <x v="2"/>
    </i>
    <i r="4">
      <x v="26"/>
      <x/>
      <x v="2"/>
    </i>
    <i>
      <x v="121"/>
      <x v="2"/>
      <x v="938"/>
      <x v="24"/>
      <x v="25"/>
      <x/>
      <x/>
    </i>
    <i r="2">
      <x v="939"/>
      <x v="21"/>
      <x v="25"/>
      <x/>
      <x/>
    </i>
    <i r="2">
      <x v="940"/>
      <x v="559"/>
      <x v="25"/>
      <x/>
      <x/>
    </i>
    <i r="2">
      <x v="941"/>
      <x v="23"/>
      <x v="25"/>
      <x/>
      <x/>
    </i>
    <i r="2">
      <x v="942"/>
      <x v="18"/>
      <x v="25"/>
      <x/>
      <x/>
    </i>
    <i r="2">
      <x v="943"/>
      <x v="22"/>
      <x v="2"/>
      <x/>
      <x/>
    </i>
    <i r="4">
      <x v="11"/>
      <x/>
      <x/>
    </i>
    <i r="4">
      <x v="22"/>
      <x/>
      <x/>
    </i>
    <i r="4">
      <x v="26"/>
      <x/>
      <x/>
    </i>
    <i r="2">
      <x v="944"/>
      <x v="19"/>
      <x v="26"/>
      <x/>
      <x/>
    </i>
    <i>
      <x v="122"/>
      <x v="68"/>
      <x v="945"/>
      <x v="277"/>
      <x v="6"/>
      <x/>
      <x/>
    </i>
    <i r="4">
      <x v="7"/>
      <x/>
      <x/>
    </i>
    <i r="2">
      <x v="946"/>
      <x v="297"/>
      <x v="6"/>
      <x/>
      <x/>
    </i>
    <i r="4">
      <x v="7"/>
      <x/>
      <x/>
    </i>
    <i r="2">
      <x v="947"/>
      <x v="379"/>
      <x v="6"/>
      <x/>
      <x/>
    </i>
    <i r="4">
      <x v="7"/>
      <x/>
      <x/>
    </i>
    <i r="2">
      <x v="948"/>
      <x v="357"/>
      <x v="7"/>
      <x/>
      <x/>
    </i>
    <i r="2">
      <x v="949"/>
      <x v="112"/>
      <x v="26"/>
      <x/>
      <x/>
    </i>
    <i r="2">
      <x v="950"/>
      <x v="280"/>
      <x v="25"/>
      <x/>
      <x/>
    </i>
    <i r="2">
      <x v="951"/>
      <x v="276"/>
      <x v="25"/>
      <x/>
      <x/>
    </i>
    <i r="2">
      <x v="952"/>
      <x v="560"/>
      <x v="25"/>
      <x/>
      <x/>
    </i>
    <i r="2">
      <x v="953"/>
      <x v="279"/>
      <x v="25"/>
      <x/>
      <x/>
    </i>
    <i r="2">
      <x v="954"/>
      <x v="273"/>
      <x v="25"/>
      <x/>
      <x/>
    </i>
    <i r="2">
      <x v="955"/>
      <x v="278"/>
      <x v="2"/>
      <x/>
      <x/>
    </i>
    <i r="4">
      <x v="22"/>
      <x/>
      <x/>
    </i>
    <i r="4">
      <x v="26"/>
      <x/>
      <x/>
    </i>
    <i r="2">
      <x v="956"/>
      <x v="274"/>
      <x v="26"/>
      <x/>
      <x/>
    </i>
    <i>
      <x v="123"/>
      <x v="170"/>
      <x v="957"/>
      <x v="554"/>
      <x v="25"/>
      <x/>
      <x/>
    </i>
    <i r="2">
      <x v="958"/>
      <x v="551"/>
      <x v="25"/>
      <x/>
      <x/>
    </i>
    <i r="2">
      <x v="959"/>
      <x v="561"/>
      <x v="25"/>
      <x/>
      <x/>
    </i>
    <i r="2">
      <x v="960"/>
      <x v="553"/>
      <x v="25"/>
      <x/>
      <x/>
    </i>
    <i r="2">
      <x v="961"/>
      <x v="549"/>
      <x v="25"/>
      <x/>
      <x/>
    </i>
    <i r="2">
      <x v="962"/>
      <x v="555"/>
      <x v="25"/>
      <x/>
      <x/>
    </i>
    <i r="2">
      <x v="963"/>
      <x v="552"/>
      <x v="2"/>
      <x/>
      <x/>
    </i>
    <i r="4">
      <x v="22"/>
      <x/>
      <x/>
    </i>
    <i r="4">
      <x v="26"/>
      <x/>
      <x/>
    </i>
    <i r="2">
      <x v="964"/>
      <x v="130"/>
      <x v="26"/>
      <x/>
      <x/>
    </i>
    <i r="2">
      <x v="965"/>
      <x v="393"/>
      <x v="26"/>
      <x/>
      <x/>
    </i>
    <i>
      <x v="124"/>
      <x v="98"/>
      <x v="966"/>
      <x v="339"/>
      <x v="25"/>
      <x/>
      <x v="1"/>
    </i>
    <i r="2">
      <x v="967"/>
      <x v="337"/>
      <x v="25"/>
      <x/>
      <x v="1"/>
    </i>
    <i r="2">
      <x v="968"/>
      <x v="338"/>
      <x v="25"/>
      <x/>
      <x v="1"/>
    </i>
    <i r="2">
      <x v="969"/>
      <x v="336"/>
      <x v="25"/>
      <x/>
      <x v="1"/>
    </i>
    <i r="4">
      <x v="26"/>
      <x/>
      <x v="1"/>
    </i>
    <i r="2">
      <x v="970"/>
      <x v="496"/>
      <x v="25"/>
      <x/>
      <x v="1"/>
    </i>
    <i r="2">
      <x v="971"/>
      <x v="320"/>
      <x v="25"/>
      <x/>
      <x v="1"/>
    </i>
    <i r="2">
      <x v="972"/>
      <x v="495"/>
      <x v="25"/>
      <x/>
      <x v="1"/>
    </i>
    <i r="2">
      <x v="973"/>
      <x v="312"/>
      <x v="25"/>
      <x/>
      <x v="1"/>
    </i>
    <i r="4">
      <x v="26"/>
      <x/>
      <x v="1"/>
    </i>
    <i r="2">
      <x v="974"/>
      <x v="259"/>
      <x v="25"/>
      <x/>
      <x v="1"/>
    </i>
    <i r="2">
      <x v="975"/>
      <x v="326"/>
      <x v="22"/>
      <x/>
      <x v="1"/>
    </i>
    <i>
      <x v="125"/>
      <x v="166"/>
      <x v="976"/>
      <x v="396"/>
      <x v="1"/>
      <x/>
      <x v="1"/>
    </i>
    <i r="4">
      <x v="26"/>
      <x/>
      <x v="1"/>
    </i>
    <i r="2">
      <x v="977"/>
      <x v="397"/>
      <x v="2"/>
      <x/>
      <x/>
    </i>
    <i r="4">
      <x v="23"/>
      <x/>
      <x/>
    </i>
    <i r="2">
      <x v="978"/>
      <x v="398"/>
      <x v="26"/>
      <x/>
      <x v="1"/>
    </i>
    <i>
      <x v="126"/>
      <x v="83"/>
      <x v="979"/>
      <x v="341"/>
      <x v="26"/>
      <x/>
      <x v="9"/>
    </i>
    <i r="2">
      <x v="980"/>
      <x v="399"/>
      <x v="25"/>
      <x/>
      <x v="9"/>
    </i>
    <i>
      <x v="127"/>
      <x v="160"/>
      <x v="981"/>
      <x v="517"/>
      <x v="26"/>
      <x/>
      <x v="1"/>
    </i>
    <i>
      <x v="128"/>
      <x v="97"/>
      <x v="982"/>
      <x v="179"/>
      <x v="25"/>
      <x/>
      <x v="2"/>
    </i>
    <i r="2">
      <x v="983"/>
      <x v="446"/>
      <x v="25"/>
      <x/>
      <x v="2"/>
    </i>
    <i r="2">
      <x v="984"/>
      <x v="481"/>
      <x v="25"/>
      <x/>
      <x v="2"/>
    </i>
    <i r="2">
      <x v="985"/>
      <x v="315"/>
      <x v="26"/>
      <x/>
      <x v="2"/>
    </i>
    <i r="2">
      <x v="986"/>
      <x v="521"/>
      <x v="26"/>
      <x/>
      <x/>
    </i>
    <i>
      <x v="129"/>
      <x v="32"/>
      <x v="987"/>
      <x v="165"/>
      <x v="26"/>
      <x/>
      <x/>
    </i>
    <i r="2">
      <x v="988"/>
      <x v="407"/>
      <x v="26"/>
      <x/>
      <x v="2"/>
    </i>
    <i r="2">
      <x v="989"/>
      <x v="237"/>
      <x v="26"/>
      <x/>
      <x v="9"/>
    </i>
    <i r="2">
      <x v="990"/>
      <x v="32"/>
      <x v="26"/>
      <x/>
      <x v="1"/>
    </i>
    <i r="2">
      <x v="991"/>
      <x v="33"/>
      <x v="22"/>
      <x/>
      <x/>
    </i>
    <i r="4">
      <x v="23"/>
      <x/>
      <x/>
    </i>
    <i r="2">
      <x v="992"/>
      <x v="31"/>
      <x v="26"/>
      <x/>
      <x/>
    </i>
    <i r="2">
      <x v="993"/>
      <x v="28"/>
      <x v="26"/>
      <x/>
      <x v="2"/>
    </i>
    <i r="2">
      <x v="994"/>
      <x v="27"/>
      <x v="26"/>
      <x/>
      <x v="2"/>
    </i>
    <i r="2">
      <x v="995"/>
      <x v="30"/>
      <x v="22"/>
      <x/>
      <x v="2"/>
    </i>
    <i r="4">
      <x v="23"/>
      <x/>
      <x v="2"/>
    </i>
    <i r="2">
      <x v="996"/>
      <x v="29"/>
      <x v="22"/>
      <x/>
      <x v="2"/>
    </i>
    <i r="4">
      <x v="23"/>
      <x/>
      <x v="2"/>
    </i>
    <i r="2">
      <x v="997"/>
      <x v="26"/>
      <x v="26"/>
      <x/>
      <x v="2"/>
    </i>
    <i r="2">
      <x v="998"/>
      <x v="25"/>
      <x v="26"/>
      <x/>
      <x v="2"/>
    </i>
    <i>
      <x v="130"/>
      <x v="13"/>
      <x v="999"/>
      <x v="90"/>
      <x v="1"/>
      <x/>
      <x/>
    </i>
    <i r="4">
      <x v="2"/>
      <x/>
      <x/>
    </i>
    <i r="2">
      <x v="1000"/>
      <x v="562"/>
      <x v="1"/>
      <x/>
      <x/>
    </i>
    <i r="4">
      <x v="2"/>
      <x/>
      <x/>
    </i>
    <i>
      <x v="131"/>
      <x v="15"/>
      <x v="1001"/>
      <x v="97"/>
      <x v="1"/>
      <x/>
      <x v="1"/>
    </i>
    <i r="2">
      <x v="1002"/>
      <x v="98"/>
      <x v="2"/>
      <x/>
      <x v="1"/>
    </i>
    <i>
      <x v="132"/>
      <x v="144"/>
      <x v="1003"/>
      <x v="96"/>
      <x v="1"/>
      <x/>
      <x/>
    </i>
    <i r="2">
      <x v="1004"/>
      <x v="95"/>
      <x v="2"/>
      <x/>
      <x/>
    </i>
    <i>
      <x v="133"/>
      <x v="16"/>
      <x v="1005"/>
      <x v="100"/>
      <x v="1"/>
      <x/>
      <x/>
    </i>
    <i r="4">
      <x v="2"/>
      <x/>
      <x/>
    </i>
    <i r="2">
      <x v="1006"/>
      <x v="102"/>
      <x v="1"/>
      <x/>
      <x/>
    </i>
    <i r="4">
      <x v="2"/>
      <x/>
      <x/>
    </i>
    <i r="2">
      <x v="1007"/>
      <x v="101"/>
      <x v="1"/>
      <x/>
      <x/>
    </i>
    <i r="4">
      <x v="2"/>
      <x/>
      <x/>
    </i>
    <i r="2">
      <x v="1008"/>
      <x v="145"/>
      <x v="1"/>
      <x/>
      <x/>
    </i>
    <i r="4">
      <x v="2"/>
      <x/>
      <x/>
    </i>
    <i r="2">
      <x v="1009"/>
      <x v="99"/>
      <x v="1"/>
      <x/>
      <x/>
    </i>
    <i r="4">
      <x v="2"/>
      <x/>
      <x/>
    </i>
    <i>
      <x v="134"/>
      <x v="14"/>
      <x v="1010"/>
      <x v="93"/>
      <x v="1"/>
      <x/>
      <x/>
    </i>
    <i r="2">
      <x v="1011"/>
      <x v="94"/>
      <x v="2"/>
      <x/>
      <x/>
    </i>
    <i>
      <x v="135"/>
      <x v="66"/>
      <x v="1012"/>
      <x v="264"/>
      <x v="2"/>
      <x/>
      <x v="9"/>
    </i>
    <i>
      <x v="136"/>
      <x v="24"/>
      <x v="1013"/>
      <x v="136"/>
      <x v="15"/>
      <x/>
      <x v="1"/>
    </i>
    <i r="4">
      <x v="16"/>
      <x/>
      <x v="1"/>
    </i>
    <i>
      <x v="137"/>
      <x v="116"/>
      <x v="1014"/>
      <x v="461"/>
      <x v="15"/>
      <x/>
      <x v="1"/>
    </i>
    <i r="4">
      <x v="16"/>
      <x/>
      <x v="1"/>
    </i>
    <i>
      <x v="138"/>
      <x v="115"/>
      <x v="1015"/>
      <x v="460"/>
      <x v="15"/>
      <x/>
      <x v="1"/>
    </i>
    <i>
      <x v="139"/>
      <x v="30"/>
      <x v="1016"/>
      <x v="289"/>
      <x v="17"/>
      <x/>
      <x/>
    </i>
    <i r="2">
      <x v="1017"/>
      <x v="220"/>
      <x v="17"/>
      <x/>
      <x/>
    </i>
    <i>
      <x v="140"/>
      <x v="28"/>
      <x v="1018"/>
      <x/>
      <x v="15"/>
      <x/>
      <x/>
    </i>
    <i r="2">
      <x v="1019"/>
      <x v="71"/>
      <x v="15"/>
      <x/>
      <x/>
    </i>
    <i r="2">
      <x v="1020"/>
      <x v="135"/>
      <x v="15"/>
      <x/>
      <x/>
    </i>
    <i r="2">
      <x v="1021"/>
      <x v="134"/>
      <x v="15"/>
      <x/>
      <x/>
    </i>
    <i r="2">
      <x v="1022"/>
      <x v="143"/>
      <x v="15"/>
      <x/>
      <x/>
    </i>
    <i r="4">
      <x v="16"/>
      <x/>
      <x/>
    </i>
    <i r="4">
      <x v="17"/>
      <x/>
      <x/>
    </i>
    <i r="2">
      <x v="1023"/>
      <x v="138"/>
      <x v="15"/>
      <x/>
      <x/>
    </i>
    <i>
      <x v="141"/>
      <x v="10"/>
      <x v="1024"/>
      <x v="76"/>
      <x v="15"/>
      <x/>
      <x/>
    </i>
    <i>
      <x v="142"/>
      <x v="9"/>
      <x v="1025"/>
      <x v="73"/>
      <x v="17"/>
      <x/>
      <x v="4"/>
    </i>
    <i r="2">
      <x v="1026"/>
      <x v="78"/>
      <x v="15"/>
      <x/>
      <x v="4"/>
    </i>
    <i r="2">
      <x v="1027"/>
      <x v="74"/>
      <x v="16"/>
      <x/>
      <x v="4"/>
    </i>
    <i r="2">
      <x v="1028"/>
      <x v="72"/>
      <x v="17"/>
      <x/>
      <x v="4"/>
    </i>
    <i r="2">
      <x v="1029"/>
      <x v="75"/>
      <x v="15"/>
      <x/>
      <x v="4"/>
    </i>
    <i r="2">
      <x v="1030"/>
      <x v="292"/>
      <x v="15"/>
      <x/>
      <x v="4"/>
    </i>
    <i r="2">
      <x v="1031"/>
      <x v="257"/>
      <x v="17"/>
      <x/>
      <x v="4"/>
    </i>
    <i r="2">
      <x v="1032"/>
      <x v="77"/>
      <x v="17"/>
      <x/>
      <x v="4"/>
    </i>
    <i r="2">
      <x v="1033"/>
      <x v="258"/>
      <x v="17"/>
      <x/>
      <x v="4"/>
    </i>
    <i>
      <x v="143"/>
      <x v="19"/>
      <x v="1034"/>
      <x v="105"/>
      <x v="15"/>
      <x/>
      <x v="7"/>
    </i>
    <i>
      <x v="144"/>
      <x v="22"/>
      <x v="1035"/>
      <x v="148"/>
      <x v="15"/>
      <x/>
      <x v="4"/>
    </i>
    <i r="2">
      <x v="1036"/>
      <x v="149"/>
      <x v="15"/>
      <x/>
      <x v="4"/>
    </i>
    <i>
      <x v="145"/>
      <x v="23"/>
      <x v="1037"/>
      <x v="117"/>
      <x v="15"/>
      <x/>
      <x v="4"/>
    </i>
    <i>
      <x v="146"/>
      <x v="38"/>
      <x v="1038"/>
      <x v="196"/>
      <x v="15"/>
      <x/>
      <x v="7"/>
    </i>
    <i>
      <x v="147"/>
      <x v="29"/>
      <x v="1039"/>
      <x v="142"/>
      <x v="17"/>
      <x/>
      <x/>
    </i>
    <i>
      <x v="148"/>
      <x v="6"/>
      <x v="1040"/>
      <x v="43"/>
      <x v="15"/>
      <x/>
      <x v="1"/>
    </i>
    <i r="2">
      <x v="1041"/>
      <x v="35"/>
      <x v="15"/>
      <x/>
      <x v="1"/>
    </i>
    <i r="4">
      <x v="16"/>
      <x/>
      <x v="1"/>
    </i>
    <i r="2">
      <x v="1042"/>
      <x v="37"/>
      <x v="7"/>
      <x/>
      <x v="1"/>
    </i>
    <i r="2">
      <x v="1043"/>
      <x v="44"/>
      <x v="15"/>
      <x/>
      <x v="1"/>
    </i>
    <i r="2">
      <x v="1044"/>
      <x v="38"/>
      <x v="16"/>
      <x/>
      <x v="1"/>
    </i>
    <i r="2">
      <x v="1045"/>
      <x v="180"/>
      <x v="25"/>
      <x/>
      <x v="2"/>
    </i>
    <i r="2">
      <x v="1046"/>
      <x v="447"/>
      <x v="25"/>
      <x/>
      <x v="2"/>
    </i>
    <i r="2">
      <x v="1047"/>
      <x v="482"/>
      <x v="25"/>
      <x/>
      <x/>
    </i>
    <i r="2">
      <x v="1048"/>
      <x v="42"/>
      <x v="16"/>
      <x/>
      <x v="1"/>
    </i>
    <i r="2">
      <x v="1049"/>
      <x v="41"/>
      <x v="15"/>
      <x/>
      <x v="1"/>
    </i>
    <i>
      <x v="149"/>
      <x v="4"/>
      <x v="1050"/>
      <x v="40"/>
      <x v="15"/>
      <x/>
      <x v="1"/>
    </i>
    <i r="4">
      <x v="16"/>
      <x/>
      <x v="1"/>
    </i>
    <i r="2">
      <x v="1051"/>
      <x v="34"/>
      <x v="15"/>
      <x/>
      <x v="1"/>
    </i>
    <i r="4">
      <x v="16"/>
      <x/>
      <x v="1"/>
    </i>
    <i>
      <x v="150"/>
      <x v="3"/>
      <x v="1052"/>
      <x v="36"/>
      <x v="15"/>
      <x/>
      <x/>
    </i>
    <i>
      <x v="151"/>
      <x v="27"/>
      <x v="1053"/>
      <x v="358"/>
      <x v="15"/>
      <x/>
      <x/>
    </i>
    <i r="2">
      <x v="1054"/>
      <x v="141"/>
      <x v="15"/>
      <x/>
      <x v="4"/>
    </i>
    <i r="2">
      <x v="1055"/>
      <x v="140"/>
      <x v="15"/>
      <x/>
      <x v="4"/>
    </i>
    <i>
      <x v="152"/>
      <x v="96"/>
      <x v="1056"/>
      <x v="395"/>
      <x v="15"/>
      <x/>
      <x/>
    </i>
    <i>
      <x v="153"/>
      <x v="26"/>
      <x v="1057"/>
      <x v="137"/>
      <x v="16"/>
      <x/>
      <x/>
    </i>
    <i>
      <x v="154"/>
      <x v="25"/>
      <x v="1058"/>
      <x v="300"/>
      <x v="15"/>
      <x/>
      <x v="9"/>
    </i>
    <i r="2">
      <x v="1059"/>
      <x v="301"/>
      <x v="15"/>
      <x/>
      <x v="9"/>
    </i>
    <i>
      <x v="155"/>
      <x v="174"/>
      <x v="1060"/>
      <x v="428"/>
      <x v="11"/>
      <x/>
      <x v="1"/>
    </i>
    <i r="4">
      <x v="12"/>
      <x/>
      <x v="1"/>
    </i>
    <i r="2">
      <x v="1061"/>
      <x v="427"/>
      <x v="10"/>
      <x/>
      <x v="1"/>
    </i>
    <i>
      <x v="156"/>
      <x v="112"/>
      <x v="1062"/>
      <x v="440"/>
      <x v="12"/>
      <x/>
      <x v="1"/>
    </i>
    <i r="2">
      <x v="1063"/>
      <x v="439"/>
      <x v="11"/>
      <x/>
      <x v="1"/>
    </i>
    <i r="2">
      <x v="1064"/>
      <x v="442"/>
      <x v="1"/>
      <x/>
      <x v="1"/>
    </i>
    <i r="4">
      <x v="11"/>
      <x/>
      <x v="1"/>
    </i>
    <i r="4">
      <x v="26"/>
      <x/>
      <x v="1"/>
    </i>
    <i r="2">
      <x v="1065"/>
      <x v="441"/>
      <x v="1"/>
      <x/>
      <x v="1"/>
    </i>
    <i r="4">
      <x v="10"/>
      <x/>
      <x v="1"/>
    </i>
    <i r="4">
      <x v="26"/>
      <x/>
      <x v="1"/>
    </i>
    <i r="2">
      <x v="1066"/>
      <x v="13"/>
      <x v="12"/>
      <x/>
      <x v="1"/>
    </i>
    <i>
      <x v="157"/>
      <x v="18"/>
      <x v="1067"/>
      <x v="104"/>
      <x v="11"/>
      <x/>
      <x v="3"/>
    </i>
    <i>
      <x v="158"/>
      <x v="69"/>
      <x v="1068"/>
      <x v="281"/>
      <x v="11"/>
      <x/>
      <x v="1"/>
    </i>
    <i r="2">
      <x v="1069"/>
      <x v="282"/>
      <x v="10"/>
      <x/>
      <x v="1"/>
    </i>
    <i>
      <x v="159"/>
      <x v="134"/>
      <x v="1070"/>
      <x v="489"/>
      <x v="13"/>
      <x/>
      <x/>
    </i>
    <i>
      <x v="160"/>
      <x v="172"/>
      <x v="1071"/>
      <x v="518"/>
      <x v="13"/>
      <x/>
      <x v="1"/>
    </i>
    <i>
      <x v="161"/>
      <x v="173"/>
      <x v="1072"/>
      <x v="519"/>
      <x v="13"/>
      <x/>
      <x v="1"/>
    </i>
    <i>
      <x v="162"/>
      <x v="45"/>
      <x v="1073"/>
      <x v="226"/>
      <x v="3"/>
      <x/>
      <x/>
    </i>
    <i r="4">
      <x v="13"/>
      <x/>
      <x/>
    </i>
    <i>
      <x v="163"/>
      <x v="132"/>
      <x v="1074"/>
      <x v="487"/>
      <x v="3"/>
      <x/>
      <x/>
    </i>
    <i r="4">
      <x v="13"/>
      <x/>
      <x/>
    </i>
    <i>
      <x v="164"/>
      <x v="133"/>
      <x v="1075"/>
      <x v="488"/>
      <x v="13"/>
      <x/>
      <x/>
    </i>
    <i>
      <x v="165"/>
      <x v="44"/>
      <x v="1076"/>
      <x v="527"/>
      <x v="3"/>
      <x/>
      <x/>
    </i>
    <i r="2">
      <x v="1077"/>
      <x v="224"/>
      <x v="3"/>
      <x/>
      <x/>
    </i>
    <i r="2">
      <x v="1078"/>
      <x v="223"/>
      <x v="13"/>
      <x/>
      <x v="1"/>
    </i>
    <i>
      <x v="166"/>
      <x v="43"/>
      <x v="1079"/>
      <x v="526"/>
      <x v="3"/>
      <x/>
      <x/>
    </i>
    <i r="2">
      <x v="1080"/>
      <x v="222"/>
      <x v="3"/>
      <x/>
      <x/>
    </i>
    <i r="2">
      <x v="1081"/>
      <x v="221"/>
      <x v="13"/>
      <x/>
      <x v="1"/>
    </i>
    <i>
      <x v="167"/>
      <x v="48"/>
      <x v="1082"/>
      <x v="229"/>
      <x v="3"/>
      <x/>
      <x v="10"/>
    </i>
    <i>
      <x v="168"/>
      <x v="46"/>
      <x v="1083"/>
      <x v="227"/>
      <x v="3"/>
      <x/>
      <x v="9"/>
    </i>
    <i r="4">
      <x v="13"/>
      <x/>
      <x v="9"/>
    </i>
    <i>
      <x v="169"/>
      <x v="47"/>
      <x v="1084"/>
      <x v="228"/>
      <x v="13"/>
      <x/>
      <x v="9"/>
    </i>
    <i>
      <x v="170"/>
      <x v="59"/>
      <x v="1085"/>
      <x v="252"/>
      <x v="19"/>
      <x/>
      <x v="1"/>
    </i>
    <i r="2">
      <x v="1086"/>
      <x v="251"/>
      <x v="18"/>
      <x/>
      <x v="1"/>
    </i>
    <i>
      <x v="171"/>
      <x v="109"/>
      <x v="1087"/>
      <x v="435"/>
      <x v="19"/>
      <x/>
      <x/>
    </i>
    <i r="4">
      <x v="20"/>
      <x/>
      <x/>
    </i>
    <i r="2">
      <x v="1088"/>
      <x v="434"/>
      <x v="19"/>
      <x/>
      <x/>
    </i>
    <i r="2">
      <x v="1089"/>
      <x v="433"/>
      <x v="19"/>
      <x/>
      <x/>
    </i>
    <i r="4">
      <x v="20"/>
      <x/>
      <x/>
    </i>
    <i r="2">
      <x v="1090"/>
      <x v="438"/>
      <x v="19"/>
      <x/>
      <x/>
    </i>
    <i r="4">
      <x v="20"/>
      <x/>
      <x/>
    </i>
    <i r="2">
      <x v="1091"/>
      <x v="432"/>
      <x v="19"/>
      <x/>
      <x/>
    </i>
    <i r="4">
      <x v="20"/>
      <x/>
      <x/>
    </i>
    <i r="2">
      <x v="1092"/>
      <x v="431"/>
      <x v="18"/>
      <x/>
      <x/>
    </i>
    <i r="2">
      <x v="1093"/>
      <x v="430"/>
      <x v="18"/>
      <x/>
      <x/>
    </i>
    <i r="4">
      <x v="19"/>
      <x/>
      <x/>
    </i>
    <i r="4">
      <x v="20"/>
      <x/>
      <x/>
    </i>
    <i r="2">
      <x v="1094"/>
      <x v="429"/>
      <x v="19"/>
      <x/>
      <x/>
    </i>
    <i>
      <x v="172"/>
      <x v="65"/>
      <x v="1095"/>
      <x v="128"/>
      <x v="19"/>
      <x/>
      <x/>
    </i>
    <i r="2">
      <x v="1096"/>
      <x v="127"/>
      <x v="19"/>
      <x/>
      <x/>
    </i>
    <i r="2">
      <x v="1097"/>
      <x v="126"/>
      <x v="19"/>
      <x/>
      <x/>
    </i>
    <i r="2">
      <x v="1098"/>
      <x v="125"/>
      <x v="18"/>
      <x/>
      <x/>
    </i>
    <i r="2">
      <x v="1099"/>
      <x v="233"/>
      <x v="19"/>
      <x/>
      <x/>
    </i>
    <i r="2">
      <x v="1100"/>
      <x v="198"/>
      <x v="19"/>
      <x/>
      <x/>
    </i>
    <i>
      <x v="173"/>
      <x v="11"/>
      <x v="1101"/>
      <x v="82"/>
      <x v="19"/>
      <x/>
      <x/>
    </i>
    <i r="2">
      <x v="1102"/>
      <x v="81"/>
      <x v="19"/>
      <x/>
      <x/>
    </i>
    <i r="2">
      <x v="1103"/>
      <x v="84"/>
      <x v="19"/>
      <x/>
      <x/>
    </i>
    <i r="2">
      <x v="1104"/>
      <x v="80"/>
      <x v="19"/>
      <x/>
      <x/>
    </i>
    <i r="2">
      <x v="1105"/>
      <x v="79"/>
      <x v="18"/>
      <x/>
      <x/>
    </i>
    <i r="2">
      <x v="1106"/>
      <x v="232"/>
      <x v="19"/>
      <x/>
      <x/>
    </i>
    <i r="2">
      <x v="1107"/>
      <x v="197"/>
      <x v="19"/>
      <x/>
      <x/>
    </i>
    <i>
      <x v="174"/>
      <x v="53"/>
      <x v="1108"/>
      <x v="244"/>
      <x v="3"/>
      <x/>
      <x/>
    </i>
    <i r="4">
      <x v="13"/>
      <x/>
      <x/>
    </i>
    <i r="4">
      <x v="21"/>
      <x/>
      <x/>
    </i>
    <i>
      <x v="175"/>
      <x v="54"/>
      <x v="1109"/>
      <x v="245"/>
      <x v="3"/>
      <x/>
      <x/>
    </i>
    <i r="4">
      <x v="13"/>
      <x/>
      <x/>
    </i>
    <i r="4">
      <x v="21"/>
      <x/>
      <x/>
    </i>
    <i>
      <x v="176"/>
      <x v="102"/>
      <x v="1110"/>
      <x v="246"/>
      <x v="3"/>
      <x/>
      <x/>
    </i>
    <i r="4">
      <x v="13"/>
      <x/>
      <x/>
    </i>
    <i r="4">
      <x v="21"/>
      <x/>
      <x/>
    </i>
    <i>
      <x v="177"/>
      <x v="52"/>
      <x v="1111"/>
      <x v="243"/>
      <x v="3"/>
      <x/>
      <x/>
    </i>
    <i r="4">
      <x v="4"/>
      <x/>
      <x/>
    </i>
    <i r="4">
      <x v="13"/>
      <x/>
      <x/>
    </i>
    <i>
      <x v="342"/>
      <x v="171"/>
      <x v="551"/>
      <x v="556"/>
      <x v="24"/>
      <x v="41"/>
      <x v="11"/>
    </i>
    <i t="grand">
      <x/>
    </i>
  </rowItems>
  <colFields count="1">
    <field x="-2"/>
  </colFields>
  <colItems count="4">
    <i>
      <x/>
    </i>
    <i i="1">
      <x v="1"/>
    </i>
    <i i="2">
      <x v="2"/>
    </i>
    <i i="3">
      <x v="3"/>
    </i>
  </colItems>
  <pageFields count="1">
    <pageField fld="17"/>
  </pageFields>
  <dataFields count="4">
    <dataField name="求和项:报价_x000a_单位小时" fld="24" baseField="0" baseItem="0"/>
    <dataField name="求和项:总小时" fld="26" baseField="0" baseItem="0"/>
    <dataField name="求和项:折扣后单价" fld="28" baseField="0" baseItem="0"/>
    <dataField name="求和项:折扣后小计" fld="30" baseField="0" baseItem="0"/>
  </dataFields>
  <formats count="37">
    <format dxfId="0">
      <pivotArea type="topRight" dataOnly="0" labelOnly="1" outline="0" fieldPosition="0"/>
    </format>
    <format dxfId="1">
      <pivotArea type="all" dataOnly="0" outline="0" fieldPosition="0"/>
    </format>
    <format dxfId="2">
      <pivotArea outline="0" collapsedLevelsAreSubtotals="1" fieldPosition="0"/>
    </format>
    <format dxfId="3">
      <pivotArea type="origin" dataOnly="0" labelOnly="1" outline="0" fieldPosition="0"/>
    </format>
    <format dxfId="4">
      <pivotArea field="8" type="button" dataOnly="0" labelOnly="1" outline="0" fieldPosition="0"/>
    </format>
    <format dxfId="5">
      <pivotArea field="9" type="button" dataOnly="0" labelOnly="1" outline="0" fieldPosition="0"/>
    </format>
    <format dxfId="6">
      <pivotArea field="11" type="button" dataOnly="0" labelOnly="1" outline="0" fieldPosition="0"/>
    </format>
    <format dxfId="7">
      <pivotArea field="10" type="button" dataOnly="0" labelOnly="1" outline="0" fieldPosition="0"/>
    </format>
    <format dxfId="8">
      <pivotArea field="12" type="button" dataOnly="0" labelOnly="1" outline="0" fieldPosition="0"/>
    </format>
    <format dxfId="9">
      <pivotArea field="13" type="button" dataOnly="0" labelOnly="1" outline="0" fieldPosition="0"/>
    </format>
    <format dxfId="10">
      <pivotArea field="16" type="button" dataOnly="0" labelOnly="1" outline="0" fieldPosition="0"/>
    </format>
    <format dxfId="11">
      <pivotArea field="15" type="button" dataOnly="0" labelOnly="1" outline="0" fieldPosition="0"/>
    </format>
    <format dxfId="12">
      <pivotArea field="18" type="button" dataOnly="0" labelOnly="1" outline="0" fieldPosition="0"/>
    </format>
    <format dxfId="13">
      <pivotArea field="19" type="button" dataOnly="0" labelOnly="1" outline="0" fieldPosition="0"/>
    </format>
    <format dxfId="14">
      <pivotArea dataOnly="0" labelOnly="1" grandRow="1" outline="0" fieldPosition="0"/>
    </format>
    <format dxfId="15">
      <pivotArea type="topRight" dataOnly="0" labelOnly="1" outline="0" fieldPosition="0"/>
    </format>
    <format dxfId="16">
      <pivotArea type="all" dataOnly="0" outline="0" fieldPosition="0"/>
    </format>
    <format dxfId="17">
      <pivotArea outline="0" collapsedLevelsAreSubtotals="1" fieldPosition="0"/>
    </format>
    <format dxfId="18">
      <pivotArea type="origin" dataOnly="0" labelOnly="1" outline="0" fieldPosition="0"/>
    </format>
    <format dxfId="19">
      <pivotArea field="8" type="button" dataOnly="0" labelOnly="1" outline="0" fieldPosition="0"/>
    </format>
    <format dxfId="20">
      <pivotArea field="9" type="button" dataOnly="0" labelOnly="1" outline="0" fieldPosition="0"/>
    </format>
    <format dxfId="21">
      <pivotArea field="11" type="button" dataOnly="0" labelOnly="1" outline="0" fieldPosition="0"/>
    </format>
    <format dxfId="22">
      <pivotArea field="10" type="button" dataOnly="0" labelOnly="1" outline="0" fieldPosition="0"/>
    </format>
    <format dxfId="23">
      <pivotArea field="12" type="button" dataOnly="0" labelOnly="1" outline="0" fieldPosition="0"/>
    </format>
    <format dxfId="24">
      <pivotArea field="13" type="button" dataOnly="0" labelOnly="1" outline="0" fieldPosition="0"/>
    </format>
    <format dxfId="25">
      <pivotArea field="16" type="button" dataOnly="0" labelOnly="1" outline="0" fieldPosition="0"/>
    </format>
    <format dxfId="26">
      <pivotArea field="15" type="button" dataOnly="0" labelOnly="1" outline="0" fieldPosition="0"/>
    </format>
    <format dxfId="27">
      <pivotArea field="18" type="button" dataOnly="0" labelOnly="1" outline="0" fieldPosition="0"/>
    </format>
    <format dxfId="28">
      <pivotArea field="19" type="button" dataOnly="0" labelOnly="1" outline="0" fieldPosition="0"/>
    </format>
    <format dxfId="29">
      <pivotArea dataOnly="0" labelOnly="1" grandRow="1" outline="0" fieldPosition="0"/>
    </format>
    <format dxfId="30">
      <pivotArea type="topRight" dataOnly="0" labelOnly="1" outline="0" fieldPosition="0"/>
    </format>
    <format dxfId="31">
      <pivotArea outline="0" collapsedLevelsAreSubtotals="1" fieldPosition="0"/>
    </format>
    <format dxfId="32">
      <pivotArea field="-2" type="button" dataOnly="0" labelOnly="1" outline="0" fieldPosition="0"/>
    </format>
    <format dxfId="33">
      <pivotArea type="topRight" dataOnly="0" labelOnly="1" outline="0" fieldPosition="0"/>
    </format>
    <format dxfId="34">
      <pivotArea dataOnly="0" labelOnly="1" outline="0" fieldPosition="0">
        <references count="1">
          <reference field="4294967294" count="1">
            <x v="3"/>
          </reference>
        </references>
      </pivotArea>
    </format>
    <format dxfId="35">
      <pivotArea dataOnly="0" outline="0" fieldPosition="0">
        <references count="1">
          <reference field="17" count="0"/>
        </references>
      </pivotArea>
    </format>
    <format dxfId="36">
      <pivotArea field="17" type="button" dataOnly="0" labelOnly="1" outline="0" fieldPosition="0"/>
    </format>
  </formats>
  <pivotTableStyleInfo name="PivotStyleMedium14"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1" cacheId="0" autoFormatId="1" applyNumberFormats="0" applyBorderFormats="0" applyFontFormats="0" applyPatternFormats="0" applyAlignmentFormats="0" applyWidthHeightFormats="1" dataCaption="值" updatedVersion="8" minRefreshableVersion="3" createdVersion="8" useAutoFormatting="1" compact="0" indent="0" compactData="0" gridDropZones="1" showDrill="0" multipleFieldFilters="0">
  <location ref="B5:I619" firstHeaderRow="1" firstDataRow="2" firstDataCol="5" rowPageCount="1" colPageCount="1"/>
  <pivotFields count="31">
    <pivotField compact="0" outline="0" showAll="0"/>
    <pivotField axis="axisRow" compact="0" defaultSubtotal="0" outline="0" showAll="0">
      <items count="11">
        <item x="0"/>
        <item x="10"/>
        <item x="1"/>
        <item x="2"/>
        <item x="3"/>
        <item x="4"/>
        <item x="5"/>
        <item x="6"/>
        <item x="7"/>
        <item x="8"/>
        <item x="9"/>
      </items>
    </pivotField>
    <pivotField axis="axisRow" compact="0" defaultSubtotal="0" outline="0" showAll="0">
      <items count="37">
        <item m="1" x="19"/>
        <item x="2"/>
        <item x="0"/>
        <item m="1" x="15"/>
        <item m="1" x="4"/>
        <item m="1" x="29"/>
        <item m="1" x="7"/>
        <item m="1" x="20"/>
        <item x="1"/>
        <item m="1" x="6"/>
        <item m="1" x="10"/>
        <item m="1" x="12"/>
        <item m="1" x="8"/>
        <item m="1" x="22"/>
        <item m="1" x="5"/>
        <item m="1" x="25"/>
        <item m="1" x="28"/>
        <item m="1" x="34"/>
        <item m="1" x="18"/>
        <item m="1" x="23"/>
        <item m="1" x="27"/>
        <item m="1" x="17"/>
        <item m="1" x="16"/>
        <item m="1" x="3"/>
        <item m="1" x="26"/>
        <item m="1" x="33"/>
        <item m="1" x="11"/>
        <item m="1" x="21"/>
        <item m="1" x="24"/>
        <item m="1" x="9"/>
        <item m="1" x="31"/>
        <item m="1" x="14"/>
        <item m="1" x="32"/>
        <item m="1" x="35"/>
        <item m="1" x="13"/>
        <item m="1" x="30"/>
        <item m="1" x="36"/>
      </items>
    </pivotField>
    <pivotField compact="0" outline="0" showAll="0"/>
    <pivotField compact="0" outline="0" showAll="0"/>
    <pivotField compact="0" outline="0" showAll="0"/>
    <pivotField compact="0" outline="0" showAll="0"/>
    <pivotField compact="0" outline="0" showAll="0"/>
    <pivotField compact="0" defaultSubtotal="0" outline="0" showAll="0">
      <items count="31">
        <item m="1" x="16"/>
        <item m="1" x="17"/>
        <item m="1" x="18"/>
        <item m="1" x="19"/>
        <item m="1" x="20"/>
        <item m="1" x="21"/>
        <item m="1" x="22"/>
        <item m="1" x="23"/>
        <item m="1" x="24"/>
        <item m="1" x="25"/>
        <item m="1" x="26"/>
        <item m="1" x="27"/>
        <item m="1" x="28"/>
        <item m="1" x="29"/>
        <item m="1" x="30"/>
        <item x="15"/>
        <item x="0"/>
        <item x="1"/>
        <item x="2"/>
        <item x="3"/>
        <item x="4"/>
        <item x="5"/>
        <item x="6"/>
        <item x="7"/>
        <item x="8"/>
        <item x="9"/>
        <item x="10"/>
        <item x="11"/>
        <item x="12"/>
        <item x="13"/>
        <item x="14"/>
      </items>
    </pivotField>
    <pivotField compact="0" defaultSubtotal="0" outline="0" showAll="0">
      <items count="16">
        <item x="10"/>
        <item x="12"/>
        <item x="14"/>
        <item x="4"/>
        <item x="9"/>
        <item x="8"/>
        <item x="1"/>
        <item x="7"/>
        <item x="5"/>
        <item x="0"/>
        <item x="6"/>
        <item x="11"/>
        <item x="2"/>
        <item x="3"/>
        <item x="13"/>
        <item x="15"/>
      </items>
    </pivotField>
    <pivotField axis="axisRow" compact="0" sortType="ascending" outline="0" showAll="0">
      <items count="344">
        <item x="0"/>
        <item x="1"/>
        <item x="2"/>
        <item x="3"/>
        <item x="4"/>
        <item x="5"/>
        <item x="6"/>
        <item x="7"/>
        <item x="8"/>
        <item m="1" x="172"/>
        <item x="9"/>
        <item x="10"/>
        <item x="11"/>
        <item x="12"/>
        <item x="13"/>
        <item x="14"/>
        <item x="15"/>
        <item x="16"/>
        <item x="17"/>
        <item x="18"/>
        <item m="1" x="173"/>
        <item x="19"/>
        <item x="20"/>
        <item x="21"/>
        <item x="22"/>
        <item x="23"/>
        <item x="24"/>
        <item x="25"/>
        <item x="26"/>
        <item x="27"/>
        <item x="28"/>
        <item m="1" x="174"/>
        <item x="29"/>
        <item x="30"/>
        <item x="31"/>
        <item x="32"/>
        <item x="33"/>
        <item x="34"/>
        <item x="35"/>
        <item x="36"/>
        <item x="37"/>
        <item x="38"/>
        <item m="1" x="175"/>
        <item x="39"/>
        <item x="40"/>
        <item x="41"/>
        <item x="42"/>
        <item x="43"/>
        <item x="44"/>
        <item x="45"/>
        <item x="46"/>
        <item x="47"/>
        <item x="48"/>
        <item m="1" x="176"/>
        <item x="49"/>
        <item x="50"/>
        <item x="51"/>
        <item x="52"/>
        <item x="53"/>
        <item x="54"/>
        <item x="55"/>
        <item x="56"/>
        <item x="57"/>
        <item x="58"/>
        <item m="1" x="177"/>
        <item x="59"/>
        <item x="60"/>
        <item x="61"/>
        <item x="62"/>
        <item x="63"/>
        <item x="64"/>
        <item x="65"/>
        <item x="66"/>
        <item x="67"/>
        <item x="68"/>
        <item m="1" x="17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m="1" x="298"/>
        <item m="1" x="299"/>
        <item m="1" x="300"/>
        <item m="1" x="301"/>
        <item m="1" x="302"/>
        <item m="1" x="303"/>
        <item m="1" x="304"/>
        <item m="1" x="305"/>
        <item m="1" x="306"/>
        <item m="1" x="307"/>
        <item m="1" x="308"/>
        <item m="1" x="309"/>
        <item m="1" x="310"/>
        <item m="1" x="311"/>
        <item m="1" x="312"/>
        <item m="1" x="313"/>
        <item m="1" x="314"/>
        <item m="1" x="315"/>
        <item m="1" x="316"/>
        <item m="1" x="317"/>
        <item m="1" x="318"/>
        <item m="1" x="319"/>
        <item m="1" x="320"/>
        <item m="1" x="321"/>
        <item m="1" x="322"/>
        <item m="1" x="323"/>
        <item m="1" x="324"/>
        <item m="1" x="325"/>
        <item m="1" x="326"/>
        <item m="1" x="327"/>
        <item m="1" x="328"/>
        <item m="1" x="329"/>
        <item m="1" x="330"/>
        <item m="1" x="331"/>
        <item m="1" x="332"/>
        <item m="1" x="333"/>
        <item m="1" x="334"/>
        <item m="1" x="335"/>
        <item m="1" x="336"/>
        <item m="1" x="337"/>
        <item m="1" x="338"/>
        <item m="1" x="339"/>
        <item m="1" x="340"/>
        <item m="1" x="341"/>
        <item m="1" x="342"/>
        <item x="171"/>
        <item t="default"/>
      </items>
    </pivotField>
    <pivotField axis="axisRow" compact="0" defaultSubtotal="0" outline="0" showAll="0">
      <items count="176">
        <item x="18"/>
        <item x="73"/>
        <item x="114"/>
        <item x="143"/>
        <item x="142"/>
        <item x="82"/>
        <item x="141"/>
        <item x="14"/>
        <item x="77"/>
        <item x="135"/>
        <item x="134"/>
        <item x="166"/>
        <item x="61"/>
        <item x="123"/>
        <item x="127"/>
        <item x="124"/>
        <item x="126"/>
        <item x="81"/>
        <item x="150"/>
        <item x="136"/>
        <item x="57"/>
        <item x="26"/>
        <item x="137"/>
        <item x="138"/>
        <item x="129"/>
        <item x="147"/>
        <item x="146"/>
        <item x="144"/>
        <item x="133"/>
        <item x="140"/>
        <item x="132"/>
        <item x="62"/>
        <item x="122"/>
        <item x="33"/>
        <item x="85"/>
        <item x="88"/>
        <item x="94"/>
        <item x="95"/>
        <item x="139"/>
        <item x="2"/>
        <item x="8"/>
        <item x="76"/>
        <item x="0"/>
        <item x="159"/>
        <item x="158"/>
        <item x="155"/>
        <item x="161"/>
        <item x="162"/>
        <item x="160"/>
        <item x="56"/>
        <item x="50"/>
        <item x="93"/>
        <item x="170"/>
        <item x="167"/>
        <item x="168"/>
        <item x="91"/>
        <item x="44"/>
        <item x="11"/>
        <item m="1" x="172"/>
        <item x="163"/>
        <item x="38"/>
        <item x="105"/>
        <item x="34"/>
        <item x="16"/>
        <item x="17"/>
        <item x="165"/>
        <item x="128"/>
        <item x="45"/>
        <item x="115"/>
        <item x="151"/>
        <item x="64"/>
        <item x="31"/>
        <item x="32"/>
        <item x="74"/>
        <item x="10"/>
        <item x="86"/>
        <item x="96"/>
        <item x="110"/>
        <item x="113"/>
        <item x="112"/>
        <item x="108"/>
        <item x="111"/>
        <item x="59"/>
        <item x="119"/>
        <item x="97"/>
        <item x="92"/>
        <item x="90"/>
        <item x="89"/>
        <item x="12"/>
        <item x="75"/>
        <item x="5"/>
        <item x="6"/>
        <item x="101"/>
        <item x="102"/>
        <item x="99"/>
        <item x="48"/>
        <item x="145"/>
        <item x="121"/>
        <item x="117"/>
        <item x="55"/>
        <item x="70"/>
        <item x="60"/>
        <item x="169"/>
        <item x="51"/>
        <item x="35"/>
        <item x="41"/>
        <item x="43"/>
        <item x="42"/>
        <item m="1" x="173"/>
        <item x="164"/>
        <item x="52"/>
        <item x="15"/>
        <item x="149"/>
        <item x="54"/>
        <item x="79"/>
        <item x="131"/>
        <item x="130"/>
        <item x="78"/>
        <item x="80"/>
        <item x="71"/>
        <item x="72"/>
        <item x="83"/>
        <item x="22"/>
        <item x="20"/>
        <item x="23"/>
        <item x="19"/>
        <item x="21"/>
        <item x="87"/>
        <item x="36"/>
        <item x="58"/>
        <item x="27"/>
        <item x="24"/>
        <item x="156"/>
        <item x="157"/>
        <item x="152"/>
        <item x="69"/>
        <item x="65"/>
        <item x="67"/>
        <item x="7"/>
        <item x="25"/>
        <item x="98"/>
        <item x="68"/>
        <item x="29"/>
        <item x="28"/>
        <item x="125"/>
        <item x="104"/>
        <item x="106"/>
        <item x="37"/>
        <item x="66"/>
        <item x="39"/>
        <item x="40"/>
        <item x="9"/>
        <item x="46"/>
        <item x="53"/>
        <item x="63"/>
        <item x="13"/>
        <item x="4"/>
        <item x="3"/>
        <item x="109"/>
        <item x="1"/>
        <item x="120"/>
        <item x="107"/>
        <item m="1" x="174"/>
        <item m="1" x="175"/>
        <item x="100"/>
        <item x="84"/>
        <item x="118"/>
        <item x="103"/>
        <item x="30"/>
        <item x="49"/>
        <item x="116"/>
        <item x="171"/>
        <item x="153"/>
        <item x="154"/>
        <item x="148"/>
        <item x="47"/>
      </items>
    </pivotField>
    <pivotField compact="0" defaultSubtotal="0" outline="0" showAll="0">
      <items count="1112">
        <item m="1" x="557"/>
        <item m="1" x="558"/>
        <item m="1" x="559"/>
        <item m="1" x="560"/>
        <item m="1" x="561"/>
        <item m="1" x="562"/>
        <item m="1" x="563"/>
        <item m="1" x="564"/>
        <item m="1" x="565"/>
        <item m="1" x="566"/>
        <item m="1" x="567"/>
        <item m="1" x="568"/>
        <item m="1" x="569"/>
        <item m="1" x="570"/>
        <item m="1" x="571"/>
        <item m="1" x="572"/>
        <item m="1" x="573"/>
        <item m="1" x="574"/>
        <item m="1" x="575"/>
        <item m="1" x="576"/>
        <item m="1" x="577"/>
        <item m="1" x="578"/>
        <item m="1" x="579"/>
        <item m="1" x="580"/>
        <item m="1" x="581"/>
        <item m="1" x="582"/>
        <item m="1" x="583"/>
        <item m="1" x="584"/>
        <item m="1" x="585"/>
        <item m="1" x="586"/>
        <item m="1" x="587"/>
        <item m="1" x="588"/>
        <item m="1" x="589"/>
        <item m="1" x="590"/>
        <item m="1" x="591"/>
        <item m="1" x="592"/>
        <item m="1" x="593"/>
        <item m="1" x="594"/>
        <item m="1" x="595"/>
        <item m="1" x="596"/>
        <item m="1" x="597"/>
        <item m="1" x="599"/>
        <item m="1" x="600"/>
        <item m="1" x="601"/>
        <item m="1" x="602"/>
        <item m="1" x="603"/>
        <item m="1" x="604"/>
        <item m="1" x="605"/>
        <item m="1" x="606"/>
        <item m="1" x="607"/>
        <item m="1" x="608"/>
        <item m="1" x="609"/>
        <item m="1" x="610"/>
        <item m="1" x="611"/>
        <item m="1" x="612"/>
        <item m="1" x="613"/>
        <item m="1" x="614"/>
        <item m="1" x="615"/>
        <item m="1" x="616"/>
        <item m="1" x="617"/>
        <item m="1" x="618"/>
        <item m="1" x="619"/>
        <item m="1" x="620"/>
        <item m="1" x="621"/>
        <item m="1" x="622"/>
        <item m="1" x="623"/>
        <item m="1" x="624"/>
        <item m="1" x="625"/>
        <item m="1" x="626"/>
        <item m="1" x="627"/>
        <item m="1" x="628"/>
        <item m="1" x="629"/>
        <item m="1" x="630"/>
        <item m="1" x="631"/>
        <item m="1" x="632"/>
        <item m="1" x="633"/>
        <item m="1" x="634"/>
        <item m="1" x="635"/>
        <item m="1" x="636"/>
        <item m="1" x="637"/>
        <item m="1" x="638"/>
        <item m="1" x="639"/>
        <item m="1" x="640"/>
        <item m="1" x="641"/>
        <item m="1" x="642"/>
        <item m="1" x="643"/>
        <item m="1" x="644"/>
        <item m="1" x="645"/>
        <item m="1" x="646"/>
        <item m="1" x="647"/>
        <item m="1" x="648"/>
        <item m="1" x="649"/>
        <item m="1" x="650"/>
        <item m="1" x="651"/>
        <item m="1" x="652"/>
        <item m="1" x="653"/>
        <item m="1" x="654"/>
        <item m="1" x="655"/>
        <item m="1" x="656"/>
        <item m="1" x="657"/>
        <item m="1" x="658"/>
        <item m="1" x="659"/>
        <item m="1" x="660"/>
        <item m="1" x="661"/>
        <item m="1" x="662"/>
        <item m="1" x="663"/>
        <item m="1" x="664"/>
        <item m="1" x="665"/>
        <item m="1" x="666"/>
        <item m="1" x="667"/>
        <item m="1" x="668"/>
        <item m="1" x="669"/>
        <item m="1" x="670"/>
        <item m="1" x="671"/>
        <item m="1" x="672"/>
        <item m="1" x="673"/>
        <item m="1" x="674"/>
        <item m="1" x="675"/>
        <item m="1" x="676"/>
        <item m="1" x="677"/>
        <item m="1" x="678"/>
        <item m="1" x="679"/>
        <item m="1" x="680"/>
        <item m="1" x="681"/>
        <item m="1" x="682"/>
        <item m="1" x="683"/>
        <item m="1" x="684"/>
        <item m="1" x="685"/>
        <item m="1" x="686"/>
        <item m="1" x="687"/>
        <item m="1" x="688"/>
        <item m="1" x="689"/>
        <item m="1" x="690"/>
        <item m="1" x="691"/>
        <item m="1" x="692"/>
        <item m="1" x="693"/>
        <item m="1" x="694"/>
        <item m="1" x="695"/>
        <item m="1" x="696"/>
        <item m="1" x="697"/>
        <item m="1" x="698"/>
        <item m="1" x="699"/>
        <item m="1" x="700"/>
        <item m="1" x="701"/>
        <item m="1" x="702"/>
        <item m="1" x="703"/>
        <item m="1" x="704"/>
        <item m="1" x="705"/>
        <item m="1" x="706"/>
        <item m="1" x="707"/>
        <item m="1" x="708"/>
        <item m="1" x="709"/>
        <item m="1" x="710"/>
        <item m="1" x="711"/>
        <item m="1" x="712"/>
        <item m="1" x="713"/>
        <item m="1" x="714"/>
        <item m="1" x="715"/>
        <item m="1" x="716"/>
        <item m="1" x="717"/>
        <item m="1" x="718"/>
        <item m="1" x="719"/>
        <item m="1" x="720"/>
        <item m="1" x="721"/>
        <item m="1" x="722"/>
        <item m="1" x="723"/>
        <item m="1" x="724"/>
        <item m="1" x="725"/>
        <item m="1" x="726"/>
        <item m="1" x="727"/>
        <item m="1" x="728"/>
        <item m="1" x="729"/>
        <item m="1" x="730"/>
        <item m="1" x="731"/>
        <item m="1" x="732"/>
        <item m="1" x="733"/>
        <item m="1" x="734"/>
        <item m="1" x="735"/>
        <item m="1" x="736"/>
        <item m="1" x="737"/>
        <item m="1" x="738"/>
        <item m="1" x="739"/>
        <item m="1" x="740"/>
        <item m="1" x="741"/>
        <item m="1" x="742"/>
        <item m="1" x="743"/>
        <item m="1" x="744"/>
        <item m="1" x="745"/>
        <item m="1" x="746"/>
        <item m="1" x="747"/>
        <item m="1" x="748"/>
        <item m="1" x="749"/>
        <item m="1" x="750"/>
        <item m="1" x="751"/>
        <item m="1" x="752"/>
        <item m="1" x="753"/>
        <item m="1" x="754"/>
        <item m="1" x="755"/>
        <item m="1" x="756"/>
        <item m="1" x="757"/>
        <item m="1" x="758"/>
        <item m="1" x="759"/>
        <item m="1" x="760"/>
        <item m="1" x="761"/>
        <item m="1" x="762"/>
        <item m="1" x="763"/>
        <item m="1" x="764"/>
        <item m="1" x="765"/>
        <item m="1" x="766"/>
        <item m="1" x="767"/>
        <item m="1" x="768"/>
        <item m="1" x="769"/>
        <item m="1" x="770"/>
        <item m="1" x="771"/>
        <item m="1" x="772"/>
        <item m="1" x="773"/>
        <item m="1" x="774"/>
        <item m="1" x="775"/>
        <item m="1" x="776"/>
        <item m="1" x="777"/>
        <item m="1" x="778"/>
        <item m="1" x="779"/>
        <item m="1" x="780"/>
        <item m="1" x="781"/>
        <item m="1" x="782"/>
        <item m="1" x="783"/>
        <item m="1" x="784"/>
        <item m="1" x="785"/>
        <item m="1" x="786"/>
        <item m="1" x="787"/>
        <item m="1" x="788"/>
        <item m="1" x="789"/>
        <item m="1" x="790"/>
        <item m="1" x="791"/>
        <item m="1" x="792"/>
        <item m="1" x="793"/>
        <item m="1" x="794"/>
        <item m="1" x="795"/>
        <item m="1" x="796"/>
        <item m="1" x="797"/>
        <item m="1" x="798"/>
        <item m="1" x="799"/>
        <item m="1" x="800"/>
        <item m="1" x="801"/>
        <item m="1" x="802"/>
        <item m="1" x="803"/>
        <item m="1" x="804"/>
        <item m="1" x="805"/>
        <item m="1" x="806"/>
        <item m="1" x="807"/>
        <item m="1" x="808"/>
        <item m="1" x="809"/>
        <item m="1" x="810"/>
        <item m="1" x="811"/>
        <item m="1" x="812"/>
        <item m="1" x="813"/>
        <item m="1" x="814"/>
        <item m="1" x="815"/>
        <item m="1" x="816"/>
        <item m="1" x="817"/>
        <item m="1" x="818"/>
        <item m="1" x="819"/>
        <item m="1" x="820"/>
        <item m="1" x="821"/>
        <item m="1" x="822"/>
        <item m="1" x="823"/>
        <item m="1" x="824"/>
        <item m="1" x="825"/>
        <item m="1" x="826"/>
        <item m="1" x="827"/>
        <item m="1" x="828"/>
        <item m="1" x="829"/>
        <item m="1" x="830"/>
        <item m="1" x="831"/>
        <item m="1" x="832"/>
        <item m="1" x="833"/>
        <item m="1" x="834"/>
        <item m="1" x="835"/>
        <item m="1" x="836"/>
        <item m="1" x="837"/>
        <item m="1" x="838"/>
        <item m="1" x="839"/>
        <item m="1" x="840"/>
        <item m="1" x="841"/>
        <item m="1" x="842"/>
        <item m="1" x="843"/>
        <item m="1" x="844"/>
        <item m="1" x="845"/>
        <item m="1" x="846"/>
        <item m="1" x="847"/>
        <item m="1" x="848"/>
        <item m="1" x="849"/>
        <item m="1" x="850"/>
        <item m="1" x="851"/>
        <item m="1" x="852"/>
        <item m="1" x="853"/>
        <item m="1" x="854"/>
        <item m="1" x="855"/>
        <item m="1" x="856"/>
        <item m="1" x="857"/>
        <item m="1" x="858"/>
        <item m="1" x="859"/>
        <item m="1" x="860"/>
        <item m="1" x="861"/>
        <item m="1" x="862"/>
        <item m="1" x="863"/>
        <item m="1" x="864"/>
        <item m="1" x="865"/>
        <item m="1" x="866"/>
        <item m="1" x="867"/>
        <item m="1" x="868"/>
        <item m="1" x="869"/>
        <item m="1" x="870"/>
        <item m="1" x="871"/>
        <item m="1" x="872"/>
        <item m="1" x="873"/>
        <item m="1" x="874"/>
        <item m="1" x="875"/>
        <item m="1" x="876"/>
        <item m="1" x="877"/>
        <item m="1" x="878"/>
        <item m="1" x="879"/>
        <item m="1" x="880"/>
        <item m="1" x="881"/>
        <item m="1" x="882"/>
        <item m="1" x="883"/>
        <item m="1" x="884"/>
        <item m="1" x="885"/>
        <item m="1" x="886"/>
        <item m="1" x="887"/>
        <item m="1" x="888"/>
        <item m="1" x="889"/>
        <item m="1" x="890"/>
        <item m="1" x="891"/>
        <item m="1" x="892"/>
        <item m="1" x="893"/>
        <item m="1" x="894"/>
        <item m="1" x="895"/>
        <item m="1" x="896"/>
        <item m="1" x="897"/>
        <item m="1" x="898"/>
        <item m="1" x="899"/>
        <item m="1" x="900"/>
        <item m="1" x="901"/>
        <item m="1" x="902"/>
        <item m="1" x="903"/>
        <item m="1" x="904"/>
        <item m="1" x="905"/>
        <item m="1" x="906"/>
        <item m="1" x="907"/>
        <item m="1" x="908"/>
        <item m="1" x="909"/>
        <item m="1" x="910"/>
        <item m="1" x="911"/>
        <item m="1" x="912"/>
        <item m="1" x="913"/>
        <item m="1" x="914"/>
        <item m="1" x="915"/>
        <item m="1" x="916"/>
        <item m="1" x="917"/>
        <item m="1" x="918"/>
        <item m="1" x="919"/>
        <item m="1" x="920"/>
        <item m="1" x="921"/>
        <item m="1" x="922"/>
        <item m="1" x="923"/>
        <item m="1" x="924"/>
        <item m="1" x="925"/>
        <item m="1" x="926"/>
        <item m="1" x="927"/>
        <item m="1" x="928"/>
        <item m="1" x="929"/>
        <item m="1" x="930"/>
        <item m="1" x="931"/>
        <item m="1" x="932"/>
        <item m="1" x="933"/>
        <item m="1" x="934"/>
        <item m="1" x="935"/>
        <item m="1" x="936"/>
        <item m="1" x="937"/>
        <item m="1" x="938"/>
        <item m="1" x="939"/>
        <item m="1" x="940"/>
        <item m="1" x="941"/>
        <item m="1" x="942"/>
        <item m="1" x="943"/>
        <item m="1" x="944"/>
        <item m="1" x="945"/>
        <item m="1" x="946"/>
        <item m="1" x="947"/>
        <item m="1" x="948"/>
        <item m="1" x="949"/>
        <item m="1" x="950"/>
        <item m="1" x="951"/>
        <item m="1" x="952"/>
        <item m="1" x="953"/>
        <item m="1" x="954"/>
        <item m="1" x="955"/>
        <item m="1" x="956"/>
        <item m="1" x="957"/>
        <item m="1" x="958"/>
        <item m="1" x="959"/>
        <item m="1" x="960"/>
        <item m="1" x="961"/>
        <item m="1" x="962"/>
        <item m="1" x="963"/>
        <item m="1" x="964"/>
        <item m="1" x="965"/>
        <item m="1" x="966"/>
        <item m="1" x="967"/>
        <item m="1" x="968"/>
        <item m="1" x="969"/>
        <item m="1" x="970"/>
        <item m="1" x="971"/>
        <item m="1" x="972"/>
        <item m="1" x="973"/>
        <item m="1" x="974"/>
        <item m="1" x="975"/>
        <item m="1" x="976"/>
        <item m="1" x="977"/>
        <item m="1" x="978"/>
        <item m="1" x="979"/>
        <item m="1" x="980"/>
        <item m="1" x="981"/>
        <item m="1" x="982"/>
        <item m="1" x="983"/>
        <item m="1" x="984"/>
        <item m="1" x="985"/>
        <item m="1" x="986"/>
        <item m="1" x="987"/>
        <item m="1" x="988"/>
        <item m="1" x="989"/>
        <item m="1" x="990"/>
        <item m="1" x="991"/>
        <item m="1" x="992"/>
        <item m="1" x="993"/>
        <item m="1" x="994"/>
        <item m="1" x="995"/>
        <item m="1" x="996"/>
        <item m="1" x="997"/>
        <item m="1" x="998"/>
        <item m="1" x="999"/>
        <item m="1" x="1000"/>
        <item m="1" x="1001"/>
        <item m="1" x="1002"/>
        <item m="1" x="1003"/>
        <item m="1" x="1004"/>
        <item m="1" x="1005"/>
        <item m="1" x="1006"/>
        <item m="1" x="1007"/>
        <item m="1" x="1008"/>
        <item m="1" x="1009"/>
        <item m="1" x="1010"/>
        <item m="1" x="1012"/>
        <item m="1" x="1013"/>
        <item m="1" x="1014"/>
        <item m="1" x="1015"/>
        <item m="1" x="1016"/>
        <item m="1" x="1017"/>
        <item m="1" x="1018"/>
        <item m="1" x="1019"/>
        <item m="1" x="1020"/>
        <item m="1" x="1021"/>
        <item m="1" x="1022"/>
        <item m="1" x="1023"/>
        <item m="1" x="1024"/>
        <item m="1" x="1025"/>
        <item m="1" x="1026"/>
        <item m="1" x="1027"/>
        <item m="1" x="1028"/>
        <item m="1" x="1029"/>
        <item m="1" x="1030"/>
        <item m="1" x="1031"/>
        <item m="1" x="1032"/>
        <item m="1" x="1033"/>
        <item m="1" x="1034"/>
        <item m="1" x="1035"/>
        <item m="1" x="1036"/>
        <item m="1" x="1037"/>
        <item m="1" x="1038"/>
        <item m="1" x="1039"/>
        <item m="1" x="1040"/>
        <item m="1" x="1041"/>
        <item m="1" x="1042"/>
        <item m="1" x="1043"/>
        <item m="1" x="1044"/>
        <item m="1" x="1045"/>
        <item m="1" x="1046"/>
        <item m="1" x="1047"/>
        <item m="1" x="1048"/>
        <item m="1" x="1049"/>
        <item m="1" x="1050"/>
        <item m="1" x="1051"/>
        <item m="1" x="1052"/>
        <item m="1" x="1053"/>
        <item m="1" x="1054"/>
        <item m="1" x="1055"/>
        <item m="1" x="1056"/>
        <item m="1" x="1057"/>
        <item m="1" x="1058"/>
        <item m="1" x="1059"/>
        <item m="1" x="1060"/>
        <item m="1" x="1061"/>
        <item m="1" x="1062"/>
        <item m="1" x="1063"/>
        <item m="1" x="1064"/>
        <item m="1" x="1065"/>
        <item m="1" x="1066"/>
        <item m="1" x="1067"/>
        <item m="1" x="1068"/>
        <item m="1" x="1070"/>
        <item m="1" x="1071"/>
        <item m="1" x="1072"/>
        <item m="1" x="1073"/>
        <item m="1" x="1074"/>
        <item m="1" x="1075"/>
        <item m="1" x="1076"/>
        <item m="1" x="1077"/>
        <item m="1" x="1078"/>
        <item m="1" x="1079"/>
        <item m="1" x="1080"/>
        <item m="1" x="1081"/>
        <item m="1" x="1082"/>
        <item m="1" x="1083"/>
        <item m="1" x="1084"/>
        <item m="1" x="1085"/>
        <item m="1" x="1086"/>
        <item m="1" x="1087"/>
        <item m="1" x="1088"/>
        <item m="1" x="1089"/>
        <item m="1" x="1090"/>
        <item m="1" x="1091"/>
        <item m="1" x="1092"/>
        <item m="1" x="1093"/>
        <item m="1" x="1094"/>
        <item m="1" x="1095"/>
        <item m="1" x="1096"/>
        <item m="1" x="1097"/>
        <item m="1" x="1098"/>
        <item m="1" x="1099"/>
        <item m="1" x="1100"/>
        <item m="1" x="1101"/>
        <item m="1" x="1102"/>
        <item m="1" x="1103"/>
        <item m="1" x="1104"/>
        <item m="1" x="1105"/>
        <item m="1" x="1106"/>
        <item m="1" x="1108"/>
        <item m="1" x="1109"/>
        <item m="1" x="1110"/>
        <item m="1" x="1111"/>
        <item x="556"/>
        <item m="1" x="598"/>
        <item m="1" x="1011"/>
        <item m="1" x="1069"/>
        <item m="1" x="11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s>
    </pivotField>
    <pivotField compact="0" defaultSubtotal="0" outline="0" showAll="0">
      <items count="563">
        <item x="462"/>
        <item x="306"/>
        <item x="307"/>
        <item x="196"/>
        <item x="197"/>
        <item x="45"/>
        <item x="46"/>
        <item x="138"/>
        <item x="137"/>
        <item x="169"/>
        <item x="305"/>
        <item x="11"/>
        <item x="10"/>
        <item x="510"/>
        <item x="194"/>
        <item x="195"/>
        <item x="298"/>
        <item x="299"/>
        <item x="386"/>
        <item x="388"/>
        <item m="1" x="557"/>
        <item x="383"/>
        <item x="387"/>
        <item x="385"/>
        <item x="382"/>
        <item x="442"/>
        <item x="441"/>
        <item x="438"/>
        <item x="437"/>
        <item x="440"/>
        <item x="439"/>
        <item x="436"/>
        <item x="434"/>
        <item x="435"/>
        <item x="495"/>
        <item x="485"/>
        <item x="496"/>
        <item x="486"/>
        <item x="488"/>
        <item x="191"/>
        <item x="494"/>
        <item x="493"/>
        <item x="492"/>
        <item x="484"/>
        <item x="487"/>
        <item x="250"/>
        <item x="251"/>
        <item x="308"/>
        <item x="309"/>
        <item x="198"/>
        <item x="199"/>
        <item x="314"/>
        <item x="312"/>
        <item x="214"/>
        <item x="212"/>
        <item x="315"/>
        <item x="313"/>
        <item x="215"/>
        <item x="213"/>
        <item x="178"/>
        <item x="217"/>
        <item x="216"/>
        <item x="281"/>
        <item x="243"/>
        <item x="222"/>
        <item x="40"/>
        <item x="279"/>
        <item x="179"/>
        <item x="219"/>
        <item x="218"/>
        <item x="280"/>
        <item x="463"/>
        <item x="472"/>
        <item x="469"/>
        <item x="471"/>
        <item x="473"/>
        <item x="468"/>
        <item x="476"/>
        <item x="470"/>
        <item x="549"/>
        <item x="548"/>
        <item x="546"/>
        <item x="545"/>
        <item x="152"/>
        <item x="547"/>
        <item x="165"/>
        <item x="166"/>
        <item x="164"/>
        <item x="189"/>
        <item x="188"/>
        <item x="443"/>
        <item m="1" x="560"/>
        <item x="80"/>
        <item x="454"/>
        <item x="455"/>
        <item x="448"/>
        <item x="447"/>
        <item x="445"/>
        <item x="446"/>
        <item x="453"/>
        <item x="449"/>
        <item x="451"/>
        <item x="450"/>
        <item x="190"/>
        <item x="511"/>
        <item x="478"/>
        <item x="263"/>
        <item x="264"/>
        <item x="265"/>
        <item x="201"/>
        <item x="202"/>
        <item x="266"/>
        <item x="393"/>
        <item x="148"/>
        <item x="68"/>
        <item x="66"/>
        <item x="65"/>
        <item x="481"/>
        <item x="344"/>
        <item x="343"/>
        <item x="340"/>
        <item x="339"/>
        <item x="342"/>
        <item x="341"/>
        <item x="345"/>
        <item x="542"/>
        <item x="541"/>
        <item x="540"/>
        <item x="539"/>
        <item x="146"/>
        <item x="408"/>
        <item x="231"/>
        <item x="207"/>
        <item x="208"/>
        <item x="465"/>
        <item x="464"/>
        <item x="457"/>
        <item x="501"/>
        <item x="467"/>
        <item x="262"/>
        <item x="499"/>
        <item x="498"/>
        <item x="483"/>
        <item x="466"/>
        <item x="153"/>
        <item x="452"/>
        <item x="53"/>
        <item x="52"/>
        <item x="479"/>
        <item x="480"/>
        <item x="336"/>
        <item x="337"/>
        <item x="348"/>
        <item x="356"/>
        <item x="56"/>
        <item x="304"/>
        <item x="303"/>
        <item x="328"/>
        <item x="326"/>
        <item x="327"/>
        <item x="55"/>
        <item x="54"/>
        <item x="73"/>
        <item x="27"/>
        <item x="61"/>
        <item x="431"/>
        <item x="162"/>
        <item x="64"/>
        <item x="157"/>
        <item x="25"/>
        <item x="159"/>
        <item x="63"/>
        <item x="286"/>
        <item x="161"/>
        <item x="77"/>
        <item x="75"/>
        <item x="86"/>
        <item x="379"/>
        <item x="376"/>
        <item x="426"/>
        <item x="489"/>
        <item x="184"/>
        <item x="373"/>
        <item x="370"/>
        <item x="350"/>
        <item x="69"/>
        <item x="358"/>
        <item x="284"/>
        <item x="367"/>
        <item x="364"/>
        <item x="88"/>
        <item x="252"/>
        <item x="210"/>
        <item x="211"/>
        <item x="267"/>
        <item x="29"/>
        <item x="482"/>
        <item x="551"/>
        <item x="544"/>
        <item x="240"/>
        <item x="238"/>
        <item x="239"/>
        <item x="242"/>
        <item x="241"/>
        <item x="175"/>
        <item x="174"/>
        <item x="273"/>
        <item x="272"/>
        <item x="274"/>
        <item x="276"/>
        <item x="275"/>
        <item x="277"/>
        <item x="278"/>
        <item x="3"/>
        <item m="1" x="562"/>
        <item x="2"/>
        <item x="6"/>
        <item x="5"/>
        <item m="1" x="561"/>
        <item x="0"/>
        <item x="461"/>
        <item x="525"/>
        <item x="524"/>
        <item x="522"/>
        <item x="521"/>
        <item x="335"/>
        <item x="517"/>
        <item x="527"/>
        <item x="528"/>
        <item x="526"/>
        <item x="135"/>
        <item x="132"/>
        <item x="550"/>
        <item x="543"/>
        <item x="103"/>
        <item x="147"/>
        <item x="134"/>
        <item x="433"/>
        <item x="131"/>
        <item x="130"/>
        <item x="78"/>
        <item x="51"/>
        <item x="50"/>
        <item x="555"/>
        <item x="552"/>
        <item x="553"/>
        <item x="554"/>
        <item x="113"/>
        <item x="112"/>
        <item x="124"/>
        <item x="123"/>
        <item x="530"/>
        <item x="529"/>
        <item x="102"/>
        <item x="91"/>
        <item x="363"/>
        <item x="355"/>
        <item x="475"/>
        <item x="477"/>
        <item x="418"/>
        <item x="35"/>
        <item x="34"/>
        <item x="43"/>
        <item x="44"/>
        <item x="456"/>
        <item x="114"/>
        <item x="115"/>
        <item x="226"/>
        <item x="223"/>
        <item x="225"/>
        <item x="224"/>
        <item x="229"/>
        <item x="244"/>
        <item x="398"/>
        <item x="400"/>
        <item m="1" x="558"/>
        <item x="395"/>
        <item x="389"/>
        <item x="399"/>
        <item x="397"/>
        <item x="394"/>
        <item x="512"/>
        <item x="513"/>
        <item x="155"/>
        <item x="268"/>
        <item x="269"/>
        <item x="271"/>
        <item x="270"/>
        <item x="83"/>
        <item x="460"/>
        <item x="9"/>
        <item x="8"/>
        <item x="474"/>
        <item x="249"/>
        <item x="227"/>
        <item x="228"/>
        <item x="248"/>
        <item x="390"/>
        <item x="247"/>
        <item x="246"/>
        <item x="502"/>
        <item x="503"/>
        <item x="121"/>
        <item x="116"/>
        <item x="118"/>
        <item x="120"/>
        <item x="119"/>
        <item x="117"/>
        <item x="171"/>
        <item x="170"/>
        <item x="32"/>
        <item x="28"/>
        <item x="417"/>
        <item x="381"/>
        <item x="378"/>
        <item x="429"/>
        <item x="187"/>
        <item x="375"/>
        <item x="372"/>
        <item x="347"/>
        <item x="415"/>
        <item x="352"/>
        <item x="354"/>
        <item x="349"/>
        <item x="72"/>
        <item x="89"/>
        <item x="419"/>
        <item x="360"/>
        <item x="362"/>
        <item x="357"/>
        <item x="92"/>
        <item x="30"/>
        <item x="84"/>
        <item x="33"/>
        <item x="369"/>
        <item x="366"/>
        <item x="413"/>
        <item x="411"/>
        <item x="412"/>
        <item x="410"/>
        <item x="150"/>
        <item x="423"/>
        <item x="177"/>
        <item x="176"/>
        <item x="37"/>
        <item x="36"/>
        <item x="48"/>
        <item x="49"/>
        <item x="47"/>
        <item x="173"/>
        <item x="172"/>
        <item x="21"/>
        <item x="20"/>
        <item x="23"/>
        <item x="22"/>
        <item x="302"/>
        <item x="7"/>
        <item x="392"/>
        <item x="497"/>
        <item x="325"/>
        <item x="322"/>
        <item x="324"/>
        <item x="323"/>
        <item x="321"/>
        <item x="320"/>
        <item x="292"/>
        <item x="295"/>
        <item x="221"/>
        <item x="220"/>
        <item x="294"/>
        <item x="293"/>
        <item x="310"/>
        <item x="296"/>
        <item x="311"/>
        <item x="316"/>
        <item x="127"/>
        <item x="126"/>
        <item x="287"/>
        <item x="297"/>
        <item x="391"/>
        <item x="290"/>
        <item x="291"/>
        <item x="289"/>
        <item x="282"/>
        <item x="334"/>
        <item x="332"/>
        <item x="333"/>
        <item x="233"/>
        <item x="232"/>
        <item x="236"/>
        <item x="237"/>
        <item x="235"/>
        <item x="234"/>
        <item x="409"/>
        <item x="104"/>
        <item x="500"/>
        <item x="420"/>
        <item x="421"/>
        <item x="422"/>
        <item x="424"/>
        <item x="331"/>
        <item x="329"/>
        <item x="330"/>
        <item x="253"/>
        <item x="254"/>
        <item x="255"/>
        <item x="256"/>
        <item x="432"/>
        <item x="136"/>
        <item x="141"/>
        <item x="142"/>
        <item x="145"/>
        <item x="144"/>
        <item x="143"/>
        <item x="163"/>
        <item x="151"/>
        <item x="338"/>
        <item x="230"/>
        <item x="301"/>
        <item x="300"/>
        <item x="79"/>
        <item x="95"/>
        <item x="94"/>
        <item x="81"/>
        <item x="108"/>
        <item x="111"/>
        <item x="110"/>
        <item x="505"/>
        <item x="504"/>
        <item x="538"/>
        <item x="537"/>
        <item x="536"/>
        <item x="535"/>
        <item x="533"/>
        <item x="532"/>
        <item x="531"/>
        <item x="42"/>
        <item x="41"/>
        <item x="534"/>
        <item x="507"/>
        <item x="506"/>
        <item x="509"/>
        <item x="508"/>
        <item x="209"/>
        <item x="380"/>
        <item x="377"/>
        <item x="427"/>
        <item x="490"/>
        <item x="185"/>
        <item x="374"/>
        <item x="371"/>
        <item x="351"/>
        <item x="70"/>
        <item x="359"/>
        <item x="285"/>
        <item x="368"/>
        <item x="365"/>
        <item x="140"/>
        <item x="183"/>
        <item x="182"/>
        <item x="459"/>
        <item x="458"/>
        <item x="257"/>
        <item x="258"/>
        <item x="261"/>
        <item x="260"/>
        <item x="181"/>
        <item x="205"/>
        <item x="206"/>
        <item x="203"/>
        <item x="204"/>
        <item x="180"/>
        <item x="259"/>
        <item x="168"/>
        <item x="167"/>
        <item x="192"/>
        <item x="193"/>
        <item x="317"/>
        <item x="318"/>
        <item x="97"/>
        <item x="98"/>
        <item x="428"/>
        <item x="491"/>
        <item x="186"/>
        <item x="71"/>
        <item x="149"/>
        <item x="200"/>
        <item x="518"/>
        <item x="519"/>
        <item x="514"/>
        <item x="245"/>
        <item x="319"/>
        <item x="13"/>
        <item x="14"/>
        <item x="12"/>
        <item x="416"/>
        <item x="414"/>
        <item x="346"/>
        <item x="101"/>
        <item x="100"/>
        <item x="288"/>
        <item x="133"/>
        <item x="158"/>
        <item x="106"/>
        <item x="107"/>
        <item x="105"/>
        <item x="139"/>
        <item x="154"/>
        <item x="39"/>
        <item x="38"/>
        <item x="15"/>
        <item x="17"/>
        <item x="19"/>
        <item x="18"/>
        <item x="16"/>
        <item x="353"/>
        <item x="361"/>
        <item x="425"/>
        <item x="515"/>
        <item x="516"/>
        <item x="109"/>
        <item x="430"/>
        <item x="67"/>
        <item x="87"/>
        <item x="26"/>
        <item x="60"/>
        <item x="523"/>
        <item x="520"/>
        <item x="129"/>
        <item x="122"/>
        <item x="90"/>
        <item x="156"/>
        <item x="24"/>
        <item x="82"/>
        <item x="31"/>
        <item x="62"/>
        <item x="125"/>
        <item x="283"/>
        <item x="160"/>
        <item x="93"/>
        <item x="76"/>
        <item x="96"/>
        <item x="99"/>
        <item x="74"/>
        <item x="85"/>
        <item x="128"/>
        <item x="58"/>
        <item x="57"/>
        <item x="59"/>
        <item x="405"/>
        <item m="1" x="559"/>
        <item x="402"/>
        <item x="407"/>
        <item x="404"/>
        <item x="401"/>
        <item x="406"/>
        <item x="556"/>
        <item x="1"/>
        <item x="4"/>
        <item x="384"/>
        <item x="396"/>
        <item x="403"/>
        <item x="444"/>
      </items>
    </pivotField>
    <pivotField compact="0" outline="0" showAll="0"/>
    <pivotField compact="0" defaultSubtotal="0" outline="0" showAll="0">
      <items count="42">
        <item x="0"/>
        <item m="1" x="22"/>
        <item m="1" x="9"/>
        <item m="1" x="24"/>
        <item m="1" x="33"/>
        <item m="1" x="39"/>
        <item m="1" x="7"/>
        <item m="1" x="10"/>
        <item m="1" x="16"/>
        <item m="1" x="29"/>
        <item m="1" x="34"/>
        <item m="1" x="40"/>
        <item m="1" x="2"/>
        <item m="1" x="12"/>
        <item m="1" x="13"/>
        <item m="1" x="17"/>
        <item m="1" x="21"/>
        <item m="1" x="26"/>
        <item m="1" x="27"/>
        <item m="1" x="31"/>
        <item m="1" x="32"/>
        <item m="1" x="35"/>
        <item m="1" x="36"/>
        <item m="1" x="38"/>
        <item m="1" x="41"/>
        <item m="1" x="19"/>
        <item m="1" x="8"/>
        <item m="1" x="30"/>
        <item m="1" x="14"/>
        <item m="1" x="18"/>
        <item m="1" x="4"/>
        <item m="1" x="3"/>
        <item m="1" x="28"/>
        <item m="1" x="6"/>
        <item m="1" x="20"/>
        <item m="1" x="37"/>
        <item m="1" x="23"/>
        <item m="1" x="25"/>
        <item m="1" x="15"/>
        <item m="1" x="11"/>
        <item m="1" x="5"/>
        <item x="1"/>
      </items>
    </pivotField>
    <pivotField compact="0" defaultSubtotal="0" outline="0" showAll="0">
      <items count="12">
        <item x="1"/>
        <item x="0"/>
        <item x="3"/>
        <item x="6"/>
        <item x="8"/>
        <item m="1" x="11"/>
        <item x="7"/>
        <item x="9"/>
        <item x="2"/>
        <item x="5"/>
        <item x="4"/>
        <item x="10"/>
      </items>
    </pivotField>
    <pivotField axis="axisPage" compact="0" outline="0" multipleItemSelectionAllowed="1" showAll="0">
      <items count="4">
        <item x="0"/>
        <item m="1" x="2"/>
        <item x="1"/>
        <item t="default"/>
      </items>
    </pivotField>
    <pivotField compact="0" defaultSubtotal="0" outline="0" showAll="0">
      <items count="11">
        <item x="6"/>
        <item x="1"/>
        <item x="2"/>
        <item x="4"/>
        <item x="5"/>
        <item x="3"/>
        <item x="8"/>
        <item x="7"/>
        <item x="0"/>
        <item x="9"/>
        <item x="10"/>
      </items>
    </pivotField>
    <pivotField axis="axisRow" compact="0" defaultSubtotal="0" outline="0" showAll="0">
      <items count="27">
        <item x="18"/>
        <item x="1"/>
        <item x="4"/>
        <item x="11"/>
        <item x="12"/>
        <item x="17"/>
        <item x="8"/>
        <item x="9"/>
        <item m="1" x="26"/>
        <item m="1" x="25"/>
        <item x="3"/>
        <item x="0"/>
        <item x="6"/>
        <item x="7"/>
        <item x="13"/>
        <item x="14"/>
        <item x="19"/>
        <item x="20"/>
        <item x="22"/>
        <item x="21"/>
        <item x="23"/>
        <item x="16"/>
        <item x="10"/>
        <item x="5"/>
        <item x="24"/>
        <item x="15"/>
        <item x="2"/>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dataField="1" compact="0" outline="0" showAll="0"/>
    <pivotField compact="0" outline="0" showAll="0"/>
    <pivotField dataField="1" compact="0" outline="0" showAll="0"/>
  </pivotFields>
  <rowFields count="5">
    <field x="10"/>
    <field x="11"/>
    <field x="2"/>
    <field x="1"/>
    <field x="19"/>
  </rowFields>
  <rowItems count="613">
    <i>
      <x/>
      <x v="42"/>
      <x v="2"/>
      <x/>
      <x v="1"/>
    </i>
    <i r="4">
      <x v="2"/>
    </i>
    <i r="4">
      <x v="10"/>
    </i>
    <i r="4">
      <x v="11"/>
    </i>
    <i r="4">
      <x v="12"/>
    </i>
    <i r="4">
      <x v="13"/>
    </i>
    <i r="4">
      <x v="23"/>
    </i>
    <i r="4">
      <x v="26"/>
    </i>
    <i t="default">
      <x/>
    </i>
    <i>
      <x v="1"/>
      <x v="159"/>
      <x v="2"/>
      <x/>
      <x v="6"/>
    </i>
    <i r="4">
      <x v="7"/>
    </i>
    <i r="4">
      <x v="11"/>
    </i>
    <i r="4">
      <x v="13"/>
    </i>
    <i r="4">
      <x v="22"/>
    </i>
    <i r="4">
      <x v="26"/>
    </i>
    <i t="default">
      <x v="1"/>
    </i>
    <i>
      <x v="2"/>
      <x v="39"/>
      <x v="2"/>
      <x v="2"/>
      <x v="10"/>
    </i>
    <i r="4">
      <x v="11"/>
    </i>
    <i r="4">
      <x v="12"/>
    </i>
    <i r="4">
      <x v="26"/>
    </i>
    <i t="default">
      <x v="2"/>
    </i>
    <i>
      <x v="3"/>
      <x v="157"/>
      <x v="2"/>
      <x v="2"/>
      <x v="10"/>
    </i>
    <i r="4">
      <x v="11"/>
    </i>
    <i r="4">
      <x v="12"/>
    </i>
    <i r="4">
      <x v="13"/>
    </i>
    <i t="default">
      <x v="3"/>
    </i>
    <i>
      <x v="4"/>
      <x v="156"/>
      <x v="2"/>
      <x/>
      <x v="11"/>
    </i>
    <i r="4">
      <x v="12"/>
    </i>
    <i t="default">
      <x v="4"/>
    </i>
    <i>
      <x v="5"/>
      <x v="90"/>
      <x v="2"/>
      <x v="2"/>
      <x v="11"/>
    </i>
    <i r="4">
      <x v="13"/>
    </i>
    <i t="default">
      <x v="5"/>
    </i>
    <i>
      <x v="6"/>
      <x v="91"/>
      <x v="2"/>
      <x/>
      <x v="11"/>
    </i>
    <i r="4">
      <x v="13"/>
    </i>
    <i t="default">
      <x v="6"/>
    </i>
    <i>
      <x v="7"/>
      <x v="138"/>
      <x v="2"/>
      <x v="2"/>
      <x v="2"/>
    </i>
    <i r="4">
      <x v="3"/>
    </i>
    <i r="4">
      <x v="4"/>
    </i>
    <i r="4">
      <x v="7"/>
    </i>
    <i r="4">
      <x v="11"/>
    </i>
    <i r="4">
      <x v="13"/>
    </i>
    <i r="4">
      <x v="14"/>
    </i>
    <i r="4">
      <x v="15"/>
    </i>
    <i r="4">
      <x v="26"/>
    </i>
    <i t="default">
      <x v="7"/>
    </i>
    <i>
      <x v="8"/>
      <x v="40"/>
      <x v="2"/>
      <x v="2"/>
      <x v="1"/>
    </i>
    <i r="4">
      <x v="3"/>
    </i>
    <i r="4">
      <x v="4"/>
    </i>
    <i r="4">
      <x v="7"/>
    </i>
    <i r="4">
      <x v="10"/>
    </i>
    <i r="4">
      <x v="11"/>
    </i>
    <i r="4">
      <x v="13"/>
    </i>
    <i r="4">
      <x v="15"/>
    </i>
    <i r="4">
      <x v="26"/>
    </i>
    <i t="default">
      <x v="8"/>
    </i>
    <i>
      <x v="10"/>
      <x v="151"/>
      <x v="2"/>
      <x v="2"/>
      <x v="3"/>
    </i>
    <i r="4">
      <x v="13"/>
    </i>
    <i t="default">
      <x v="10"/>
    </i>
    <i>
      <x v="11"/>
      <x v="74"/>
      <x v="2"/>
      <x v="2"/>
      <x v="3"/>
    </i>
    <i r="4">
      <x v="13"/>
    </i>
    <i t="default">
      <x v="11"/>
    </i>
    <i>
      <x v="12"/>
      <x v="57"/>
      <x v="2"/>
      <x v="2"/>
      <x v="3"/>
    </i>
    <i r="4">
      <x v="4"/>
    </i>
    <i r="4">
      <x v="13"/>
    </i>
    <i t="default">
      <x v="12"/>
    </i>
    <i>
      <x v="13"/>
      <x v="88"/>
      <x v="2"/>
      <x v="2"/>
      <x v="3"/>
    </i>
    <i r="4">
      <x v="4"/>
    </i>
    <i r="4">
      <x v="13"/>
    </i>
    <i t="default">
      <x v="13"/>
    </i>
    <i>
      <x v="14"/>
      <x v="155"/>
      <x v="2"/>
      <x/>
      <x v="3"/>
    </i>
    <i r="4">
      <x v="13"/>
    </i>
    <i t="default">
      <x v="14"/>
    </i>
    <i>
      <x v="15"/>
      <x v="7"/>
      <x v="2"/>
      <x v="2"/>
      <x v="3"/>
    </i>
    <i r="4">
      <x v="13"/>
    </i>
    <i t="default">
      <x v="15"/>
    </i>
    <i>
      <x v="16"/>
      <x v="111"/>
      <x v="2"/>
      <x v="2"/>
      <x v="3"/>
    </i>
    <i r="4">
      <x v="4"/>
    </i>
    <i t="default">
      <x v="16"/>
    </i>
    <i>
      <x v="17"/>
      <x v="63"/>
      <x v="2"/>
      <x v="2"/>
      <x v="13"/>
    </i>
    <i t="default">
      <x v="17"/>
    </i>
    <i>
      <x v="18"/>
      <x v="64"/>
      <x v="2"/>
      <x v="2"/>
      <x v="3"/>
    </i>
    <i t="default">
      <x v="18"/>
    </i>
    <i>
      <x v="19"/>
      <x/>
      <x v="2"/>
      <x v="2"/>
      <x v="11"/>
    </i>
    <i r="4">
      <x v="12"/>
    </i>
    <i t="default">
      <x v="19"/>
    </i>
    <i>
      <x v="21"/>
      <x v="125"/>
      <x v="2"/>
      <x v="2"/>
      <x v="3"/>
    </i>
    <i r="4">
      <x v="4"/>
    </i>
    <i r="4">
      <x v="13"/>
    </i>
    <i t="default">
      <x v="21"/>
    </i>
    <i>
      <x v="22"/>
      <x v="123"/>
      <x v="2"/>
      <x v="2"/>
      <x v="3"/>
    </i>
    <i r="4">
      <x v="13"/>
    </i>
    <i t="default">
      <x v="22"/>
    </i>
    <i>
      <x v="23"/>
      <x v="126"/>
      <x v="2"/>
      <x v="2"/>
      <x v="3"/>
    </i>
    <i r="4">
      <x v="13"/>
    </i>
    <i t="default">
      <x v="23"/>
    </i>
    <i>
      <x v="24"/>
      <x v="122"/>
      <x v="2"/>
      <x v="2"/>
      <x v="3"/>
    </i>
    <i r="4">
      <x v="4"/>
    </i>
    <i r="4">
      <x v="13"/>
    </i>
    <i t="default">
      <x v="24"/>
    </i>
    <i>
      <x v="25"/>
      <x v="124"/>
      <x v="2"/>
      <x v="2"/>
      <x v="3"/>
    </i>
    <i r="4">
      <x v="4"/>
    </i>
    <i r="4">
      <x v="13"/>
    </i>
    <i t="default">
      <x v="25"/>
    </i>
    <i>
      <x v="26"/>
      <x v="131"/>
      <x v="2"/>
      <x v="2"/>
      <x v="1"/>
    </i>
    <i r="4">
      <x v="10"/>
    </i>
    <i r="4">
      <x v="11"/>
    </i>
    <i r="4">
      <x v="12"/>
    </i>
    <i r="4">
      <x v="13"/>
    </i>
    <i r="4">
      <x v="26"/>
    </i>
    <i t="default">
      <x v="26"/>
    </i>
    <i>
      <x v="27"/>
      <x v="139"/>
      <x v="2"/>
      <x v="2"/>
      <x v="3"/>
    </i>
    <i r="4">
      <x v="4"/>
    </i>
    <i r="4">
      <x v="10"/>
    </i>
    <i r="4">
      <x v="11"/>
    </i>
    <i r="4">
      <x v="13"/>
    </i>
    <i r="4">
      <x v="26"/>
    </i>
    <i t="default">
      <x v="27"/>
    </i>
    <i>
      <x v="28"/>
      <x v="21"/>
      <x v="2"/>
      <x v="2"/>
      <x v="10"/>
    </i>
    <i r="4">
      <x v="11"/>
    </i>
    <i t="default">
      <x v="28"/>
    </i>
    <i>
      <x v="29"/>
      <x v="130"/>
      <x v="2"/>
      <x v="2"/>
      <x v="6"/>
    </i>
    <i r="4">
      <x v="10"/>
    </i>
    <i r="4">
      <x v="11"/>
    </i>
    <i r="4">
      <x v="12"/>
    </i>
    <i r="4">
      <x v="13"/>
    </i>
    <i r="4">
      <x v="22"/>
    </i>
    <i r="4">
      <x v="25"/>
    </i>
    <i r="4">
      <x v="26"/>
    </i>
    <i t="default">
      <x v="29"/>
    </i>
    <i>
      <x v="30"/>
      <x v="143"/>
      <x v="2"/>
      <x v="2"/>
      <x v="3"/>
    </i>
    <i r="4">
      <x v="4"/>
    </i>
    <i r="4">
      <x v="11"/>
    </i>
    <i r="4">
      <x v="13"/>
    </i>
    <i t="default">
      <x v="30"/>
    </i>
    <i>
      <x v="32"/>
      <x v="142"/>
      <x v="2"/>
      <x v="2"/>
      <x v="3"/>
    </i>
    <i r="4">
      <x v="4"/>
    </i>
    <i r="4">
      <x v="10"/>
    </i>
    <i r="4">
      <x v="11"/>
    </i>
    <i r="4">
      <x v="13"/>
    </i>
    <i t="default">
      <x v="32"/>
    </i>
    <i>
      <x v="33"/>
      <x v="168"/>
      <x v="2"/>
      <x/>
      <x v="3"/>
    </i>
    <i r="4">
      <x v="13"/>
    </i>
    <i t="default">
      <x v="33"/>
    </i>
    <i>
      <x v="34"/>
      <x v="71"/>
      <x v="2"/>
      <x v="2"/>
      <x v="3"/>
    </i>
    <i r="4">
      <x v="13"/>
    </i>
    <i t="default">
      <x v="34"/>
    </i>
    <i>
      <x v="35"/>
      <x v="72"/>
      <x v="2"/>
      <x v="2"/>
      <x v="10"/>
    </i>
    <i r="4">
      <x v="11"/>
    </i>
    <i t="default">
      <x v="35"/>
    </i>
    <i>
      <x v="36"/>
      <x v="33"/>
      <x v="2"/>
      <x v="2"/>
      <x v="3"/>
    </i>
    <i r="4">
      <x v="13"/>
    </i>
    <i t="default">
      <x v="36"/>
    </i>
    <i>
      <x v="37"/>
      <x v="62"/>
      <x v="2"/>
      <x v="2"/>
      <x v="3"/>
    </i>
    <i r="4">
      <x v="13"/>
    </i>
    <i t="default">
      <x v="37"/>
    </i>
    <i>
      <x v="38"/>
      <x v="104"/>
      <x v="2"/>
      <x v="2"/>
      <x v="13"/>
    </i>
    <i r="4">
      <x v="14"/>
    </i>
    <i t="default">
      <x v="38"/>
    </i>
    <i>
      <x v="39"/>
      <x v="128"/>
      <x v="2"/>
      <x v="2"/>
      <x v="3"/>
    </i>
    <i r="4">
      <x v="13"/>
    </i>
    <i t="default">
      <x v="39"/>
    </i>
    <i>
      <x v="40"/>
      <x v="147"/>
      <x v="2"/>
      <x v="2"/>
      <x v="14"/>
    </i>
    <i r="4">
      <x v="21"/>
    </i>
    <i t="default">
      <x v="40"/>
    </i>
    <i>
      <x v="41"/>
      <x v="60"/>
      <x v="2"/>
      <x v="2"/>
      <x v="3"/>
    </i>
    <i r="4">
      <x v="13"/>
    </i>
    <i t="default">
      <x v="41"/>
    </i>
    <i>
      <x v="43"/>
      <x v="149"/>
      <x v="2"/>
      <x v="3"/>
      <x v="3"/>
    </i>
    <i r="4">
      <x v="13"/>
    </i>
    <i t="default">
      <x v="43"/>
    </i>
    <i>
      <x v="44"/>
      <x v="150"/>
      <x v="2"/>
      <x v="2"/>
      <x v="3"/>
    </i>
    <i r="4">
      <x v="4"/>
    </i>
    <i r="4">
      <x v="13"/>
    </i>
    <i t="default">
      <x v="44"/>
    </i>
    <i>
      <x v="45"/>
      <x v="105"/>
      <x v="2"/>
      <x/>
      <x v="3"/>
    </i>
    <i r="4">
      <x v="13"/>
    </i>
    <i t="default">
      <x v="45"/>
    </i>
    <i>
      <x v="46"/>
      <x v="107"/>
      <x v="2"/>
      <x v="2"/>
      <x v="3"/>
    </i>
    <i r="4">
      <x v="13"/>
    </i>
    <i t="default">
      <x v="46"/>
    </i>
    <i>
      <x v="47"/>
      <x v="106"/>
      <x v="2"/>
      <x v="4"/>
      <x v="3"/>
    </i>
    <i r="4">
      <x v="13"/>
    </i>
    <i t="default">
      <x v="47"/>
    </i>
    <i>
      <x v="48"/>
      <x v="56"/>
      <x v="2"/>
      <x v="2"/>
      <x v="3"/>
    </i>
    <i r="4">
      <x v="4"/>
    </i>
    <i r="4">
      <x v="13"/>
    </i>
    <i t="default">
      <x v="48"/>
    </i>
    <i>
      <x v="49"/>
      <x v="67"/>
      <x v="2"/>
      <x v="2"/>
      <x v="3"/>
    </i>
    <i r="4">
      <x v="13"/>
    </i>
    <i t="default">
      <x v="49"/>
    </i>
    <i>
      <x v="50"/>
      <x v="152"/>
      <x v="2"/>
      <x v="5"/>
      <x v="3"/>
    </i>
    <i r="4">
      <x v="13"/>
    </i>
    <i t="default">
      <x v="50"/>
    </i>
    <i>
      <x v="51"/>
      <x v="175"/>
      <x v="2"/>
      <x v="2"/>
      <x v="3"/>
    </i>
    <i r="4">
      <x v="13"/>
    </i>
    <i t="default">
      <x v="51"/>
    </i>
    <i>
      <x v="52"/>
      <x v="95"/>
      <x v="2"/>
      <x v="2"/>
      <x v="3"/>
    </i>
    <i r="4">
      <x v="13"/>
    </i>
    <i t="default">
      <x v="52"/>
    </i>
    <i>
      <x v="54"/>
      <x v="169"/>
      <x v="2"/>
      <x/>
      <x v="3"/>
    </i>
    <i t="default">
      <x v="54"/>
    </i>
    <i>
      <x v="55"/>
      <x v="50"/>
      <x v="2"/>
      <x v="2"/>
      <x v="3"/>
    </i>
    <i r="4">
      <x v="13"/>
    </i>
    <i t="default">
      <x v="55"/>
    </i>
    <i>
      <x v="56"/>
      <x v="103"/>
      <x v="2"/>
      <x/>
      <x v="13"/>
    </i>
    <i r="4">
      <x v="14"/>
    </i>
    <i t="default">
      <x v="56"/>
    </i>
    <i>
      <x v="57"/>
      <x v="110"/>
      <x v="2"/>
      <x/>
      <x v="13"/>
    </i>
    <i r="4">
      <x v="14"/>
    </i>
    <i t="default">
      <x v="57"/>
    </i>
    <i>
      <x v="58"/>
      <x v="153"/>
      <x v="2"/>
      <x v="2"/>
      <x v="13"/>
    </i>
    <i t="default">
      <x v="58"/>
    </i>
    <i>
      <x v="59"/>
      <x v="113"/>
      <x v="2"/>
      <x v="2"/>
      <x v="13"/>
    </i>
    <i t="default">
      <x v="59"/>
    </i>
    <i>
      <x v="60"/>
      <x v="99"/>
      <x v="2"/>
      <x v="6"/>
      <x v="3"/>
    </i>
    <i r="4">
      <x v="4"/>
    </i>
    <i r="4">
      <x v="13"/>
    </i>
    <i r="4">
      <x v="21"/>
    </i>
    <i t="default">
      <x v="60"/>
    </i>
    <i>
      <x v="61"/>
      <x v="49"/>
      <x v="2"/>
      <x v="3"/>
      <x v="13"/>
    </i>
    <i t="default">
      <x v="61"/>
    </i>
    <i>
      <x v="62"/>
      <x v="20"/>
      <x v="2"/>
      <x v="6"/>
      <x v="13"/>
    </i>
    <i t="default">
      <x v="62"/>
    </i>
    <i>
      <x v="63"/>
      <x v="129"/>
      <x v="2"/>
      <x v="6"/>
      <x v="13"/>
    </i>
    <i t="default">
      <x v="63"/>
    </i>
    <i>
      <x v="65"/>
      <x v="82"/>
      <x v="2"/>
      <x v="6"/>
      <x v="13"/>
    </i>
    <i t="default">
      <x v="65"/>
    </i>
    <i>
      <x v="66"/>
      <x v="101"/>
      <x v="2"/>
      <x v="6"/>
      <x v="13"/>
    </i>
    <i t="default">
      <x v="66"/>
    </i>
    <i>
      <x v="67"/>
      <x v="12"/>
      <x v="2"/>
      <x v="6"/>
      <x v="13"/>
    </i>
    <i t="default">
      <x v="67"/>
    </i>
    <i>
      <x v="68"/>
      <x v="31"/>
      <x v="2"/>
      <x v="2"/>
      <x v="13"/>
    </i>
    <i t="default">
      <x v="68"/>
    </i>
    <i>
      <x v="69"/>
      <x v="154"/>
      <x v="2"/>
      <x v="6"/>
      <x v="13"/>
    </i>
    <i t="default">
      <x v="69"/>
    </i>
    <i>
      <x v="70"/>
      <x v="70"/>
      <x v="2"/>
      <x v="6"/>
      <x v="13"/>
    </i>
    <i t="default">
      <x v="70"/>
    </i>
    <i>
      <x v="71"/>
      <x v="136"/>
      <x v="2"/>
      <x v="2"/>
      <x v="2"/>
    </i>
    <i r="4">
      <x v="4"/>
    </i>
    <i r="4">
      <x v="7"/>
    </i>
    <i r="4">
      <x v="11"/>
    </i>
    <i r="4">
      <x v="13"/>
    </i>
    <i r="4">
      <x v="14"/>
    </i>
    <i r="4">
      <x v="15"/>
    </i>
    <i r="4">
      <x v="26"/>
    </i>
    <i t="default">
      <x v="71"/>
    </i>
    <i>
      <x v="72"/>
      <x v="148"/>
      <x v="2"/>
      <x/>
      <x v="13"/>
    </i>
    <i t="default">
      <x v="72"/>
    </i>
    <i>
      <x v="73"/>
      <x v="137"/>
      <x v="2"/>
      <x v="2"/>
      <x v="10"/>
    </i>
    <i r="4">
      <x v="11"/>
    </i>
    <i r="4">
      <x v="13"/>
    </i>
    <i r="4">
      <x v="14"/>
    </i>
    <i t="default">
      <x v="73"/>
    </i>
    <i>
      <x v="74"/>
      <x v="141"/>
      <x v="2"/>
      <x v="2"/>
      <x v="2"/>
    </i>
    <i r="4">
      <x v="3"/>
    </i>
    <i r="4">
      <x v="4"/>
    </i>
    <i r="4">
      <x v="7"/>
    </i>
    <i r="4">
      <x v="11"/>
    </i>
    <i r="4">
      <x v="13"/>
    </i>
    <i r="4">
      <x v="14"/>
    </i>
    <i r="4">
      <x v="15"/>
    </i>
    <i r="4">
      <x v="26"/>
    </i>
    <i t="default">
      <x v="74"/>
    </i>
    <i>
      <x v="76"/>
      <x v="135"/>
      <x v="2"/>
      <x v="2"/>
      <x v="3"/>
    </i>
    <i r="4">
      <x v="4"/>
    </i>
    <i r="4">
      <x v="13"/>
    </i>
    <i t="default">
      <x v="76"/>
    </i>
    <i>
      <x v="77"/>
      <x v="100"/>
      <x v="2"/>
      <x v="2"/>
      <x v="3"/>
    </i>
    <i r="4">
      <x v="4"/>
    </i>
    <i r="4">
      <x v="13"/>
    </i>
    <i t="default">
      <x v="77"/>
    </i>
    <i>
      <x v="78"/>
      <x v="119"/>
      <x v="2"/>
      <x/>
      <x v="10"/>
    </i>
    <i r="4">
      <x v="11"/>
    </i>
    <i t="default">
      <x v="78"/>
    </i>
    <i>
      <x v="79"/>
      <x v="120"/>
      <x v="2"/>
      <x v="2"/>
      <x v="11"/>
    </i>
    <i t="default">
      <x v="79"/>
    </i>
    <i>
      <x v="80"/>
      <x v="1"/>
      <x v="2"/>
      <x v="6"/>
      <x v="10"/>
    </i>
    <i r="4">
      <x v="11"/>
    </i>
    <i r="4">
      <x v="12"/>
    </i>
    <i t="default">
      <x v="80"/>
    </i>
    <i>
      <x v="81"/>
      <x v="73"/>
      <x v="2"/>
      <x v="7"/>
      <x v="10"/>
    </i>
    <i r="4">
      <x v="11"/>
    </i>
    <i t="default">
      <x v="81"/>
    </i>
    <i>
      <x v="82"/>
      <x v="89"/>
      <x v="2"/>
      <x v="7"/>
      <x v="10"/>
    </i>
    <i r="4">
      <x v="11"/>
    </i>
    <i t="default">
      <x v="82"/>
    </i>
    <i>
      <x v="83"/>
      <x v="41"/>
      <x v="2"/>
      <x v="6"/>
      <x v="10"/>
    </i>
    <i r="4">
      <x v="11"/>
    </i>
    <i t="default">
      <x v="83"/>
    </i>
    <i>
      <x v="84"/>
      <x v="8"/>
      <x v="2"/>
      <x v="6"/>
      <x v="10"/>
    </i>
    <i r="4">
      <x v="11"/>
    </i>
    <i r="4">
      <x v="12"/>
    </i>
    <i t="default">
      <x v="84"/>
    </i>
    <i>
      <x v="85"/>
      <x v="117"/>
      <x v="2"/>
      <x v="6"/>
      <x v="10"/>
    </i>
    <i r="4">
      <x v="11"/>
    </i>
    <i t="default">
      <x v="85"/>
    </i>
    <i>
      <x v="86"/>
      <x v="114"/>
      <x v="2"/>
      <x v="6"/>
      <x v="10"/>
    </i>
    <i r="4">
      <x v="11"/>
    </i>
    <i t="default">
      <x v="86"/>
    </i>
    <i>
      <x v="87"/>
      <x v="118"/>
      <x v="8"/>
      <x/>
      <x v="10"/>
    </i>
    <i r="4">
      <x v="11"/>
    </i>
    <i r="4">
      <x v="22"/>
    </i>
    <i r="4">
      <x v="25"/>
    </i>
    <i r="4">
      <x v="26"/>
    </i>
    <i t="default">
      <x v="87"/>
    </i>
    <i>
      <x v="88"/>
      <x v="17"/>
      <x v="2"/>
      <x v="2"/>
      <x v="11"/>
    </i>
    <i t="default">
      <x v="88"/>
    </i>
    <i>
      <x v="89"/>
      <x v="5"/>
      <x v="2"/>
      <x v="2"/>
      <x v="11"/>
    </i>
    <i t="default">
      <x v="89"/>
    </i>
    <i>
      <x v="90"/>
      <x v="121"/>
      <x v="2"/>
      <x v="6"/>
      <x v="11"/>
    </i>
    <i t="default">
      <x v="90"/>
    </i>
    <i>
      <x v="91"/>
      <x v="165"/>
      <x v="2"/>
      <x/>
      <x/>
    </i>
    <i r="4">
      <x v="5"/>
    </i>
    <i r="4">
      <x v="6"/>
    </i>
    <i r="4">
      <x v="7"/>
    </i>
    <i r="4">
      <x v="11"/>
    </i>
    <i r="4">
      <x v="13"/>
    </i>
    <i r="4">
      <x v="15"/>
    </i>
    <i r="4">
      <x v="26"/>
    </i>
    <i t="default">
      <x v="91"/>
    </i>
    <i>
      <x v="92"/>
      <x v="34"/>
      <x v="2"/>
      <x v="8"/>
      <x v="5"/>
    </i>
    <i r="4">
      <x v="6"/>
    </i>
    <i r="4">
      <x v="7"/>
    </i>
    <i r="4">
      <x v="26"/>
    </i>
    <i t="default">
      <x v="92"/>
    </i>
    <i>
      <x v="93"/>
      <x v="75"/>
      <x v="2"/>
      <x v="9"/>
      <x v="5"/>
    </i>
    <i r="4">
      <x v="6"/>
    </i>
    <i t="default">
      <x v="93"/>
    </i>
    <i>
      <x v="94"/>
      <x v="127"/>
      <x v="2"/>
      <x v="2"/>
      <x v="5"/>
    </i>
    <i r="4">
      <x v="6"/>
    </i>
    <i r="4">
      <x v="7"/>
    </i>
    <i t="default">
      <x v="94"/>
    </i>
    <i>
      <x v="95"/>
      <x v="35"/>
      <x v="2"/>
      <x v="3"/>
      <x v="5"/>
    </i>
    <i r="4">
      <x v="6"/>
    </i>
    <i r="4">
      <x v="7"/>
    </i>
    <i r="4">
      <x v="26"/>
    </i>
    <i t="default">
      <x v="95"/>
    </i>
    <i>
      <x v="96"/>
      <x v="87"/>
      <x v="2"/>
      <x v="9"/>
      <x v="6"/>
    </i>
    <i t="default">
      <x v="96"/>
    </i>
    <i>
      <x v="97"/>
      <x v="86"/>
      <x v="2"/>
      <x v="9"/>
      <x v="5"/>
    </i>
    <i r="4">
      <x v="6"/>
    </i>
    <i r="4">
      <x v="7"/>
    </i>
    <i t="default">
      <x v="97"/>
    </i>
    <i>
      <x v="98"/>
      <x v="55"/>
      <x v="2"/>
      <x v="2"/>
      <x v="5"/>
    </i>
    <i r="4">
      <x v="6"/>
    </i>
    <i r="4">
      <x v="7"/>
    </i>
    <i r="4">
      <x v="26"/>
    </i>
    <i t="default">
      <x v="98"/>
    </i>
    <i>
      <x v="99"/>
      <x v="85"/>
      <x v="2"/>
      <x v="9"/>
      <x/>
    </i>
    <i t="default">
      <x v="99"/>
    </i>
    <i>
      <x v="100"/>
      <x v="51"/>
      <x v="2"/>
      <x v="3"/>
      <x v="5"/>
    </i>
    <i r="4">
      <x v="6"/>
    </i>
    <i r="4">
      <x v="15"/>
    </i>
    <i t="default">
      <x v="100"/>
    </i>
    <i>
      <x v="101"/>
      <x v="36"/>
      <x v="2"/>
      <x v="3"/>
      <x v="6"/>
    </i>
    <i r="4">
      <x v="7"/>
    </i>
    <i t="default">
      <x v="101"/>
    </i>
    <i>
      <x v="102"/>
      <x v="37"/>
      <x v="2"/>
      <x v="3"/>
      <x v="5"/>
    </i>
    <i r="4">
      <x v="6"/>
    </i>
    <i r="4">
      <x v="7"/>
    </i>
    <i t="default">
      <x v="102"/>
    </i>
    <i>
      <x v="103"/>
      <x v="76"/>
      <x v="2"/>
      <x v="9"/>
      <x v="5"/>
    </i>
    <i r="4">
      <x v="6"/>
    </i>
    <i r="4">
      <x v="26"/>
    </i>
    <i t="default">
      <x v="103"/>
    </i>
    <i>
      <x v="104"/>
      <x v="84"/>
      <x v="2"/>
      <x v="6"/>
      <x v="5"/>
    </i>
    <i r="4">
      <x v="6"/>
    </i>
    <i t="default">
      <x v="104"/>
    </i>
    <i>
      <x v="105"/>
      <x v="140"/>
      <x v="2"/>
      <x v="2"/>
      <x v="7"/>
    </i>
    <i r="4">
      <x v="11"/>
    </i>
    <i r="4">
      <x v="13"/>
    </i>
    <i r="4">
      <x v="25"/>
    </i>
    <i r="4">
      <x v="26"/>
    </i>
    <i t="default">
      <x v="105"/>
    </i>
    <i>
      <x v="106"/>
      <x v="94"/>
      <x v="2"/>
      <x v="3"/>
      <x v="5"/>
    </i>
    <i r="4">
      <x v="6"/>
    </i>
    <i r="4">
      <x v="7"/>
    </i>
    <i r="4">
      <x v="26"/>
    </i>
    <i t="default">
      <x v="106"/>
    </i>
    <i>
      <x v="107"/>
      <x v="164"/>
      <x v="2"/>
      <x/>
      <x v="6"/>
    </i>
    <i r="4">
      <x v="7"/>
    </i>
    <i t="default">
      <x v="107"/>
    </i>
    <i>
      <x v="108"/>
      <x v="92"/>
      <x v="2"/>
      <x v="6"/>
      <x v="7"/>
    </i>
    <i t="default">
      <x v="108"/>
    </i>
    <i>
      <x v="109"/>
      <x v="93"/>
      <x v="2"/>
      <x v="2"/>
      <x v="5"/>
    </i>
    <i r="4">
      <x v="6"/>
    </i>
    <i r="4">
      <x v="7"/>
    </i>
    <i t="default">
      <x v="109"/>
    </i>
    <i>
      <x v="110"/>
      <x v="167"/>
      <x v="2"/>
      <x/>
      <x v="1"/>
    </i>
    <i r="4">
      <x v="2"/>
    </i>
    <i r="4">
      <x v="11"/>
    </i>
    <i r="4">
      <x v="22"/>
    </i>
    <i r="4">
      <x v="23"/>
    </i>
    <i r="4">
      <x v="26"/>
    </i>
    <i t="default">
      <x v="110"/>
    </i>
    <i>
      <x v="111"/>
      <x v="145"/>
      <x v="2"/>
      <x/>
      <x v="23"/>
    </i>
    <i r="4">
      <x v="26"/>
    </i>
    <i t="default">
      <x v="111"/>
    </i>
    <i>
      <x v="112"/>
      <x v="61"/>
      <x v="2"/>
      <x v="2"/>
      <x v="23"/>
    </i>
    <i r="4">
      <x v="26"/>
    </i>
    <i t="default">
      <x v="112"/>
    </i>
    <i>
      <x v="113"/>
      <x v="146"/>
      <x v="2"/>
      <x v="3"/>
      <x v="11"/>
    </i>
    <i r="4">
      <x v="22"/>
    </i>
    <i r="4">
      <x v="23"/>
    </i>
    <i r="4">
      <x v="26"/>
    </i>
    <i t="default">
      <x v="113"/>
    </i>
    <i>
      <x v="114"/>
      <x v="161"/>
      <x v="2"/>
      <x v="3"/>
      <x v="22"/>
    </i>
    <i r="4">
      <x v="25"/>
    </i>
    <i t="default">
      <x v="114"/>
    </i>
    <i>
      <x v="115"/>
      <x v="80"/>
      <x v="2"/>
      <x v="3"/>
      <x v="22"/>
    </i>
    <i r="4">
      <x v="25"/>
    </i>
    <i r="4">
      <x v="26"/>
    </i>
    <i t="default">
      <x v="115"/>
    </i>
    <i>
      <x v="116"/>
      <x v="158"/>
      <x v="2"/>
      <x v="3"/>
      <x v="22"/>
    </i>
    <i r="4">
      <x v="25"/>
    </i>
    <i r="4">
      <x v="26"/>
    </i>
    <i t="default">
      <x v="116"/>
    </i>
    <i>
      <x v="117"/>
      <x v="77"/>
      <x v="2"/>
      <x v="3"/>
      <x v="22"/>
    </i>
    <i r="4">
      <x v="25"/>
    </i>
    <i r="4">
      <x v="26"/>
    </i>
    <i t="default">
      <x v="117"/>
    </i>
    <i>
      <x v="118"/>
      <x v="81"/>
      <x v="2"/>
      <x v="3"/>
      <x v="22"/>
    </i>
    <i r="4">
      <x v="25"/>
    </i>
    <i r="4">
      <x v="26"/>
    </i>
    <i t="default">
      <x v="118"/>
    </i>
    <i>
      <x v="119"/>
      <x v="79"/>
      <x v="2"/>
      <x v="3"/>
      <x v="1"/>
    </i>
    <i r="4">
      <x v="22"/>
    </i>
    <i r="4">
      <x v="25"/>
    </i>
    <i r="4">
      <x v="26"/>
    </i>
    <i t="default">
      <x v="119"/>
    </i>
    <i>
      <x v="120"/>
      <x v="78"/>
      <x v="2"/>
      <x v="3"/>
      <x v="1"/>
    </i>
    <i r="4">
      <x v="22"/>
    </i>
    <i r="4">
      <x v="25"/>
    </i>
    <i r="4">
      <x v="26"/>
    </i>
    <i t="default">
      <x v="120"/>
    </i>
    <i>
      <x v="121"/>
      <x v="2"/>
      <x v="2"/>
      <x v="2"/>
      <x v="2"/>
    </i>
    <i r="4">
      <x v="11"/>
    </i>
    <i r="4">
      <x v="22"/>
    </i>
    <i r="4">
      <x v="25"/>
    </i>
    <i r="4">
      <x v="26"/>
    </i>
    <i t="default">
      <x v="121"/>
    </i>
    <i>
      <x v="122"/>
      <x v="68"/>
      <x v="2"/>
      <x v="2"/>
      <x v="2"/>
    </i>
    <i r="4">
      <x v="6"/>
    </i>
    <i r="4">
      <x v="7"/>
    </i>
    <i r="4">
      <x v="22"/>
    </i>
    <i r="4">
      <x v="25"/>
    </i>
    <i r="4">
      <x v="26"/>
    </i>
    <i t="default">
      <x v="122"/>
    </i>
    <i>
      <x v="123"/>
      <x v="170"/>
      <x v="2"/>
      <x v="2"/>
      <x v="2"/>
    </i>
    <i r="4">
      <x v="22"/>
    </i>
    <i r="4">
      <x v="25"/>
    </i>
    <i r="4">
      <x v="26"/>
    </i>
    <i t="default">
      <x v="123"/>
    </i>
    <i>
      <x v="124"/>
      <x v="98"/>
      <x v="2"/>
      <x v="2"/>
      <x v="22"/>
    </i>
    <i r="4">
      <x v="25"/>
    </i>
    <i r="4">
      <x v="26"/>
    </i>
    <i t="default">
      <x v="124"/>
    </i>
    <i>
      <x v="125"/>
      <x v="166"/>
      <x v="2"/>
      <x/>
      <x v="1"/>
    </i>
    <i r="4">
      <x v="2"/>
    </i>
    <i r="4">
      <x v="23"/>
    </i>
    <i r="4">
      <x v="26"/>
    </i>
    <i t="default">
      <x v="125"/>
    </i>
    <i>
      <x v="126"/>
      <x v="83"/>
      <x v="2"/>
      <x v="6"/>
      <x v="25"/>
    </i>
    <i r="4">
      <x v="26"/>
    </i>
    <i t="default">
      <x v="126"/>
    </i>
    <i>
      <x v="127"/>
      <x v="160"/>
      <x v="2"/>
      <x/>
      <x v="26"/>
    </i>
    <i t="default">
      <x v="127"/>
    </i>
    <i>
      <x v="128"/>
      <x v="97"/>
      <x v="2"/>
      <x v="3"/>
      <x v="25"/>
    </i>
    <i r="4">
      <x v="26"/>
    </i>
    <i t="default">
      <x v="128"/>
    </i>
    <i>
      <x v="129"/>
      <x v="32"/>
      <x v="2"/>
      <x v="3"/>
      <x v="22"/>
    </i>
    <i r="4">
      <x v="23"/>
    </i>
    <i r="4">
      <x v="26"/>
    </i>
    <i t="default">
      <x v="129"/>
    </i>
    <i>
      <x v="130"/>
      <x v="13"/>
      <x v="2"/>
      <x v="2"/>
      <x v="1"/>
    </i>
    <i r="4">
      <x v="2"/>
    </i>
    <i t="default">
      <x v="130"/>
    </i>
    <i>
      <x v="131"/>
      <x v="15"/>
      <x v="2"/>
      <x v="2"/>
      <x v="1"/>
    </i>
    <i r="4">
      <x v="2"/>
    </i>
    <i t="default">
      <x v="131"/>
    </i>
    <i>
      <x v="132"/>
      <x v="144"/>
      <x v="2"/>
      <x v="2"/>
      <x v="1"/>
    </i>
    <i r="4">
      <x v="2"/>
    </i>
    <i t="default">
      <x v="132"/>
    </i>
    <i>
      <x v="133"/>
      <x v="16"/>
      <x v="2"/>
      <x v="2"/>
      <x v="1"/>
    </i>
    <i r="4">
      <x v="2"/>
    </i>
    <i t="default">
      <x v="133"/>
    </i>
    <i>
      <x v="134"/>
      <x v="14"/>
      <x v="2"/>
      <x v="2"/>
      <x v="1"/>
    </i>
    <i r="4">
      <x v="2"/>
    </i>
    <i t="default">
      <x v="134"/>
    </i>
    <i>
      <x v="135"/>
      <x v="66"/>
      <x v="2"/>
      <x v="6"/>
      <x v="2"/>
    </i>
    <i t="default">
      <x v="135"/>
    </i>
    <i>
      <x v="136"/>
      <x v="24"/>
      <x v="2"/>
      <x/>
      <x v="15"/>
    </i>
    <i r="4">
      <x v="16"/>
    </i>
    <i t="default">
      <x v="136"/>
    </i>
    <i>
      <x v="137"/>
      <x v="116"/>
      <x v="2"/>
      <x/>
      <x v="15"/>
    </i>
    <i r="4">
      <x v="16"/>
    </i>
    <i t="default">
      <x v="137"/>
    </i>
    <i>
      <x v="138"/>
      <x v="115"/>
      <x v="2"/>
      <x/>
      <x v="15"/>
    </i>
    <i t="default">
      <x v="138"/>
    </i>
    <i>
      <x v="139"/>
      <x v="30"/>
      <x v="2"/>
      <x v="3"/>
      <x v="17"/>
    </i>
    <i t="default">
      <x v="139"/>
    </i>
    <i>
      <x v="140"/>
      <x v="28"/>
      <x v="2"/>
      <x v="2"/>
      <x v="15"/>
    </i>
    <i r="4">
      <x v="16"/>
    </i>
    <i r="4">
      <x v="17"/>
    </i>
    <i t="default">
      <x v="140"/>
    </i>
    <i>
      <x v="141"/>
      <x v="10"/>
      <x v="2"/>
      <x v="2"/>
      <x v="15"/>
    </i>
    <i t="default">
      <x v="141"/>
    </i>
    <i>
      <x v="142"/>
      <x v="9"/>
      <x v="2"/>
      <x v="10"/>
      <x v="15"/>
    </i>
    <i r="4">
      <x v="16"/>
    </i>
    <i r="4">
      <x v="17"/>
    </i>
    <i t="default">
      <x v="142"/>
    </i>
    <i>
      <x v="143"/>
      <x v="19"/>
      <x v="2"/>
      <x v="2"/>
      <x v="15"/>
    </i>
    <i t="default">
      <x v="143"/>
    </i>
    <i>
      <x v="144"/>
      <x v="22"/>
      <x v="2"/>
      <x v="10"/>
      <x v="15"/>
    </i>
    <i t="default">
      <x v="144"/>
    </i>
    <i>
      <x v="145"/>
      <x v="23"/>
      <x v="2"/>
      <x v="10"/>
      <x v="15"/>
    </i>
    <i t="default">
      <x v="145"/>
    </i>
    <i>
      <x v="146"/>
      <x v="38"/>
      <x v="2"/>
      <x v="3"/>
      <x v="15"/>
    </i>
    <i t="default">
      <x v="146"/>
    </i>
    <i>
      <x v="147"/>
      <x v="29"/>
      <x v="2"/>
      <x v="2"/>
      <x v="17"/>
    </i>
    <i t="default">
      <x v="147"/>
    </i>
    <i>
      <x v="148"/>
      <x v="6"/>
      <x v="2"/>
      <x/>
      <x v="7"/>
    </i>
    <i r="4">
      <x v="15"/>
    </i>
    <i r="4">
      <x v="16"/>
    </i>
    <i r="4">
      <x v="25"/>
    </i>
    <i t="default">
      <x v="148"/>
    </i>
    <i>
      <x v="149"/>
      <x v="4"/>
      <x v="2"/>
      <x/>
      <x v="15"/>
    </i>
    <i r="4">
      <x v="16"/>
    </i>
    <i t="default">
      <x v="149"/>
    </i>
    <i>
      <x v="150"/>
      <x v="3"/>
      <x v="2"/>
      <x/>
      <x v="15"/>
    </i>
    <i t="default">
      <x v="150"/>
    </i>
    <i>
      <x v="151"/>
      <x v="27"/>
      <x v="2"/>
      <x v="2"/>
      <x v="15"/>
    </i>
    <i t="default">
      <x v="151"/>
    </i>
    <i>
      <x v="152"/>
      <x v="96"/>
      <x v="2"/>
      <x v="2"/>
      <x v="15"/>
    </i>
    <i t="default">
      <x v="152"/>
    </i>
    <i>
      <x v="153"/>
      <x v="26"/>
      <x v="2"/>
      <x v="2"/>
      <x v="16"/>
    </i>
    <i t="default">
      <x v="153"/>
    </i>
    <i>
      <x v="154"/>
      <x v="25"/>
      <x v="2"/>
      <x v="6"/>
      <x v="15"/>
    </i>
    <i t="default">
      <x v="154"/>
    </i>
    <i>
      <x v="155"/>
      <x v="174"/>
      <x v="2"/>
      <x v="2"/>
      <x v="10"/>
    </i>
    <i r="4">
      <x v="11"/>
    </i>
    <i r="4">
      <x v="12"/>
    </i>
    <i t="default">
      <x v="155"/>
    </i>
    <i>
      <x v="156"/>
      <x v="112"/>
      <x v="2"/>
      <x/>
      <x v="1"/>
    </i>
    <i r="4">
      <x v="10"/>
    </i>
    <i r="4">
      <x v="11"/>
    </i>
    <i r="4">
      <x v="12"/>
    </i>
    <i r="4">
      <x v="26"/>
    </i>
    <i t="default">
      <x v="156"/>
    </i>
    <i>
      <x v="157"/>
      <x v="18"/>
      <x v="2"/>
      <x v="3"/>
      <x v="11"/>
    </i>
    <i t="default">
      <x v="157"/>
    </i>
    <i>
      <x v="158"/>
      <x v="69"/>
      <x v="2"/>
      <x/>
      <x v="10"/>
    </i>
    <i r="4">
      <x v="11"/>
    </i>
    <i t="default">
      <x v="158"/>
    </i>
    <i>
      <x v="159"/>
      <x v="134"/>
      <x v="2"/>
      <x/>
      <x v="13"/>
    </i>
    <i t="default">
      <x v="159"/>
    </i>
    <i>
      <x v="160"/>
      <x v="172"/>
      <x v="2"/>
      <x/>
      <x v="13"/>
    </i>
    <i t="default">
      <x v="160"/>
    </i>
    <i>
      <x v="161"/>
      <x v="173"/>
      <x v="2"/>
      <x/>
      <x v="13"/>
    </i>
    <i t="default">
      <x v="161"/>
    </i>
    <i>
      <x v="162"/>
      <x v="45"/>
      <x v="2"/>
      <x v="2"/>
      <x v="3"/>
    </i>
    <i r="4">
      <x v="13"/>
    </i>
    <i t="default">
      <x v="162"/>
    </i>
    <i>
      <x v="163"/>
      <x v="132"/>
      <x v="2"/>
      <x v="2"/>
      <x v="3"/>
    </i>
    <i r="4">
      <x v="13"/>
    </i>
    <i t="default">
      <x v="163"/>
    </i>
    <i>
      <x v="164"/>
      <x v="133"/>
      <x v="2"/>
      <x v="2"/>
      <x v="13"/>
    </i>
    <i t="default">
      <x v="164"/>
    </i>
    <i>
      <x v="165"/>
      <x v="44"/>
      <x v="2"/>
      <x v="2"/>
      <x v="3"/>
    </i>
    <i r="4">
      <x v="13"/>
    </i>
    <i t="default">
      <x v="165"/>
    </i>
    <i>
      <x v="166"/>
      <x v="43"/>
      <x v="2"/>
      <x v="2"/>
      <x v="3"/>
    </i>
    <i r="4">
      <x v="13"/>
    </i>
    <i t="default">
      <x v="166"/>
    </i>
    <i>
      <x v="167"/>
      <x v="48"/>
      <x v="2"/>
      <x v="5"/>
      <x v="3"/>
    </i>
    <i t="default">
      <x v="167"/>
    </i>
    <i>
      <x v="168"/>
      <x v="46"/>
      <x v="2"/>
      <x v="6"/>
      <x v="3"/>
    </i>
    <i r="4">
      <x v="13"/>
    </i>
    <i t="default">
      <x v="168"/>
    </i>
    <i>
      <x v="169"/>
      <x v="47"/>
      <x v="2"/>
      <x v="6"/>
      <x v="13"/>
    </i>
    <i t="default">
      <x v="169"/>
    </i>
    <i>
      <x v="170"/>
      <x v="59"/>
      <x v="2"/>
      <x/>
      <x v="18"/>
    </i>
    <i r="4">
      <x v="19"/>
    </i>
    <i t="default">
      <x v="170"/>
    </i>
    <i>
      <x v="171"/>
      <x v="109"/>
      <x v="2"/>
      <x v="2"/>
      <x v="18"/>
    </i>
    <i r="4">
      <x v="19"/>
    </i>
    <i r="4">
      <x v="20"/>
    </i>
    <i t="default">
      <x v="171"/>
    </i>
    <i>
      <x v="172"/>
      <x v="65"/>
      <x v="2"/>
      <x v="2"/>
      <x v="18"/>
    </i>
    <i r="4">
      <x v="19"/>
    </i>
    <i t="default">
      <x v="172"/>
    </i>
    <i>
      <x v="173"/>
      <x v="11"/>
      <x v="2"/>
      <x v="2"/>
      <x v="18"/>
    </i>
    <i r="4">
      <x v="19"/>
    </i>
    <i t="default">
      <x v="173"/>
    </i>
    <i>
      <x v="174"/>
      <x v="53"/>
      <x v="2"/>
      <x v="2"/>
      <x v="3"/>
    </i>
    <i r="4">
      <x v="13"/>
    </i>
    <i r="4">
      <x v="21"/>
    </i>
    <i t="default">
      <x v="174"/>
    </i>
    <i>
      <x v="175"/>
      <x v="54"/>
      <x v="2"/>
      <x v="2"/>
      <x v="3"/>
    </i>
    <i r="4">
      <x v="13"/>
    </i>
    <i r="4">
      <x v="21"/>
    </i>
    <i t="default">
      <x v="175"/>
    </i>
    <i>
      <x v="176"/>
      <x v="102"/>
      <x v="2"/>
      <x v="2"/>
      <x v="3"/>
    </i>
    <i r="4">
      <x v="13"/>
    </i>
    <i r="4">
      <x v="21"/>
    </i>
    <i t="default">
      <x v="176"/>
    </i>
    <i>
      <x v="177"/>
      <x v="52"/>
      <x v="2"/>
      <x v="2"/>
      <x v="3"/>
    </i>
    <i r="4">
      <x v="4"/>
    </i>
    <i r="4">
      <x v="13"/>
    </i>
    <i t="default">
      <x v="177"/>
    </i>
    <i>
      <x v="342"/>
      <x v="171"/>
      <x v="1"/>
      <x v="1"/>
      <x v="24"/>
    </i>
    <i t="default">
      <x v="342"/>
    </i>
    <i t="grand">
      <x/>
    </i>
  </rowItems>
  <colFields count="1">
    <field x="-2"/>
  </colFields>
  <colItems count="3">
    <i>
      <x/>
    </i>
    <i i="1">
      <x v="1"/>
    </i>
    <i i="2">
      <x v="2"/>
    </i>
  </colItems>
  <pageFields count="1">
    <pageField fld="17"/>
  </pageFields>
  <dataFields count="3">
    <dataField name="求和项:总小时" fld="26" baseField="0" baseItem="0"/>
    <dataField name="求和项:折扣后单价" fld="28" baseField="0" baseItem="0"/>
    <dataField name="求和项:折扣后小计" fld="30" baseField="0" baseItem="0"/>
  </dataFields>
  <formats count="35">
    <format dxfId="37">
      <pivotArea type="topRight" dataOnly="0" labelOnly="1" outline="0" fieldPosition="0"/>
    </format>
    <format dxfId="38">
      <pivotArea type="all" dataOnly="0" outline="0" fieldPosition="0"/>
    </format>
    <format dxfId="39">
      <pivotArea outline="0" collapsedLevelsAreSubtotals="1" fieldPosition="0"/>
    </format>
    <format dxfId="40">
      <pivotArea type="origin" dataOnly="0" labelOnly="1" outline="0" fieldPosition="0"/>
    </format>
    <format dxfId="41">
      <pivotArea field="8" type="button" dataOnly="0" labelOnly="1" outline="0" fieldPosition="0"/>
    </format>
    <format dxfId="42">
      <pivotArea field="9" type="button" dataOnly="0" labelOnly="1" outline="0" fieldPosition="0"/>
    </format>
    <format dxfId="43">
      <pivotArea field="11" type="button" dataOnly="0" labelOnly="1" outline="0" fieldPosition="0"/>
    </format>
    <format dxfId="44">
      <pivotArea field="10" type="button" dataOnly="0" labelOnly="1" outline="0" fieldPosition="0"/>
    </format>
    <format dxfId="45">
      <pivotArea field="12" type="button" dataOnly="0" labelOnly="1" outline="0" fieldPosition="0"/>
    </format>
    <format dxfId="46">
      <pivotArea field="13" type="button" dataOnly="0" labelOnly="1" outline="0" fieldPosition="0"/>
    </format>
    <format dxfId="47">
      <pivotArea field="16" type="button" dataOnly="0" labelOnly="1" outline="0" fieldPosition="0"/>
    </format>
    <format dxfId="48">
      <pivotArea field="15" type="button" dataOnly="0" labelOnly="1" outline="0" fieldPosition="0"/>
    </format>
    <format dxfId="49">
      <pivotArea field="18" type="button" dataOnly="0" labelOnly="1" outline="0" fieldPosition="0"/>
    </format>
    <format dxfId="50">
      <pivotArea field="19" type="button" dataOnly="0" labelOnly="1" outline="0" fieldPosition="0"/>
    </format>
    <format dxfId="51">
      <pivotArea dataOnly="0" labelOnly="1" grandRow="1" outline="0" fieldPosition="0"/>
    </format>
    <format dxfId="52">
      <pivotArea type="topRight" dataOnly="0" labelOnly="1" outline="0" fieldPosition="0"/>
    </format>
    <format dxfId="53">
      <pivotArea type="all" dataOnly="0" outline="0" fieldPosition="0"/>
    </format>
    <format dxfId="54">
      <pivotArea outline="0" collapsedLevelsAreSubtotals="1" fieldPosition="0"/>
    </format>
    <format dxfId="55">
      <pivotArea type="origin" dataOnly="0" labelOnly="1" outline="0" fieldPosition="0"/>
    </format>
    <format dxfId="56">
      <pivotArea field="8" type="button" dataOnly="0" labelOnly="1" outline="0" fieldPosition="0"/>
    </format>
    <format dxfId="57">
      <pivotArea field="9" type="button" dataOnly="0" labelOnly="1" outline="0" fieldPosition="0"/>
    </format>
    <format dxfId="58">
      <pivotArea field="11" type="button" dataOnly="0" labelOnly="1" outline="0" fieldPosition="0"/>
    </format>
    <format dxfId="59">
      <pivotArea field="10" type="button" dataOnly="0" labelOnly="1" outline="0" fieldPosition="0"/>
    </format>
    <format dxfId="60">
      <pivotArea field="12" type="button" dataOnly="0" labelOnly="1" outline="0" fieldPosition="0"/>
    </format>
    <format dxfId="61">
      <pivotArea field="13" type="button" dataOnly="0" labelOnly="1" outline="0" fieldPosition="0"/>
    </format>
    <format dxfId="62">
      <pivotArea field="16" type="button" dataOnly="0" labelOnly="1" outline="0" fieldPosition="0"/>
    </format>
    <format dxfId="63">
      <pivotArea field="15" type="button" dataOnly="0" labelOnly="1" outline="0" fieldPosition="0"/>
    </format>
    <format dxfId="64">
      <pivotArea field="18" type="button" dataOnly="0" labelOnly="1" outline="0" fieldPosition="0"/>
    </format>
    <format dxfId="65">
      <pivotArea field="19" type="button" dataOnly="0" labelOnly="1" outline="0" fieldPosition="0"/>
    </format>
    <format dxfId="66">
      <pivotArea dataOnly="0" labelOnly="1" grandRow="1" outline="0" fieldPosition="0"/>
    </format>
    <format dxfId="67">
      <pivotArea type="topRight" dataOnly="0" labelOnly="1" outline="0" fieldPosition="0"/>
    </format>
    <format dxfId="68">
      <pivotArea outline="0" collapsedLevelsAreSubtotals="1" fieldPosition="0"/>
    </format>
    <format dxfId="69">
      <pivotArea field="-2" type="button" dataOnly="0" labelOnly="1" outline="0" fieldPosition="0"/>
    </format>
    <format dxfId="70">
      <pivotArea type="topRight" dataOnly="0" labelOnly="1" outline="0" fieldPosition="0"/>
    </format>
    <format dxfId="71">
      <pivotArea dataOnly="0" labelOnly="1" outline="0" fieldPosition="0">
        <references count="1">
          <reference field="4294967294" count="1">
            <x v="2"/>
          </reference>
        </references>
      </pivotArea>
    </format>
  </formats>
  <pivotTableStyleInfo name="PivotStyleMedium14"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2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FFFF00"/>
  </sheetPr>
  <dimension ref="A1:D46"/>
  <sheetViews>
    <sheetView zoomScale="85" zoomScaleNormal="85" topLeftCell="A43" workbookViewId="0">
      <selection activeCell="B31" sqref="B31"/>
    </sheetView>
  </sheetViews>
  <sheetFormatPr defaultColWidth="8.88888888888889" defaultRowHeight="15.6" outlineLevelCol="3"/>
  <cols>
    <col min="1" max="1" width="5.55555555555556" style="168" customWidth="1"/>
    <col min="2" max="2" width="13.4444444444444" style="168" customWidth="1"/>
    <col min="3" max="3" width="130.777777777778" style="168" customWidth="1"/>
    <col min="4" max="4" width="19" style="168" customWidth="1"/>
    <col min="5" max="16384" width="8.88888888888889" style="168"/>
  </cols>
  <sheetData>
    <row r="1" ht="16.2" spans="1:4">
      <c r="A1" s="626" t="s">
        <v>0</v>
      </c>
      <c r="B1" s="626" t="s">
        <v>1</v>
      </c>
      <c r="C1" s="626" t="s">
        <v>2</v>
      </c>
      <c r="D1" s="626" t="s">
        <v>3</v>
      </c>
    </row>
    <row r="2" spans="1:4">
      <c r="A2" s="183">
        <v>1</v>
      </c>
      <c r="B2" s="825">
        <v>45222</v>
      </c>
      <c r="C2" s="825" t="s">
        <v>4</v>
      </c>
      <c r="D2" s="183" t="s">
        <v>5</v>
      </c>
    </row>
    <row r="3" spans="1:4">
      <c r="A3" s="183">
        <v>2</v>
      </c>
      <c r="B3" s="825">
        <v>45225</v>
      </c>
      <c r="C3" s="825" t="s">
        <v>6</v>
      </c>
      <c r="D3" s="183" t="s">
        <v>5</v>
      </c>
    </row>
    <row r="4" spans="1:4">
      <c r="A4" s="183">
        <v>3</v>
      </c>
      <c r="B4" s="825">
        <v>45233</v>
      </c>
      <c r="C4" s="183" t="s">
        <v>7</v>
      </c>
      <c r="D4" s="183" t="s">
        <v>8</v>
      </c>
    </row>
    <row r="5" spans="1:4">
      <c r="A5" s="183">
        <v>4</v>
      </c>
      <c r="B5" s="825">
        <v>45237</v>
      </c>
      <c r="C5" s="826" t="s">
        <v>9</v>
      </c>
      <c r="D5" s="183" t="s">
        <v>10</v>
      </c>
    </row>
    <row r="6" spans="1:4">
      <c r="A6" s="183">
        <v>5</v>
      </c>
      <c r="B6" s="825">
        <v>45237</v>
      </c>
      <c r="C6" s="826" t="s">
        <v>11</v>
      </c>
      <c r="D6" s="183" t="s">
        <v>10</v>
      </c>
    </row>
    <row r="7" ht="31.2" spans="1:4">
      <c r="A7" s="183">
        <v>6</v>
      </c>
      <c r="B7" s="825">
        <v>45238</v>
      </c>
      <c r="C7" s="826" t="s">
        <v>12</v>
      </c>
      <c r="D7" s="183" t="s">
        <v>13</v>
      </c>
    </row>
    <row r="8" spans="1:4">
      <c r="A8" s="183">
        <v>7</v>
      </c>
      <c r="B8" s="825">
        <v>45253</v>
      </c>
      <c r="C8" s="183" t="s">
        <v>14</v>
      </c>
      <c r="D8" s="183" t="s">
        <v>15</v>
      </c>
    </row>
    <row r="9" spans="1:4">
      <c r="A9" s="183">
        <v>8</v>
      </c>
      <c r="B9" s="825">
        <v>45253</v>
      </c>
      <c r="C9" s="183" t="s">
        <v>16</v>
      </c>
      <c r="D9" s="183" t="s">
        <v>15</v>
      </c>
    </row>
    <row r="10" spans="1:4">
      <c r="A10" s="183">
        <v>9</v>
      </c>
      <c r="B10" s="825">
        <v>45257</v>
      </c>
      <c r="C10" s="183" t="s">
        <v>17</v>
      </c>
      <c r="D10" s="183" t="s">
        <v>18</v>
      </c>
    </row>
    <row r="11" spans="1:4">
      <c r="A11" s="183">
        <v>10</v>
      </c>
      <c r="B11" s="825">
        <v>45257</v>
      </c>
      <c r="C11" s="183" t="s">
        <v>19</v>
      </c>
      <c r="D11" s="183" t="s">
        <v>18</v>
      </c>
    </row>
    <row r="12" spans="1:4">
      <c r="A12" s="183">
        <v>11</v>
      </c>
      <c r="B12" s="825">
        <v>45261</v>
      </c>
      <c r="C12" s="183" t="s">
        <v>20</v>
      </c>
      <c r="D12" s="183" t="s">
        <v>21</v>
      </c>
    </row>
    <row r="13" spans="1:4">
      <c r="A13" s="183">
        <v>12</v>
      </c>
      <c r="B13" s="825">
        <v>45267</v>
      </c>
      <c r="C13" s="183" t="s">
        <v>22</v>
      </c>
      <c r="D13" s="183" t="s">
        <v>23</v>
      </c>
    </row>
    <row r="14" spans="1:4">
      <c r="A14" s="183">
        <v>13</v>
      </c>
      <c r="B14" s="825">
        <v>45281</v>
      </c>
      <c r="C14" s="183" t="s">
        <v>24</v>
      </c>
      <c r="D14" s="183" t="s">
        <v>25</v>
      </c>
    </row>
    <row r="15" spans="1:4">
      <c r="A15" s="183">
        <v>14</v>
      </c>
      <c r="B15" s="825">
        <v>45285</v>
      </c>
      <c r="C15" s="183" t="s">
        <v>26</v>
      </c>
      <c r="D15" s="183" t="s">
        <v>27</v>
      </c>
    </row>
    <row r="16" spans="1:4">
      <c r="A16" s="183">
        <v>15</v>
      </c>
      <c r="B16" s="825">
        <v>45307</v>
      </c>
      <c r="C16" s="183" t="s">
        <v>28</v>
      </c>
      <c r="D16" s="183" t="s">
        <v>29</v>
      </c>
    </row>
    <row r="17" spans="1:4">
      <c r="A17" s="183">
        <v>16</v>
      </c>
      <c r="B17" s="825">
        <v>45314</v>
      </c>
      <c r="C17" s="183" t="s">
        <v>30</v>
      </c>
      <c r="D17" s="183" t="s">
        <v>31</v>
      </c>
    </row>
    <row r="18" spans="1:4">
      <c r="A18" s="183">
        <v>17</v>
      </c>
      <c r="B18" s="825">
        <v>45320</v>
      </c>
      <c r="C18" s="183" t="s">
        <v>32</v>
      </c>
      <c r="D18" s="183" t="s">
        <v>33</v>
      </c>
    </row>
    <row r="19" spans="1:4">
      <c r="A19" s="183">
        <v>18</v>
      </c>
      <c r="B19" s="825">
        <v>45327</v>
      </c>
      <c r="C19" s="183" t="s">
        <v>34</v>
      </c>
      <c r="D19" s="183" t="s">
        <v>35</v>
      </c>
    </row>
    <row r="20" ht="78" spans="1:4">
      <c r="A20" s="827">
        <v>19</v>
      </c>
      <c r="B20" s="825">
        <v>45341</v>
      </c>
      <c r="C20" s="826" t="s">
        <v>36</v>
      </c>
      <c r="D20" s="183" t="s">
        <v>37</v>
      </c>
    </row>
    <row r="21" spans="1:4">
      <c r="A21" s="828"/>
      <c r="B21" s="825"/>
      <c r="C21" s="183" t="s">
        <v>38</v>
      </c>
      <c r="D21" s="183"/>
    </row>
    <row r="22" spans="1:4">
      <c r="A22" s="183">
        <v>20</v>
      </c>
      <c r="B22" s="825">
        <v>45343</v>
      </c>
      <c r="C22" s="183" t="s">
        <v>39</v>
      </c>
      <c r="D22" s="183" t="s">
        <v>40</v>
      </c>
    </row>
    <row r="23" spans="1:4">
      <c r="A23" s="183">
        <v>21</v>
      </c>
      <c r="B23" s="825">
        <v>45359</v>
      </c>
      <c r="C23" s="183" t="s">
        <v>41</v>
      </c>
      <c r="D23" s="183" t="s">
        <v>42</v>
      </c>
    </row>
    <row r="24" spans="1:4">
      <c r="A24" s="183">
        <v>22</v>
      </c>
      <c r="B24" s="825">
        <v>45461</v>
      </c>
      <c r="C24" s="183" t="s">
        <v>43</v>
      </c>
      <c r="D24" s="183" t="s">
        <v>44</v>
      </c>
    </row>
    <row r="25" spans="1:4">
      <c r="A25" s="183">
        <v>23</v>
      </c>
      <c r="B25" s="825">
        <v>45461</v>
      </c>
      <c r="C25" s="183" t="s">
        <v>45</v>
      </c>
      <c r="D25" s="183" t="s">
        <v>44</v>
      </c>
    </row>
    <row r="26" spans="1:4">
      <c r="A26" s="183">
        <v>24</v>
      </c>
      <c r="B26" s="825">
        <v>45461</v>
      </c>
      <c r="C26" s="183" t="s">
        <v>46</v>
      </c>
      <c r="D26" s="183" t="s">
        <v>44</v>
      </c>
    </row>
    <row r="27" ht="46.8" spans="1:4">
      <c r="A27" s="183">
        <v>25</v>
      </c>
      <c r="B27" s="825">
        <v>45483</v>
      </c>
      <c r="C27" s="826" t="s">
        <v>47</v>
      </c>
      <c r="D27" s="183" t="s">
        <v>48</v>
      </c>
    </row>
    <row r="28" ht="78" spans="1:4">
      <c r="A28" s="183">
        <v>26</v>
      </c>
      <c r="B28" s="825">
        <v>45512</v>
      </c>
      <c r="C28" s="826" t="s">
        <v>49</v>
      </c>
      <c r="D28" s="183" t="s">
        <v>50</v>
      </c>
    </row>
    <row r="29" ht="46.8" spans="1:4">
      <c r="A29" s="183">
        <v>27</v>
      </c>
      <c r="B29" s="825">
        <v>45516</v>
      </c>
      <c r="C29" s="826" t="s">
        <v>51</v>
      </c>
      <c r="D29" s="183" t="s">
        <v>52</v>
      </c>
    </row>
    <row r="30" ht="31.2" spans="1:4">
      <c r="A30" s="183">
        <v>28</v>
      </c>
      <c r="B30" s="825">
        <v>45524</v>
      </c>
      <c r="C30" s="826" t="s">
        <v>53</v>
      </c>
      <c r="D30" s="183" t="s">
        <v>54</v>
      </c>
    </row>
    <row r="31" ht="31.2" spans="1:4">
      <c r="A31" s="183">
        <v>29</v>
      </c>
      <c r="B31" s="825">
        <v>45588</v>
      </c>
      <c r="C31" s="826" t="s">
        <v>55</v>
      </c>
      <c r="D31" s="183" t="s">
        <v>56</v>
      </c>
    </row>
    <row r="32" spans="1:4">
      <c r="A32" s="183">
        <v>30</v>
      </c>
      <c r="B32" s="825">
        <v>45611</v>
      </c>
      <c r="C32" s="826" t="s">
        <v>57</v>
      </c>
      <c r="D32" s="183" t="s">
        <v>58</v>
      </c>
    </row>
    <row r="33" spans="1:4">
      <c r="A33" s="183">
        <v>31</v>
      </c>
      <c r="B33" s="825">
        <v>45741</v>
      </c>
      <c r="C33" s="826" t="s">
        <v>59</v>
      </c>
      <c r="D33" s="183" t="s">
        <v>60</v>
      </c>
    </row>
    <row r="34" ht="46.8" spans="1:4">
      <c r="A34" s="183">
        <v>32</v>
      </c>
      <c r="B34" s="825">
        <v>45824</v>
      </c>
      <c r="C34" s="826" t="s">
        <v>61</v>
      </c>
      <c r="D34" s="183" t="s">
        <v>62</v>
      </c>
    </row>
    <row r="35" spans="1:4">
      <c r="A35" s="183">
        <v>33</v>
      </c>
      <c r="B35" s="825">
        <v>45845</v>
      </c>
      <c r="C35" s="183" t="s">
        <v>63</v>
      </c>
      <c r="D35" s="183" t="s">
        <v>64</v>
      </c>
    </row>
    <row r="36" spans="1:4">
      <c r="A36" s="183">
        <v>34</v>
      </c>
      <c r="B36" s="825">
        <v>45847</v>
      </c>
      <c r="C36" s="183" t="s">
        <v>65</v>
      </c>
      <c r="D36" s="183" t="s">
        <v>66</v>
      </c>
    </row>
    <row r="37" spans="1:4">
      <c r="A37" s="183">
        <v>35</v>
      </c>
      <c r="B37" s="825">
        <v>45884</v>
      </c>
      <c r="C37" s="183" t="s">
        <v>67</v>
      </c>
      <c r="D37" s="183" t="s">
        <v>68</v>
      </c>
    </row>
    <row r="38" spans="1:4">
      <c r="A38" s="183">
        <v>36</v>
      </c>
      <c r="B38" s="825">
        <v>45908</v>
      </c>
      <c r="C38" s="183" t="s">
        <v>69</v>
      </c>
      <c r="D38" s="183" t="s">
        <v>70</v>
      </c>
    </row>
    <row r="39" ht="57" customHeight="1" spans="1:4">
      <c r="A39" s="183">
        <v>37</v>
      </c>
      <c r="B39" s="825">
        <v>45922</v>
      </c>
      <c r="C39" s="826" t="s">
        <v>71</v>
      </c>
      <c r="D39" s="183" t="s">
        <v>72</v>
      </c>
    </row>
    <row r="40" ht="31.2" spans="1:4">
      <c r="A40" s="183">
        <v>38</v>
      </c>
      <c r="B40" s="825">
        <v>45922</v>
      </c>
      <c r="C40" s="826" t="s">
        <v>71</v>
      </c>
      <c r="D40" s="183" t="s">
        <v>72</v>
      </c>
    </row>
    <row r="41" ht="57" customHeight="1" spans="1:4">
      <c r="A41" s="183">
        <v>39</v>
      </c>
      <c r="B41" s="825">
        <v>45939</v>
      </c>
      <c r="C41" s="826" t="s">
        <v>73</v>
      </c>
      <c r="D41" s="183" t="s">
        <v>74</v>
      </c>
    </row>
    <row r="42" ht="318" customHeight="1" spans="1:4">
      <c r="A42" s="829">
        <v>40</v>
      </c>
      <c r="B42" s="830">
        <v>46037</v>
      </c>
      <c r="C42" s="831" t="s">
        <v>75</v>
      </c>
      <c r="D42" s="173" t="s">
        <v>76</v>
      </c>
    </row>
    <row r="43" ht="213" customHeight="1" spans="1:4">
      <c r="A43" s="169"/>
      <c r="B43" s="173"/>
      <c r="C43" s="831" t="s">
        <v>77</v>
      </c>
      <c r="D43" s="173"/>
    </row>
    <row r="44" ht="31.2" spans="1:4">
      <c r="A44" s="183">
        <v>41</v>
      </c>
      <c r="B44" s="825">
        <v>46097</v>
      </c>
      <c r="C44" s="826" t="s">
        <v>78</v>
      </c>
      <c r="D44" s="183" t="s">
        <v>79</v>
      </c>
    </row>
    <row r="45" ht="78" spans="1:4">
      <c r="A45" s="183">
        <v>42</v>
      </c>
      <c r="B45" s="825">
        <v>46113</v>
      </c>
      <c r="C45" s="826" t="s">
        <v>80</v>
      </c>
      <c r="D45" s="183" t="s">
        <v>81</v>
      </c>
    </row>
    <row r="46" ht="31.2" spans="1:4">
      <c r="A46" s="183">
        <v>43</v>
      </c>
      <c r="B46" s="825">
        <v>46149</v>
      </c>
      <c r="C46" s="826" t="s">
        <v>82</v>
      </c>
      <c r="D46" s="183" t="s">
        <v>83</v>
      </c>
    </row>
  </sheetData>
  <mergeCells count="6">
    <mergeCell ref="A20:A21"/>
    <mergeCell ref="A42:A43"/>
    <mergeCell ref="B20:B21"/>
    <mergeCell ref="B42:B43"/>
    <mergeCell ref="D20:D21"/>
    <mergeCell ref="D42:D4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tabColor rgb="FFC00000"/>
  </sheetPr>
  <dimension ref="A1:Q211"/>
  <sheetViews>
    <sheetView workbookViewId="0">
      <selection activeCell="B31" sqref="B31"/>
    </sheetView>
  </sheetViews>
  <sheetFormatPr defaultColWidth="8.88888888888889" defaultRowHeight="15.6"/>
  <cols>
    <col min="1" max="14" width="8.88888888888889" style="81"/>
    <col min="15" max="15" width="10" style="81" customWidth="1"/>
    <col min="16" max="16" width="42.4444444444444" style="81" customWidth="1"/>
    <col min="17" max="17" width="56.1111111111111" style="81" customWidth="1"/>
    <col min="18" max="16384" width="8.88888888888889" style="81"/>
  </cols>
  <sheetData>
    <row r="1" ht="16.2" spans="1:17">
      <c r="A1" s="818" t="s">
        <v>84</v>
      </c>
      <c r="O1" s="818" t="s">
        <v>85</v>
      </c>
    </row>
    <row r="2" spans="1:17">
      <c r="Q2" s="752" t="s">
        <v>86</v>
      </c>
    </row>
    <row r="3" ht="16.2" spans="1:17">
      <c r="A3" s="818" t="s">
        <v>87</v>
      </c>
      <c r="O3" s="103" t="s">
        <v>88</v>
      </c>
      <c r="P3" s="103" t="s">
        <v>89</v>
      </c>
      <c r="Q3" s="103" t="s">
        <v>90</v>
      </c>
    </row>
    <row r="4" ht="16.2" spans="1:17">
      <c r="A4" s="818"/>
      <c r="O4" s="819" t="s">
        <v>91</v>
      </c>
      <c r="P4" s="819" t="s">
        <v>92</v>
      </c>
      <c r="Q4" s="106"/>
    </row>
    <row r="5" ht="16.2" spans="1:17">
      <c r="A5" s="818" t="s">
        <v>93</v>
      </c>
      <c r="O5" s="819" t="s">
        <v>94</v>
      </c>
      <c r="P5" s="819" t="s">
        <v>95</v>
      </c>
      <c r="Q5" s="106"/>
    </row>
    <row r="6" spans="1:17">
      <c r="A6" s="98"/>
      <c r="O6" s="819" t="s">
        <v>96</v>
      </c>
      <c r="P6" s="819" t="s">
        <v>97</v>
      </c>
      <c r="Q6" s="106"/>
    </row>
    <row r="7" ht="16.2" spans="1:17">
      <c r="A7" s="818" t="s">
        <v>98</v>
      </c>
      <c r="O7" s="819" t="s">
        <v>99</v>
      </c>
      <c r="P7" s="819" t="s">
        <v>100</v>
      </c>
      <c r="Q7" s="106"/>
    </row>
    <row r="8" spans="1:17">
      <c r="A8" s="80"/>
      <c r="O8" s="819" t="s">
        <v>101</v>
      </c>
      <c r="P8" s="819" t="s">
        <v>102</v>
      </c>
      <c r="Q8" s="106"/>
    </row>
    <row r="9" ht="16.2" spans="1:17">
      <c r="A9" s="820" t="s">
        <v>103</v>
      </c>
      <c r="O9" s="819" t="s">
        <v>104</v>
      </c>
      <c r="P9" s="819" t="s">
        <v>105</v>
      </c>
      <c r="Q9" s="106" t="s">
        <v>106</v>
      </c>
    </row>
    <row r="10" spans="1:17">
      <c r="A10" s="821"/>
      <c r="O10" s="819" t="s">
        <v>107</v>
      </c>
      <c r="P10" s="819" t="s">
        <v>108</v>
      </c>
      <c r="Q10" s="106"/>
    </row>
    <row r="11" ht="16.2" spans="1:17">
      <c r="A11" s="820" t="s">
        <v>109</v>
      </c>
      <c r="O11" s="819" t="s">
        <v>110</v>
      </c>
      <c r="P11" s="819" t="s">
        <v>111</v>
      </c>
      <c r="Q11" s="106"/>
    </row>
    <row r="12" spans="1:17">
      <c r="A12" s="822" t="s">
        <v>112</v>
      </c>
      <c r="O12" s="819" t="s">
        <v>113</v>
      </c>
      <c r="P12" s="819" t="s">
        <v>114</v>
      </c>
      <c r="Q12" s="106"/>
    </row>
    <row r="13" spans="1:17">
      <c r="A13" s="822" t="s">
        <v>115</v>
      </c>
      <c r="O13" s="819" t="s">
        <v>116</v>
      </c>
      <c r="P13" s="819" t="s">
        <v>117</v>
      </c>
      <c r="Q13" s="106" t="s">
        <v>118</v>
      </c>
    </row>
    <row r="14" spans="1:17">
      <c r="O14" s="819" t="s">
        <v>119</v>
      </c>
      <c r="P14" s="819" t="s">
        <v>120</v>
      </c>
      <c r="Q14" s="106"/>
    </row>
    <row r="15" spans="1:17">
      <c r="O15" s="819" t="s">
        <v>121</v>
      </c>
      <c r="P15" s="819" t="s">
        <v>122</v>
      </c>
      <c r="Q15" s="106"/>
    </row>
    <row r="16" spans="1:17">
      <c r="O16" s="819" t="s">
        <v>123</v>
      </c>
      <c r="P16" s="819" t="s">
        <v>124</v>
      </c>
      <c r="Q16" s="106"/>
    </row>
    <row r="17" spans="15:17">
      <c r="O17" s="819" t="s">
        <v>125</v>
      </c>
      <c r="P17" s="819" t="s">
        <v>126</v>
      </c>
      <c r="Q17" s="106" t="s">
        <v>118</v>
      </c>
    </row>
    <row r="18" spans="15:17">
      <c r="O18" s="819" t="s">
        <v>127</v>
      </c>
      <c r="P18" s="819" t="s">
        <v>128</v>
      </c>
      <c r="Q18" s="106"/>
    </row>
    <row r="19" spans="15:17">
      <c r="O19" s="819" t="s">
        <v>129</v>
      </c>
      <c r="P19" s="819" t="s">
        <v>130</v>
      </c>
      <c r="Q19" s="106"/>
    </row>
    <row r="20" spans="15:17">
      <c r="O20" s="819" t="s">
        <v>131</v>
      </c>
      <c r="P20" s="819" t="s">
        <v>132</v>
      </c>
      <c r="Q20" s="106"/>
    </row>
    <row r="21" spans="15:17">
      <c r="O21" s="819" t="s">
        <v>133</v>
      </c>
      <c r="P21" s="819" t="s">
        <v>134</v>
      </c>
      <c r="Q21" s="106" t="s">
        <v>135</v>
      </c>
    </row>
    <row r="22" spans="15:17">
      <c r="O22" s="819" t="s">
        <v>136</v>
      </c>
      <c r="P22" s="819" t="s">
        <v>137</v>
      </c>
      <c r="Q22" s="106"/>
    </row>
    <row r="23" spans="15:17">
      <c r="O23" s="819" t="s">
        <v>138</v>
      </c>
      <c r="P23" s="819" t="s">
        <v>139</v>
      </c>
      <c r="Q23" s="106" t="s">
        <v>140</v>
      </c>
    </row>
    <row r="24" spans="15:17">
      <c r="O24" s="819" t="s">
        <v>141</v>
      </c>
      <c r="P24" s="819" t="s">
        <v>142</v>
      </c>
      <c r="Q24" s="106" t="s">
        <v>140</v>
      </c>
    </row>
    <row r="25" spans="15:17">
      <c r="O25" s="819" t="s">
        <v>143</v>
      </c>
      <c r="P25" s="819" t="s">
        <v>144</v>
      </c>
      <c r="Q25" s="106" t="s">
        <v>145</v>
      </c>
    </row>
    <row r="26" spans="15:17">
      <c r="O26" s="819" t="s">
        <v>146</v>
      </c>
      <c r="P26" s="819" t="s">
        <v>147</v>
      </c>
      <c r="Q26" s="106" t="s">
        <v>148</v>
      </c>
    </row>
    <row r="27" spans="15:17">
      <c r="O27" s="819" t="s">
        <v>149</v>
      </c>
      <c r="P27" s="823" t="s">
        <v>150</v>
      </c>
      <c r="Q27" s="106"/>
    </row>
    <row r="28" ht="16.2" spans="15:17">
      <c r="O28" s="819" t="s">
        <v>151</v>
      </c>
      <c r="P28" s="819" t="s">
        <v>152</v>
      </c>
      <c r="Q28" s="106" t="s">
        <v>153</v>
      </c>
    </row>
    <row r="29" spans="15:17">
      <c r="O29" s="819" t="s">
        <v>154</v>
      </c>
      <c r="P29" s="819" t="s">
        <v>155</v>
      </c>
      <c r="Q29" s="106" t="s">
        <v>156</v>
      </c>
    </row>
    <row r="30" spans="15:17">
      <c r="O30" s="819" t="s">
        <v>157</v>
      </c>
      <c r="P30" s="819" t="s">
        <v>158</v>
      </c>
      <c r="Q30" s="106"/>
    </row>
    <row r="31" spans="15:17">
      <c r="O31" s="819" t="s">
        <v>159</v>
      </c>
      <c r="P31" s="819" t="s">
        <v>160</v>
      </c>
      <c r="Q31" s="106"/>
    </row>
    <row r="32" spans="15:17">
      <c r="O32" s="819" t="s">
        <v>161</v>
      </c>
      <c r="P32" s="819" t="s">
        <v>162</v>
      </c>
      <c r="Q32" s="106" t="s">
        <v>148</v>
      </c>
    </row>
    <row r="33" spans="15:17">
      <c r="O33" s="819" t="s">
        <v>163</v>
      </c>
      <c r="P33" s="819" t="s">
        <v>164</v>
      </c>
      <c r="Q33" s="106" t="s">
        <v>148</v>
      </c>
    </row>
    <row r="34" spans="15:17">
      <c r="O34" s="819" t="s">
        <v>165</v>
      </c>
      <c r="P34" s="819" t="s">
        <v>166</v>
      </c>
      <c r="Q34" s="106"/>
    </row>
    <row r="35" spans="15:17">
      <c r="O35" s="819" t="s">
        <v>167</v>
      </c>
      <c r="P35" s="819" t="s">
        <v>168</v>
      </c>
      <c r="Q35" s="106"/>
    </row>
    <row r="36" spans="15:17">
      <c r="O36" s="819" t="s">
        <v>169</v>
      </c>
      <c r="P36" s="819" t="s">
        <v>170</v>
      </c>
      <c r="Q36" s="106"/>
    </row>
    <row r="37" spans="15:17">
      <c r="O37" s="819" t="s">
        <v>171</v>
      </c>
      <c r="P37" s="819" t="s">
        <v>172</v>
      </c>
      <c r="Q37" s="106"/>
    </row>
    <row r="38" spans="15:17">
      <c r="O38" s="819" t="s">
        <v>173</v>
      </c>
      <c r="P38" s="819" t="s">
        <v>174</v>
      </c>
      <c r="Q38" s="106"/>
    </row>
    <row r="39" spans="15:17">
      <c r="O39" s="819" t="s">
        <v>175</v>
      </c>
      <c r="P39" s="819" t="s">
        <v>176</v>
      </c>
      <c r="Q39" s="106"/>
    </row>
    <row r="40" spans="15:17">
      <c r="O40" s="819" t="s">
        <v>177</v>
      </c>
      <c r="P40" s="819" t="s">
        <v>178</v>
      </c>
      <c r="Q40" s="106"/>
    </row>
    <row r="41" spans="15:17">
      <c r="O41" s="819" t="s">
        <v>179</v>
      </c>
      <c r="P41" s="819" t="s">
        <v>180</v>
      </c>
      <c r="Q41" s="106"/>
    </row>
    <row r="42" spans="15:17">
      <c r="O42" s="819" t="s">
        <v>181</v>
      </c>
      <c r="P42" s="819" t="s">
        <v>182</v>
      </c>
      <c r="Q42" s="106"/>
    </row>
    <row r="43" spans="15:17">
      <c r="O43" s="819" t="s">
        <v>183</v>
      </c>
      <c r="P43" s="819" t="s">
        <v>184</v>
      </c>
      <c r="Q43" s="106"/>
    </row>
    <row r="44" spans="15:17">
      <c r="O44" s="819" t="s">
        <v>185</v>
      </c>
      <c r="P44" s="819" t="s">
        <v>186</v>
      </c>
      <c r="Q44" s="106" t="s">
        <v>187</v>
      </c>
    </row>
    <row r="45" spans="15:17">
      <c r="O45" s="819" t="s">
        <v>188</v>
      </c>
      <c r="P45" s="819" t="s">
        <v>189</v>
      </c>
      <c r="Q45" s="106" t="s">
        <v>156</v>
      </c>
    </row>
    <row r="46" spans="15:17">
      <c r="O46" s="819" t="s">
        <v>190</v>
      </c>
      <c r="P46" s="819" t="s">
        <v>191</v>
      </c>
      <c r="Q46" s="106"/>
    </row>
    <row r="47" spans="15:17">
      <c r="O47" s="819" t="s">
        <v>192</v>
      </c>
      <c r="P47" s="819" t="s">
        <v>193</v>
      </c>
      <c r="Q47" s="106"/>
    </row>
    <row r="48" spans="15:17">
      <c r="O48" s="819" t="s">
        <v>194</v>
      </c>
      <c r="P48" s="819" t="s">
        <v>195</v>
      </c>
      <c r="Q48" s="106"/>
    </row>
    <row r="49" spans="15:17">
      <c r="O49" s="819" t="s">
        <v>196</v>
      </c>
      <c r="P49" s="819" t="s">
        <v>197</v>
      </c>
      <c r="Q49" s="106"/>
    </row>
    <row r="50" spans="15:17">
      <c r="O50" s="819" t="s">
        <v>198</v>
      </c>
      <c r="P50" s="819" t="s">
        <v>199</v>
      </c>
      <c r="Q50" s="106"/>
    </row>
    <row r="51" spans="15:17">
      <c r="O51" s="819" t="s">
        <v>200</v>
      </c>
      <c r="P51" s="819" t="s">
        <v>201</v>
      </c>
      <c r="Q51" s="106" t="s">
        <v>202</v>
      </c>
    </row>
    <row r="52" spans="15:17">
      <c r="O52" s="819" t="s">
        <v>203</v>
      </c>
      <c r="P52" s="819" t="s">
        <v>204</v>
      </c>
      <c r="Q52" s="106"/>
    </row>
    <row r="53" spans="15:17">
      <c r="O53" s="819" t="s">
        <v>205</v>
      </c>
      <c r="P53" s="819" t="s">
        <v>206</v>
      </c>
      <c r="Q53" s="106"/>
    </row>
    <row r="54" spans="15:17">
      <c r="O54" s="819" t="s">
        <v>207</v>
      </c>
      <c r="P54" s="819" t="s">
        <v>208</v>
      </c>
      <c r="Q54" s="106"/>
    </row>
    <row r="55" spans="15:17">
      <c r="O55" s="819" t="s">
        <v>209</v>
      </c>
      <c r="P55" s="819" t="s">
        <v>210</v>
      </c>
      <c r="Q55" s="106"/>
    </row>
    <row r="56" spans="15:17">
      <c r="O56" s="819" t="s">
        <v>211</v>
      </c>
      <c r="P56" s="819" t="s">
        <v>212</v>
      </c>
      <c r="Q56" s="106"/>
    </row>
    <row r="57" spans="15:17">
      <c r="O57" s="819" t="s">
        <v>213</v>
      </c>
      <c r="P57" s="819" t="s">
        <v>214</v>
      </c>
      <c r="Q57" s="106"/>
    </row>
    <row r="58" spans="15:17">
      <c r="O58" s="819" t="s">
        <v>215</v>
      </c>
      <c r="P58" s="819" t="s">
        <v>216</v>
      </c>
      <c r="Q58" s="106"/>
    </row>
    <row r="59" spans="15:17">
      <c r="O59" s="819" t="s">
        <v>217</v>
      </c>
      <c r="P59" s="819" t="s">
        <v>218</v>
      </c>
      <c r="Q59" s="106"/>
    </row>
    <row r="60" spans="15:17">
      <c r="O60" s="819" t="s">
        <v>219</v>
      </c>
      <c r="P60" s="819" t="s">
        <v>220</v>
      </c>
      <c r="Q60" s="106"/>
    </row>
    <row r="61" spans="15:17">
      <c r="O61" s="819" t="s">
        <v>221</v>
      </c>
      <c r="P61" s="819" t="s">
        <v>222</v>
      </c>
      <c r="Q61" s="106"/>
    </row>
    <row r="62" spans="15:17">
      <c r="O62" s="819" t="s">
        <v>223</v>
      </c>
      <c r="P62" s="819" t="s">
        <v>224</v>
      </c>
      <c r="Q62" s="106"/>
    </row>
    <row r="63" spans="15:17">
      <c r="O63" s="819" t="s">
        <v>225</v>
      </c>
      <c r="P63" s="819" t="s">
        <v>226</v>
      </c>
      <c r="Q63" s="106"/>
    </row>
    <row r="64" spans="15:17">
      <c r="O64" s="819" t="s">
        <v>227</v>
      </c>
      <c r="P64" s="819" t="s">
        <v>228</v>
      </c>
      <c r="Q64" s="106"/>
    </row>
    <row r="65" spans="15:17">
      <c r="O65" s="819" t="s">
        <v>229</v>
      </c>
      <c r="P65" s="819" t="s">
        <v>230</v>
      </c>
      <c r="Q65" s="106"/>
    </row>
    <row r="66" spans="15:17">
      <c r="O66" s="819" t="s">
        <v>231</v>
      </c>
      <c r="P66" s="819" t="s">
        <v>232</v>
      </c>
      <c r="Q66" s="106"/>
    </row>
    <row r="67" spans="15:17">
      <c r="O67" s="819" t="s">
        <v>233</v>
      </c>
      <c r="P67" s="819" t="s">
        <v>234</v>
      </c>
      <c r="Q67" s="106"/>
    </row>
    <row r="68" spans="15:17">
      <c r="O68" s="819" t="s">
        <v>235</v>
      </c>
      <c r="P68" s="819" t="s">
        <v>236</v>
      </c>
      <c r="Q68" s="106"/>
    </row>
    <row r="69" spans="15:17">
      <c r="O69" s="819" t="s">
        <v>237</v>
      </c>
      <c r="P69" s="819" t="s">
        <v>238</v>
      </c>
      <c r="Q69" s="106"/>
    </row>
    <row r="70" spans="15:17">
      <c r="O70" s="819" t="s">
        <v>239</v>
      </c>
      <c r="P70" s="819" t="s">
        <v>240</v>
      </c>
      <c r="Q70" s="106"/>
    </row>
    <row r="71" spans="15:17">
      <c r="O71" s="819" t="s">
        <v>241</v>
      </c>
      <c r="P71" s="819" t="s">
        <v>242</v>
      </c>
      <c r="Q71" s="106"/>
    </row>
    <row r="72" spans="15:17">
      <c r="O72" s="819" t="s">
        <v>243</v>
      </c>
      <c r="P72" s="819" t="s">
        <v>244</v>
      </c>
      <c r="Q72" s="106"/>
    </row>
    <row r="73" spans="15:17">
      <c r="O73" s="819" t="s">
        <v>245</v>
      </c>
      <c r="P73" s="819" t="s">
        <v>246</v>
      </c>
      <c r="Q73" s="106"/>
    </row>
    <row r="74" spans="15:17">
      <c r="O74" s="819" t="s">
        <v>247</v>
      </c>
      <c r="P74" s="819" t="s">
        <v>248</v>
      </c>
      <c r="Q74" s="106"/>
    </row>
    <row r="75" spans="15:17">
      <c r="O75" s="819" t="s">
        <v>249</v>
      </c>
      <c r="P75" s="819" t="s">
        <v>250</v>
      </c>
      <c r="Q75" s="106"/>
    </row>
    <row r="76" spans="15:17">
      <c r="O76" s="819" t="s">
        <v>251</v>
      </c>
      <c r="P76" s="819" t="s">
        <v>252</v>
      </c>
      <c r="Q76" s="106"/>
    </row>
    <row r="77" spans="15:17">
      <c r="O77" s="819" t="s">
        <v>253</v>
      </c>
      <c r="P77" s="819" t="s">
        <v>254</v>
      </c>
      <c r="Q77" s="106"/>
    </row>
    <row r="78" spans="15:17">
      <c r="O78" s="819" t="s">
        <v>255</v>
      </c>
      <c r="P78" s="819" t="s">
        <v>256</v>
      </c>
      <c r="Q78" s="106"/>
    </row>
    <row r="79" spans="15:17">
      <c r="O79" s="819" t="s">
        <v>257</v>
      </c>
      <c r="P79" s="819" t="s">
        <v>258</v>
      </c>
      <c r="Q79" s="106"/>
    </row>
    <row r="80" spans="15:17">
      <c r="O80" s="819" t="s">
        <v>259</v>
      </c>
      <c r="P80" s="819" t="s">
        <v>260</v>
      </c>
      <c r="Q80" s="106"/>
    </row>
    <row r="81" spans="15:17">
      <c r="O81" s="819" t="s">
        <v>261</v>
      </c>
      <c r="P81" s="819" t="s">
        <v>262</v>
      </c>
      <c r="Q81" s="106"/>
    </row>
    <row r="82" spans="15:17">
      <c r="O82" s="819" t="s">
        <v>263</v>
      </c>
      <c r="P82" s="819" t="s">
        <v>264</v>
      </c>
      <c r="Q82" s="106"/>
    </row>
    <row r="83" spans="15:17">
      <c r="O83" s="819" t="s">
        <v>265</v>
      </c>
      <c r="P83" s="819" t="s">
        <v>266</v>
      </c>
      <c r="Q83" s="106"/>
    </row>
    <row r="84" spans="15:17">
      <c r="O84" s="819" t="s">
        <v>267</v>
      </c>
      <c r="P84" s="819" t="s">
        <v>268</v>
      </c>
      <c r="Q84" s="106"/>
    </row>
    <row r="85" spans="15:17">
      <c r="O85" s="819" t="s">
        <v>269</v>
      </c>
      <c r="P85" s="819" t="s">
        <v>270</v>
      </c>
      <c r="Q85" s="106"/>
    </row>
    <row r="86" spans="15:17">
      <c r="O86" s="819" t="s">
        <v>271</v>
      </c>
      <c r="P86" s="819" t="s">
        <v>272</v>
      </c>
      <c r="Q86" s="106"/>
    </row>
    <row r="87" spans="15:17">
      <c r="O87" s="819" t="s">
        <v>273</v>
      </c>
      <c r="P87" s="819" t="s">
        <v>274</v>
      </c>
      <c r="Q87" s="106"/>
    </row>
    <row r="88" spans="15:17">
      <c r="O88" s="819" t="s">
        <v>275</v>
      </c>
      <c r="P88" s="824" t="s">
        <v>276</v>
      </c>
      <c r="Q88" s="106"/>
    </row>
    <row r="89" spans="15:17">
      <c r="O89" s="819" t="s">
        <v>277</v>
      </c>
      <c r="P89" s="819" t="s">
        <v>278</v>
      </c>
      <c r="Q89" s="106"/>
    </row>
    <row r="90" spans="15:17">
      <c r="O90" s="819" t="s">
        <v>279</v>
      </c>
      <c r="P90" s="819" t="s">
        <v>280</v>
      </c>
      <c r="Q90" s="106"/>
    </row>
    <row r="91" spans="15:17">
      <c r="O91" s="819" t="s">
        <v>281</v>
      </c>
      <c r="P91" s="819" t="s">
        <v>282</v>
      </c>
      <c r="Q91" s="106"/>
    </row>
    <row r="92" spans="15:17">
      <c r="O92" s="819" t="s">
        <v>283</v>
      </c>
      <c r="P92" s="819" t="s">
        <v>284</v>
      </c>
      <c r="Q92" s="106"/>
    </row>
    <row r="93" spans="15:17">
      <c r="O93" s="819" t="s">
        <v>285</v>
      </c>
      <c r="P93" s="819" t="s">
        <v>286</v>
      </c>
      <c r="Q93" s="106"/>
    </row>
    <row r="94" spans="15:17">
      <c r="O94" s="819" t="s">
        <v>287</v>
      </c>
      <c r="P94" s="823" t="s">
        <v>288</v>
      </c>
      <c r="Q94" s="106"/>
    </row>
    <row r="95" spans="15:17">
      <c r="O95" s="819" t="s">
        <v>289</v>
      </c>
      <c r="P95" s="819" t="s">
        <v>290</v>
      </c>
      <c r="Q95" s="106"/>
    </row>
    <row r="96" spans="15:17">
      <c r="O96" s="819" t="s">
        <v>291</v>
      </c>
      <c r="P96" s="819" t="s">
        <v>292</v>
      </c>
      <c r="Q96" s="106"/>
    </row>
    <row r="97" spans="15:17">
      <c r="O97" s="819" t="s">
        <v>293</v>
      </c>
      <c r="P97" s="819" t="s">
        <v>294</v>
      </c>
      <c r="Q97" s="106"/>
    </row>
    <row r="98" spans="15:17">
      <c r="O98" s="819" t="s">
        <v>295</v>
      </c>
      <c r="P98" s="819" t="s">
        <v>296</v>
      </c>
      <c r="Q98" s="106"/>
    </row>
    <row r="99" spans="15:17">
      <c r="O99" s="819" t="s">
        <v>297</v>
      </c>
      <c r="P99" s="819" t="s">
        <v>298</v>
      </c>
      <c r="Q99" s="106"/>
    </row>
    <row r="100" spans="15:17">
      <c r="O100" s="819" t="s">
        <v>299</v>
      </c>
      <c r="P100" s="819" t="s">
        <v>300</v>
      </c>
      <c r="Q100" s="106"/>
    </row>
    <row r="101" spans="15:17">
      <c r="O101" s="819" t="s">
        <v>301</v>
      </c>
      <c r="P101" s="819" t="s">
        <v>302</v>
      </c>
      <c r="Q101" s="106"/>
    </row>
    <row r="102" spans="15:17">
      <c r="O102" s="819" t="s">
        <v>303</v>
      </c>
      <c r="P102" s="819" t="s">
        <v>304</v>
      </c>
      <c r="Q102" s="106"/>
    </row>
    <row r="103" spans="15:17">
      <c r="O103" s="819" t="s">
        <v>305</v>
      </c>
      <c r="P103" s="819" t="s">
        <v>306</v>
      </c>
      <c r="Q103" s="106"/>
    </row>
    <row r="104" spans="15:17">
      <c r="O104" s="819" t="s">
        <v>307</v>
      </c>
      <c r="P104" s="819" t="s">
        <v>308</v>
      </c>
      <c r="Q104" s="106"/>
    </row>
    <row r="105" spans="15:17">
      <c r="O105" s="819" t="s">
        <v>309</v>
      </c>
      <c r="P105" s="819" t="s">
        <v>310</v>
      </c>
      <c r="Q105" s="106"/>
    </row>
    <row r="106" spans="15:17">
      <c r="O106" s="819" t="s">
        <v>311</v>
      </c>
      <c r="P106" s="819" t="s">
        <v>312</v>
      </c>
      <c r="Q106" s="106"/>
    </row>
    <row r="107" spans="15:17">
      <c r="O107" s="819" t="s">
        <v>313</v>
      </c>
      <c r="P107" s="819" t="s">
        <v>314</v>
      </c>
      <c r="Q107" s="106"/>
    </row>
    <row r="108" spans="15:17">
      <c r="O108" s="819" t="s">
        <v>315</v>
      </c>
      <c r="P108" s="819" t="s">
        <v>316</v>
      </c>
      <c r="Q108" s="106"/>
    </row>
    <row r="109" spans="15:17">
      <c r="O109" s="819" t="s">
        <v>317</v>
      </c>
      <c r="P109" s="819" t="s">
        <v>318</v>
      </c>
      <c r="Q109" s="106"/>
    </row>
    <row r="110" spans="15:17">
      <c r="O110" s="819" t="s">
        <v>319</v>
      </c>
      <c r="P110" s="819" t="s">
        <v>320</v>
      </c>
      <c r="Q110" s="106"/>
    </row>
    <row r="111" spans="15:17">
      <c r="O111" s="819" t="s">
        <v>321</v>
      </c>
      <c r="P111" s="819" t="s">
        <v>322</v>
      </c>
      <c r="Q111" s="106"/>
    </row>
    <row r="112" spans="15:17">
      <c r="O112" s="819" t="s">
        <v>323</v>
      </c>
      <c r="P112" s="819" t="s">
        <v>324</v>
      </c>
      <c r="Q112" s="106"/>
    </row>
    <row r="113" spans="15:17">
      <c r="O113" s="819" t="s">
        <v>325</v>
      </c>
      <c r="P113" s="819" t="s">
        <v>326</v>
      </c>
      <c r="Q113" s="106"/>
    </row>
    <row r="114" spans="15:17">
      <c r="O114" s="819" t="s">
        <v>327</v>
      </c>
      <c r="P114" s="819" t="s">
        <v>328</v>
      </c>
      <c r="Q114" s="106"/>
    </row>
    <row r="115" spans="15:17">
      <c r="O115" s="819" t="s">
        <v>329</v>
      </c>
      <c r="P115" s="819" t="s">
        <v>330</v>
      </c>
      <c r="Q115" s="106"/>
    </row>
    <row r="116" spans="15:17">
      <c r="O116" s="819" t="s">
        <v>331</v>
      </c>
      <c r="P116" s="819" t="s">
        <v>332</v>
      </c>
      <c r="Q116" s="106"/>
    </row>
    <row r="117" spans="15:17">
      <c r="O117" s="819" t="s">
        <v>333</v>
      </c>
      <c r="P117" s="819" t="s">
        <v>334</v>
      </c>
      <c r="Q117" s="106"/>
    </row>
    <row r="118" spans="15:17">
      <c r="O118" s="819" t="s">
        <v>335</v>
      </c>
      <c r="P118" s="819" t="s">
        <v>336</v>
      </c>
      <c r="Q118" s="106"/>
    </row>
    <row r="119" spans="15:17">
      <c r="O119" s="819" t="s">
        <v>337</v>
      </c>
      <c r="P119" s="819" t="s">
        <v>338</v>
      </c>
      <c r="Q119" s="106"/>
    </row>
    <row r="120" spans="15:17">
      <c r="O120" s="819" t="s">
        <v>339</v>
      </c>
      <c r="P120" s="819" t="s">
        <v>340</v>
      </c>
      <c r="Q120" s="106"/>
    </row>
    <row r="121" spans="15:17">
      <c r="O121" s="819" t="s">
        <v>341</v>
      </c>
      <c r="P121" s="819" t="s">
        <v>342</v>
      </c>
      <c r="Q121" s="106"/>
    </row>
    <row r="122" spans="15:17">
      <c r="O122" s="819" t="s">
        <v>343</v>
      </c>
      <c r="P122" s="819" t="s">
        <v>344</v>
      </c>
      <c r="Q122" s="106"/>
    </row>
    <row r="123" spans="15:17">
      <c r="O123" s="819" t="s">
        <v>345</v>
      </c>
      <c r="P123" s="819" t="s">
        <v>346</v>
      </c>
      <c r="Q123" s="106"/>
    </row>
    <row r="124" spans="15:17">
      <c r="O124" s="819" t="s">
        <v>347</v>
      </c>
      <c r="P124" s="819" t="s">
        <v>348</v>
      </c>
      <c r="Q124" s="106"/>
    </row>
    <row r="125" spans="15:17">
      <c r="O125" s="819" t="s">
        <v>349</v>
      </c>
      <c r="P125" s="819" t="s">
        <v>350</v>
      </c>
      <c r="Q125" s="106"/>
    </row>
    <row r="126" spans="15:17">
      <c r="O126" s="819" t="s">
        <v>351</v>
      </c>
      <c r="P126" s="819" t="s">
        <v>352</v>
      </c>
      <c r="Q126" s="106"/>
    </row>
    <row r="127" spans="15:17">
      <c r="O127" s="819" t="s">
        <v>353</v>
      </c>
      <c r="P127" s="819" t="s">
        <v>354</v>
      </c>
      <c r="Q127" s="106"/>
    </row>
    <row r="128" spans="15:17">
      <c r="O128" s="819" t="s">
        <v>355</v>
      </c>
      <c r="P128" s="819" t="s">
        <v>356</v>
      </c>
      <c r="Q128" s="106"/>
    </row>
    <row r="129" spans="15:17">
      <c r="O129" s="819" t="s">
        <v>357</v>
      </c>
      <c r="P129" s="819" t="s">
        <v>358</v>
      </c>
      <c r="Q129" s="106"/>
    </row>
    <row r="130" spans="15:17">
      <c r="O130" s="819" t="s">
        <v>359</v>
      </c>
      <c r="P130" s="819" t="s">
        <v>360</v>
      </c>
      <c r="Q130" s="106"/>
    </row>
    <row r="131" spans="15:17">
      <c r="O131" s="819" t="s">
        <v>361</v>
      </c>
      <c r="P131" s="819" t="s">
        <v>362</v>
      </c>
      <c r="Q131" s="106"/>
    </row>
    <row r="132" spans="15:17">
      <c r="O132" s="819" t="s">
        <v>363</v>
      </c>
      <c r="P132" s="819" t="s">
        <v>364</v>
      </c>
      <c r="Q132" s="106"/>
    </row>
    <row r="133" spans="15:17">
      <c r="O133" s="819" t="s">
        <v>365</v>
      </c>
      <c r="P133" s="819" t="s">
        <v>366</v>
      </c>
      <c r="Q133" s="106"/>
    </row>
    <row r="134" spans="15:17">
      <c r="O134" s="819" t="s">
        <v>367</v>
      </c>
      <c r="P134" s="819" t="s">
        <v>368</v>
      </c>
      <c r="Q134" s="106" t="s">
        <v>148</v>
      </c>
    </row>
    <row r="135" spans="15:17">
      <c r="O135" s="819" t="s">
        <v>369</v>
      </c>
      <c r="P135" s="819" t="s">
        <v>370</v>
      </c>
      <c r="Q135" s="106" t="s">
        <v>148</v>
      </c>
    </row>
    <row r="136" spans="15:17">
      <c r="O136" s="819" t="s">
        <v>371</v>
      </c>
      <c r="P136" s="819" t="s">
        <v>372</v>
      </c>
      <c r="Q136" s="106"/>
    </row>
    <row r="137" spans="15:17">
      <c r="O137" s="819" t="s">
        <v>373</v>
      </c>
      <c r="P137" s="819" t="s">
        <v>374</v>
      </c>
      <c r="Q137" s="106"/>
    </row>
    <row r="138" spans="15:17">
      <c r="O138" s="819" t="s">
        <v>375</v>
      </c>
      <c r="P138" s="819" t="s">
        <v>376</v>
      </c>
      <c r="Q138" s="106"/>
    </row>
    <row r="139" spans="15:17">
      <c r="O139" s="819" t="s">
        <v>377</v>
      </c>
      <c r="P139" s="819" t="s">
        <v>378</v>
      </c>
      <c r="Q139" s="106"/>
    </row>
    <row r="140" spans="15:17">
      <c r="O140" s="819" t="s">
        <v>379</v>
      </c>
      <c r="P140" s="819" t="s">
        <v>380</v>
      </c>
      <c r="Q140" s="106"/>
    </row>
    <row r="141" spans="15:17">
      <c r="O141" s="819" t="s">
        <v>381</v>
      </c>
      <c r="P141" s="819" t="s">
        <v>382</v>
      </c>
      <c r="Q141" s="106"/>
    </row>
    <row r="142" spans="15:17">
      <c r="O142" s="819" t="s">
        <v>383</v>
      </c>
      <c r="P142" s="819" t="s">
        <v>384</v>
      </c>
      <c r="Q142" s="106"/>
    </row>
    <row r="143" spans="15:17">
      <c r="O143" s="819" t="s">
        <v>385</v>
      </c>
      <c r="P143" s="819" t="s">
        <v>386</v>
      </c>
      <c r="Q143" s="106"/>
    </row>
    <row r="144" spans="15:17">
      <c r="O144" s="819" t="s">
        <v>387</v>
      </c>
      <c r="P144" s="819" t="s">
        <v>388</v>
      </c>
      <c r="Q144" s="106"/>
    </row>
    <row r="145" spans="15:17">
      <c r="O145" s="819" t="s">
        <v>389</v>
      </c>
      <c r="P145" s="819" t="s">
        <v>390</v>
      </c>
      <c r="Q145" s="106" t="s">
        <v>391</v>
      </c>
    </row>
    <row r="146" spans="15:17">
      <c r="O146" s="819" t="s">
        <v>392</v>
      </c>
      <c r="P146" s="819" t="s">
        <v>393</v>
      </c>
      <c r="Q146" s="106"/>
    </row>
    <row r="147" spans="15:17">
      <c r="O147" s="819" t="s">
        <v>394</v>
      </c>
      <c r="P147" s="819" t="s">
        <v>395</v>
      </c>
      <c r="Q147" s="106" t="s">
        <v>148</v>
      </c>
    </row>
    <row r="148" spans="15:17">
      <c r="O148" s="819" t="s">
        <v>396</v>
      </c>
      <c r="P148" s="819" t="s">
        <v>397</v>
      </c>
      <c r="Q148" s="106" t="s">
        <v>148</v>
      </c>
    </row>
    <row r="149" spans="15:17">
      <c r="O149" s="819" t="s">
        <v>398</v>
      </c>
      <c r="P149" s="819" t="s">
        <v>399</v>
      </c>
      <c r="Q149" s="106" t="s">
        <v>148</v>
      </c>
    </row>
    <row r="150" spans="15:17">
      <c r="O150" s="819" t="s">
        <v>400</v>
      </c>
      <c r="P150" s="819" t="s">
        <v>401</v>
      </c>
      <c r="Q150" s="106"/>
    </row>
    <row r="151" spans="15:17">
      <c r="O151" s="819" t="s">
        <v>402</v>
      </c>
      <c r="P151" s="819" t="s">
        <v>403</v>
      </c>
      <c r="Q151" s="106" t="s">
        <v>404</v>
      </c>
    </row>
    <row r="152" spans="15:17">
      <c r="O152" s="819" t="s">
        <v>405</v>
      </c>
      <c r="P152" s="819" t="s">
        <v>406</v>
      </c>
      <c r="Q152" s="106"/>
    </row>
    <row r="153" spans="15:17">
      <c r="O153" s="819" t="s">
        <v>407</v>
      </c>
      <c r="P153" s="819" t="s">
        <v>408</v>
      </c>
      <c r="Q153" s="106"/>
    </row>
    <row r="154" spans="15:17">
      <c r="O154" s="819" t="s">
        <v>409</v>
      </c>
      <c r="P154" s="819" t="s">
        <v>410</v>
      </c>
      <c r="Q154" s="106"/>
    </row>
    <row r="155" spans="15:17">
      <c r="O155" s="819" t="s">
        <v>411</v>
      </c>
      <c r="P155" s="819" t="s">
        <v>412</v>
      </c>
      <c r="Q155" s="106"/>
    </row>
    <row r="156" spans="15:17">
      <c r="O156" s="819" t="s">
        <v>413</v>
      </c>
      <c r="P156" s="819" t="s">
        <v>414</v>
      </c>
      <c r="Q156" s="106"/>
    </row>
    <row r="157" spans="15:17">
      <c r="O157" s="819" t="s">
        <v>415</v>
      </c>
      <c r="P157" s="819" t="s">
        <v>416</v>
      </c>
      <c r="Q157" s="106"/>
    </row>
    <row r="158" spans="15:17">
      <c r="O158" s="819" t="s">
        <v>417</v>
      </c>
      <c r="P158" s="819" t="s">
        <v>418</v>
      </c>
      <c r="Q158" s="106"/>
    </row>
    <row r="159" spans="15:17">
      <c r="O159" s="819" t="s">
        <v>419</v>
      </c>
      <c r="P159" s="819" t="s">
        <v>420</v>
      </c>
      <c r="Q159" s="106"/>
    </row>
    <row r="160" spans="15:17">
      <c r="O160" s="819" t="s">
        <v>421</v>
      </c>
      <c r="P160" s="819" t="s">
        <v>422</v>
      </c>
      <c r="Q160" s="106"/>
    </row>
    <row r="161" spans="15:17">
      <c r="O161" s="819" t="s">
        <v>423</v>
      </c>
      <c r="P161" s="819" t="s">
        <v>424</v>
      </c>
      <c r="Q161" s="106"/>
    </row>
    <row r="162" spans="15:17">
      <c r="O162" s="819" t="s">
        <v>425</v>
      </c>
      <c r="P162" s="819" t="s">
        <v>426</v>
      </c>
      <c r="Q162" s="106"/>
    </row>
    <row r="163" spans="15:17">
      <c r="O163" s="819" t="s">
        <v>427</v>
      </c>
      <c r="P163" s="819" t="s">
        <v>428</v>
      </c>
      <c r="Q163" s="106"/>
    </row>
    <row r="164" spans="15:17">
      <c r="O164" s="819" t="s">
        <v>429</v>
      </c>
      <c r="P164" s="819" t="s">
        <v>430</v>
      </c>
      <c r="Q164" s="106"/>
    </row>
    <row r="165" spans="15:17">
      <c r="O165" s="819" t="s">
        <v>431</v>
      </c>
      <c r="P165" s="819" t="s">
        <v>432</v>
      </c>
      <c r="Q165" s="106"/>
    </row>
    <row r="166" spans="15:17">
      <c r="O166" s="819" t="s">
        <v>433</v>
      </c>
      <c r="P166" s="819" t="s">
        <v>434</v>
      </c>
      <c r="Q166" s="106"/>
    </row>
    <row r="167" spans="15:17">
      <c r="O167" s="819" t="s">
        <v>435</v>
      </c>
      <c r="P167" s="819" t="s">
        <v>436</v>
      </c>
      <c r="Q167" s="106"/>
    </row>
    <row r="168" spans="15:17">
      <c r="O168" s="819" t="s">
        <v>437</v>
      </c>
      <c r="P168" s="819" t="s">
        <v>438</v>
      </c>
      <c r="Q168" s="106"/>
    </row>
    <row r="169" spans="15:17">
      <c r="O169" s="819" t="s">
        <v>439</v>
      </c>
      <c r="P169" s="819" t="s">
        <v>440</v>
      </c>
      <c r="Q169" s="106"/>
    </row>
    <row r="170" spans="15:17">
      <c r="O170" s="819" t="s">
        <v>441</v>
      </c>
      <c r="P170" s="819" t="s">
        <v>442</v>
      </c>
      <c r="Q170" s="106"/>
    </row>
    <row r="171" spans="15:17">
      <c r="O171" s="819" t="s">
        <v>443</v>
      </c>
      <c r="P171" s="819" t="s">
        <v>444</v>
      </c>
      <c r="Q171" s="106"/>
    </row>
    <row r="172" spans="15:17">
      <c r="O172" s="819" t="s">
        <v>445</v>
      </c>
      <c r="P172" s="819" t="s">
        <v>446</v>
      </c>
      <c r="Q172" s="106"/>
    </row>
    <row r="173" spans="15:17">
      <c r="O173" s="819" t="s">
        <v>447</v>
      </c>
      <c r="P173" s="819" t="s">
        <v>448</v>
      </c>
      <c r="Q173" s="106"/>
    </row>
    <row r="174" spans="15:17">
      <c r="O174" s="819" t="s">
        <v>449</v>
      </c>
      <c r="P174" s="819" t="s">
        <v>450</v>
      </c>
      <c r="Q174" s="106"/>
    </row>
    <row r="175" spans="15:17">
      <c r="O175" s="137" t="s">
        <v>451</v>
      </c>
      <c r="P175" s="137" t="s">
        <v>452</v>
      </c>
      <c r="Q175" s="106"/>
    </row>
    <row r="176" spans="15:17">
      <c r="O176" s="137" t="s">
        <v>453</v>
      </c>
      <c r="P176" s="137" t="s">
        <v>454</v>
      </c>
      <c r="Q176" s="106"/>
    </row>
    <row r="177" spans="15:17">
      <c r="O177" s="137" t="s">
        <v>455</v>
      </c>
      <c r="P177" s="137" t="s">
        <v>456</v>
      </c>
      <c r="Q177" s="106"/>
    </row>
    <row r="178" spans="15:17">
      <c r="O178" s="137" t="s">
        <v>457</v>
      </c>
      <c r="P178" s="137" t="s">
        <v>458</v>
      </c>
      <c r="Q178" s="106"/>
    </row>
    <row r="179" spans="15:17">
      <c r="O179" s="137" t="s">
        <v>459</v>
      </c>
      <c r="P179" s="137" t="s">
        <v>460</v>
      </c>
      <c r="Q179" s="106"/>
    </row>
    <row r="180" spans="15:17">
      <c r="O180" s="137" t="s">
        <v>461</v>
      </c>
      <c r="P180" s="137" t="s">
        <v>462</v>
      </c>
      <c r="Q180" s="106"/>
    </row>
    <row r="181" spans="15:17">
      <c r="O181" s="137" t="s">
        <v>463</v>
      </c>
      <c r="P181" s="137" t="s">
        <v>464</v>
      </c>
      <c r="Q181" s="106"/>
    </row>
    <row r="182" spans="15:17">
      <c r="O182" s="137" t="s">
        <v>465</v>
      </c>
      <c r="P182" s="137" t="s">
        <v>466</v>
      </c>
      <c r="Q182" s="106"/>
    </row>
    <row r="183" spans="15:17">
      <c r="O183" s="137" t="s">
        <v>467</v>
      </c>
      <c r="P183" s="137" t="s">
        <v>468</v>
      </c>
      <c r="Q183" s="106"/>
    </row>
    <row r="184" spans="15:17">
      <c r="O184" s="137" t="s">
        <v>469</v>
      </c>
      <c r="P184" s="137" t="s">
        <v>470</v>
      </c>
      <c r="Q184" s="106"/>
    </row>
    <row r="185" spans="15:17">
      <c r="O185" s="137" t="s">
        <v>471</v>
      </c>
      <c r="P185" s="137" t="s">
        <v>472</v>
      </c>
      <c r="Q185" s="106"/>
    </row>
    <row r="186" spans="15:17">
      <c r="O186" s="137" t="s">
        <v>473</v>
      </c>
      <c r="P186" s="137" t="s">
        <v>474</v>
      </c>
      <c r="Q186" s="106"/>
    </row>
    <row r="187" spans="15:17">
      <c r="O187" s="137" t="s">
        <v>475</v>
      </c>
      <c r="P187" s="137" t="s">
        <v>476</v>
      </c>
      <c r="Q187" s="106"/>
    </row>
    <row r="188" spans="15:17">
      <c r="O188" s="137" t="s">
        <v>477</v>
      </c>
      <c r="P188" s="137" t="s">
        <v>478</v>
      </c>
      <c r="Q188" s="106"/>
    </row>
    <row r="189" spans="15:17">
      <c r="O189" s="137" t="s">
        <v>479</v>
      </c>
      <c r="P189" s="137" t="s">
        <v>480</v>
      </c>
      <c r="Q189" s="106"/>
    </row>
    <row r="190" spans="15:17">
      <c r="O190" s="137" t="s">
        <v>481</v>
      </c>
      <c r="P190" s="137" t="s">
        <v>482</v>
      </c>
      <c r="Q190" s="106"/>
    </row>
    <row r="191" spans="15:17">
      <c r="O191" s="137" t="s">
        <v>483</v>
      </c>
      <c r="P191" s="137" t="s">
        <v>484</v>
      </c>
      <c r="Q191" s="106"/>
    </row>
    <row r="192" spans="15:17">
      <c r="O192" s="137" t="s">
        <v>485</v>
      </c>
      <c r="P192" s="137" t="s">
        <v>486</v>
      </c>
      <c r="Q192" s="106"/>
    </row>
    <row r="193" spans="15:17">
      <c r="O193" s="137" t="s">
        <v>487</v>
      </c>
      <c r="P193" s="137" t="s">
        <v>488</v>
      </c>
      <c r="Q193" s="106"/>
    </row>
    <row r="194" spans="15:17">
      <c r="O194" s="137" t="s">
        <v>489</v>
      </c>
      <c r="P194" s="137" t="s">
        <v>490</v>
      </c>
      <c r="Q194" s="106"/>
    </row>
    <row r="195" spans="15:17">
      <c r="O195" s="137" t="s">
        <v>491</v>
      </c>
      <c r="P195" s="137" t="s">
        <v>492</v>
      </c>
      <c r="Q195" s="106"/>
    </row>
    <row r="196" spans="15:17">
      <c r="O196" s="137" t="s">
        <v>493</v>
      </c>
      <c r="P196" s="137" t="s">
        <v>494</v>
      </c>
      <c r="Q196" s="106"/>
    </row>
    <row r="197" spans="15:17">
      <c r="O197" s="137" t="s">
        <v>495</v>
      </c>
      <c r="P197" s="137" t="s">
        <v>496</v>
      </c>
      <c r="Q197" s="106"/>
    </row>
    <row r="198" spans="15:17">
      <c r="O198" s="137" t="s">
        <v>497</v>
      </c>
      <c r="P198" s="137" t="s">
        <v>498</v>
      </c>
      <c r="Q198" s="106"/>
    </row>
    <row r="199" spans="15:17">
      <c r="O199" s="137" t="s">
        <v>499</v>
      </c>
      <c r="P199" s="137" t="s">
        <v>500</v>
      </c>
      <c r="Q199" s="106"/>
    </row>
    <row r="200" spans="15:17">
      <c r="O200" s="137" t="s">
        <v>501</v>
      </c>
      <c r="P200" s="137" t="s">
        <v>502</v>
      </c>
      <c r="Q200" s="106"/>
    </row>
    <row r="201" spans="15:17">
      <c r="O201" s="137" t="s">
        <v>503</v>
      </c>
      <c r="P201" s="137" t="s">
        <v>504</v>
      </c>
      <c r="Q201" s="106"/>
    </row>
    <row r="202" spans="15:17">
      <c r="O202" s="137" t="s">
        <v>505</v>
      </c>
      <c r="P202" s="137" t="s">
        <v>506</v>
      </c>
      <c r="Q202" s="106"/>
    </row>
    <row r="203" spans="15:17">
      <c r="O203" s="137" t="s">
        <v>507</v>
      </c>
      <c r="P203" s="137" t="s">
        <v>508</v>
      </c>
      <c r="Q203" s="106"/>
    </row>
    <row r="204" spans="15:17">
      <c r="O204" s="137" t="s">
        <v>509</v>
      </c>
      <c r="P204" s="137" t="s">
        <v>510</v>
      </c>
      <c r="Q204" s="106"/>
    </row>
    <row r="205" spans="15:17">
      <c r="O205" s="137" t="s">
        <v>511</v>
      </c>
      <c r="P205" s="137" t="s">
        <v>512</v>
      </c>
      <c r="Q205" s="106"/>
    </row>
    <row r="206" spans="15:17">
      <c r="O206" s="137" t="s">
        <v>513</v>
      </c>
      <c r="P206" s="137" t="s">
        <v>514</v>
      </c>
      <c r="Q206" s="106"/>
    </row>
    <row r="207" spans="15:17">
      <c r="O207" s="137" t="s">
        <v>515</v>
      </c>
      <c r="P207" s="137" t="s">
        <v>516</v>
      </c>
      <c r="Q207" s="106"/>
    </row>
    <row r="208" spans="15:17">
      <c r="O208" s="137" t="s">
        <v>517</v>
      </c>
      <c r="P208" s="137" t="s">
        <v>518</v>
      </c>
      <c r="Q208" s="106"/>
    </row>
    <row r="209" spans="15:17">
      <c r="O209" s="137" t="s">
        <v>519</v>
      </c>
      <c r="P209" s="137" t="s">
        <v>520</v>
      </c>
      <c r="Q209" s="106"/>
    </row>
    <row r="210" spans="15:17">
      <c r="O210" s="137" t="s">
        <v>521</v>
      </c>
      <c r="P210" s="137" t="s">
        <v>522</v>
      </c>
      <c r="Q210" s="106"/>
    </row>
    <row r="211" spans="15:17">
      <c r="O211" s="137" t="s">
        <v>523</v>
      </c>
      <c r="P211" s="137" t="s">
        <v>524</v>
      </c>
      <c r="Q211" s="106"/>
    </row>
  </sheetData>
  <sheetProtection algorithmName="SHA-512" hashValue="4jfZ5C2wMOUGmvsiU86MVFnwh5gi52EjaKM7ITVd2xnDyg1dQAv09wDH2QMVxohu+rB0Vikj8G4cj4dL8gjekA==" saltValue="Th1Gw8JzRk9KDGHYONklMw==" spinCount="100000" sheet="1" autoFilter="0" objects="1" scenarios="1"/>
  <conditionalFormatting sqref="P36">
    <cfRule type="duplicateValues" dxfId="72" priority="1"/>
  </conditionalFormatting>
  <pageMargins left="0.7" right="0.7"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92D050"/>
  </sheetPr>
  <dimension ref="B2:N81"/>
  <sheetViews>
    <sheetView zoomScale="85" zoomScaleNormal="85" topLeftCell="B15" workbookViewId="0">
      <selection activeCell="B41" sqref="B41"/>
    </sheetView>
  </sheetViews>
  <sheetFormatPr defaultColWidth="8.88888888888889" defaultRowHeight="15.6"/>
  <cols>
    <col min="1" max="1" width="2.66666666666667" style="81" customWidth="1"/>
    <col min="2" max="2" width="24" style="81" customWidth="1"/>
    <col min="3" max="3" width="13" style="739" customWidth="1"/>
    <col min="4" max="4" width="20" style="739" customWidth="1"/>
    <col min="5" max="5" width="21.6666666666667" style="740" customWidth="1"/>
    <col min="6" max="6" width="21.6666666666667" style="171" customWidth="1"/>
    <col min="7" max="7" width="17" style="171" customWidth="1"/>
    <col min="8" max="8" width="34.4444444444444" style="81" customWidth="1"/>
    <col min="9" max="9" width="18.4444444444444" style="81" customWidth="1"/>
    <col min="10" max="10" width="12.5555555555556" style="81" customWidth="1"/>
    <col min="11" max="11" width="14.3796296296296" style="81" customWidth="1"/>
    <col min="12" max="12" width="8.88888888888889" style="81"/>
    <col min="13" max="13" width="11.3333333333333" style="81" customWidth="1"/>
    <col min="14" max="14" width="18.3333333333333" style="81" customWidth="1"/>
    <col min="15" max="16384" width="8.88888888888889" style="81"/>
  </cols>
  <sheetData>
    <row r="2" ht="16.2" spans="2:10">
      <c r="B2" s="741" t="s">
        <v>525</v>
      </c>
      <c r="C2" s="742">
        <f>封面!$C$20</f>
        <v>0</v>
      </c>
      <c r="D2" s="742"/>
      <c r="E2" s="742"/>
      <c r="F2" s="743" t="s">
        <v>526</v>
      </c>
      <c r="G2" s="742">
        <f>封面!$C$12</f>
        <v>0</v>
      </c>
      <c r="H2" s="742"/>
      <c r="I2" s="744"/>
    </row>
    <row r="3" ht="16.2" spans="2:10">
      <c r="B3" s="745" t="s">
        <v>527</v>
      </c>
      <c r="C3" s="746"/>
      <c r="D3" s="746"/>
      <c r="E3" s="746"/>
      <c r="F3" s="747" t="s">
        <v>528</v>
      </c>
      <c r="G3" s="746"/>
      <c r="H3" s="746"/>
      <c r="I3" s="748"/>
    </row>
    <row r="4" ht="16.2" spans="2:10">
      <c r="B4" s="745" t="s">
        <v>529</v>
      </c>
      <c r="C4" s="746"/>
      <c r="D4" s="746"/>
      <c r="E4" s="746"/>
      <c r="F4" s="747" t="s">
        <v>530</v>
      </c>
      <c r="G4" s="746"/>
      <c r="H4" s="746"/>
      <c r="I4" s="748"/>
    </row>
    <row r="5" ht="16.2" spans="2:10">
      <c r="B5" s="745" t="s">
        <v>531</v>
      </c>
      <c r="C5" s="746" t="str">
        <f>IF(费用摘要!$D$25&gt;0,"是","否")</f>
        <v>否</v>
      </c>
      <c r="D5" s="746"/>
      <c r="E5" s="746"/>
      <c r="F5" s="747" t="s">
        <v>532</v>
      </c>
      <c r="G5" s="749" t="str">
        <f>"服务费"&amp;费用摘要!$G$25&amp;费用摘要!C27&amp;费用摘要!G27</f>
        <v>服务费0有临系统0</v>
      </c>
      <c r="H5" s="749"/>
      <c r="I5" s="750"/>
    </row>
    <row r="6" ht="16.2" spans="2:10">
      <c r="B6" s="745" t="s">
        <v>533</v>
      </c>
      <c r="C6" s="746"/>
      <c r="D6" s="746"/>
      <c r="E6" s="746"/>
      <c r="F6" s="747" t="s">
        <v>534</v>
      </c>
      <c r="G6" s="746">
        <f>费用摘要!C2</f>
        <v>0</v>
      </c>
      <c r="H6" s="746"/>
      <c r="I6" s="748"/>
    </row>
    <row r="7" ht="16.2" spans="2:10">
      <c r="B7" s="745" t="s">
        <v>535</v>
      </c>
      <c r="C7" s="746">
        <f>启动中心数</f>
        <v>4</v>
      </c>
      <c r="D7" s="746"/>
      <c r="E7" s="746"/>
      <c r="F7" s="747" t="s">
        <v>536</v>
      </c>
      <c r="G7" s="746">
        <f>入组受试者数</f>
        <v>30</v>
      </c>
      <c r="H7" s="746"/>
      <c r="I7" s="748"/>
    </row>
    <row r="8" ht="16.2" spans="2:10">
      <c r="B8" s="745" t="s">
        <v>537</v>
      </c>
      <c r="C8" s="746">
        <f>项目参数!$C$37</f>
        <v>22.5</v>
      </c>
      <c r="D8" s="746"/>
      <c r="E8" s="746"/>
      <c r="F8" s="747" t="s">
        <v>538</v>
      </c>
      <c r="G8" s="746">
        <f>筛选月+入组月</f>
        <v>6</v>
      </c>
      <c r="H8" s="746"/>
      <c r="I8" s="748"/>
    </row>
    <row r="9" ht="16.2" spans="2:10">
      <c r="B9" s="745" t="s">
        <v>539</v>
      </c>
      <c r="C9" s="751">
        <f>治疗月+随访月+长随访月</f>
        <v>7</v>
      </c>
      <c r="D9" s="751"/>
      <c r="E9" s="751"/>
      <c r="F9" s="747" t="s">
        <v>540</v>
      </c>
      <c r="G9" s="746">
        <f>项目参数!$C$41+项目参数!$C$44+项目参数!$C$45</f>
        <v>9</v>
      </c>
      <c r="H9" s="746"/>
      <c r="I9" s="748"/>
    </row>
    <row r="10" ht="16.2" spans="2:10">
      <c r="B10" s="745" t="s">
        <v>541</v>
      </c>
      <c r="C10" s="746"/>
      <c r="D10" s="746"/>
      <c r="E10" s="746"/>
      <c r="F10" s="747" t="s">
        <v>542</v>
      </c>
      <c r="G10" s="746"/>
      <c r="H10" s="746"/>
      <c r="I10" s="748"/>
      <c r="J10" s="752" t="s">
        <v>543</v>
      </c>
    </row>
    <row r="11" ht="16.2" spans="2:10">
      <c r="B11" s="745" t="s">
        <v>544</v>
      </c>
      <c r="C11" s="746"/>
      <c r="D11" s="746"/>
      <c r="E11" s="746"/>
      <c r="F11" s="747" t="s">
        <v>545</v>
      </c>
      <c r="G11" s="746"/>
      <c r="H11" s="746"/>
      <c r="I11" s="748"/>
    </row>
    <row r="12" ht="16.2" spans="2:10">
      <c r="B12" s="745" t="s">
        <v>546</v>
      </c>
      <c r="C12" s="746"/>
      <c r="D12" s="746"/>
      <c r="E12" s="746"/>
      <c r="F12" s="746"/>
      <c r="G12" s="746"/>
      <c r="H12" s="746"/>
      <c r="I12" s="748"/>
    </row>
    <row r="13" ht="16.2" spans="2:10">
      <c r="B13" s="753" t="s">
        <v>547</v>
      </c>
      <c r="C13" s="754" t="s">
        <v>548</v>
      </c>
      <c r="D13" s="755">
        <f>费用摘要!$D$38</f>
        <v>3727153.87</v>
      </c>
      <c r="E13" s="755"/>
      <c r="F13" s="756" t="s">
        <v>549</v>
      </c>
      <c r="G13" s="755">
        <f>费用摘要!$D$24</f>
        <v>3569865.57</v>
      </c>
      <c r="H13" s="755"/>
      <c r="I13" s="757"/>
    </row>
    <row r="14" ht="16.2" spans="2:10">
      <c r="B14" s="753"/>
      <c r="C14" s="754" t="s">
        <v>550</v>
      </c>
      <c r="D14" s="755">
        <f>IFERROR(D13/入组受试者数,0)</f>
        <v>124238.462333333</v>
      </c>
      <c r="E14" s="755"/>
      <c r="F14" s="756" t="s">
        <v>551</v>
      </c>
      <c r="G14" s="755">
        <f>IFERROR(G13/入组受试者数,0)</f>
        <v>118995.519</v>
      </c>
      <c r="H14" s="755"/>
      <c r="I14" s="757"/>
    </row>
    <row r="15" ht="32.4" spans="2:10">
      <c r="B15" s="753" t="s">
        <v>552</v>
      </c>
      <c r="C15" s="758" t="s">
        <v>550</v>
      </c>
      <c r="D15" s="758" t="s">
        <v>551</v>
      </c>
      <c r="E15" s="758" t="s">
        <v>548</v>
      </c>
      <c r="F15" s="747" t="s">
        <v>549</v>
      </c>
      <c r="G15" s="747" t="s">
        <v>553</v>
      </c>
      <c r="H15" s="759" t="s">
        <v>554</v>
      </c>
      <c r="I15" s="760" t="s">
        <v>555</v>
      </c>
    </row>
    <row r="16" spans="2:10">
      <c r="B16" s="761" t="s">
        <v>556</v>
      </c>
      <c r="C16" s="746">
        <f>IFERROR($E$16/入组受试者数,0)</f>
        <v>124238.462333333</v>
      </c>
      <c r="D16" s="746">
        <f>IFERROR($F$16/入组受试者数,0)</f>
        <v>118995.519</v>
      </c>
      <c r="E16" s="762">
        <f>费用摘要!$F$38</f>
        <v>3727153.87</v>
      </c>
      <c r="F16" s="763">
        <f>费用摘要!$F$24</f>
        <v>3569865.57</v>
      </c>
      <c r="G16" s="763">
        <f>费用摘要!$F$27*(1+费用摘要!C33)</f>
        <v>0</v>
      </c>
      <c r="H16" s="762">
        <f>(其他费用明细!$I$28+其他费用明细!$I$33+其他费用明细!$I$35+其他费用明细!$I$19+其他费用明细!$I$7+其他费用明细!I45)*(1+其他费用明细!D73)</f>
        <v>157288.3</v>
      </c>
      <c r="I16" s="764">
        <f>(其他费用明细!$I$46+SUM(,其他费用明细!I29:$I$30,其他费用明细!$I$34,其他费用明细!$I$36:$I$44))*(1+其他费用明细!$D$73)</f>
        <v>0</v>
      </c>
    </row>
    <row r="17" ht="31.2" spans="2:14">
      <c r="B17" s="765" t="s">
        <v>557</v>
      </c>
      <c r="C17" s="766">
        <f>C16-C18</f>
        <v>124238.462333333</v>
      </c>
      <c r="D17" s="766">
        <f t="shared" ref="D17:I17" si="0">D16-D18</f>
        <v>118995.519</v>
      </c>
      <c r="E17" s="766">
        <f t="shared" si="0"/>
        <v>3727153.87</v>
      </c>
      <c r="F17" s="767">
        <f t="shared" si="0"/>
        <v>3569865.57</v>
      </c>
      <c r="G17" s="767">
        <f t="shared" si="0"/>
        <v>0</v>
      </c>
      <c r="H17" s="766">
        <f t="shared" si="0"/>
        <v>157288.3</v>
      </c>
      <c r="I17" s="764">
        <f t="shared" si="0"/>
        <v>0</v>
      </c>
    </row>
    <row r="18" spans="2:14">
      <c r="B18" s="768" t="s">
        <v>558</v>
      </c>
      <c r="C18" s="769"/>
      <c r="D18" s="769"/>
      <c r="E18" s="769"/>
      <c r="F18" s="770"/>
      <c r="G18" s="770"/>
      <c r="H18" s="769"/>
      <c r="I18" s="771"/>
      <c r="J18" s="752" t="s">
        <v>559</v>
      </c>
    </row>
    <row r="20" ht="18" customHeight="1" spans="2:14">
      <c r="B20" s="772" t="s">
        <v>560</v>
      </c>
      <c r="I20" s="772" t="s">
        <v>561</v>
      </c>
      <c r="J20" s="773">
        <f>费用摘要!$C$23</f>
        <v>0.066</v>
      </c>
      <c r="K20" s="739"/>
      <c r="L20" s="740"/>
      <c r="M20" s="171"/>
      <c r="N20" s="171"/>
    </row>
    <row r="21" ht="16.2" spans="2:14">
      <c r="B21" s="774" t="s">
        <v>562</v>
      </c>
      <c r="C21" s="775" t="s">
        <v>563</v>
      </c>
      <c r="D21" s="775" t="s">
        <v>564</v>
      </c>
      <c r="E21" s="775" t="s">
        <v>565</v>
      </c>
      <c r="F21" s="776" t="s">
        <v>566</v>
      </c>
      <c r="G21" s="777" t="s">
        <v>567</v>
      </c>
      <c r="I21" s="774" t="s">
        <v>562</v>
      </c>
      <c r="J21" s="775" t="s">
        <v>563</v>
      </c>
      <c r="K21" s="775" t="s">
        <v>564</v>
      </c>
      <c r="L21" s="775" t="s">
        <v>565</v>
      </c>
      <c r="M21" s="776" t="s">
        <v>566</v>
      </c>
      <c r="N21" s="777" t="s">
        <v>567</v>
      </c>
    </row>
    <row r="22" ht="16.2" spans="2:14">
      <c r="B22" s="778" t="s">
        <v>568</v>
      </c>
      <c r="C22" s="779">
        <f>SUMIF(服务费底表!$H:$H,$B22,服务费底表!$AD:$AD)+SUMIF(注册申报底表!$G:$G,$B22,注册申报底表!$AA:$AA)</f>
        <v>136995</v>
      </c>
      <c r="D22" s="779">
        <f>SUMIF(服务费底表!$H:$H,$B22,服务费底表!$AG:$AG)+SUMIF(注册申报底表!$G:$G,$B22,注册申报底表!$AD:$AD)</f>
        <v>136995</v>
      </c>
      <c r="E22" s="780">
        <f t="shared" ref="E22:E35" si="1">IFERROR(D22/$D$36,0)</f>
        <v>0.0409081706452559</v>
      </c>
      <c r="F22" s="781">
        <f t="shared" ref="F22:F35" si="2">IFERROR($C22/入组受试者数,0)</f>
        <v>4566.5</v>
      </c>
      <c r="G22" s="782">
        <f t="shared" ref="G22:G35" si="3">IFERROR($D22/入组受试者数,0)</f>
        <v>4566.5</v>
      </c>
      <c r="I22" s="778" t="s">
        <v>568</v>
      </c>
      <c r="J22" s="779">
        <f t="shared" ref="J22:J35" si="4">C22*(1+$J$20)</f>
        <v>146036.67</v>
      </c>
      <c r="K22" s="779">
        <f t="shared" ref="K22:K35" si="5">D22*(1+$J$20)</f>
        <v>146036.67</v>
      </c>
      <c r="L22" s="780">
        <f t="shared" ref="L22:L35" si="6">IFERROR(K22/$K$36,0)</f>
        <v>0.0409081706452559</v>
      </c>
      <c r="M22" s="779">
        <f t="shared" ref="M22:M35" si="7">IFERROR($J22/入组受试者数,0)</f>
        <v>4867.889</v>
      </c>
      <c r="N22" s="783">
        <f t="shared" ref="N22:N35" si="8">IFERROR($K22/入组受试者数,0)</f>
        <v>4867.889</v>
      </c>
    </row>
    <row r="23" ht="16.2" spans="2:14">
      <c r="B23" s="778" t="s">
        <v>569</v>
      </c>
      <c r="C23" s="779">
        <f>SUMIF(服务费底表!$H:$H,$B23,服务费底表!$AD:$AD)+SUMIF(注册申报底表!$G:$G,$B23,注册申报底表!$AA:$AA)</f>
        <v>1926585</v>
      </c>
      <c r="D23" s="779">
        <f>SUMIF(服务费底表!$H:$H,$B23,服务费底表!$AG:$AG)+SUMIF(注册申报底表!$G:$G,$B23,注册申报底表!$AD:$AD)</f>
        <v>1926585</v>
      </c>
      <c r="E23" s="780">
        <f t="shared" si="1"/>
        <v>0.575298864503013</v>
      </c>
      <c r="F23" s="781">
        <f t="shared" si="2"/>
        <v>64219.5</v>
      </c>
      <c r="G23" s="782">
        <f t="shared" si="3"/>
        <v>64219.5</v>
      </c>
      <c r="I23" s="778" t="s">
        <v>569</v>
      </c>
      <c r="J23" s="779">
        <f t="shared" si="4"/>
        <v>2053739.61</v>
      </c>
      <c r="K23" s="779">
        <f t="shared" si="5"/>
        <v>2053739.61</v>
      </c>
      <c r="L23" s="780">
        <f t="shared" si="6"/>
        <v>0.575298864503013</v>
      </c>
      <c r="M23" s="779">
        <f t="shared" si="7"/>
        <v>68457.987</v>
      </c>
      <c r="N23" s="783">
        <f t="shared" si="8"/>
        <v>68457.987</v>
      </c>
    </row>
    <row r="24" s="738" customFormat="1" outlineLevel="1" spans="2:14">
      <c r="B24" s="784" t="s">
        <v>570</v>
      </c>
      <c r="C24" s="785">
        <f>SUMIF(服务费底表!$S:$S,$B24,服务费底表!$AD:$AD)+SUMIF(注册申报底表!$R:$R,$B24,注册申报底表!$AA:$AA)</f>
        <v>875135</v>
      </c>
      <c r="D24" s="785">
        <f>SUMIF(服务费底表!$S:$S,$B24,服务费底表!$AG:$AG)+SUMIF(注册申报底表!$R:$R,$B24,注册申报底表!$AD:$AD)</f>
        <v>875135</v>
      </c>
      <c r="E24" s="786">
        <f t="shared" si="1"/>
        <v>0.261324660882777</v>
      </c>
      <c r="F24" s="787">
        <f t="shared" si="2"/>
        <v>29171.1666666667</v>
      </c>
      <c r="G24" s="788">
        <f t="shared" si="3"/>
        <v>29171.1666666667</v>
      </c>
      <c r="I24" s="784" t="s">
        <v>570</v>
      </c>
      <c r="J24" s="789">
        <f t="shared" si="4"/>
        <v>932893.91</v>
      </c>
      <c r="K24" s="789">
        <f t="shared" si="5"/>
        <v>932893.91</v>
      </c>
      <c r="L24" s="790">
        <f t="shared" si="6"/>
        <v>0.261324660882777</v>
      </c>
      <c r="M24" s="789">
        <f t="shared" si="7"/>
        <v>31096.4636666667</v>
      </c>
      <c r="N24" s="791">
        <f t="shared" si="8"/>
        <v>31096.4636666667</v>
      </c>
    </row>
    <row r="25" s="738" customFormat="1" outlineLevel="1" spans="2:14">
      <c r="B25" s="784" t="s">
        <v>571</v>
      </c>
      <c r="C25" s="785">
        <f>SUMIF(服务费底表!$S:$S,$B25,服务费底表!$AD:$AD)+SUMIF(注册申报底表!$R:$R,$B25,注册申报底表!$AA:$AA)</f>
        <v>1051450</v>
      </c>
      <c r="D25" s="785">
        <f>SUMIF(服务费底表!$S:$S,$B25,服务费底表!$AG:$AG)+SUMIF(注册申报底表!$R:$R,$B25,注册申报底表!$AD:$AD)</f>
        <v>1051450</v>
      </c>
      <c r="E25" s="786">
        <f t="shared" si="1"/>
        <v>0.313974203620236</v>
      </c>
      <c r="F25" s="787">
        <f t="shared" si="2"/>
        <v>35048.3333333333</v>
      </c>
      <c r="G25" s="788">
        <f t="shared" si="3"/>
        <v>35048.3333333333</v>
      </c>
      <c r="I25" s="784" t="s">
        <v>571</v>
      </c>
      <c r="J25" s="789">
        <f t="shared" si="4"/>
        <v>1120845.7</v>
      </c>
      <c r="K25" s="789">
        <f t="shared" si="5"/>
        <v>1120845.7</v>
      </c>
      <c r="L25" s="790">
        <f t="shared" si="6"/>
        <v>0.313974203620236</v>
      </c>
      <c r="M25" s="789">
        <f t="shared" si="7"/>
        <v>37361.5233333333</v>
      </c>
      <c r="N25" s="791">
        <f t="shared" si="8"/>
        <v>37361.5233333333</v>
      </c>
    </row>
    <row r="26" ht="16.2" spans="2:14">
      <c r="B26" s="778" t="s">
        <v>572</v>
      </c>
      <c r="C26" s="779">
        <f>SUM(C27:C29)</f>
        <v>457861.5</v>
      </c>
      <c r="D26" s="779">
        <f>SUM(D27:D29)</f>
        <v>457861.5</v>
      </c>
      <c r="E26" s="780">
        <f t="shared" si="1"/>
        <v>0.136722335661103</v>
      </c>
      <c r="F26" s="781">
        <f t="shared" si="2"/>
        <v>15262.05</v>
      </c>
      <c r="G26" s="782">
        <f t="shared" si="3"/>
        <v>15262.05</v>
      </c>
      <c r="I26" s="778" t="s">
        <v>572</v>
      </c>
      <c r="J26" s="779">
        <f t="shared" si="4"/>
        <v>488080.359</v>
      </c>
      <c r="K26" s="779">
        <f t="shared" si="5"/>
        <v>488080.359</v>
      </c>
      <c r="L26" s="780">
        <f t="shared" si="6"/>
        <v>0.136722335661103</v>
      </c>
      <c r="M26" s="779">
        <f t="shared" si="7"/>
        <v>16269.3453</v>
      </c>
      <c r="N26" s="783">
        <f t="shared" si="8"/>
        <v>16269.3453</v>
      </c>
    </row>
    <row r="27" s="738" customFormat="1" outlineLevel="1" spans="2:14">
      <c r="B27" s="784" t="s">
        <v>573</v>
      </c>
      <c r="C27" s="785">
        <f>SUMIF(服务费底表!$S:$S,$B27,服务费底表!$AD:$AD)+SUMIF(注册申报底表!$R:$R,$B27,注册申报底表!$AA:$AA)</f>
        <v>193399</v>
      </c>
      <c r="D27" s="785">
        <f>SUMIF(服务费底表!$S:$S,$B27,服务费底表!$AG:$AG)+SUMIF(注册申报底表!$R:$R,$B27,注册申报底表!$AD:$AD)</f>
        <v>193399</v>
      </c>
      <c r="E27" s="786">
        <f t="shared" si="1"/>
        <v>0.0577510076617529</v>
      </c>
      <c r="F27" s="787">
        <f t="shared" si="2"/>
        <v>6446.63333333333</v>
      </c>
      <c r="G27" s="788">
        <f t="shared" si="3"/>
        <v>6446.63333333333</v>
      </c>
      <c r="I27" s="784" t="s">
        <v>573</v>
      </c>
      <c r="J27" s="789">
        <f t="shared" si="4"/>
        <v>206163.334</v>
      </c>
      <c r="K27" s="789">
        <f t="shared" si="5"/>
        <v>206163.334</v>
      </c>
      <c r="L27" s="790">
        <f t="shared" si="6"/>
        <v>0.0577510076617529</v>
      </c>
      <c r="M27" s="789">
        <f t="shared" si="7"/>
        <v>6872.11113333333</v>
      </c>
      <c r="N27" s="791">
        <f t="shared" si="8"/>
        <v>6872.11113333333</v>
      </c>
    </row>
    <row r="28" s="738" customFormat="1" outlineLevel="1" spans="2:14">
      <c r="B28" s="784" t="s">
        <v>574</v>
      </c>
      <c r="C28" s="785">
        <f>SUMIF(服务费底表!$S:$S,$B28,服务费底表!$AD:$AD)+SUMIF(注册申报底表!$R:$R,$B28,注册申报底表!$AA:$AA)</f>
        <v>82100</v>
      </c>
      <c r="D28" s="785">
        <f>SUMIF(服务费底表!$S:$S,$B28,服务费底表!$AG:$AG)+SUMIF(注册申报底表!$R:$R,$B28,注册申报底表!$AD:$AD)</f>
        <v>82100</v>
      </c>
      <c r="E28" s="786">
        <f t="shared" si="1"/>
        <v>0.0245159371508121</v>
      </c>
      <c r="F28" s="787">
        <f t="shared" si="2"/>
        <v>2736.66666666667</v>
      </c>
      <c r="G28" s="788">
        <f t="shared" si="3"/>
        <v>2736.66666666667</v>
      </c>
      <c r="I28" s="784" t="s">
        <v>574</v>
      </c>
      <c r="J28" s="789">
        <f t="shared" si="4"/>
        <v>87518.6</v>
      </c>
      <c r="K28" s="789">
        <f t="shared" si="5"/>
        <v>87518.6</v>
      </c>
      <c r="L28" s="790">
        <f t="shared" si="6"/>
        <v>0.0245159371508121</v>
      </c>
      <c r="M28" s="789">
        <f t="shared" si="7"/>
        <v>2917.28666666667</v>
      </c>
      <c r="N28" s="791">
        <f t="shared" si="8"/>
        <v>2917.28666666667</v>
      </c>
    </row>
    <row r="29" s="738" customFormat="1" outlineLevel="1" spans="2:14">
      <c r="B29" s="784" t="s">
        <v>575</v>
      </c>
      <c r="C29" s="785">
        <f>SUMIF(服务费底表!$S:$S,$B29,服务费底表!$AD:$AD)+SUMIF(注册申报底表!$R:$R,$B29,注册申报底表!$AA:$AA)</f>
        <v>182362.5</v>
      </c>
      <c r="D29" s="785">
        <f>SUMIF(服务费底表!$S:$S,$B29,服务费底表!$AG:$AG)+SUMIF(注册申报底表!$R:$R,$B29,注册申报底表!$AD:$AD)</f>
        <v>182362.5</v>
      </c>
      <c r="E29" s="786">
        <f t="shared" si="1"/>
        <v>0.0544553908485381</v>
      </c>
      <c r="F29" s="787">
        <f t="shared" si="2"/>
        <v>6078.75</v>
      </c>
      <c r="G29" s="788">
        <f t="shared" si="3"/>
        <v>6078.75</v>
      </c>
      <c r="I29" s="784" t="s">
        <v>575</v>
      </c>
      <c r="J29" s="789">
        <f t="shared" si="4"/>
        <v>194398.425</v>
      </c>
      <c r="K29" s="789">
        <f t="shared" si="5"/>
        <v>194398.425</v>
      </c>
      <c r="L29" s="790">
        <f t="shared" si="6"/>
        <v>0.0544553908485381</v>
      </c>
      <c r="M29" s="789">
        <f t="shared" si="7"/>
        <v>6479.9475</v>
      </c>
      <c r="N29" s="791">
        <f t="shared" si="8"/>
        <v>6479.9475</v>
      </c>
    </row>
    <row r="30" ht="16.2" spans="2:14">
      <c r="B30" s="778" t="s">
        <v>576</v>
      </c>
      <c r="C30" s="779">
        <f>SUMIF(服务费底表!$H:$H,$B30,服务费底表!$AD:$AD)+SUMIF(注册申报底表!$G:$G,$B30,注册申报底表!$AA:$AA)</f>
        <v>175875</v>
      </c>
      <c r="D30" s="779">
        <f>SUMIF(服务费底表!$H:$H,$B30,服务费底表!$AG:$AG)+SUMIF(注册申报底表!$G:$G,$B30,注册申报底表!$AD:$AD)</f>
        <v>175875</v>
      </c>
      <c r="E30" s="780">
        <f t="shared" si="1"/>
        <v>0.0525181540365296</v>
      </c>
      <c r="F30" s="781">
        <f t="shared" si="2"/>
        <v>5862.5</v>
      </c>
      <c r="G30" s="782">
        <f t="shared" si="3"/>
        <v>5862.5</v>
      </c>
      <c r="I30" s="778" t="s">
        <v>576</v>
      </c>
      <c r="J30" s="779">
        <f t="shared" si="4"/>
        <v>187482.75</v>
      </c>
      <c r="K30" s="779">
        <f t="shared" si="5"/>
        <v>187482.75</v>
      </c>
      <c r="L30" s="780">
        <f t="shared" si="6"/>
        <v>0.0525181540365296</v>
      </c>
      <c r="M30" s="779">
        <f t="shared" si="7"/>
        <v>6249.425</v>
      </c>
      <c r="N30" s="783">
        <f t="shared" si="8"/>
        <v>6249.425</v>
      </c>
    </row>
    <row r="31" ht="16.2" spans="2:14">
      <c r="B31" s="778" t="s">
        <v>577</v>
      </c>
      <c r="C31" s="779">
        <f>SUMIF(服务费底表!$H:$H,$B31,服务费底表!$AD:$AD)+SUMIF(注册申报底表!$G:$G,$B31,注册申报底表!$AA:$AA)</f>
        <v>651525.5</v>
      </c>
      <c r="D31" s="779">
        <f>SUMIF(服务费底表!$H:$H,$B31,服务费底表!$AG:$AG)+SUMIF(注册申报底表!$G:$G,$B31,注册申报底表!$AD:$AD)</f>
        <v>651525.5</v>
      </c>
      <c r="E31" s="780">
        <f t="shared" si="1"/>
        <v>0.194552475154098</v>
      </c>
      <c r="F31" s="781">
        <f t="shared" si="2"/>
        <v>21717.5166666667</v>
      </c>
      <c r="G31" s="782">
        <f t="shared" si="3"/>
        <v>21717.5166666667</v>
      </c>
      <c r="I31" s="778" t="s">
        <v>577</v>
      </c>
      <c r="J31" s="779">
        <f t="shared" si="4"/>
        <v>694526.183</v>
      </c>
      <c r="K31" s="779">
        <f t="shared" si="5"/>
        <v>694526.183</v>
      </c>
      <c r="L31" s="780">
        <f t="shared" si="6"/>
        <v>0.194552475154098</v>
      </c>
      <c r="M31" s="779">
        <f t="shared" si="7"/>
        <v>23150.8727666667</v>
      </c>
      <c r="N31" s="783">
        <f t="shared" si="8"/>
        <v>23150.8727666667</v>
      </c>
    </row>
    <row r="32" s="738" customFormat="1" ht="16.2" outlineLevel="1" spans="2:14">
      <c r="B32" s="784" t="s">
        <v>578</v>
      </c>
      <c r="C32" s="785">
        <f>SUMIF(服务费底表!$S:$S,$B32,服务费底表!$AD:$AD)+SUMIF(注册申报底表!$R:$R,$B32,注册申报底表!$AA:$AA)</f>
        <v>238275</v>
      </c>
      <c r="D32" s="785">
        <f>SUMIF(服务费底表!$S:$S,$B32,服务费底表!$AG:$AG)+SUMIF(注册申报底表!$R:$R,$B32,注册申报底表!$AD:$AD)</f>
        <v>238275</v>
      </c>
      <c r="E32" s="786">
        <f t="shared" si="1"/>
        <v>0.0711514607138826</v>
      </c>
      <c r="F32" s="787">
        <f t="shared" si="2"/>
        <v>7942.5</v>
      </c>
      <c r="G32" s="788">
        <f t="shared" si="3"/>
        <v>7942.5</v>
      </c>
      <c r="I32" s="784" t="s">
        <v>578</v>
      </c>
      <c r="J32" s="789">
        <f t="shared" si="4"/>
        <v>254001.15</v>
      </c>
      <c r="K32" s="789">
        <f t="shared" si="5"/>
        <v>254001.15</v>
      </c>
      <c r="L32" s="790">
        <f t="shared" si="6"/>
        <v>0.0711514607138826</v>
      </c>
      <c r="M32" s="789">
        <f t="shared" si="7"/>
        <v>8466.705</v>
      </c>
      <c r="N32" s="783">
        <f t="shared" si="8"/>
        <v>8466.705</v>
      </c>
    </row>
    <row r="33" s="738" customFormat="1" ht="16.2" outlineLevel="1" spans="2:14">
      <c r="B33" s="784" t="s">
        <v>579</v>
      </c>
      <c r="C33" s="785">
        <f>SUMIF(服务费底表!$S:$S,$B33,服务费底表!$AD:$AD)+SUMIF(注册申报底表!$R:$R,$B33,注册申报底表!$AA:$AA)</f>
        <v>413250.5</v>
      </c>
      <c r="D33" s="785">
        <f>SUMIF(服务费底表!$S:$S,$B33,服务费底表!$AG:$AG)+SUMIF(注册申报底表!$R:$R,$B33,注册申报底表!$AD:$AD)</f>
        <v>413250.5</v>
      </c>
      <c r="E33" s="786">
        <f t="shared" si="1"/>
        <v>0.123401014440215</v>
      </c>
      <c r="F33" s="787">
        <f t="shared" si="2"/>
        <v>13775.0166666667</v>
      </c>
      <c r="G33" s="788">
        <f t="shared" si="3"/>
        <v>13775.0166666667</v>
      </c>
      <c r="I33" s="784" t="s">
        <v>579</v>
      </c>
      <c r="J33" s="789">
        <f t="shared" si="4"/>
        <v>440525.033</v>
      </c>
      <c r="K33" s="789">
        <f t="shared" si="5"/>
        <v>440525.033</v>
      </c>
      <c r="L33" s="790">
        <f t="shared" si="6"/>
        <v>0.123401014440215</v>
      </c>
      <c r="M33" s="789">
        <f t="shared" si="7"/>
        <v>14684.1677666667</v>
      </c>
      <c r="N33" s="783">
        <f t="shared" si="8"/>
        <v>14684.1677666667</v>
      </c>
    </row>
    <row r="34" ht="16.2" spans="2:14">
      <c r="B34" s="778" t="s">
        <v>580</v>
      </c>
      <c r="C34" s="779">
        <f>SUMIF(服务费底表!$H:$H,$B34,服务费底表!$AD:$AD)+SUMIF(注册申报底表!$G:$G,$B34,注册申报底表!$AA:$AA)</f>
        <v>0</v>
      </c>
      <c r="D34" s="779">
        <f>SUMIF(服务费底表!$H:$H,$B34,服务费底表!$AG:$AG)+SUMIF(注册申报底表!$G:$G,$B34,注册申报底表!$AD:$AD)</f>
        <v>0</v>
      </c>
      <c r="E34" s="780">
        <f t="shared" si="1"/>
        <v>0</v>
      </c>
      <c r="F34" s="781">
        <f t="shared" si="2"/>
        <v>0</v>
      </c>
      <c r="G34" s="782">
        <f t="shared" si="3"/>
        <v>0</v>
      </c>
      <c r="I34" s="778" t="s">
        <v>580</v>
      </c>
      <c r="J34" s="779">
        <f t="shared" si="4"/>
        <v>0</v>
      </c>
      <c r="K34" s="779">
        <f t="shared" si="5"/>
        <v>0</v>
      </c>
      <c r="L34" s="780">
        <f t="shared" si="6"/>
        <v>0</v>
      </c>
      <c r="M34" s="779">
        <f t="shared" si="7"/>
        <v>0</v>
      </c>
      <c r="N34" s="783">
        <f t="shared" si="8"/>
        <v>0</v>
      </c>
    </row>
    <row r="35" ht="16.2" spans="2:14">
      <c r="B35" s="778" t="s">
        <v>581</v>
      </c>
      <c r="C35" s="779">
        <f>SUMIF(注册申报底表!$G:$G,$B35,注册申报底表!$AA:$AA)</f>
        <v>0</v>
      </c>
      <c r="D35" s="779">
        <f>SUMIF(服务费底表!$H:$H,$B35,服务费底表!$AG:$AG)+SUMIF(注册申报底表!$G:$G,$B35,注册申报底表!$AD:$AD)</f>
        <v>0</v>
      </c>
      <c r="E35" s="780">
        <f t="shared" si="1"/>
        <v>0</v>
      </c>
      <c r="F35" s="781">
        <f t="shared" si="2"/>
        <v>0</v>
      </c>
      <c r="G35" s="782">
        <f t="shared" si="3"/>
        <v>0</v>
      </c>
      <c r="I35" s="778" t="s">
        <v>581</v>
      </c>
      <c r="J35" s="779">
        <f t="shared" si="4"/>
        <v>0</v>
      </c>
      <c r="K35" s="779">
        <f t="shared" si="5"/>
        <v>0</v>
      </c>
      <c r="L35" s="780">
        <f t="shared" si="6"/>
        <v>0</v>
      </c>
      <c r="M35" s="779">
        <f t="shared" si="7"/>
        <v>0</v>
      </c>
      <c r="N35" s="783">
        <f t="shared" si="8"/>
        <v>0</v>
      </c>
    </row>
    <row r="36" ht="16.2" spans="2:14">
      <c r="B36" s="792" t="s">
        <v>549</v>
      </c>
      <c r="C36" s="793">
        <f>SUM(C22:C23,C27:C31,C34:C35)</f>
        <v>3348842</v>
      </c>
      <c r="D36" s="793">
        <f>SUM(D22:D23,D27:D31,D34:D35)</f>
        <v>3348842</v>
      </c>
      <c r="E36" s="794">
        <f>SUM(E22:E23,E27:E31,E34:E35)</f>
        <v>1</v>
      </c>
      <c r="F36" s="795">
        <f>SUM(F22:F23,F27:F31,F34:F35)</f>
        <v>111628.066666667</v>
      </c>
      <c r="G36" s="796">
        <f>SUM(G22:G23,G27:G31,G34:G35)</f>
        <v>111628.066666667</v>
      </c>
      <c r="I36" s="792" t="s">
        <v>549</v>
      </c>
      <c r="J36" s="793">
        <f>SUM(J22:J23,J27:J31,J34:J35)</f>
        <v>3569865.572</v>
      </c>
      <c r="K36" s="793">
        <f>SUM(K22:K23,K27:K31,K34:K35)</f>
        <v>3569865.572</v>
      </c>
      <c r="L36" s="794">
        <f>SUM(L22:L23,L27:L31,L34:L35)</f>
        <v>1</v>
      </c>
      <c r="M36" s="793">
        <f>SUM(M22:M23,M27:M31,M34:M35)</f>
        <v>118995.519066667</v>
      </c>
      <c r="N36" s="797">
        <f>SUM(N22:N23,N27:N31,N34:N35)</f>
        <v>118995.519066667</v>
      </c>
    </row>
    <row r="37" spans="2:14">
      <c r="F37" s="798"/>
      <c r="G37" s="798"/>
    </row>
    <row r="38" ht="16.2" spans="2:14">
      <c r="B38" s="799" t="s">
        <v>582</v>
      </c>
      <c r="C38" s="800">
        <f>C36*(1+服务费明细!$C$252)</f>
        <v>3569865.572</v>
      </c>
      <c r="D38" s="800">
        <f>D36*(1+服务费明细!$C$252)</f>
        <v>3569865.572</v>
      </c>
      <c r="E38" s="801"/>
      <c r="F38" s="802">
        <f>F36*(1+服务费明细!$C$252)</f>
        <v>118995.519066667</v>
      </c>
      <c r="G38" s="803">
        <f>G36*(1+服务费明细!$C$252)</f>
        <v>118995.519066667</v>
      </c>
      <c r="I38" s="804" t="s">
        <v>583</v>
      </c>
      <c r="J38" s="805">
        <f>J36-C38</f>
        <v>0</v>
      </c>
      <c r="K38" s="805">
        <f t="shared" ref="K38:N38" si="9">K36-D38</f>
        <v>0</v>
      </c>
      <c r="L38" s="801"/>
      <c r="M38" s="805">
        <f t="shared" si="9"/>
        <v>0</v>
      </c>
      <c r="N38" s="806">
        <f t="shared" si="9"/>
        <v>0</v>
      </c>
    </row>
    <row r="39" ht="16.2" spans="2:14">
      <c r="B39" s="799" t="s">
        <v>584</v>
      </c>
      <c r="C39" s="800">
        <f>费用摘要!D34</f>
        <v>157288.3</v>
      </c>
      <c r="D39" s="800">
        <f>费用摘要!F34</f>
        <v>157288.3</v>
      </c>
      <c r="E39" s="801"/>
      <c r="F39" s="802">
        <f>IFERROR(C39/入组受试者数,0)</f>
        <v>5242.94333333333</v>
      </c>
      <c r="G39" s="803">
        <f>IFERROR(D39/入组受试者数,0)</f>
        <v>5242.94333333333</v>
      </c>
    </row>
    <row r="40" ht="16.2" spans="2:14">
      <c r="B40" s="799" t="s">
        <v>585</v>
      </c>
      <c r="C40" s="800">
        <f>C38+C39</f>
        <v>3727153.872</v>
      </c>
      <c r="D40" s="800">
        <f>D38+D39</f>
        <v>3727153.872</v>
      </c>
      <c r="E40" s="801"/>
      <c r="F40" s="802">
        <f>F38+F39</f>
        <v>124238.4624</v>
      </c>
      <c r="G40" s="802">
        <f>G38+G39</f>
        <v>124238.4624</v>
      </c>
    </row>
    <row r="41" spans="2:14">
      <c r="B41" s="738"/>
      <c r="C41" s="807"/>
      <c r="D41" s="807"/>
      <c r="E41" s="808"/>
      <c r="F41" s="809"/>
      <c r="G41" s="809"/>
    </row>
    <row r="42" ht="16.2" spans="2:14">
      <c r="B42" s="804" t="s">
        <v>583</v>
      </c>
      <c r="C42" s="805">
        <f>C38-G13</f>
        <v>0.00200000032782555</v>
      </c>
      <c r="D42" s="805">
        <f>D38-F16</f>
        <v>0.00200000032782555</v>
      </c>
      <c r="E42" s="810"/>
      <c r="F42" s="805">
        <f>F38-G14</f>
        <v>6.66666746838018e-5</v>
      </c>
      <c r="G42" s="806">
        <f>G38-D16</f>
        <v>6.66666746838018e-5</v>
      </c>
      <c r="K42" s="811"/>
    </row>
    <row r="43" ht="16.2" spans="2:14">
      <c r="B43" s="804" t="s">
        <v>586</v>
      </c>
      <c r="C43" s="805">
        <f>C39-(D13-G13)</f>
        <v>0</v>
      </c>
      <c r="D43" s="805">
        <f>D39-SUM(G16:I16)</f>
        <v>0</v>
      </c>
      <c r="E43" s="810"/>
      <c r="F43" s="805">
        <f>F39-(D14-G14)</f>
        <v>1.81898940354586e-11</v>
      </c>
      <c r="G43" s="806">
        <f>G39-(C16-D16)</f>
        <v>1.81898940354586e-11</v>
      </c>
    </row>
    <row r="49" hidden="1" outlineLevel="1" spans="2:8">
      <c r="G49" s="809"/>
      <c r="H49" s="714"/>
    </row>
    <row r="50" ht="16.2" hidden="1" outlineLevel="1" spans="2:8">
      <c r="B50" s="812" t="s">
        <v>587</v>
      </c>
      <c r="C50" s="812" t="s">
        <v>588</v>
      </c>
      <c r="D50" s="812" t="s">
        <v>589</v>
      </c>
      <c r="E50" s="812" t="s">
        <v>590</v>
      </c>
      <c r="F50" s="812" t="s">
        <v>591</v>
      </c>
      <c r="G50" s="812" t="s">
        <v>592</v>
      </c>
    </row>
    <row r="51" hidden="1" outlineLevel="1" spans="2:8">
      <c r="B51" s="813" t="s">
        <v>569</v>
      </c>
      <c r="C51" s="813" t="s">
        <v>593</v>
      </c>
      <c r="D51" s="813" t="s">
        <v>571</v>
      </c>
      <c r="E51" s="813" t="s">
        <v>594</v>
      </c>
      <c r="F51" s="814" t="s">
        <v>595</v>
      </c>
      <c r="G51" s="815">
        <f>SUMIF(服务费底表!$T:$T,$F51,服务费底表!$AC:$AC)+SUMIF(注册申报底表!$S:$S,$F51,注册申报底表!$Z:$Z)</f>
        <v>2739.5</v>
      </c>
    </row>
    <row r="52" hidden="1" outlineLevel="1" spans="2:8">
      <c r="B52" s="449" t="s">
        <v>569</v>
      </c>
      <c r="C52" s="813" t="s">
        <v>593</v>
      </c>
      <c r="D52" s="813" t="s">
        <v>571</v>
      </c>
      <c r="E52" s="813" t="s">
        <v>596</v>
      </c>
      <c r="F52" s="814" t="s">
        <v>597</v>
      </c>
      <c r="G52" s="815">
        <f>SUMIF(服务费底表!$T:$T,$F52,服务费底表!$AC:$AC)+SUMIF(注册申报底表!$S:$S,$F52,注册申报底表!$Z:$Z)</f>
        <v>281</v>
      </c>
    </row>
    <row r="53" hidden="1" outlineLevel="1" spans="2:8">
      <c r="B53" s="449" t="s">
        <v>569</v>
      </c>
      <c r="C53" s="813" t="s">
        <v>593</v>
      </c>
      <c r="D53" s="813" t="s">
        <v>570</v>
      </c>
      <c r="E53" s="813" t="s">
        <v>598</v>
      </c>
      <c r="F53" s="813" t="s">
        <v>599</v>
      </c>
      <c r="G53" s="815">
        <f>SUMIF(服务费底表!$T:$T,$F53,服务费底表!$AC:$AC)+SUMIF(注册申报底表!$S:$S,$F53,注册申报底表!$Z:$Z)</f>
        <v>1291.9</v>
      </c>
    </row>
    <row r="54" hidden="1" outlineLevel="1" spans="2:8">
      <c r="B54" s="449" t="s">
        <v>569</v>
      </c>
      <c r="C54" s="813" t="s">
        <v>593</v>
      </c>
      <c r="D54" s="813" t="s">
        <v>570</v>
      </c>
      <c r="E54" s="813" t="s">
        <v>600</v>
      </c>
      <c r="F54" s="813" t="s">
        <v>601</v>
      </c>
      <c r="G54" s="815">
        <f>SUMIF(服务费底表!$T:$T,$F54,服务费底表!$AC:$AC)+SUMIF(注册申报底表!$S:$S,$F54,注册申报底表!$Z:$Z)</f>
        <v>44.25</v>
      </c>
    </row>
    <row r="55" hidden="1" outlineLevel="1" spans="2:8">
      <c r="B55" s="449" t="s">
        <v>569</v>
      </c>
      <c r="C55" s="813" t="s">
        <v>593</v>
      </c>
      <c r="D55" s="813" t="s">
        <v>571</v>
      </c>
      <c r="E55" s="813" t="s">
        <v>602</v>
      </c>
      <c r="F55" s="814" t="s">
        <v>603</v>
      </c>
      <c r="G55" s="815">
        <f>SUMIF(服务费底表!$T:$T,$F55,服务费底表!$AC:$AC)+SUMIF(注册申报底表!$S:$S,$F55,注册申报底表!$Z:$Z)</f>
        <v>97</v>
      </c>
    </row>
    <row r="56" hidden="1" outlineLevel="1" spans="2:8">
      <c r="B56" s="449" t="s">
        <v>581</v>
      </c>
      <c r="C56" s="813" t="s">
        <v>604</v>
      </c>
      <c r="D56" s="813" t="s">
        <v>605</v>
      </c>
      <c r="E56" s="813" t="s">
        <v>606</v>
      </c>
      <c r="F56" s="814" t="s">
        <v>607</v>
      </c>
      <c r="G56" s="815">
        <f>SUMIF(服务费底表!$T:$T,$F56,服务费底表!$AC:$AC)+SUMIF(注册申报底表!$S:$S,$F56,注册申报底表!$Z:$Z)</f>
        <v>0</v>
      </c>
    </row>
    <row r="57" hidden="1" outlineLevel="1" spans="2:8">
      <c r="B57" s="449" t="s">
        <v>581</v>
      </c>
      <c r="C57" s="813" t="s">
        <v>604</v>
      </c>
      <c r="D57" s="813" t="s">
        <v>605</v>
      </c>
      <c r="E57" s="813" t="s">
        <v>608</v>
      </c>
      <c r="F57" s="814" t="s">
        <v>609</v>
      </c>
      <c r="G57" s="815">
        <f>SUMIF(服务费底表!$T:$T,$F57,服务费底表!$AC:$AC)+SUMIF(注册申报底表!$S:$S,$F57,注册申报底表!$Z:$Z)</f>
        <v>0</v>
      </c>
    </row>
    <row r="58" hidden="1" outlineLevel="1" spans="2:8">
      <c r="B58" s="449" t="s">
        <v>577</v>
      </c>
      <c r="C58" s="813" t="s">
        <v>610</v>
      </c>
      <c r="D58" s="210" t="s">
        <v>611</v>
      </c>
      <c r="E58" s="449" t="s">
        <v>612</v>
      </c>
      <c r="F58" s="814" t="s">
        <v>613</v>
      </c>
      <c r="G58" s="815">
        <f>SUMIF(服务费底表!$T:$T,$F58,服务费底表!$AC:$AC)+SUMIF(注册申报底表!$S:$S,$F58,注册申报底表!$Z:$Z)</f>
        <v>121.2</v>
      </c>
    </row>
    <row r="59" hidden="1" outlineLevel="1" spans="2:8">
      <c r="B59" s="449" t="s">
        <v>577</v>
      </c>
      <c r="C59" s="813" t="s">
        <v>610</v>
      </c>
      <c r="D59" s="210" t="s">
        <v>611</v>
      </c>
      <c r="E59" s="449" t="s">
        <v>614</v>
      </c>
      <c r="F59" s="814" t="s">
        <v>615</v>
      </c>
      <c r="G59" s="815">
        <f>SUMIF(服务费底表!$T:$T,$F59,服务费底表!$AC:$AC)+SUMIF(注册申报底表!$S:$S,$F59,注册申报底表!$Z:$Z)</f>
        <v>817.75</v>
      </c>
    </row>
    <row r="60" hidden="1" outlineLevel="1" spans="2:8">
      <c r="B60" s="449" t="s">
        <v>577</v>
      </c>
      <c r="C60" s="813" t="s">
        <v>610</v>
      </c>
      <c r="D60" s="210" t="s">
        <v>611</v>
      </c>
      <c r="E60" s="449" t="s">
        <v>616</v>
      </c>
      <c r="F60" s="814" t="s">
        <v>617</v>
      </c>
      <c r="G60" s="815">
        <f>SUMIF(服务费底表!$T:$T,$F60,服务费底表!$AC:$AC)+SUMIF(注册申报底表!$S:$S,$F60,注册申报底表!$Z:$Z)</f>
        <v>0</v>
      </c>
    </row>
    <row r="61" hidden="1" outlineLevel="1" spans="2:8">
      <c r="B61" s="813" t="s">
        <v>576</v>
      </c>
      <c r="C61" s="813" t="s">
        <v>618</v>
      </c>
      <c r="D61" s="813" t="s">
        <v>576</v>
      </c>
      <c r="E61" s="813" t="s">
        <v>619</v>
      </c>
      <c r="F61" s="813" t="s">
        <v>620</v>
      </c>
      <c r="G61" s="815">
        <f>SUMIF(服务费底表!$T:$T,$F61,服务费底表!$AC:$AC)+SUMIF(注册申报底表!$S:$S,$F61,注册申报底表!$Z:$Z)</f>
        <v>157.75</v>
      </c>
    </row>
    <row r="62" hidden="1" outlineLevel="1" spans="2:8">
      <c r="B62" s="813" t="s">
        <v>576</v>
      </c>
      <c r="C62" s="813" t="s">
        <v>618</v>
      </c>
      <c r="D62" s="813" t="s">
        <v>576</v>
      </c>
      <c r="E62" s="813" t="s">
        <v>621</v>
      </c>
      <c r="F62" s="814" t="s">
        <v>622</v>
      </c>
      <c r="G62" s="815">
        <f>SUMIF(服务费底表!$T:$T,$F62,服务费底表!$AC:$AC)+SUMIF(注册申报底表!$S:$S,$F62,注册申报底表!$Z:$Z)</f>
        <v>104.5</v>
      </c>
    </row>
    <row r="63" hidden="1" outlineLevel="1" spans="2:8">
      <c r="B63" s="813" t="s">
        <v>576</v>
      </c>
      <c r="C63" s="813" t="s">
        <v>618</v>
      </c>
      <c r="D63" s="813" t="s">
        <v>576</v>
      </c>
      <c r="E63" s="813" t="s">
        <v>623</v>
      </c>
      <c r="F63" s="814" t="s">
        <v>624</v>
      </c>
      <c r="G63" s="815">
        <f>SUMIF(服务费底表!$T:$T,$F63,服务费底表!$AC:$AC)+SUMIF(注册申报底表!$S:$S,$F63,注册申报底表!$Z:$Z)</f>
        <v>79.5</v>
      </c>
    </row>
    <row r="64" hidden="1" outlineLevel="1" spans="2:8">
      <c r="B64" s="813" t="s">
        <v>573</v>
      </c>
      <c r="C64" s="813" t="s">
        <v>625</v>
      </c>
      <c r="D64" s="813" t="s">
        <v>573</v>
      </c>
      <c r="E64" s="813" t="s">
        <v>626</v>
      </c>
      <c r="F64" s="813" t="s">
        <v>627</v>
      </c>
      <c r="G64" s="815">
        <f>SUMIF(服务费底表!$T:$T,$F64,服务费底表!$AC:$AC)+SUMIF(注册申报底表!$S:$S,$F64,注册申报底表!$Z:$Z)</f>
        <v>0</v>
      </c>
    </row>
    <row r="65" hidden="1" outlineLevel="1" spans="2:7">
      <c r="B65" s="813" t="s">
        <v>573</v>
      </c>
      <c r="C65" s="813" t="s">
        <v>625</v>
      </c>
      <c r="D65" s="813" t="s">
        <v>573</v>
      </c>
      <c r="E65" s="813" t="s">
        <v>628</v>
      </c>
      <c r="F65" s="449" t="s">
        <v>629</v>
      </c>
      <c r="G65" s="815">
        <f>SUMIF(服务费底表!$T:$T,$F65,服务费底表!$AC:$AC)+SUMIF(注册申报底表!$S:$S,$F65,注册申报底表!$Z:$Z)</f>
        <v>108.35</v>
      </c>
    </row>
    <row r="66" hidden="1" outlineLevel="1" spans="2:7">
      <c r="B66" s="813" t="s">
        <v>573</v>
      </c>
      <c r="C66" s="813" t="s">
        <v>625</v>
      </c>
      <c r="D66" s="813" t="s">
        <v>573</v>
      </c>
      <c r="E66" s="813" t="s">
        <v>630</v>
      </c>
      <c r="F66" s="813" t="s">
        <v>631</v>
      </c>
      <c r="G66" s="815">
        <f>SUMIF(服务费底表!$T:$T,$F66,服务费底表!$AC:$AC)+SUMIF(注册申报底表!$S:$S,$F66,注册申报底表!$Z:$Z)</f>
        <v>525.2</v>
      </c>
    </row>
    <row r="67" hidden="1" outlineLevel="1" spans="2:7">
      <c r="B67" s="813" t="s">
        <v>573</v>
      </c>
      <c r="C67" s="813" t="s">
        <v>625</v>
      </c>
      <c r="D67" s="813" t="s">
        <v>573</v>
      </c>
      <c r="E67" s="813" t="s">
        <v>632</v>
      </c>
      <c r="F67" s="813" t="s">
        <v>633</v>
      </c>
      <c r="G67" s="815">
        <f>SUMIF(服务费底表!$T:$T,$F67,服务费底表!$AC:$AC)+SUMIF(注册申报底表!$S:$S,$F67,注册申报底表!$Z:$Z)</f>
        <v>155.15</v>
      </c>
    </row>
    <row r="68" hidden="1" outlineLevel="1" spans="2:7">
      <c r="B68" s="813" t="s">
        <v>634</v>
      </c>
      <c r="C68" s="449" t="s">
        <v>635</v>
      </c>
      <c r="D68" s="449" t="s">
        <v>575</v>
      </c>
      <c r="E68" s="449" t="s">
        <v>636</v>
      </c>
      <c r="F68" s="210" t="s">
        <v>635</v>
      </c>
      <c r="G68" s="815">
        <f>SUMIF(服务费底表!$T:$T,$F68,服务费底表!$AC:$AC)+SUMIF(注册申报底表!$S:$S,$F68,注册申报底表!$Z:$Z)</f>
        <v>712.1</v>
      </c>
    </row>
    <row r="69" hidden="1" outlineLevel="1" spans="2:7">
      <c r="B69" s="813" t="s">
        <v>634</v>
      </c>
      <c r="C69" s="449" t="s">
        <v>635</v>
      </c>
      <c r="D69" s="449" t="s">
        <v>575</v>
      </c>
      <c r="E69" s="449" t="s">
        <v>637</v>
      </c>
      <c r="F69" s="449" t="s">
        <v>638</v>
      </c>
      <c r="G69" s="815">
        <f>SUMIF(服务费底表!$T:$T,$F69,服务费底表!$AC:$AC)+SUMIF(注册申报底表!$S:$S,$F69,注册申报底表!$Z:$Z)</f>
        <v>49.2</v>
      </c>
    </row>
    <row r="70" hidden="1" outlineLevel="1" spans="2:7">
      <c r="B70" s="813" t="s">
        <v>634</v>
      </c>
      <c r="C70" s="449" t="s">
        <v>639</v>
      </c>
      <c r="D70" s="449" t="s">
        <v>574</v>
      </c>
      <c r="E70" s="449" t="s">
        <v>640</v>
      </c>
      <c r="F70" s="210" t="s">
        <v>639</v>
      </c>
      <c r="G70" s="815">
        <f>SUMIF(服务费底表!$T:$T,$F70,服务费底表!$AC:$AC)+SUMIF(注册申报底表!$S:$S,$F70,注册申报底表!$Z:$Z)</f>
        <v>184.25</v>
      </c>
    </row>
    <row r="71" hidden="1" outlineLevel="1" spans="2:7">
      <c r="B71" s="813" t="s">
        <v>634</v>
      </c>
      <c r="C71" s="449" t="s">
        <v>639</v>
      </c>
      <c r="D71" s="449" t="s">
        <v>574</v>
      </c>
      <c r="E71" s="449" t="s">
        <v>641</v>
      </c>
      <c r="F71" s="449" t="s">
        <v>642</v>
      </c>
      <c r="G71" s="815">
        <f>SUMIF(服务费底表!$T:$T,$F71,服务费底表!$AC:$AC)+SUMIF(注册申报底表!$S:$S,$F71,注册申报底表!$Z:$Z)</f>
        <v>12</v>
      </c>
    </row>
    <row r="72" hidden="1" outlineLevel="1" spans="2:7">
      <c r="B72" s="449" t="s">
        <v>580</v>
      </c>
      <c r="C72" s="449" t="s">
        <v>643</v>
      </c>
      <c r="D72" s="449" t="s">
        <v>580</v>
      </c>
      <c r="E72" s="449" t="s">
        <v>644</v>
      </c>
      <c r="F72" s="449" t="s">
        <v>645</v>
      </c>
      <c r="G72" s="815">
        <f>SUMIF(服务费底表!$T:$T,$F72,服务费底表!$AC:$AC)+SUMIF(注册申报底表!$S:$S,$F72,注册申报底表!$Z:$Z)</f>
        <v>0</v>
      </c>
    </row>
    <row r="73" hidden="1" outlineLevel="1" spans="2:7">
      <c r="B73" s="449" t="s">
        <v>580</v>
      </c>
      <c r="C73" s="449" t="s">
        <v>643</v>
      </c>
      <c r="D73" s="449" t="s">
        <v>580</v>
      </c>
      <c r="E73" s="449" t="s">
        <v>646</v>
      </c>
      <c r="F73" s="449" t="s">
        <v>647</v>
      </c>
      <c r="G73" s="815">
        <f>SUMIF(服务费底表!$T:$T,$F73,服务费底表!$AC:$AC)+SUMIF(注册申报底表!$S:$S,$F73,注册申报底表!$Z:$Z)</f>
        <v>0</v>
      </c>
    </row>
    <row r="74" hidden="1" outlineLevel="1" spans="2:7">
      <c r="B74" s="449" t="s">
        <v>580</v>
      </c>
      <c r="C74" s="449" t="s">
        <v>643</v>
      </c>
      <c r="D74" s="449" t="s">
        <v>580</v>
      </c>
      <c r="E74" s="449" t="s">
        <v>648</v>
      </c>
      <c r="F74" s="449" t="s">
        <v>649</v>
      </c>
      <c r="G74" s="815">
        <f>SUMIF(服务费底表!$T:$T,$F74,服务费底表!$AC:$AC)+SUMIF(注册申报底表!$S:$S,$F74,注册申报底表!$Z:$Z)</f>
        <v>0</v>
      </c>
    </row>
    <row r="75" hidden="1" outlineLevel="1" spans="2:7">
      <c r="B75" s="449" t="s">
        <v>568</v>
      </c>
      <c r="C75" s="449" t="s">
        <v>650</v>
      </c>
      <c r="D75" s="449" t="s">
        <v>568</v>
      </c>
      <c r="E75" s="449" t="s">
        <v>651</v>
      </c>
      <c r="F75" s="449" t="s">
        <v>652</v>
      </c>
      <c r="G75" s="815">
        <f>SUMIF(服务费底表!$T:$T,$F75,服务费底表!$AC:$AC)+SUMIF(注册申报底表!$S:$S,$F75,注册申报底表!$Z:$Z)</f>
        <v>131.5</v>
      </c>
    </row>
    <row r="76" hidden="1" outlineLevel="1" spans="2:7">
      <c r="B76" s="449" t="s">
        <v>568</v>
      </c>
      <c r="C76" s="449" t="s">
        <v>650</v>
      </c>
      <c r="D76" s="449" t="s">
        <v>568</v>
      </c>
      <c r="E76" s="449" t="s">
        <v>653</v>
      </c>
      <c r="F76" s="449" t="s">
        <v>654</v>
      </c>
      <c r="G76" s="815">
        <f>SUMIF(服务费底表!$T:$T,$F76,服务费底表!$AC:$AC)+SUMIF(注册申报底表!$S:$S,$F76,注册申报底表!$Z:$Z)</f>
        <v>86.75</v>
      </c>
    </row>
    <row r="77" hidden="1" outlineLevel="1" spans="2:7">
      <c r="B77" s="448"/>
      <c r="C77" s="448"/>
      <c r="D77" s="448"/>
      <c r="E77" s="448"/>
      <c r="F77" s="448"/>
      <c r="G77" s="816"/>
    </row>
    <row r="78" ht="16.35" hidden="1" outlineLevel="1" spans="2:7">
      <c r="B78" s="448"/>
      <c r="C78" s="448"/>
      <c r="D78" s="448"/>
      <c r="E78" s="448"/>
      <c r="F78" s="448"/>
      <c r="G78" s="816"/>
    </row>
    <row r="79" ht="16.95" hidden="1" outlineLevel="1" spans="2:7">
      <c r="B79" s="82"/>
      <c r="C79" s="82"/>
      <c r="D79" s="82"/>
      <c r="E79" s="82"/>
      <c r="F79" s="82"/>
      <c r="G79" s="817">
        <f>SUM(G51:G76)</f>
        <v>7698.85</v>
      </c>
    </row>
    <row r="80" collapsed="1" spans="2:7">
      <c r="G80" s="81"/>
    </row>
    <row r="81" spans="7:7">
      <c r="G81" s="81"/>
    </row>
  </sheetData>
  <mergeCells count="26">
    <mergeCell ref="C2:E2"/>
    <mergeCell ref="G2:I2"/>
    <mergeCell ref="C3:E3"/>
    <mergeCell ref="G3:I3"/>
    <mergeCell ref="C4:E4"/>
    <mergeCell ref="G4:I4"/>
    <mergeCell ref="C5:E5"/>
    <mergeCell ref="G5:I5"/>
    <mergeCell ref="C6:E6"/>
    <mergeCell ref="G6:I6"/>
    <mergeCell ref="C7:E7"/>
    <mergeCell ref="G7:I7"/>
    <mergeCell ref="C8:E8"/>
    <mergeCell ref="G8:I8"/>
    <mergeCell ref="C9:E9"/>
    <mergeCell ref="G9:I9"/>
    <mergeCell ref="C10:E10"/>
    <mergeCell ref="G10:I10"/>
    <mergeCell ref="C11:E11"/>
    <mergeCell ref="G11:I11"/>
    <mergeCell ref="C12:I12"/>
    <mergeCell ref="D13:E13"/>
    <mergeCell ref="G13:I13"/>
    <mergeCell ref="D14:E14"/>
    <mergeCell ref="G14:I14"/>
    <mergeCell ref="B13:B14"/>
  </mergeCells>
  <dataValidations count="1">
    <dataValidation type="list" allowBlank="1" showInputMessage="1" showErrorMessage="1" sqref="G4:I4">
      <formula1>"是,否"</formula1>
    </dataValidation>
  </dataValidations>
  <pageMargins left="0.7" right="0.7" top="0.75" bottom="0.75" header="0.3" footer="0.3"/>
  <pageSetup paperSize="9" orientation="portrait"/>
  <headerFooter/>
  <ignoredErrors>
    <ignoredError sqref="C26:D26" formula="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tabColor rgb="FFFFFF00"/>
  </sheetPr>
  <dimension ref="A2:O12"/>
  <sheetViews>
    <sheetView workbookViewId="0">
      <selection activeCell="B31" sqref="B31"/>
    </sheetView>
  </sheetViews>
  <sheetFormatPr defaultColWidth="9" defaultRowHeight="13.8"/>
  <cols>
    <col min="1" max="1" width="12.3333333333333" customWidth="1"/>
    <col min="2" max="2" width="8.66666666666667" customWidth="1"/>
    <col min="3" max="3" width="10.8888888888889" customWidth="1"/>
    <col min="4" max="5" width="10.2222222222222" customWidth="1"/>
    <col min="6" max="6" width="13.5555555555556" customWidth="1"/>
    <col min="7" max="7" width="14.6666666666667" customWidth="1"/>
    <col min="8" max="14" width="13.5555555555556" style="735" customWidth="1"/>
    <col min="15" max="15" width="33.8888888888889" customWidth="1"/>
  </cols>
  <sheetData>
    <row r="2" s="82" customFormat="1" ht="16.2" spans="1:15">
      <c r="A2" s="103" t="s">
        <v>527</v>
      </c>
      <c r="B2" s="107"/>
      <c r="C2" s="731" t="s">
        <v>655</v>
      </c>
      <c r="H2" s="604"/>
      <c r="I2" s="604"/>
      <c r="J2" s="604"/>
      <c r="K2" s="604"/>
      <c r="L2" s="604"/>
      <c r="M2" s="604"/>
      <c r="N2" s="604"/>
    </row>
    <row r="3" s="82" customFormat="1" ht="15.6" spans="1:15">
      <c r="A3" s="731"/>
      <c r="G3" s="731" t="s">
        <v>561</v>
      </c>
      <c r="H3" s="604"/>
      <c r="I3" s="604"/>
      <c r="J3" s="604"/>
      <c r="K3" s="604"/>
      <c r="L3" s="604"/>
      <c r="M3" s="604"/>
      <c r="N3" s="604"/>
    </row>
    <row r="4" s="169" customFormat="1" ht="35.4" customHeight="1" spans="1:15">
      <c r="A4" s="732" t="s">
        <v>656</v>
      </c>
      <c r="B4" s="732" t="s">
        <v>599</v>
      </c>
      <c r="C4" s="732" t="s">
        <v>657</v>
      </c>
      <c r="D4" s="732" t="s">
        <v>658</v>
      </c>
      <c r="E4" s="732" t="s">
        <v>659</v>
      </c>
      <c r="F4" s="733" t="s">
        <v>660</v>
      </c>
      <c r="G4" s="732" t="s">
        <v>661</v>
      </c>
      <c r="H4" s="733" t="s">
        <v>549</v>
      </c>
      <c r="I4" s="733" t="s">
        <v>662</v>
      </c>
      <c r="J4" s="733" t="s">
        <v>663</v>
      </c>
      <c r="K4" s="733" t="s">
        <v>664</v>
      </c>
      <c r="L4" s="733" t="s">
        <v>665</v>
      </c>
      <c r="M4" s="733" t="s">
        <v>666</v>
      </c>
      <c r="N4" s="733" t="s">
        <v>667</v>
      </c>
      <c r="O4" s="733" t="s">
        <v>668</v>
      </c>
    </row>
    <row r="5" s="82" customFormat="1" ht="35.4" customHeight="1" spans="1:15">
      <c r="A5" s="183" t="s">
        <v>669</v>
      </c>
      <c r="B5" s="173"/>
      <c r="C5" s="173"/>
      <c r="D5" s="107"/>
      <c r="E5" s="107"/>
      <c r="F5" s="107"/>
      <c r="G5" s="107">
        <f>SUM(H5:N5)</f>
        <v>0</v>
      </c>
      <c r="H5" s="736"/>
      <c r="I5" s="736"/>
      <c r="J5" s="736"/>
      <c r="K5" s="736"/>
      <c r="L5" s="736"/>
      <c r="M5" s="736"/>
      <c r="N5" s="737"/>
      <c r="O5" s="107"/>
    </row>
    <row r="6" s="82" customFormat="1" ht="35.4" customHeight="1" spans="1:15">
      <c r="A6" s="183" t="s">
        <v>670</v>
      </c>
      <c r="B6" s="173"/>
      <c r="C6" s="173"/>
      <c r="D6" s="107"/>
      <c r="E6" s="107"/>
      <c r="F6" s="107"/>
      <c r="G6" s="107">
        <f t="shared" ref="G6:G12" si="0">SUM(H6:N6)</f>
        <v>0</v>
      </c>
      <c r="H6" s="736"/>
      <c r="I6" s="736"/>
      <c r="J6" s="736"/>
      <c r="K6" s="736"/>
      <c r="L6" s="736"/>
      <c r="M6" s="736"/>
      <c r="N6" s="736"/>
      <c r="O6" s="107"/>
    </row>
    <row r="7" s="82" customFormat="1" ht="35.4" customHeight="1" spans="1:15">
      <c r="A7" s="183" t="s">
        <v>671</v>
      </c>
      <c r="B7" s="173"/>
      <c r="C7" s="173"/>
      <c r="D7" s="107"/>
      <c r="E7" s="107"/>
      <c r="F7" s="107"/>
      <c r="G7" s="107">
        <f t="shared" si="0"/>
        <v>0</v>
      </c>
      <c r="H7" s="736"/>
      <c r="I7" s="736"/>
      <c r="J7" s="736"/>
      <c r="K7" s="736"/>
      <c r="L7" s="736"/>
      <c r="M7" s="736"/>
      <c r="N7" s="736"/>
      <c r="O7" s="107"/>
    </row>
    <row r="8" s="82" customFormat="1" ht="35.4" customHeight="1" spans="1:15">
      <c r="A8" s="183" t="s">
        <v>672</v>
      </c>
      <c r="B8" s="173"/>
      <c r="C8" s="173"/>
      <c r="D8" s="107"/>
      <c r="E8" s="107"/>
      <c r="F8" s="107"/>
      <c r="G8" s="107">
        <f t="shared" si="0"/>
        <v>0</v>
      </c>
      <c r="H8" s="736"/>
      <c r="I8" s="736"/>
      <c r="J8" s="736"/>
      <c r="K8" s="736"/>
      <c r="L8" s="736"/>
      <c r="M8" s="736"/>
      <c r="N8" s="736"/>
      <c r="O8" s="107"/>
    </row>
    <row r="9" s="82" customFormat="1" ht="35.4" customHeight="1" spans="1:15">
      <c r="A9" s="183" t="s">
        <v>673</v>
      </c>
      <c r="B9" s="173"/>
      <c r="C9" s="173"/>
      <c r="D9" s="107"/>
      <c r="E9" s="107"/>
      <c r="F9" s="107"/>
      <c r="G9" s="107">
        <f t="shared" si="0"/>
        <v>0</v>
      </c>
      <c r="H9" s="736"/>
      <c r="I9" s="736"/>
      <c r="J9" s="736"/>
      <c r="K9" s="736"/>
      <c r="L9" s="736"/>
      <c r="M9" s="736"/>
      <c r="N9" s="736"/>
      <c r="O9" s="107"/>
    </row>
    <row r="10" s="82" customFormat="1" ht="35.4" customHeight="1" spans="1:15">
      <c r="A10" s="183" t="s">
        <v>674</v>
      </c>
      <c r="B10" s="173"/>
      <c r="C10" s="173"/>
      <c r="D10" s="107"/>
      <c r="E10" s="107"/>
      <c r="F10" s="107"/>
      <c r="G10" s="107">
        <f t="shared" si="0"/>
        <v>0</v>
      </c>
      <c r="H10" s="736"/>
      <c r="I10" s="736"/>
      <c r="J10" s="736"/>
      <c r="K10" s="736"/>
      <c r="L10" s="736"/>
      <c r="M10" s="736"/>
      <c r="N10" s="736"/>
      <c r="O10" s="107"/>
    </row>
    <row r="11" s="82" customFormat="1" ht="35.4" customHeight="1" spans="1:15">
      <c r="A11" s="183" t="s">
        <v>675</v>
      </c>
      <c r="B11" s="173"/>
      <c r="C11" s="173"/>
      <c r="D11" s="107"/>
      <c r="E11" s="107"/>
      <c r="F11" s="107"/>
      <c r="G11" s="107">
        <f t="shared" si="0"/>
        <v>0</v>
      </c>
      <c r="H11" s="736"/>
      <c r="I11" s="736"/>
      <c r="J11" s="736"/>
      <c r="K11" s="736"/>
      <c r="L11" s="736"/>
      <c r="M11" s="736"/>
      <c r="N11" s="736"/>
      <c r="O11" s="107"/>
    </row>
    <row r="12" s="82" customFormat="1" ht="35.4" customHeight="1" spans="1:15">
      <c r="A12" s="183" t="s">
        <v>676</v>
      </c>
      <c r="B12" s="173"/>
      <c r="C12" s="173"/>
      <c r="D12" s="107"/>
      <c r="E12" s="107"/>
      <c r="F12" s="107"/>
      <c r="G12" s="107">
        <f t="shared" si="0"/>
        <v>0</v>
      </c>
      <c r="H12" s="736"/>
      <c r="I12" s="736"/>
      <c r="J12" s="736"/>
      <c r="K12" s="736"/>
      <c r="L12" s="736"/>
      <c r="M12" s="736"/>
      <c r="N12" s="736"/>
      <c r="O12" s="107"/>
    </row>
  </sheetData>
  <dataValidations count="2">
    <dataValidation type="list" allowBlank="1" showInputMessage="1" showErrorMessage="1" sqref="A5:A12">
      <formula1>"v1,v2,v3,v4,v5,v6,v7,v8,v9"</formula1>
    </dataValidation>
    <dataValidation type="list" allowBlank="1" showInputMessage="1" sqref="C5:C12">
      <formula1>"陆雅蓓,郑钢铭,周宇"</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tabColor rgb="FFFFFF00"/>
  </sheetPr>
  <dimension ref="A1:K17"/>
  <sheetViews>
    <sheetView workbookViewId="0">
      <selection activeCell="B31" sqref="B31"/>
    </sheetView>
  </sheetViews>
  <sheetFormatPr defaultColWidth="9" defaultRowHeight="13.8"/>
  <cols>
    <col min="2" max="2" width="21.1111111111111" customWidth="1"/>
    <col min="3" max="3" width="13.6666666666667" customWidth="1"/>
    <col min="4" max="4" width="12.4444444444444" customWidth="1"/>
    <col min="5" max="5" width="8.22222222222222" customWidth="1"/>
    <col min="6" max="6" width="17.1111111111111" customWidth="1"/>
    <col min="7" max="8" width="21.6666666666667" customWidth="1"/>
    <col min="9" max="9" width="14.6666666666667" customWidth="1"/>
    <col min="10" max="10" width="10.2222222222222" customWidth="1"/>
    <col min="11" max="11" width="9.55555555555556" customWidth="1"/>
  </cols>
  <sheetData>
    <row r="1" s="82" customFormat="1" ht="16.2" spans="1:11">
      <c r="A1" s="103" t="s">
        <v>677</v>
      </c>
      <c r="B1" s="107"/>
      <c r="C1" s="730" t="s">
        <v>678</v>
      </c>
    </row>
    <row r="2" s="82" customFormat="1" ht="15.6" spans="1:11">
      <c r="E2" s="731" t="s">
        <v>561</v>
      </c>
    </row>
    <row r="3" s="169" customFormat="1" ht="32.4" spans="1:11">
      <c r="A3" s="732" t="s">
        <v>679</v>
      </c>
      <c r="B3" s="732" t="s">
        <v>599</v>
      </c>
      <c r="C3" s="732" t="s">
        <v>657</v>
      </c>
      <c r="D3" s="733" t="s">
        <v>680</v>
      </c>
      <c r="E3" s="732" t="s">
        <v>661</v>
      </c>
      <c r="F3" s="732" t="s">
        <v>549</v>
      </c>
      <c r="G3" s="732" t="s">
        <v>662</v>
      </c>
      <c r="H3" s="732" t="s">
        <v>681</v>
      </c>
      <c r="I3" s="732" t="s">
        <v>682</v>
      </c>
      <c r="J3" s="732" t="s">
        <v>683</v>
      </c>
      <c r="K3" s="733" t="s">
        <v>668</v>
      </c>
    </row>
    <row r="4" s="82" customFormat="1" ht="15.6" spans="1:11">
      <c r="A4" s="90" t="s">
        <v>684</v>
      </c>
      <c r="B4" s="173"/>
      <c r="C4" s="173"/>
      <c r="D4" s="107"/>
      <c r="E4" s="107">
        <f>F4+G4</f>
        <v>0</v>
      </c>
      <c r="F4" s="107"/>
      <c r="G4" s="107"/>
      <c r="H4" s="173" t="s">
        <v>685</v>
      </c>
      <c r="I4" s="173" t="s">
        <v>685</v>
      </c>
      <c r="J4" s="107"/>
      <c r="K4" s="107"/>
    </row>
    <row r="5" s="82" customFormat="1" ht="15.6" spans="1:11">
      <c r="A5" s="90"/>
      <c r="B5" s="107"/>
      <c r="C5" s="173"/>
      <c r="D5" s="107"/>
      <c r="E5" s="107">
        <f t="shared" ref="E5:E13" si="0">F5+G5</f>
        <v>0</v>
      </c>
      <c r="F5" s="107"/>
      <c r="G5" s="107"/>
      <c r="H5" s="107"/>
      <c r="I5" s="107"/>
      <c r="J5" s="107"/>
      <c r="K5" s="107"/>
    </row>
    <row r="6" s="82" customFormat="1" ht="15.6" spans="1:11">
      <c r="A6" s="90"/>
      <c r="B6" s="107"/>
      <c r="C6" s="173"/>
      <c r="D6" s="107"/>
      <c r="E6" s="107">
        <f t="shared" si="0"/>
        <v>0</v>
      </c>
      <c r="F6" s="107"/>
      <c r="G6" s="107"/>
      <c r="H6" s="107"/>
      <c r="I6" s="107"/>
      <c r="J6" s="107"/>
      <c r="K6" s="107"/>
    </row>
    <row r="7" s="82" customFormat="1" ht="15.6" spans="1:11">
      <c r="A7" s="90"/>
      <c r="B7" s="107"/>
      <c r="C7" s="173"/>
      <c r="D7" s="107"/>
      <c r="E7" s="107">
        <f t="shared" si="0"/>
        <v>0</v>
      </c>
      <c r="F7" s="107"/>
      <c r="G7" s="107"/>
      <c r="H7" s="107"/>
      <c r="I7" s="107"/>
      <c r="J7" s="107"/>
      <c r="K7" s="107"/>
    </row>
    <row r="8" s="82" customFormat="1" ht="15.6" spans="1:11">
      <c r="A8" s="90"/>
      <c r="B8" s="107"/>
      <c r="C8" s="173"/>
      <c r="D8" s="107"/>
      <c r="E8" s="107">
        <f t="shared" si="0"/>
        <v>0</v>
      </c>
      <c r="F8" s="107"/>
      <c r="G8" s="107"/>
      <c r="H8" s="107"/>
      <c r="I8" s="107"/>
      <c r="J8" s="107"/>
      <c r="K8" s="107"/>
    </row>
    <row r="9" s="82" customFormat="1" ht="15.6" spans="1:11">
      <c r="A9" s="90"/>
      <c r="B9" s="107"/>
      <c r="C9" s="173"/>
      <c r="D9" s="107"/>
      <c r="E9" s="107">
        <f t="shared" si="0"/>
        <v>0</v>
      </c>
      <c r="F9" s="107"/>
      <c r="G9" s="107"/>
      <c r="H9" s="107"/>
      <c r="I9" s="107"/>
      <c r="J9" s="107"/>
      <c r="K9" s="107"/>
    </row>
    <row r="10" s="82" customFormat="1" ht="15.6" spans="1:11">
      <c r="A10" s="90"/>
      <c r="B10" s="107"/>
      <c r="C10" s="173"/>
      <c r="D10" s="107"/>
      <c r="E10" s="107">
        <f t="shared" si="0"/>
        <v>0</v>
      </c>
      <c r="F10" s="107"/>
      <c r="G10" s="107"/>
      <c r="H10" s="107"/>
      <c r="I10" s="107"/>
      <c r="J10" s="107"/>
      <c r="K10" s="107"/>
    </row>
    <row r="11" s="82" customFormat="1" ht="15.6" spans="1:11">
      <c r="A11" s="90"/>
      <c r="B11" s="107"/>
      <c r="C11" s="173"/>
      <c r="D11" s="107"/>
      <c r="E11" s="107">
        <f t="shared" si="0"/>
        <v>0</v>
      </c>
      <c r="F11" s="107"/>
      <c r="G11" s="107"/>
      <c r="H11" s="107"/>
      <c r="I11" s="107"/>
      <c r="J11" s="107"/>
      <c r="K11" s="107"/>
    </row>
    <row r="12" s="82" customFormat="1" ht="15.6" spans="1:11">
      <c r="A12" s="90"/>
      <c r="B12" s="107"/>
      <c r="C12" s="173"/>
      <c r="D12" s="107"/>
      <c r="E12" s="107">
        <f t="shared" si="0"/>
        <v>0</v>
      </c>
      <c r="F12" s="107"/>
      <c r="G12" s="107"/>
      <c r="H12" s="107"/>
      <c r="I12" s="107"/>
      <c r="J12" s="107"/>
      <c r="K12" s="107"/>
    </row>
    <row r="13" s="82" customFormat="1" ht="15.6" spans="1:11">
      <c r="A13" s="90"/>
      <c r="B13" s="107"/>
      <c r="C13" s="173"/>
      <c r="D13" s="107"/>
      <c r="E13" s="107">
        <f t="shared" si="0"/>
        <v>0</v>
      </c>
      <c r="F13" s="107"/>
      <c r="G13" s="107"/>
      <c r="H13" s="107"/>
      <c r="I13" s="107"/>
      <c r="J13" s="107"/>
      <c r="K13" s="107"/>
    </row>
    <row r="14" s="82" customFormat="1" ht="15.6" spans="1:11">
      <c r="A14" s="128"/>
      <c r="C14" s="169"/>
    </row>
    <row r="15" s="82" customFormat="1" ht="15.6" spans="1:11">
      <c r="A15" s="128"/>
      <c r="C15" s="169"/>
    </row>
    <row r="16" s="82" customFormat="1" ht="15.6"/>
    <row r="17" s="82" customFormat="1" ht="42" customHeight="1" spans="4:8">
      <c r="D17" s="734" t="s">
        <v>686</v>
      </c>
      <c r="E17" s="103">
        <f>SUM(E4:E13)</f>
        <v>0</v>
      </c>
      <c r="F17" s="103">
        <f>SUM(F4:F13)</f>
        <v>0</v>
      </c>
      <c r="G17" s="103">
        <f>SUM(G4:G13)</f>
        <v>0</v>
      </c>
      <c r="H17" s="104"/>
    </row>
  </sheetData>
  <conditionalFormatting sqref="A4:A15">
    <cfRule type="expression" dxfId="73" priority="120">
      <formula>ISEVEN(MID($L4,4,1))</formula>
    </cfRule>
    <cfRule type="expression" dxfId="74" priority="121" stopIfTrue="1">
      <formula>#REF!&lt;&gt;""</formula>
    </cfRule>
    <cfRule type="expression" dxfId="73" priority="122">
      <formula>ISEVEN(MID($L4,6,1))</formula>
    </cfRule>
  </conditionalFormatting>
  <dataValidations count="1">
    <dataValidation type="list" allowBlank="1" showInputMessage="1" showErrorMessage="1" sqref="A5:A15">
      <formula1>"Net CO1,Net CO2,Net CO3, Net CO4,Net CO5, Net CO6,Net CO7,Net CO8,Net CO9"</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0070C0"/>
    <pageSetUpPr fitToPage="1"/>
  </sheetPr>
  <dimension ref="B7:K51"/>
  <sheetViews>
    <sheetView showGridLines="0" view="pageBreakPreview" zoomScale="115" zoomScaleNormal="100" topLeftCell="B1" workbookViewId="0">
      <selection activeCell="B31" sqref="B31"/>
    </sheetView>
  </sheetViews>
  <sheetFormatPr defaultColWidth="8.88888888888889" defaultRowHeight="15.6"/>
  <cols>
    <col min="1" max="1" width="6.77777777777778" style="81" customWidth="1"/>
    <col min="2" max="2" width="16.4444444444444" style="81" customWidth="1"/>
    <col min="3" max="3" width="79.8888888888889" style="714" customWidth="1"/>
    <col min="4" max="4" width="6.77777777777778" style="714" customWidth="1"/>
    <col min="5" max="6" width="8.88888888888889" style="81"/>
    <col min="7" max="7" width="15.5555555555556" style="81" customWidth="1"/>
    <col min="8" max="8" width="35.1111111111111" style="81" customWidth="1"/>
    <col min="9" max="12" width="8.88888888888889" style="81"/>
    <col min="13" max="25" width="8.88888888888889" style="81" customWidth="1"/>
    <col min="26" max="16384" width="8.88888888888889" style="81"/>
  </cols>
  <sheetData>
    <row r="7" ht="30.6" customHeight="1" spans="2:4">
      <c r="B7" s="715" t="s">
        <v>687</v>
      </c>
      <c r="C7" s="716"/>
      <c r="D7" s="717"/>
    </row>
    <row r="12" ht="17.4" spans="2:4">
      <c r="B12" s="718" t="s">
        <v>688</v>
      </c>
      <c r="C12" s="719"/>
    </row>
    <row r="13" ht="17.4" spans="2:4">
      <c r="B13" s="720"/>
      <c r="C13" s="719"/>
    </row>
    <row r="14" ht="17.4" spans="2:4">
      <c r="B14" s="720"/>
      <c r="C14" s="719"/>
    </row>
    <row r="15" ht="17.4" spans="2:4">
      <c r="B15" s="720"/>
      <c r="C15" s="719"/>
    </row>
    <row r="16" ht="17.4" spans="2:4">
      <c r="B16" s="720"/>
      <c r="C16" s="719"/>
    </row>
    <row r="17" ht="17.4" spans="2:8">
      <c r="B17" s="720"/>
      <c r="C17" s="719"/>
    </row>
    <row r="18" ht="17.4" spans="2:8">
      <c r="B18" s="718" t="s">
        <v>689</v>
      </c>
      <c r="C18" s="719"/>
    </row>
    <row r="19" ht="17.4" spans="2:8">
      <c r="B19" s="720"/>
      <c r="C19" s="719"/>
    </row>
    <row r="20" ht="17.4" spans="2:8">
      <c r="B20" s="720" t="s">
        <v>690</v>
      </c>
      <c r="C20" s="719"/>
    </row>
    <row r="21" ht="17.4" spans="2:8">
      <c r="B21" s="720"/>
      <c r="C21" s="719"/>
    </row>
    <row r="22" ht="17.4" spans="2:8">
      <c r="B22" s="720"/>
      <c r="C22" s="719"/>
    </row>
    <row r="23" ht="17.4" spans="2:8">
      <c r="B23" s="720"/>
      <c r="C23" s="719"/>
    </row>
    <row r="24" ht="17.4" spans="2:8">
      <c r="B24" s="720"/>
      <c r="C24" s="719"/>
    </row>
    <row r="25" ht="17.4" spans="2:8">
      <c r="B25" s="718" t="s">
        <v>691</v>
      </c>
      <c r="C25" s="721" t="s">
        <v>692</v>
      </c>
      <c r="D25" s="722"/>
    </row>
    <row r="26" ht="17.4" spans="2:8">
      <c r="B26" s="720"/>
      <c r="C26" s="719"/>
    </row>
    <row r="27" ht="17.4" spans="2:8">
      <c r="B27" s="720" t="s">
        <v>693</v>
      </c>
      <c r="C27" s="719" t="s">
        <v>694</v>
      </c>
    </row>
    <row r="28" ht="17.4" spans="2:8">
      <c r="B28" s="720"/>
      <c r="C28" s="719"/>
    </row>
    <row r="29" ht="17.4" spans="2:8">
      <c r="B29" s="720" t="s">
        <v>695</v>
      </c>
      <c r="C29" s="719"/>
      <c r="F29" s="723" t="s">
        <v>696</v>
      </c>
      <c r="G29" s="723" t="s">
        <v>697</v>
      </c>
      <c r="H29" s="724" t="s">
        <v>698</v>
      </c>
    </row>
    <row r="30" ht="17.4" spans="2:8">
      <c r="B30" s="720"/>
      <c r="C30" s="719"/>
      <c r="F30" s="725" t="s">
        <v>699</v>
      </c>
      <c r="G30" s="725">
        <v>15626128895</v>
      </c>
      <c r="H30" s="726" t="s">
        <v>700</v>
      </c>
    </row>
    <row r="31" ht="17.4" spans="2:8">
      <c r="B31" s="720" t="s">
        <v>701</v>
      </c>
      <c r="C31" s="719" t="str">
        <f>IF($C$29="","",INDEX($H:$H,MATCH($C$29,$F:$F,0)))</f>
        <v/>
      </c>
      <c r="F31" s="725" t="s">
        <v>702</v>
      </c>
      <c r="G31" s="725">
        <v>15232100683</v>
      </c>
      <c r="H31" s="726" t="s">
        <v>703</v>
      </c>
    </row>
    <row r="32" ht="17.4" spans="2:8">
      <c r="B32" s="720"/>
      <c r="C32" s="719"/>
      <c r="F32" s="725" t="s">
        <v>704</v>
      </c>
      <c r="G32" s="725">
        <v>18851700778</v>
      </c>
      <c r="H32" s="107" t="s">
        <v>705</v>
      </c>
    </row>
    <row r="33" ht="17.4" spans="2:11">
      <c r="B33" s="720" t="s">
        <v>706</v>
      </c>
      <c r="C33" s="719" t="str">
        <f>IF($C$29="","",INDEX($G:$G,MATCH($C$29,$F:$F,0)))</f>
        <v/>
      </c>
      <c r="F33" s="725" t="s">
        <v>707</v>
      </c>
      <c r="G33" s="725">
        <v>15800945389</v>
      </c>
      <c r="H33" s="107" t="s">
        <v>708</v>
      </c>
    </row>
    <row r="34" ht="17.4" spans="2:11">
      <c r="B34" s="720"/>
      <c r="C34" s="719"/>
      <c r="F34" s="725" t="s">
        <v>709</v>
      </c>
      <c r="G34" s="725">
        <v>13611830883</v>
      </c>
      <c r="H34" s="727" t="s">
        <v>710</v>
      </c>
    </row>
    <row r="35" spans="2:11">
      <c r="F35" s="725" t="s">
        <v>711</v>
      </c>
      <c r="G35" s="725">
        <v>13601749801</v>
      </c>
      <c r="H35" s="727" t="s">
        <v>712</v>
      </c>
    </row>
    <row r="36" spans="2:11">
      <c r="F36" s="725" t="s">
        <v>713</v>
      </c>
      <c r="G36" s="725">
        <v>18510789550</v>
      </c>
      <c r="H36" s="727" t="s">
        <v>714</v>
      </c>
    </row>
    <row r="37" spans="2:11">
      <c r="F37" s="725" t="s">
        <v>715</v>
      </c>
      <c r="G37" s="725">
        <v>18701581821</v>
      </c>
      <c r="H37" s="726" t="s">
        <v>716</v>
      </c>
    </row>
    <row r="38" spans="2:11">
      <c r="F38" s="725" t="s">
        <v>717</v>
      </c>
      <c r="G38" s="725">
        <v>15244624058</v>
      </c>
      <c r="H38" s="107" t="s">
        <v>718</v>
      </c>
    </row>
    <row r="39" spans="2:11">
      <c r="F39" s="725" t="s">
        <v>719</v>
      </c>
      <c r="G39" s="725">
        <v>13675191158</v>
      </c>
      <c r="H39" s="728" t="s">
        <v>720</v>
      </c>
    </row>
    <row r="40" spans="2:11">
      <c r="F40" s="725" t="s">
        <v>721</v>
      </c>
      <c r="G40" s="726">
        <v>13882274379</v>
      </c>
      <c r="H40" s="726" t="s">
        <v>722</v>
      </c>
    </row>
    <row r="41" spans="2:11">
      <c r="F41" s="725" t="s">
        <v>723</v>
      </c>
      <c r="G41" s="726">
        <v>13818233228</v>
      </c>
      <c r="H41" s="726" t="s">
        <v>724</v>
      </c>
    </row>
    <row r="42" spans="2:11">
      <c r="F42" s="106"/>
      <c r="G42" s="106"/>
      <c r="H42" s="106"/>
    </row>
    <row r="43" spans="2:11">
      <c r="B43" s="81" t="s">
        <v>725</v>
      </c>
      <c r="F43" s="106"/>
      <c r="G43" s="106"/>
      <c r="H43" s="106"/>
    </row>
    <row r="44" s="124" customFormat="1" ht="30" spans="2:11">
      <c r="B44" s="729" t="s">
        <v>726</v>
      </c>
      <c r="C44" s="365" t="s">
        <v>727</v>
      </c>
      <c r="D44" s="365"/>
      <c r="F44" s="726"/>
      <c r="G44" s="726"/>
      <c r="H44" s="726"/>
    </row>
    <row r="45" ht="60" spans="2:11">
      <c r="B45" s="729" t="s">
        <v>728</v>
      </c>
      <c r="C45" s="365" t="s">
        <v>729</v>
      </c>
      <c r="D45" s="365"/>
      <c r="F45" s="726"/>
      <c r="G45" s="726"/>
      <c r="H45" s="726"/>
    </row>
    <row r="46" spans="2:11">
      <c r="F46" s="726"/>
      <c r="G46" s="726"/>
      <c r="H46" s="726"/>
    </row>
    <row r="47" spans="2:11">
      <c r="B47" s="81" t="s">
        <v>730</v>
      </c>
      <c r="F47" s="726"/>
      <c r="G47" s="726"/>
      <c r="H47" s="726"/>
      <c r="K47" s="81" t="s">
        <v>731</v>
      </c>
    </row>
    <row r="48" spans="2:11">
      <c r="F48" s="726"/>
      <c r="G48" s="726"/>
      <c r="H48" s="726"/>
    </row>
    <row r="49" spans="2:2">
      <c r="B49" s="81" t="s">
        <v>732</v>
      </c>
    </row>
    <row r="51" spans="2:2">
      <c r="B51" s="81" t="s">
        <v>733</v>
      </c>
    </row>
  </sheetData>
  <dataValidations count="4">
    <dataValidation type="list" allowBlank="1" showInputMessage="1" showErrorMessage="1" sqref="C25">
      <formula1>"上海有临医药科技有限公司(简称""有临""),有临来雅(上海)数据科技有限公司(简称""有临来雅""))"</formula1>
    </dataValidation>
    <dataValidation type="list" allowBlank="1" showInputMessage="1" showErrorMessage="1" sqref="D25">
      <formula1>"上海有临医药科技有限公司(简称""有临""),有临来雅(上海)数据科技有限公司(简称""有临""))"</formula1>
    </dataValidation>
    <dataValidation type="list" allowBlank="1" showInputMessage="1" showErrorMessage="1" sqref="C29">
      <formula1>$F$30:$F$48</formula1>
    </dataValidation>
    <dataValidation type="list" allowBlank="1" showInputMessage="1" showErrorMessage="1" sqref="D29">
      <formula1>$I$11:$I$24</formula1>
    </dataValidation>
  </dataValidations>
  <pageMargins left="0.708333333333333" right="0.708333333333333" top="0.747916666666667" bottom="0.747916666666667" header="0.314583333333333" footer="0.314583333333333"/>
  <pageSetup paperSize="9" scale="77" orientation="portrait" horizontalDpi="1200" verticalDpi="1200"/>
  <headerFooter>
    <oddFooter>&amp;C&amp;"微软雅黑"&amp;9&amp;K00-050本文档中的所有内容为上海有临医药科技有限公司的机密和专属所有，未经明确书面许可， 任何组织或个人不得以任何目的、任何形式及任何手段复制或传播本文档部分或全部内容。</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70C0"/>
    <pageSetUpPr fitToPage="1"/>
  </sheetPr>
  <dimension ref="A1:O103"/>
  <sheetViews>
    <sheetView view="pageBreakPreview" zoomScale="85" zoomScaleNormal="100" topLeftCell="A67" workbookViewId="0">
      <selection activeCell="D88" sqref="D88"/>
    </sheetView>
  </sheetViews>
  <sheetFormatPr defaultColWidth="8.88888888888889" defaultRowHeight="15.6"/>
  <cols>
    <col min="1" max="1" width="16.7777777777778" style="82" customWidth="1"/>
    <col min="2" max="2" width="29.4444444444444" style="82" customWidth="1"/>
    <col min="3" max="3" width="20" style="169" customWidth="1"/>
    <col min="4" max="4" width="44.7777777777778" style="168" customWidth="1"/>
    <col min="5" max="5" width="8.88888888888889" style="82"/>
    <col min="6" max="6" width="53.0740740740741" style="261" customWidth="1"/>
    <col min="7" max="7" width="26.2222222222222" style="169" customWidth="1" outlineLevel="1"/>
    <col min="8" max="13" width="12.4444444444444" style="169" customWidth="1" outlineLevel="1"/>
    <col min="14" max="14" width="12.2222222222222" style="82" customWidth="1" outlineLevel="1"/>
    <col min="15" max="15" width="17" style="82" customWidth="1"/>
    <col min="16" max="16384" width="8.88888888888889" style="82"/>
  </cols>
  <sheetData>
    <row r="1" hidden="1" outlineLevel="1" spans="1:6">
      <c r="A1" s="656" t="s">
        <v>734</v>
      </c>
      <c r="B1" s="656"/>
      <c r="C1" s="656" t="s">
        <v>735</v>
      </c>
      <c r="D1" s="656" t="s">
        <v>736</v>
      </c>
      <c r="E1" s="168" t="s">
        <v>737</v>
      </c>
    </row>
    <row r="2" ht="17" hidden="1" customHeight="1" outlineLevel="1" spans="1:6">
      <c r="A2" s="657" t="s">
        <v>738</v>
      </c>
      <c r="B2" s="657"/>
      <c r="C2" s="657" t="s">
        <v>739</v>
      </c>
      <c r="D2" s="657"/>
      <c r="E2" s="168" t="s">
        <v>737</v>
      </c>
    </row>
    <row r="3" ht="16.35" hidden="1" outlineLevel="1" spans="1:6">
      <c r="E3" s="82" t="s">
        <v>737</v>
      </c>
    </row>
    <row r="4" ht="16.35" hidden="1" outlineLevel="1" spans="1:6">
      <c r="A4" s="658" t="s">
        <v>0</v>
      </c>
      <c r="B4" s="658" t="s">
        <v>589</v>
      </c>
      <c r="C4" s="658" t="s">
        <v>740</v>
      </c>
      <c r="D4" s="658" t="s">
        <v>741</v>
      </c>
      <c r="E4" s="82" t="s">
        <v>737</v>
      </c>
      <c r="F4" s="609" t="s">
        <v>742</v>
      </c>
    </row>
    <row r="5" hidden="1" outlineLevel="1" spans="1:6">
      <c r="A5" s="657">
        <v>1</v>
      </c>
      <c r="B5" s="657" t="s">
        <v>578</v>
      </c>
      <c r="C5" s="657">
        <v>1</v>
      </c>
      <c r="D5" s="659"/>
      <c r="E5" s="82" t="s">
        <v>737</v>
      </c>
    </row>
    <row r="6" hidden="1" outlineLevel="1" spans="1:6">
      <c r="A6" s="657">
        <v>2</v>
      </c>
      <c r="B6" s="657" t="s">
        <v>579</v>
      </c>
      <c r="C6" s="657">
        <v>1</v>
      </c>
      <c r="D6" s="659"/>
      <c r="E6" s="82" t="s">
        <v>737</v>
      </c>
    </row>
    <row r="7" hidden="1" outlineLevel="1" spans="1:6">
      <c r="A7" s="657">
        <v>3</v>
      </c>
      <c r="B7" s="657" t="s">
        <v>570</v>
      </c>
      <c r="C7" s="657">
        <v>1</v>
      </c>
      <c r="D7" s="659"/>
      <c r="E7" s="82" t="s">
        <v>737</v>
      </c>
    </row>
    <row r="8" hidden="1" outlineLevel="1" spans="1:6">
      <c r="A8" s="657">
        <v>4</v>
      </c>
      <c r="B8" s="657" t="s">
        <v>571</v>
      </c>
      <c r="C8" s="657">
        <v>1</v>
      </c>
      <c r="D8" s="659"/>
      <c r="E8" s="82" t="s">
        <v>737</v>
      </c>
    </row>
    <row r="9" hidden="1" outlineLevel="1" spans="1:6">
      <c r="A9" s="657">
        <v>5</v>
      </c>
      <c r="B9" s="657" t="s">
        <v>573</v>
      </c>
      <c r="C9" s="657">
        <v>1</v>
      </c>
      <c r="D9" s="659"/>
      <c r="E9" s="82" t="s">
        <v>737</v>
      </c>
    </row>
    <row r="10" hidden="1" outlineLevel="1" spans="1:6">
      <c r="A10" s="657">
        <v>6</v>
      </c>
      <c r="B10" s="657" t="s">
        <v>574</v>
      </c>
      <c r="C10" s="657">
        <v>1</v>
      </c>
      <c r="D10" s="659"/>
      <c r="E10" s="82" t="s">
        <v>737</v>
      </c>
    </row>
    <row r="11" hidden="1" outlineLevel="1" spans="1:6">
      <c r="A11" s="657">
        <v>7</v>
      </c>
      <c r="B11" s="657" t="s">
        <v>575</v>
      </c>
      <c r="C11" s="657">
        <v>1</v>
      </c>
      <c r="D11" s="659"/>
      <c r="E11" s="82" t="s">
        <v>737</v>
      </c>
    </row>
    <row r="12" hidden="1" outlineLevel="1" spans="1:6">
      <c r="A12" s="657">
        <v>8</v>
      </c>
      <c r="B12" s="657" t="s">
        <v>568</v>
      </c>
      <c r="C12" s="657">
        <v>1</v>
      </c>
      <c r="D12" s="659"/>
      <c r="E12" s="82" t="s">
        <v>737</v>
      </c>
    </row>
    <row r="13" hidden="1" outlineLevel="1" spans="1:6">
      <c r="A13" s="657">
        <v>9</v>
      </c>
      <c r="B13" s="657" t="s">
        <v>576</v>
      </c>
      <c r="C13" s="657">
        <v>1</v>
      </c>
      <c r="D13" s="659"/>
      <c r="E13" s="82" t="s">
        <v>737</v>
      </c>
    </row>
    <row r="14" hidden="1" outlineLevel="1" spans="1:6">
      <c r="A14" s="657">
        <v>10</v>
      </c>
      <c r="B14" s="657" t="s">
        <v>580</v>
      </c>
      <c r="C14" s="657">
        <v>0</v>
      </c>
      <c r="D14" s="659"/>
      <c r="E14" s="82" t="s">
        <v>737</v>
      </c>
    </row>
    <row r="15" hidden="1" outlineLevel="1" spans="1:6">
      <c r="A15" s="657">
        <v>11</v>
      </c>
      <c r="B15" s="657" t="s">
        <v>605</v>
      </c>
      <c r="C15" s="657">
        <v>0</v>
      </c>
      <c r="D15" s="659"/>
      <c r="E15" s="82" t="s">
        <v>737</v>
      </c>
    </row>
    <row r="16" hidden="1" outlineLevel="1" spans="1:6">
      <c r="A16" s="169"/>
      <c r="B16" s="169"/>
      <c r="D16" s="169"/>
    </row>
    <row r="17" ht="24.15" collapsed="1" spans="1:11">
      <c r="A17" s="421" t="s">
        <v>743</v>
      </c>
      <c r="B17" s="660"/>
      <c r="C17" s="660"/>
      <c r="D17" s="660"/>
    </row>
    <row r="18" ht="16.35" spans="1:11">
      <c r="A18" s="661" t="s">
        <v>744</v>
      </c>
      <c r="B18" s="661" t="s">
        <v>745</v>
      </c>
      <c r="C18" s="661" t="s">
        <v>746</v>
      </c>
      <c r="D18" s="662" t="s">
        <v>747</v>
      </c>
    </row>
    <row r="19" spans="1:11">
      <c r="A19" s="663" t="s">
        <v>748</v>
      </c>
      <c r="B19" s="663" t="s">
        <v>749</v>
      </c>
      <c r="C19" s="297"/>
      <c r="D19" s="664"/>
      <c r="E19" s="82" t="s">
        <v>737</v>
      </c>
    </row>
    <row r="20" spans="1:11">
      <c r="A20" s="663" t="s">
        <v>748</v>
      </c>
      <c r="B20" s="663" t="s">
        <v>750</v>
      </c>
      <c r="C20" s="297"/>
      <c r="D20" s="664"/>
      <c r="E20" s="82" t="s">
        <v>737</v>
      </c>
    </row>
    <row r="21" spans="1:11">
      <c r="A21" s="665" t="s">
        <v>748</v>
      </c>
      <c r="B21" s="665" t="s">
        <v>751</v>
      </c>
      <c r="C21" s="666"/>
      <c r="D21" s="667"/>
    </row>
    <row r="22" spans="1:11">
      <c r="A22" s="665" t="s">
        <v>748</v>
      </c>
      <c r="B22" s="665" t="s">
        <v>752</v>
      </c>
      <c r="C22" s="666" t="s">
        <v>753</v>
      </c>
      <c r="D22" s="667" t="str">
        <f>"试验分期:"&amp;E22</f>
        <v>试验分期:Ia</v>
      </c>
      <c r="E22" s="82" t="s">
        <v>754</v>
      </c>
    </row>
    <row r="23" spans="1:11">
      <c r="A23" s="665" t="s">
        <v>748</v>
      </c>
      <c r="B23" s="665" t="s">
        <v>755</v>
      </c>
      <c r="C23" s="666" t="s">
        <v>756</v>
      </c>
      <c r="D23" s="667"/>
    </row>
    <row r="24" spans="1:11">
      <c r="A24" s="665" t="s">
        <v>748</v>
      </c>
      <c r="B24" s="665" t="s">
        <v>757</v>
      </c>
      <c r="C24" s="668" t="s">
        <v>758</v>
      </c>
      <c r="D24" s="667"/>
    </row>
    <row r="25" spans="1:11">
      <c r="A25" s="665" t="s">
        <v>748</v>
      </c>
      <c r="B25" s="665" t="s">
        <v>759</v>
      </c>
      <c r="C25" s="668" t="s">
        <v>760</v>
      </c>
      <c r="D25" s="667"/>
    </row>
    <row r="26" spans="1:11">
      <c r="A26" s="665" t="s">
        <v>748</v>
      </c>
      <c r="B26" s="665" t="s">
        <v>761</v>
      </c>
      <c r="C26" s="666" t="s">
        <v>762</v>
      </c>
      <c r="D26" s="667"/>
    </row>
    <row r="27" spans="1:11">
      <c r="A27" s="665" t="s">
        <v>763</v>
      </c>
      <c r="B27" s="665" t="s">
        <v>764</v>
      </c>
      <c r="C27" s="669">
        <f>IF(启动中心数&lt;=10,ROUNDUP(启动中心数*200%,0),ROUNDUP(启动中心数*150%,0))</f>
        <v>8</v>
      </c>
      <c r="D27" s="667" t="s">
        <v>765</v>
      </c>
      <c r="F27" s="261" t="s">
        <v>766</v>
      </c>
    </row>
    <row r="28" spans="1:11">
      <c r="A28" s="665" t="s">
        <v>763</v>
      </c>
      <c r="B28" s="665" t="s">
        <v>767</v>
      </c>
      <c r="C28" s="669">
        <f>ROUNDUP(启动中心数*130%,0)</f>
        <v>6</v>
      </c>
      <c r="D28" s="667"/>
      <c r="F28" s="261" t="s">
        <v>768</v>
      </c>
    </row>
    <row r="29" spans="1:11">
      <c r="A29" s="665" t="s">
        <v>763</v>
      </c>
      <c r="B29" s="665" t="s">
        <v>769</v>
      </c>
      <c r="C29" s="666">
        <v>4</v>
      </c>
      <c r="D29" s="667"/>
    </row>
    <row r="30" spans="1:11">
      <c r="A30" s="665" t="s">
        <v>763</v>
      </c>
      <c r="B30" s="665" t="s">
        <v>770</v>
      </c>
      <c r="C30" s="669" cm="1">
        <f t="array" ref="C30">ROUND(入组试验参与者数/(1-D30),0)</f>
        <v>38</v>
      </c>
      <c r="D30" s="670">
        <v>0.2</v>
      </c>
      <c r="F30" s="261" t="s">
        <v>771</v>
      </c>
    </row>
    <row r="31" ht="16.2" spans="1:11">
      <c r="A31" s="665" t="s">
        <v>763</v>
      </c>
      <c r="B31" s="665" t="s">
        <v>772</v>
      </c>
      <c r="C31" s="666">
        <v>30</v>
      </c>
      <c r="D31" s="667"/>
      <c r="G31" s="671"/>
      <c r="K31" s="672" t="s">
        <v>773</v>
      </c>
    </row>
    <row r="32" ht="16.2" outlineLevel="1" spans="1:11">
      <c r="A32" s="663" t="s">
        <v>763</v>
      </c>
      <c r="B32" s="663" t="s">
        <v>774</v>
      </c>
      <c r="C32" s="297" cm="1">
        <f t="array" ref="C32">ROUND(入组试验参与者数*(1-D32),0)</f>
        <v>24</v>
      </c>
      <c r="D32" s="664">
        <v>0.2</v>
      </c>
      <c r="E32" s="82" t="s">
        <v>737</v>
      </c>
      <c r="G32" s="671"/>
      <c r="K32" s="672"/>
    </row>
    <row r="33" outlineLevel="1" spans="1:13">
      <c r="A33" s="663" t="s">
        <v>763</v>
      </c>
      <c r="B33" s="663" t="s">
        <v>775</v>
      </c>
      <c r="C33" s="673" cm="1">
        <f t="array" ref="C33">IFERROR(ROUND(入组试验参与者数/启动中心数/入组月,2),0)</f>
        <v>1.25</v>
      </c>
      <c r="D33" s="298" t="s">
        <v>776</v>
      </c>
      <c r="E33" s="82" t="s">
        <v>737</v>
      </c>
      <c r="G33" s="674"/>
      <c r="H33" s="675" t="s">
        <v>777</v>
      </c>
      <c r="I33" s="676"/>
      <c r="J33" s="677" t="s">
        <v>778</v>
      </c>
      <c r="K33" s="678" t="s">
        <v>779</v>
      </c>
      <c r="L33" s="679">
        <f>IF(K33="Y",L48,1)</f>
        <v>1</v>
      </c>
      <c r="M33" s="679"/>
    </row>
    <row r="34" spans="1:13">
      <c r="A34" s="665" t="s">
        <v>763</v>
      </c>
      <c r="B34" s="665" t="s">
        <v>780</v>
      </c>
      <c r="C34" s="680">
        <v>0.3</v>
      </c>
      <c r="D34" s="667"/>
      <c r="F34" s="261" t="s">
        <v>781</v>
      </c>
      <c r="G34" s="681"/>
      <c r="H34" s="682"/>
      <c r="I34" s="682"/>
      <c r="J34" s="682"/>
      <c r="K34" s="681"/>
      <c r="L34" s="682"/>
      <c r="M34" s="682"/>
    </row>
    <row r="35" spans="1:13">
      <c r="A35" s="665" t="s">
        <v>763</v>
      </c>
      <c r="B35" s="665" t="s">
        <v>782</v>
      </c>
      <c r="C35" s="683" cm="1">
        <f t="array" ref="C35">ROUNDUP(入组试验参与者数*SAE发生率,0)</f>
        <v>9</v>
      </c>
      <c r="D35" s="667"/>
      <c r="E35" s="657" t="s">
        <v>783</v>
      </c>
      <c r="G35" s="681"/>
      <c r="H35" s="682"/>
      <c r="I35" s="682"/>
      <c r="J35" s="682"/>
      <c r="K35" s="681"/>
      <c r="L35" s="682"/>
      <c r="M35" s="682"/>
    </row>
    <row r="36" spans="1:13">
      <c r="A36" s="665" t="s">
        <v>763</v>
      </c>
      <c r="B36" s="665" t="s">
        <v>784</v>
      </c>
      <c r="C36" s="683" cm="1">
        <f t="array" ref="C36">ROUNDUP(筛选试验参与者数*200%,0)</f>
        <v>76</v>
      </c>
      <c r="D36" s="667"/>
      <c r="E36" s="684"/>
      <c r="G36" s="681"/>
      <c r="H36" s="682"/>
      <c r="I36" s="682"/>
      <c r="J36" s="682"/>
      <c r="K36" s="681"/>
      <c r="L36" s="682"/>
      <c r="M36" s="682"/>
    </row>
    <row r="37" ht="60.75" spans="1:13">
      <c r="A37" s="665" t="s">
        <v>763</v>
      </c>
      <c r="B37" s="665" t="s">
        <v>785</v>
      </c>
      <c r="C37" s="666">
        <f>IFERROR(ROUND(项目时间计划!G20,1),)</f>
        <v>22.5</v>
      </c>
      <c r="D37" s="667" t="s">
        <v>786</v>
      </c>
      <c r="G37" s="685" t="s">
        <v>787</v>
      </c>
      <c r="H37" s="685" t="s">
        <v>788</v>
      </c>
      <c r="I37" s="686" t="s">
        <v>789</v>
      </c>
      <c r="J37" s="686" t="s">
        <v>790</v>
      </c>
      <c r="K37" s="686" t="s">
        <v>791</v>
      </c>
      <c r="L37" s="686" t="s">
        <v>792</v>
      </c>
      <c r="M37" s="686"/>
    </row>
    <row r="38" ht="45" spans="1:13">
      <c r="A38" s="665" t="s">
        <v>763</v>
      </c>
      <c r="B38" s="665" t="s">
        <v>793</v>
      </c>
      <c r="C38" s="687">
        <f>IFERROR(项目时间计划!$E$20,)</f>
        <v>46082</v>
      </c>
      <c r="D38" s="667" t="s">
        <v>794</v>
      </c>
      <c r="F38" s="423" t="s">
        <v>795</v>
      </c>
      <c r="G38" s="688">
        <v>45657</v>
      </c>
      <c r="H38" s="689">
        <f>IF(AND(YEAR($C$38)&lt;=YEAR($G$38),YEAR($C$39)&gt;=YEAR($G38)),DATEDIF($C$38,$G38,"M")+1,0)</f>
        <v>0</v>
      </c>
      <c r="I38" s="690">
        <f>H38/$H$48</f>
        <v>0</v>
      </c>
      <c r="J38" s="691">
        <v>1</v>
      </c>
      <c r="K38" s="691">
        <v>1</v>
      </c>
      <c r="L38" s="692">
        <f t="shared" ref="L38:L47" si="0">ROUND(I38*K38,4)</f>
        <v>0</v>
      </c>
      <c r="M38" s="691"/>
    </row>
    <row r="39" spans="1:13">
      <c r="A39" s="665" t="s">
        <v>763</v>
      </c>
      <c r="B39" s="665" t="s">
        <v>796</v>
      </c>
      <c r="C39" s="687">
        <f>IFERROR(项目时间计划!$F$20,)</f>
        <v>46763.975</v>
      </c>
      <c r="D39" s="667"/>
      <c r="G39" s="688">
        <v>46022</v>
      </c>
      <c r="H39" s="689">
        <f>IF(YEAR($C$39)=YEAR($G39),MONTH($C$39),IF(AND(YEAR($C$38)&lt;=YEAR($G39),YEAR($C$39)&gt;=YEAR($G39)),DATEDIF($C$38,$G39,"M")+1-$H$38,0))</f>
        <v>0</v>
      </c>
      <c r="I39" s="690">
        <f t="shared" ref="I39:I47" si="1">H39/$H$48</f>
        <v>0</v>
      </c>
      <c r="J39" s="691">
        <v>1</v>
      </c>
      <c r="K39" s="693">
        <f>J38*J39</f>
        <v>1</v>
      </c>
      <c r="L39" s="692">
        <f t="shared" si="0"/>
        <v>0</v>
      </c>
      <c r="M39" s="691"/>
    </row>
    <row r="40" spans="1:13">
      <c r="A40" s="665" t="s">
        <v>763</v>
      </c>
      <c r="B40" s="665" t="s">
        <v>797</v>
      </c>
      <c r="C40" s="666">
        <f>方案定稿月</f>
        <v>0.5</v>
      </c>
      <c r="D40" s="667"/>
      <c r="G40" s="688">
        <v>46387</v>
      </c>
      <c r="H40" s="689">
        <f>IF(YEAR($C$39)=YEAR($G40),MONTH($C$39),IF(AND(YEAR($C$38)&lt;=YEAR($G40),YEAR($C$39)&gt;=YEAR($G40)),DATEDIF($C$38,$G40,"M")+1-SUM($H$38:H39),0))</f>
        <v>10</v>
      </c>
      <c r="I40" s="690">
        <f t="shared" si="1"/>
        <v>0.434782608695652</v>
      </c>
      <c r="J40" s="691">
        <v>1.05</v>
      </c>
      <c r="K40" s="693">
        <f>K39*J40</f>
        <v>1.05</v>
      </c>
      <c r="L40" s="692">
        <f t="shared" si="0"/>
        <v>0.4565</v>
      </c>
      <c r="M40" s="691"/>
    </row>
    <row r="41" spans="1:13">
      <c r="A41" s="665" t="s">
        <v>763</v>
      </c>
      <c r="B41" s="665" t="s">
        <v>798</v>
      </c>
      <c r="C41" s="666">
        <f>首家伦理月+遗传办月+首家合同月+项目时间计划!$G$8</f>
        <v>3</v>
      </c>
      <c r="D41" s="667"/>
      <c r="G41" s="688">
        <v>46752</v>
      </c>
      <c r="H41" s="689">
        <f>IF(YEAR($C$39)=YEAR($G41),MONTH($C$39),IF(AND(YEAR($C$38)&lt;=YEAR($G41),YEAR($C$39)&gt;=YEAR($G41)),DATEDIF($C$38,$G41,"M")+1-SUM($H$38:H40),0))</f>
        <v>12</v>
      </c>
      <c r="I41" s="690">
        <f t="shared" si="1"/>
        <v>0.521739130434783</v>
      </c>
      <c r="J41" s="691">
        <v>1.05</v>
      </c>
      <c r="K41" s="693">
        <f t="shared" ref="K41:K47" si="2">K40*J41</f>
        <v>1.1025</v>
      </c>
      <c r="L41" s="692">
        <f t="shared" si="0"/>
        <v>0.5752</v>
      </c>
      <c r="M41" s="691"/>
    </row>
    <row r="42" spans="1:13">
      <c r="A42" s="665" t="s">
        <v>763</v>
      </c>
      <c r="B42" s="665" t="s">
        <v>799</v>
      </c>
      <c r="C42" s="666">
        <f>筛选月+入组月</f>
        <v>6</v>
      </c>
      <c r="D42" s="667" t="s">
        <v>800</v>
      </c>
      <c r="F42" s="261" t="s">
        <v>801</v>
      </c>
      <c r="G42" s="688">
        <v>47118</v>
      </c>
      <c r="H42" s="689">
        <f>IF(YEAR($C$39)=YEAR($G42),MONTH($C$39),IF(AND(YEAR($C$38)&lt;=YEAR($G42),YEAR($C$39)&gt;=YEAR($G42)),DATEDIF($C$38,$G42,"M")+1-SUM($H$38:H41),0))</f>
        <v>1</v>
      </c>
      <c r="I42" s="690">
        <f t="shared" si="1"/>
        <v>0.0434782608695652</v>
      </c>
      <c r="J42" s="691">
        <v>1.05</v>
      </c>
      <c r="K42" s="693">
        <f t="shared" si="2"/>
        <v>1.157625</v>
      </c>
      <c r="L42" s="692">
        <f t="shared" si="0"/>
        <v>0.0503</v>
      </c>
      <c r="M42" s="691"/>
    </row>
    <row r="43" spans="1:13">
      <c r="A43" s="665" t="s">
        <v>763</v>
      </c>
      <c r="B43" s="665" t="s">
        <v>802</v>
      </c>
      <c r="C43" s="666">
        <f>治疗月+随访月+长随访月</f>
        <v>7</v>
      </c>
      <c r="D43" s="667" t="s">
        <v>803</v>
      </c>
      <c r="G43" s="688">
        <v>47483</v>
      </c>
      <c r="H43" s="689">
        <f>IF(YEAR($C$39)=YEAR($G43),MONTH($C$39),IF(AND(YEAR($C$38)&lt;=YEAR($G43),YEAR($C$39)&gt;=YEAR($G43)),DATEDIF($C$38,$G43,"M")+1-SUM($H$38:H42),0))</f>
        <v>0</v>
      </c>
      <c r="I43" s="690">
        <f t="shared" si="1"/>
        <v>0</v>
      </c>
      <c r="J43" s="691">
        <v>1.05</v>
      </c>
      <c r="K43" s="693">
        <f t="shared" si="2"/>
        <v>1.21550625</v>
      </c>
      <c r="L43" s="692">
        <f t="shared" si="0"/>
        <v>0</v>
      </c>
      <c r="M43" s="691"/>
    </row>
    <row r="44" spans="1:13">
      <c r="A44" s="665" t="s">
        <v>763</v>
      </c>
      <c r="B44" s="665" t="s">
        <v>804</v>
      </c>
      <c r="C44" s="666">
        <f>锁库月</f>
        <v>1</v>
      </c>
      <c r="D44" s="667"/>
      <c r="G44" s="688">
        <v>47848</v>
      </c>
      <c r="H44" s="689">
        <f>IF(YEAR($C$39)=YEAR($G44),MONTH($C$39),IF(AND(YEAR($C$38)&lt;=YEAR($G44),YEAR($C$39)&gt;=YEAR($G44)),DATEDIF($C$38,$G44,"M")+1-SUM($H$38:H43),0))</f>
        <v>0</v>
      </c>
      <c r="I44" s="690">
        <f t="shared" si="1"/>
        <v>0</v>
      </c>
      <c r="J44" s="691">
        <v>1.05</v>
      </c>
      <c r="K44" s="693">
        <f t="shared" si="2"/>
        <v>1.2762815625</v>
      </c>
      <c r="L44" s="692">
        <f t="shared" si="0"/>
        <v>0</v>
      </c>
      <c r="M44" s="691"/>
    </row>
    <row r="45" spans="1:13">
      <c r="A45" s="665" t="s">
        <v>763</v>
      </c>
      <c r="B45" s="665" t="s">
        <v>805</v>
      </c>
      <c r="C45" s="694" cm="1">
        <f t="array" ref="C45">TFLs月+CSR月+项目时间计划!$G$18+项目时间计划!$G$19</f>
        <v>5</v>
      </c>
      <c r="D45" s="667" t="s">
        <v>806</v>
      </c>
      <c r="G45" s="688">
        <v>48213</v>
      </c>
      <c r="H45" s="689">
        <f>IF(YEAR($C$39)=YEAR($G45),MONTH($C$39),IF(AND(YEAR($C$38)&lt;=YEAR($G45),YEAR($C$39)&gt;=YEAR($G45)),DATEDIF($C$38,$G45,"M")+1-SUM($H$38:H44),0))</f>
        <v>0</v>
      </c>
      <c r="I45" s="690">
        <f t="shared" si="1"/>
        <v>0</v>
      </c>
      <c r="J45" s="691">
        <v>1.05</v>
      </c>
      <c r="K45" s="693">
        <f t="shared" si="2"/>
        <v>1.340095640625</v>
      </c>
      <c r="L45" s="692">
        <f t="shared" si="0"/>
        <v>0</v>
      </c>
      <c r="M45" s="691"/>
    </row>
    <row r="46" spans="1:13">
      <c r="A46" s="665" t="s">
        <v>763</v>
      </c>
      <c r="B46" s="665" t="s">
        <v>807</v>
      </c>
      <c r="C46" s="666" t="s">
        <v>808</v>
      </c>
      <c r="D46" s="667"/>
      <c r="G46" s="688">
        <v>48579</v>
      </c>
      <c r="H46" s="689">
        <f>IF(YEAR($C$39)=YEAR($G46),MONTH($C$39),IF(AND(YEAR($C$38)&lt;=YEAR($G46),YEAR($C$39)&gt;=YEAR($G46)),DATEDIF($C$38,$G46,"M")+1-SUM($H$38:H45),0))</f>
        <v>0</v>
      </c>
      <c r="I46" s="690">
        <f t="shared" si="1"/>
        <v>0</v>
      </c>
      <c r="J46" s="691">
        <v>1.05</v>
      </c>
      <c r="K46" s="693">
        <f t="shared" si="2"/>
        <v>1.40710042265625</v>
      </c>
      <c r="L46" s="692">
        <f t="shared" si="0"/>
        <v>0</v>
      </c>
      <c r="M46" s="691"/>
    </row>
    <row r="47" spans="1:13">
      <c r="A47" s="665" t="s">
        <v>763</v>
      </c>
      <c r="B47" s="665" t="s">
        <v>809</v>
      </c>
      <c r="C47" s="666" t="s">
        <v>810</v>
      </c>
      <c r="D47" s="667"/>
      <c r="G47" s="688">
        <v>48944</v>
      </c>
      <c r="H47" s="689">
        <f>IF(YEAR($C$39)=YEAR($G47),MONTH($C$39),IF(AND(YEAR($C$38)&lt;=YEAR($G47),YEAR($C$39)&gt;=YEAR($G47)),DATEDIF($C$38,$G47,"M")+1-SUM($H$38:H46),0))</f>
        <v>0</v>
      </c>
      <c r="I47" s="690">
        <f t="shared" si="1"/>
        <v>0</v>
      </c>
      <c r="J47" s="691">
        <v>1.05</v>
      </c>
      <c r="K47" s="693">
        <f t="shared" si="2"/>
        <v>1.47745544378906</v>
      </c>
      <c r="L47" s="692">
        <f t="shared" si="0"/>
        <v>0</v>
      </c>
      <c r="M47" s="691"/>
    </row>
    <row r="48" spans="1:13">
      <c r="A48" s="665" t="s">
        <v>763</v>
      </c>
      <c r="B48" s="665" t="s">
        <v>811</v>
      </c>
      <c r="C48" s="666">
        <v>0</v>
      </c>
      <c r="D48" s="667"/>
      <c r="G48" s="695"/>
      <c r="H48" s="696">
        <f>SUM(H38:H47)</f>
        <v>23</v>
      </c>
      <c r="I48" s="697">
        <f>SUM(I38:I47)</f>
        <v>1</v>
      </c>
      <c r="J48" s="698"/>
      <c r="K48" s="699" t="s">
        <v>792</v>
      </c>
      <c r="L48" s="700">
        <f>SUM(L38:L47)</f>
        <v>1.082</v>
      </c>
      <c r="M48" s="701"/>
    </row>
    <row r="49" spans="1:8">
      <c r="A49" s="665" t="s">
        <v>763</v>
      </c>
      <c r="B49" s="665" t="s">
        <v>812</v>
      </c>
      <c r="C49" s="666">
        <v>6</v>
      </c>
      <c r="D49" s="667"/>
    </row>
    <row r="50" spans="1:8">
      <c r="A50" s="665" t="s">
        <v>569</v>
      </c>
      <c r="B50" s="665" t="s">
        <v>813</v>
      </c>
      <c r="C50" s="702">
        <f>IF(试验目的="注册申报",100%,50%)</f>
        <v>1</v>
      </c>
      <c r="D50" s="667"/>
      <c r="F50" s="261" t="s">
        <v>814</v>
      </c>
    </row>
    <row r="51" outlineLevel="1" spans="1:8">
      <c r="A51" s="663" t="s">
        <v>569</v>
      </c>
      <c r="B51" s="663" t="s">
        <v>815</v>
      </c>
      <c r="C51" s="297">
        <f>IF(试验目的="注册申报",ROUNDUP(启动中心数/3,0),ROUNDUP(启动中心数/4,0))</f>
        <v>2</v>
      </c>
      <c r="D51" s="298"/>
      <c r="E51" s="82" t="s">
        <v>737</v>
      </c>
    </row>
    <row r="52" outlineLevel="1" spans="1:8">
      <c r="A52" s="663" t="s">
        <v>569</v>
      </c>
      <c r="B52" s="663" t="s">
        <v>816</v>
      </c>
      <c r="C52" s="703">
        <f>ROUND(异地差旅比例*异地往返平均差旅时间+(1-异地差旅比例)*本地往返差旅时间,0)</f>
        <v>5</v>
      </c>
      <c r="D52" s="298"/>
      <c r="E52" s="82" t="s">
        <v>737</v>
      </c>
    </row>
    <row r="53" outlineLevel="1" spans="1:8">
      <c r="A53" s="663" t="s">
        <v>569</v>
      </c>
      <c r="B53" s="663" t="s">
        <v>817</v>
      </c>
      <c r="C53" s="704">
        <v>0.5</v>
      </c>
      <c r="D53" s="298"/>
      <c r="E53" s="82" t="s">
        <v>737</v>
      </c>
      <c r="F53" s="261" t="s">
        <v>818</v>
      </c>
    </row>
    <row r="54" outlineLevel="1" spans="1:8">
      <c r="A54" s="663" t="s">
        <v>569</v>
      </c>
      <c r="B54" s="663" t="s">
        <v>819</v>
      </c>
      <c r="C54" s="657">
        <v>3</v>
      </c>
      <c r="D54" s="298"/>
      <c r="E54" s="82" t="s">
        <v>737</v>
      </c>
      <c r="F54" s="261" t="s">
        <v>820</v>
      </c>
    </row>
    <row r="55" outlineLevel="1" spans="1:8">
      <c r="A55" s="663" t="s">
        <v>569</v>
      </c>
      <c r="B55" s="663" t="s">
        <v>821</v>
      </c>
      <c r="C55" s="657">
        <v>6</v>
      </c>
      <c r="D55" s="298"/>
      <c r="E55" s="82" t="s">
        <v>737</v>
      </c>
      <c r="F55" s="261" t="s">
        <v>822</v>
      </c>
    </row>
    <row r="56" outlineLevel="1" spans="1:8">
      <c r="A56" s="663" t="s">
        <v>569</v>
      </c>
      <c r="B56" s="663" t="s">
        <v>823</v>
      </c>
      <c r="C56" s="657">
        <f>ROUND((入组月+治疗月+随访月+长随访月+锁库月)*启动中心数,0)</f>
        <v>56</v>
      </c>
      <c r="D56" s="298"/>
      <c r="E56" s="82" t="s">
        <v>737</v>
      </c>
      <c r="F56" s="261" t="s">
        <v>824</v>
      </c>
    </row>
    <row r="57" ht="30" spans="1:8">
      <c r="A57" s="665" t="s">
        <v>569</v>
      </c>
      <c r="B57" s="665" t="s">
        <v>825</v>
      </c>
      <c r="C57" s="666">
        <v>0</v>
      </c>
      <c r="D57" s="667" t="str">
        <f>"默认"&amp;$C$57&amp;"次,若因为方案变更,新增中心等，根据更新的内容进行费用的增加。"</f>
        <v>默认0次,若因为方案变更,新增中心等，根据更新的内容进行费用的增加。</v>
      </c>
      <c r="F57" s="261" t="s">
        <v>826</v>
      </c>
    </row>
    <row r="58" ht="30" spans="1:8">
      <c r="A58" s="665" t="s">
        <v>569</v>
      </c>
      <c r="B58" s="665" t="s">
        <v>827</v>
      </c>
      <c r="C58" s="666"/>
      <c r="D58" s="705" t="s">
        <v>828</v>
      </c>
    </row>
    <row r="59" spans="1:8">
      <c r="A59" s="665" t="s">
        <v>569</v>
      </c>
      <c r="B59" s="665" t="s">
        <v>829</v>
      </c>
      <c r="C59" s="666">
        <f>项目时间计划!$G$27+项目时间计划!$G$28+项目时间计划!$G$29+项目时间计划!$G$30</f>
        <v>13</v>
      </c>
      <c r="D59" s="667" t="s">
        <v>830</v>
      </c>
    </row>
    <row r="60" ht="30" spans="1:8">
      <c r="A60" s="665" t="s">
        <v>569</v>
      </c>
      <c r="B60" s="665" t="s">
        <v>831</v>
      </c>
      <c r="C60" s="666"/>
      <c r="D60" s="705" t="s">
        <v>828</v>
      </c>
    </row>
    <row r="61" ht="30" spans="1:8">
      <c r="A61" s="665" t="s">
        <v>569</v>
      </c>
      <c r="B61" s="665" t="s">
        <v>832</v>
      </c>
      <c r="C61" s="666"/>
      <c r="D61" s="705" t="s">
        <v>828</v>
      </c>
    </row>
    <row r="62" ht="30" spans="1:8">
      <c r="A62" s="665" t="s">
        <v>569</v>
      </c>
      <c r="B62" s="665" t="s">
        <v>833</v>
      </c>
      <c r="C62" s="666"/>
      <c r="D62" s="705" t="s">
        <v>828</v>
      </c>
    </row>
    <row r="63" spans="1:8">
      <c r="A63" s="665" t="s">
        <v>569</v>
      </c>
      <c r="B63" s="665" t="s">
        <v>834</v>
      </c>
      <c r="C63" s="666">
        <f>COUNTIF(服务费明细!$D$78:$D$85,1)</f>
        <v>5</v>
      </c>
      <c r="D63" s="667"/>
      <c r="H63" s="671"/>
    </row>
    <row r="64" outlineLevel="1" spans="1:8">
      <c r="A64" s="663" t="s">
        <v>835</v>
      </c>
      <c r="B64" s="663" t="s">
        <v>815</v>
      </c>
      <c r="C64" s="297">
        <f t="array" ref="C64">_xlfn.IFS(AND(非盲临床运营YN=1,试验目的="注册申报"),ROUNDUP(启动中心数/4.5,0),AND(非盲临床运营YN=1,试验目的&lt;&gt;"注册申报"),ROUNDUP(启动中心数/6,0),非盲临床运营YN&lt;&gt;1,0)</f>
        <v>0</v>
      </c>
      <c r="D64" s="298"/>
      <c r="E64" s="82" t="s">
        <v>737</v>
      </c>
    </row>
    <row r="65" outlineLevel="1" spans="1:15">
      <c r="A65" s="663" t="s">
        <v>573</v>
      </c>
      <c r="B65" s="663" t="s">
        <v>836</v>
      </c>
      <c r="C65" s="297" t="s">
        <v>837</v>
      </c>
      <c r="D65" s="298" t="s">
        <v>838</v>
      </c>
      <c r="E65" s="82" t="s">
        <v>737</v>
      </c>
      <c r="G65" s="706" t="s">
        <v>745</v>
      </c>
      <c r="H65" s="707" t="s">
        <v>738</v>
      </c>
      <c r="I65" s="707" t="s">
        <v>839</v>
      </c>
      <c r="J65" s="707" t="s">
        <v>840</v>
      </c>
      <c r="K65" s="707" t="s">
        <v>841</v>
      </c>
      <c r="L65" s="707" t="s">
        <v>842</v>
      </c>
      <c r="M65" s="707" t="s">
        <v>843</v>
      </c>
      <c r="N65" s="707" t="s">
        <v>844</v>
      </c>
      <c r="O65" s="707" t="s">
        <v>845</v>
      </c>
    </row>
    <row r="66" spans="1:15">
      <c r="A66" s="665" t="s">
        <v>573</v>
      </c>
      <c r="B66" s="665" t="s">
        <v>846</v>
      </c>
      <c r="C66" s="666">
        <f>HLOOKUP(报价场景,$H$65:$O$95,2,0)</f>
        <v>50</v>
      </c>
      <c r="D66" s="667" t="s">
        <v>847</v>
      </c>
      <c r="G66" s="706" t="s">
        <v>846</v>
      </c>
      <c r="H66" s="706">
        <v>50</v>
      </c>
      <c r="I66" s="706">
        <v>50</v>
      </c>
      <c r="J66" s="706">
        <v>40</v>
      </c>
      <c r="K66" s="706">
        <v>50</v>
      </c>
      <c r="L66" s="706">
        <v>50</v>
      </c>
      <c r="M66" s="706">
        <v>30</v>
      </c>
      <c r="N66" s="706">
        <f t="shared" ref="N66:N95" si="3">H66</f>
        <v>50</v>
      </c>
      <c r="O66" s="706">
        <v>40</v>
      </c>
    </row>
    <row r="67" spans="1:15">
      <c r="A67" s="665" t="s">
        <v>573</v>
      </c>
      <c r="B67" s="665" t="s">
        <v>848</v>
      </c>
      <c r="C67" s="666">
        <f>HLOOKUP(报价场景,$H$65:$O$95,3,0)</f>
        <v>130</v>
      </c>
      <c r="D67" s="667" t="s">
        <v>847</v>
      </c>
      <c r="G67" s="706" t="s">
        <v>848</v>
      </c>
      <c r="H67" s="706">
        <v>130</v>
      </c>
      <c r="I67" s="706">
        <v>150</v>
      </c>
      <c r="J67" s="706">
        <v>100</v>
      </c>
      <c r="K67" s="706">
        <v>150</v>
      </c>
      <c r="L67" s="706">
        <v>100</v>
      </c>
      <c r="M67" s="706">
        <v>90</v>
      </c>
      <c r="N67" s="706">
        <f t="shared" si="3"/>
        <v>130</v>
      </c>
      <c r="O67" s="706">
        <v>100</v>
      </c>
    </row>
    <row r="68" spans="1:15">
      <c r="A68" s="665" t="s">
        <v>573</v>
      </c>
      <c r="B68" s="665" t="s">
        <v>849</v>
      </c>
      <c r="C68" s="666">
        <f>逻辑核查总数+人工数据线下列表数</f>
        <v>670</v>
      </c>
      <c r="D68" s="667" t="s">
        <v>850</v>
      </c>
      <c r="F68" s="261" t="s">
        <v>851</v>
      </c>
      <c r="G68" s="706" t="s">
        <v>849</v>
      </c>
      <c r="H68" s="708">
        <f t="shared" ref="H68:O68" si="4">H69+H70</f>
        <v>670</v>
      </c>
      <c r="I68" s="708">
        <f t="shared" si="4"/>
        <v>700</v>
      </c>
      <c r="J68" s="708">
        <f t="shared" si="4"/>
        <v>530</v>
      </c>
      <c r="K68" s="708">
        <f t="shared" si="4"/>
        <v>690</v>
      </c>
      <c r="L68" s="708">
        <f t="shared" si="4"/>
        <v>630</v>
      </c>
      <c r="M68" s="708">
        <f t="shared" si="4"/>
        <v>420</v>
      </c>
      <c r="N68" s="708">
        <f t="shared" si="4"/>
        <v>670</v>
      </c>
      <c r="O68" s="708">
        <f t="shared" si="4"/>
        <v>530</v>
      </c>
    </row>
    <row r="69" spans="1:15">
      <c r="A69" s="665" t="s">
        <v>573</v>
      </c>
      <c r="B69" s="665" t="s">
        <v>852</v>
      </c>
      <c r="C69" s="666">
        <f>CRF唯一页面数*10+CRF重复页面数</f>
        <v>630</v>
      </c>
      <c r="D69" s="667" t="s">
        <v>850</v>
      </c>
      <c r="F69" s="261" t="s">
        <v>853</v>
      </c>
      <c r="G69" s="706" t="s">
        <v>852</v>
      </c>
      <c r="H69" s="708">
        <f t="shared" ref="H69:O69" si="5">H66*10+H67</f>
        <v>630</v>
      </c>
      <c r="I69" s="708">
        <f t="shared" si="5"/>
        <v>650</v>
      </c>
      <c r="J69" s="708">
        <f t="shared" si="5"/>
        <v>500</v>
      </c>
      <c r="K69" s="708">
        <f t="shared" si="5"/>
        <v>650</v>
      </c>
      <c r="L69" s="708">
        <f t="shared" si="5"/>
        <v>600</v>
      </c>
      <c r="M69" s="708">
        <f t="shared" si="5"/>
        <v>390</v>
      </c>
      <c r="N69" s="708">
        <f t="shared" si="5"/>
        <v>630</v>
      </c>
      <c r="O69" s="708">
        <f t="shared" si="5"/>
        <v>500</v>
      </c>
    </row>
    <row r="70" spans="1:15">
      <c r="A70" s="665" t="s">
        <v>573</v>
      </c>
      <c r="B70" s="665" t="s">
        <v>854</v>
      </c>
      <c r="C70" s="666">
        <f>HLOOKUP(报价场景,$H$65:$O$95,6,0)</f>
        <v>40</v>
      </c>
      <c r="D70" s="667"/>
      <c r="F70" s="261" t="s">
        <v>855</v>
      </c>
      <c r="G70" s="706" t="s">
        <v>854</v>
      </c>
      <c r="H70" s="706">
        <v>40</v>
      </c>
      <c r="I70" s="706">
        <v>50</v>
      </c>
      <c r="J70" s="706">
        <v>30</v>
      </c>
      <c r="K70" s="706">
        <v>40</v>
      </c>
      <c r="L70" s="706">
        <v>30</v>
      </c>
      <c r="M70" s="706">
        <v>30</v>
      </c>
      <c r="N70" s="706">
        <f t="shared" si="3"/>
        <v>40</v>
      </c>
      <c r="O70" s="706">
        <v>30</v>
      </c>
    </row>
    <row r="71" spans="1:15">
      <c r="A71" s="665" t="s">
        <v>573</v>
      </c>
      <c r="B71" s="665" t="s">
        <v>856</v>
      </c>
      <c r="C71" s="666">
        <f>HLOOKUP(报价场景,$H$65:$O$95,7,0)</f>
        <v>1</v>
      </c>
      <c r="D71" s="667" t="s">
        <v>857</v>
      </c>
      <c r="F71" s="261" t="s">
        <v>858</v>
      </c>
      <c r="G71" s="706" t="s">
        <v>856</v>
      </c>
      <c r="H71" s="706">
        <v>1</v>
      </c>
      <c r="I71" s="706">
        <v>1</v>
      </c>
      <c r="J71" s="706">
        <v>2</v>
      </c>
      <c r="K71" s="706">
        <v>1</v>
      </c>
      <c r="L71" s="706">
        <v>3</v>
      </c>
      <c r="M71" s="706">
        <v>3</v>
      </c>
      <c r="N71" s="706">
        <f t="shared" si="3"/>
        <v>1</v>
      </c>
      <c r="O71" s="706">
        <v>2</v>
      </c>
    </row>
    <row r="72" ht="30" spans="1:15">
      <c r="A72" s="665" t="s">
        <v>573</v>
      </c>
      <c r="B72" s="665" t="s">
        <v>859</v>
      </c>
      <c r="C72" s="666">
        <v>0</v>
      </c>
      <c r="D72" s="667" t="str">
        <f>"默认"&amp;数据库变更次数&amp;"次,若因为方案变更或是客户需求数据库需要更新,根据更新的内容进行费用的增加。"</f>
        <v>默认0次,若因为方案变更或是客户需求数据库需要更新,根据更新的内容进行费用的增加。</v>
      </c>
      <c r="F72" s="261" t="s">
        <v>860</v>
      </c>
      <c r="G72" s="706" t="s">
        <v>859</v>
      </c>
      <c r="H72" s="706">
        <v>0</v>
      </c>
      <c r="I72" s="706">
        <v>0</v>
      </c>
      <c r="J72" s="706">
        <v>0</v>
      </c>
      <c r="K72" s="706">
        <v>0</v>
      </c>
      <c r="L72" s="706">
        <v>0</v>
      </c>
      <c r="M72" s="706">
        <v>0</v>
      </c>
      <c r="N72" s="706">
        <f t="shared" si="3"/>
        <v>0</v>
      </c>
      <c r="O72" s="706">
        <v>0</v>
      </c>
    </row>
    <row r="73" spans="1:15">
      <c r="A73" s="665" t="s">
        <v>573</v>
      </c>
      <c r="B73" s="665" t="s">
        <v>861</v>
      </c>
      <c r="C73" s="666">
        <f>HLOOKUP(报价场景,$H$65:$O$95,9,0)</f>
        <v>30</v>
      </c>
      <c r="D73" s="667" t="s">
        <v>847</v>
      </c>
      <c r="E73" s="709"/>
      <c r="G73" s="706" t="s">
        <v>861</v>
      </c>
      <c r="H73" s="706">
        <v>30</v>
      </c>
      <c r="I73" s="706">
        <v>40</v>
      </c>
      <c r="J73" s="706">
        <v>25</v>
      </c>
      <c r="K73" s="706">
        <v>30</v>
      </c>
      <c r="L73" s="706">
        <v>25</v>
      </c>
      <c r="M73" s="706">
        <v>15</v>
      </c>
      <c r="N73" s="706">
        <f t="shared" si="3"/>
        <v>30</v>
      </c>
      <c r="O73" s="706">
        <v>25</v>
      </c>
    </row>
    <row r="74" spans="1:15">
      <c r="A74" s="665" t="s">
        <v>573</v>
      </c>
      <c r="B74" s="665" t="s">
        <v>862</v>
      </c>
      <c r="C74" s="666">
        <f>HLOOKUP(报价场景,$H$65:$O$95,10,0)</f>
        <v>25</v>
      </c>
      <c r="D74" s="667" t="s">
        <v>847</v>
      </c>
      <c r="E74" s="709"/>
      <c r="G74" s="706" t="s">
        <v>862</v>
      </c>
      <c r="H74" s="706">
        <v>25</v>
      </c>
      <c r="I74" s="706">
        <v>30</v>
      </c>
      <c r="J74" s="706">
        <v>20</v>
      </c>
      <c r="K74" s="706">
        <v>25</v>
      </c>
      <c r="L74" s="706">
        <v>20</v>
      </c>
      <c r="M74" s="706">
        <v>10</v>
      </c>
      <c r="N74" s="706">
        <f t="shared" si="3"/>
        <v>25</v>
      </c>
      <c r="O74" s="706">
        <v>20</v>
      </c>
    </row>
    <row r="75" spans="1:15">
      <c r="A75" s="665" t="s">
        <v>573</v>
      </c>
      <c r="B75" s="665" t="s">
        <v>863</v>
      </c>
      <c r="C75" s="666">
        <f>HLOOKUP(报价场景,$H$65:$O$95,11,0)</f>
        <v>2</v>
      </c>
      <c r="D75" s="667"/>
      <c r="E75" s="710"/>
      <c r="F75" s="261" t="s">
        <v>864</v>
      </c>
      <c r="G75" s="706" t="s">
        <v>863</v>
      </c>
      <c r="H75" s="706">
        <v>2</v>
      </c>
      <c r="I75" s="706">
        <v>2</v>
      </c>
      <c r="J75" s="706">
        <v>2</v>
      </c>
      <c r="K75" s="706">
        <v>2</v>
      </c>
      <c r="L75" s="706">
        <v>2</v>
      </c>
      <c r="M75" s="706">
        <v>1</v>
      </c>
      <c r="N75" s="706">
        <f t="shared" si="3"/>
        <v>2</v>
      </c>
      <c r="O75" s="706">
        <v>2</v>
      </c>
    </row>
    <row r="76" spans="1:15">
      <c r="A76" s="665" t="s">
        <v>573</v>
      </c>
      <c r="B76" s="665" t="s">
        <v>865</v>
      </c>
      <c r="C76" s="666">
        <f>HLOOKUP(报价场景,$H$65:$O$95,12,0)</f>
        <v>3</v>
      </c>
      <c r="D76" s="667" t="s">
        <v>857</v>
      </c>
      <c r="E76" s="709"/>
      <c r="F76" s="261" t="s">
        <v>866</v>
      </c>
      <c r="G76" s="706" t="s">
        <v>865</v>
      </c>
      <c r="H76" s="706">
        <v>3</v>
      </c>
      <c r="I76" s="706">
        <v>3</v>
      </c>
      <c r="J76" s="706">
        <v>4</v>
      </c>
      <c r="K76" s="706">
        <v>3</v>
      </c>
      <c r="L76" s="706">
        <v>8</v>
      </c>
      <c r="M76" s="706">
        <v>6</v>
      </c>
      <c r="N76" s="706">
        <f t="shared" si="3"/>
        <v>3</v>
      </c>
      <c r="O76" s="706">
        <v>4</v>
      </c>
    </row>
    <row r="77" spans="1:15">
      <c r="A77" s="665" t="s">
        <v>573</v>
      </c>
      <c r="B77" s="665" t="s">
        <v>867</v>
      </c>
      <c r="C77" s="666">
        <f>HLOOKUP(报价场景,$H$65:$O$95,13,0)</f>
        <v>3</v>
      </c>
      <c r="D77" s="667" t="s">
        <v>857</v>
      </c>
      <c r="G77" s="706" t="s">
        <v>867</v>
      </c>
      <c r="H77" s="706">
        <v>3</v>
      </c>
      <c r="I77" s="706">
        <v>3</v>
      </c>
      <c r="J77" s="706">
        <v>4</v>
      </c>
      <c r="K77" s="706">
        <v>3</v>
      </c>
      <c r="L77" s="706">
        <v>8</v>
      </c>
      <c r="M77" s="706">
        <v>6</v>
      </c>
      <c r="N77" s="706">
        <f t="shared" si="3"/>
        <v>3</v>
      </c>
      <c r="O77" s="706">
        <v>4</v>
      </c>
    </row>
    <row r="78" spans="1:15">
      <c r="A78" s="665" t="s">
        <v>573</v>
      </c>
      <c r="B78" s="665" t="s">
        <v>868</v>
      </c>
      <c r="C78" s="666">
        <f>HLOOKUP(报价场景,$H$65:$O$95,14,0)</f>
        <v>8</v>
      </c>
      <c r="D78" s="667" t="s">
        <v>847</v>
      </c>
      <c r="G78" s="706" t="s">
        <v>868</v>
      </c>
      <c r="H78" s="706">
        <v>8</v>
      </c>
      <c r="I78" s="706">
        <v>20</v>
      </c>
      <c r="J78" s="706">
        <v>5</v>
      </c>
      <c r="K78" s="706">
        <v>18</v>
      </c>
      <c r="L78" s="706">
        <v>10</v>
      </c>
      <c r="M78" s="706">
        <v>5</v>
      </c>
      <c r="N78" s="706">
        <f t="shared" si="3"/>
        <v>8</v>
      </c>
      <c r="O78" s="706">
        <v>5</v>
      </c>
    </row>
    <row r="79" spans="1:15">
      <c r="A79" s="665" t="s">
        <v>573</v>
      </c>
      <c r="B79" s="665" t="s">
        <v>869</v>
      </c>
      <c r="C79" s="666">
        <f>HLOOKUP(报价场景,$H$65:$O$95,15,0)</f>
        <v>10</v>
      </c>
      <c r="D79" s="667" t="s">
        <v>847</v>
      </c>
      <c r="G79" s="706" t="s">
        <v>869</v>
      </c>
      <c r="H79" s="706">
        <v>10</v>
      </c>
      <c r="I79" s="706">
        <v>30</v>
      </c>
      <c r="J79" s="706">
        <v>5</v>
      </c>
      <c r="K79" s="706">
        <v>25</v>
      </c>
      <c r="L79" s="706">
        <v>15</v>
      </c>
      <c r="M79" s="706">
        <v>5</v>
      </c>
      <c r="N79" s="706">
        <f t="shared" si="3"/>
        <v>10</v>
      </c>
      <c r="O79" s="706">
        <v>5</v>
      </c>
    </row>
    <row r="80" spans="1:15">
      <c r="A80" s="665" t="s">
        <v>573</v>
      </c>
      <c r="B80" s="665" t="s">
        <v>870</v>
      </c>
      <c r="C80" s="666">
        <f>HLOOKUP(报价场景,$H$65:$O$95,16,0)</f>
        <v>3</v>
      </c>
      <c r="D80" s="667" t="s">
        <v>857</v>
      </c>
      <c r="F80" s="261" t="s">
        <v>871</v>
      </c>
      <c r="G80" s="706" t="s">
        <v>870</v>
      </c>
      <c r="H80" s="706">
        <v>3</v>
      </c>
      <c r="I80" s="706">
        <v>1</v>
      </c>
      <c r="J80" s="706">
        <v>1</v>
      </c>
      <c r="K80" s="706">
        <v>1</v>
      </c>
      <c r="L80" s="706">
        <v>3</v>
      </c>
      <c r="M80" s="706">
        <v>6</v>
      </c>
      <c r="N80" s="706">
        <f t="shared" si="3"/>
        <v>3</v>
      </c>
      <c r="O80" s="706">
        <v>1</v>
      </c>
    </row>
    <row r="81" spans="1:15">
      <c r="A81" s="665" t="s">
        <v>573</v>
      </c>
      <c r="B81" s="665" t="s">
        <v>872</v>
      </c>
      <c r="C81" s="666">
        <f>HLOOKUP(报价场景,$H$65:$O$95,17,0)</f>
        <v>1</v>
      </c>
      <c r="D81" s="667" t="s">
        <v>857</v>
      </c>
      <c r="F81" s="261" t="s">
        <v>873</v>
      </c>
      <c r="G81" s="706" t="s">
        <v>872</v>
      </c>
      <c r="H81" s="706">
        <v>1</v>
      </c>
      <c r="I81" s="706">
        <v>1</v>
      </c>
      <c r="J81" s="706">
        <v>1</v>
      </c>
      <c r="K81" s="706">
        <v>1</v>
      </c>
      <c r="L81" s="706">
        <v>3</v>
      </c>
      <c r="M81" s="706">
        <v>3</v>
      </c>
      <c r="N81" s="706">
        <f t="shared" si="3"/>
        <v>1</v>
      </c>
      <c r="O81" s="706">
        <v>1</v>
      </c>
    </row>
    <row r="82" outlineLevel="1" spans="1:15">
      <c r="A82" s="665" t="s">
        <v>573</v>
      </c>
      <c r="B82" s="665" t="s">
        <v>874</v>
      </c>
      <c r="C82" s="666">
        <f>HLOOKUP(报价场景,$H$65:$O$95,18,0)</f>
        <v>3</v>
      </c>
      <c r="D82" s="667" t="s">
        <v>857</v>
      </c>
      <c r="E82" s="684"/>
      <c r="F82" s="711"/>
      <c r="G82" s="665" t="s">
        <v>874</v>
      </c>
      <c r="H82" s="706">
        <v>3</v>
      </c>
      <c r="I82" s="706">
        <v>2</v>
      </c>
      <c r="J82" s="706">
        <v>4</v>
      </c>
      <c r="K82" s="706">
        <v>3</v>
      </c>
      <c r="L82" s="706">
        <v>6</v>
      </c>
      <c r="M82" s="706">
        <v>4</v>
      </c>
      <c r="N82" s="706">
        <f t="shared" si="3"/>
        <v>3</v>
      </c>
      <c r="O82" s="706">
        <v>4</v>
      </c>
    </row>
    <row r="83" spans="1:15">
      <c r="A83" s="665" t="s">
        <v>634</v>
      </c>
      <c r="B83" s="665" t="s">
        <v>875</v>
      </c>
      <c r="C83" s="666">
        <f>HLOOKUP(报价场景,$H$65:$O$95,19,0)</f>
        <v>35</v>
      </c>
      <c r="D83" s="667"/>
      <c r="F83" s="711"/>
      <c r="G83" s="706" t="s">
        <v>875</v>
      </c>
      <c r="H83" s="706">
        <v>35</v>
      </c>
      <c r="I83" s="706">
        <v>35</v>
      </c>
      <c r="J83" s="706">
        <v>25</v>
      </c>
      <c r="K83" s="706">
        <v>30</v>
      </c>
      <c r="L83" s="706">
        <v>0</v>
      </c>
      <c r="M83" s="706">
        <v>0</v>
      </c>
      <c r="N83" s="706">
        <f t="shared" si="3"/>
        <v>35</v>
      </c>
      <c r="O83" s="706">
        <v>25</v>
      </c>
    </row>
    <row r="84" spans="1:15">
      <c r="A84" s="665" t="s">
        <v>634</v>
      </c>
      <c r="B84" s="665" t="s">
        <v>876</v>
      </c>
      <c r="C84" s="666">
        <f>HLOOKUP(报价场景,$H$65:$O$95,20,0)</f>
        <v>15</v>
      </c>
      <c r="D84" s="667"/>
      <c r="F84" s="169"/>
      <c r="G84" s="706" t="s">
        <v>876</v>
      </c>
      <c r="H84" s="706">
        <v>15</v>
      </c>
      <c r="I84" s="706">
        <v>15</v>
      </c>
      <c r="J84" s="706">
        <v>12</v>
      </c>
      <c r="K84" s="706">
        <v>14</v>
      </c>
      <c r="L84" s="706">
        <v>16</v>
      </c>
      <c r="M84" s="706">
        <v>12</v>
      </c>
      <c r="N84" s="706">
        <f t="shared" si="3"/>
        <v>15</v>
      </c>
      <c r="O84" s="706">
        <v>12</v>
      </c>
    </row>
    <row r="85" spans="1:15">
      <c r="A85" s="665" t="s">
        <v>634</v>
      </c>
      <c r="B85" s="665" t="s">
        <v>877</v>
      </c>
      <c r="C85" s="666">
        <f>HLOOKUP(报价场景,$H$65:$O$95,21,0)</f>
        <v>25</v>
      </c>
      <c r="D85" s="667"/>
      <c r="G85" s="712" t="s">
        <v>877</v>
      </c>
      <c r="H85" s="706">
        <v>25</v>
      </c>
      <c r="I85" s="706">
        <v>30</v>
      </c>
      <c r="J85" s="706">
        <v>20</v>
      </c>
      <c r="K85" s="706">
        <v>30</v>
      </c>
      <c r="L85" s="706">
        <v>20</v>
      </c>
      <c r="M85" s="706">
        <v>20</v>
      </c>
      <c r="N85" s="706">
        <f t="shared" si="3"/>
        <v>25</v>
      </c>
      <c r="O85" s="706">
        <v>20</v>
      </c>
    </row>
    <row r="86" spans="1:15">
      <c r="A86" s="665" t="s">
        <v>634</v>
      </c>
      <c r="B86" s="665" t="s">
        <v>878</v>
      </c>
      <c r="C86" s="666">
        <f>HLOOKUP(报价场景,$H$65:$O$95,22,0)</f>
        <v>5</v>
      </c>
      <c r="D86" s="667"/>
      <c r="G86" s="706" t="s">
        <v>878</v>
      </c>
      <c r="H86" s="706">
        <v>5</v>
      </c>
      <c r="I86" s="706">
        <v>5</v>
      </c>
      <c r="J86" s="706">
        <v>0</v>
      </c>
      <c r="K86" s="706">
        <v>0</v>
      </c>
      <c r="L86" s="706">
        <v>5</v>
      </c>
      <c r="M86" s="706">
        <v>0</v>
      </c>
      <c r="N86" s="706">
        <f t="shared" si="3"/>
        <v>5</v>
      </c>
      <c r="O86" s="706">
        <v>0</v>
      </c>
    </row>
    <row r="87" spans="1:15">
      <c r="A87" s="665" t="s">
        <v>634</v>
      </c>
      <c r="B87" s="665" t="s">
        <v>879</v>
      </c>
      <c r="C87" s="666">
        <f>HLOOKUP(报价场景,$H$65:$O$95,23,0)</f>
        <v>30</v>
      </c>
      <c r="D87" s="667"/>
      <c r="G87" s="706" t="s">
        <v>879</v>
      </c>
      <c r="H87" s="706">
        <v>30</v>
      </c>
      <c r="I87" s="706">
        <v>45</v>
      </c>
      <c r="J87" s="706">
        <v>30</v>
      </c>
      <c r="K87" s="706">
        <v>50</v>
      </c>
      <c r="L87" s="706">
        <v>15</v>
      </c>
      <c r="M87" s="706">
        <v>30</v>
      </c>
      <c r="N87" s="706">
        <f t="shared" si="3"/>
        <v>30</v>
      </c>
      <c r="O87" s="706">
        <v>30</v>
      </c>
    </row>
    <row r="88" spans="1:15">
      <c r="A88" s="665" t="s">
        <v>634</v>
      </c>
      <c r="B88" s="665" t="s">
        <v>880</v>
      </c>
      <c r="C88" s="666">
        <f>HLOOKUP(报价场景,$H$65:$O$95,24,0)</f>
        <v>5</v>
      </c>
      <c r="D88" s="667"/>
      <c r="G88" s="706" t="s">
        <v>880</v>
      </c>
      <c r="H88" s="706">
        <v>5</v>
      </c>
      <c r="I88" s="706">
        <v>10</v>
      </c>
      <c r="J88" s="706">
        <v>0</v>
      </c>
      <c r="K88" s="706">
        <v>0</v>
      </c>
      <c r="L88" s="706">
        <v>5</v>
      </c>
      <c r="M88" s="706">
        <v>0</v>
      </c>
      <c r="N88" s="706">
        <f t="shared" si="3"/>
        <v>5</v>
      </c>
      <c r="O88" s="706">
        <v>0</v>
      </c>
    </row>
    <row r="89" spans="1:15">
      <c r="A89" s="665" t="s">
        <v>634</v>
      </c>
      <c r="B89" s="665" t="s">
        <v>881</v>
      </c>
      <c r="C89" s="666">
        <f>HLOOKUP(报价场景,$H$65:$O$95,25,0)</f>
        <v>40</v>
      </c>
      <c r="D89" s="667"/>
      <c r="G89" s="706" t="s">
        <v>881</v>
      </c>
      <c r="H89" s="706">
        <v>40</v>
      </c>
      <c r="I89" s="706">
        <v>50</v>
      </c>
      <c r="J89" s="706">
        <v>30</v>
      </c>
      <c r="K89" s="706">
        <v>40</v>
      </c>
      <c r="L89" s="706">
        <v>15</v>
      </c>
      <c r="M89" s="706">
        <v>30</v>
      </c>
      <c r="N89" s="706">
        <f t="shared" si="3"/>
        <v>40</v>
      </c>
      <c r="O89" s="706">
        <v>30</v>
      </c>
    </row>
    <row r="90" outlineLevel="1" spans="1:15">
      <c r="A90" s="665" t="s">
        <v>634</v>
      </c>
      <c r="B90" s="665" t="s">
        <v>882</v>
      </c>
      <c r="C90" s="666">
        <f>HLOOKUP(报价场景,$H$65:$O$95,26,0)</f>
        <v>6</v>
      </c>
      <c r="D90" s="667"/>
      <c r="G90" s="706" t="s">
        <v>882</v>
      </c>
      <c r="H90" s="706">
        <v>6</v>
      </c>
      <c r="I90" s="706">
        <v>0</v>
      </c>
      <c r="J90" s="706">
        <v>6</v>
      </c>
      <c r="K90" s="706">
        <v>0</v>
      </c>
      <c r="L90" s="706">
        <v>6</v>
      </c>
      <c r="M90" s="706">
        <v>0</v>
      </c>
      <c r="N90" s="706">
        <f t="shared" si="3"/>
        <v>6</v>
      </c>
      <c r="O90" s="706">
        <v>6</v>
      </c>
    </row>
    <row r="91" outlineLevel="1" spans="1:15">
      <c r="A91" s="665" t="s">
        <v>634</v>
      </c>
      <c r="B91" s="665" t="s">
        <v>883</v>
      </c>
      <c r="C91" s="666">
        <f>HLOOKUP(报价场景,$H$65:$O$95,27,0)</f>
        <v>4</v>
      </c>
      <c r="D91" s="667"/>
      <c r="G91" s="706" t="s">
        <v>883</v>
      </c>
      <c r="H91" s="706">
        <v>4</v>
      </c>
      <c r="I91" s="706">
        <v>0</v>
      </c>
      <c r="J91" s="706">
        <v>4</v>
      </c>
      <c r="K91" s="706">
        <v>0</v>
      </c>
      <c r="L91" s="706">
        <v>4</v>
      </c>
      <c r="M91" s="706">
        <v>0</v>
      </c>
      <c r="N91" s="706">
        <f t="shared" si="3"/>
        <v>4</v>
      </c>
      <c r="O91" s="706">
        <v>4</v>
      </c>
    </row>
    <row r="92" outlineLevel="1" spans="1:15">
      <c r="A92" s="665" t="s">
        <v>634</v>
      </c>
      <c r="B92" s="665" t="s">
        <v>884</v>
      </c>
      <c r="C92" s="666">
        <f>HLOOKUP(报价场景,$H$65:$O$95,28,0)</f>
        <v>2</v>
      </c>
      <c r="D92" s="667"/>
      <c r="G92" s="706" t="s">
        <v>884</v>
      </c>
      <c r="H92" s="706">
        <v>2</v>
      </c>
      <c r="I92" s="706">
        <v>0</v>
      </c>
      <c r="J92" s="706">
        <v>2</v>
      </c>
      <c r="K92" s="706">
        <v>0</v>
      </c>
      <c r="L92" s="706">
        <v>2</v>
      </c>
      <c r="M92" s="706">
        <v>0</v>
      </c>
      <c r="N92" s="706">
        <f t="shared" si="3"/>
        <v>2</v>
      </c>
      <c r="O92" s="706">
        <v>2</v>
      </c>
    </row>
    <row r="93" outlineLevel="1" spans="1:15">
      <c r="A93" s="665" t="s">
        <v>634</v>
      </c>
      <c r="B93" s="665" t="s">
        <v>885</v>
      </c>
      <c r="C93" s="666">
        <f>HLOOKUP(报价场景,$H$65:$O$95,29,0)</f>
        <v>2</v>
      </c>
      <c r="D93" s="667"/>
      <c r="G93" s="706" t="s">
        <v>885</v>
      </c>
      <c r="H93" s="706">
        <v>2</v>
      </c>
      <c r="I93" s="706">
        <v>0</v>
      </c>
      <c r="J93" s="706">
        <v>2</v>
      </c>
      <c r="K93" s="706">
        <v>0</v>
      </c>
      <c r="L93" s="706">
        <v>2</v>
      </c>
      <c r="M93" s="706">
        <v>0</v>
      </c>
      <c r="N93" s="706">
        <f t="shared" si="3"/>
        <v>2</v>
      </c>
      <c r="O93" s="706">
        <v>2</v>
      </c>
    </row>
    <row r="94" outlineLevel="1" spans="1:15">
      <c r="A94" s="665" t="s">
        <v>634</v>
      </c>
      <c r="B94" s="665" t="s">
        <v>886</v>
      </c>
      <c r="C94" s="666">
        <f>HLOOKUP(报价场景,$H$65:$O$95,30,0)</f>
        <v>3</v>
      </c>
      <c r="D94" s="667"/>
      <c r="G94" s="706" t="s">
        <v>886</v>
      </c>
      <c r="H94" s="706">
        <v>3</v>
      </c>
      <c r="I94" s="706">
        <v>0</v>
      </c>
      <c r="J94" s="706">
        <v>3</v>
      </c>
      <c r="K94" s="706">
        <v>0</v>
      </c>
      <c r="L94" s="706">
        <v>3</v>
      </c>
      <c r="M94" s="706">
        <v>0</v>
      </c>
      <c r="N94" s="706">
        <f t="shared" si="3"/>
        <v>3</v>
      </c>
      <c r="O94" s="706">
        <v>3</v>
      </c>
    </row>
    <row r="95" spans="1:15">
      <c r="A95" s="665" t="s">
        <v>634</v>
      </c>
      <c r="B95" s="665" t="s">
        <v>887</v>
      </c>
      <c r="C95" s="666">
        <f>HLOOKUP(报价场景,$H$65:$O$95,31,0)</f>
        <v>1</v>
      </c>
      <c r="D95" s="667"/>
      <c r="F95" s="711"/>
      <c r="G95" s="706" t="s">
        <v>887</v>
      </c>
      <c r="H95" s="706">
        <v>1</v>
      </c>
      <c r="I95" s="706">
        <v>1</v>
      </c>
      <c r="J95" s="706">
        <v>0</v>
      </c>
      <c r="K95" s="706">
        <v>1</v>
      </c>
      <c r="L95" s="706">
        <v>0</v>
      </c>
      <c r="M95" s="706">
        <v>1</v>
      </c>
      <c r="N95" s="706">
        <f t="shared" si="3"/>
        <v>1</v>
      </c>
      <c r="O95" s="706">
        <v>0</v>
      </c>
    </row>
    <row r="96" outlineLevel="1" spans="1:15">
      <c r="A96" s="663" t="s">
        <v>634</v>
      </c>
      <c r="B96" s="663" t="s">
        <v>888</v>
      </c>
      <c r="C96" s="297">
        <v>45</v>
      </c>
      <c r="D96" s="298"/>
      <c r="E96" s="657" t="s">
        <v>783</v>
      </c>
      <c r="F96" s="711"/>
    </row>
    <row r="97" outlineLevel="1" spans="1:6">
      <c r="A97" s="663" t="s">
        <v>634</v>
      </c>
      <c r="B97" s="663" t="s">
        <v>889</v>
      </c>
      <c r="C97" s="297">
        <f>服务费明细!E134</f>
        <v>0</v>
      </c>
      <c r="D97" s="298"/>
      <c r="E97" s="82" t="s">
        <v>737</v>
      </c>
      <c r="F97" s="711"/>
    </row>
    <row r="98" ht="22" customHeight="1" outlineLevel="1" spans="1:6">
      <c r="A98" s="665" t="s">
        <v>634</v>
      </c>
      <c r="B98" s="665" t="s">
        <v>890</v>
      </c>
      <c r="C98" s="666">
        <v>1</v>
      </c>
      <c r="D98" s="667"/>
      <c r="F98" s="711" t="s">
        <v>891</v>
      </c>
    </row>
    <row r="99" ht="30" outlineLevel="1" spans="1:6">
      <c r="A99" s="665" t="s">
        <v>634</v>
      </c>
      <c r="B99" s="665" t="s">
        <v>892</v>
      </c>
      <c r="C99" s="666">
        <v>1</v>
      </c>
      <c r="D99" s="667"/>
      <c r="F99" s="711"/>
    </row>
    <row r="100" outlineLevel="1" spans="1:6">
      <c r="A100" s="663" t="s">
        <v>576</v>
      </c>
      <c r="B100" s="663" t="s">
        <v>893</v>
      </c>
      <c r="C100" s="297" t="s">
        <v>808</v>
      </c>
      <c r="D100" s="298"/>
      <c r="E100" s="82" t="s">
        <v>737</v>
      </c>
      <c r="F100" s="711"/>
    </row>
    <row r="101" outlineLevel="1" spans="1:6">
      <c r="A101" s="663" t="s">
        <v>576</v>
      </c>
      <c r="B101" s="663" t="s">
        <v>894</v>
      </c>
      <c r="C101" s="297">
        <v>3</v>
      </c>
      <c r="D101" s="298"/>
      <c r="E101" s="82" t="s">
        <v>737</v>
      </c>
      <c r="F101" s="711"/>
    </row>
    <row r="102" spans="1:6">
      <c r="A102" s="665" t="s">
        <v>576</v>
      </c>
      <c r="B102" s="665" t="s">
        <v>895</v>
      </c>
      <c r="C102" s="669">
        <f>ROUNDUP(SAE例数*C101,0)</f>
        <v>27</v>
      </c>
      <c r="D102" s="667"/>
      <c r="F102" s="711" t="s">
        <v>896</v>
      </c>
    </row>
    <row r="103" spans="1:6">
      <c r="A103" s="665" t="s">
        <v>576</v>
      </c>
      <c r="B103" s="665" t="s">
        <v>897</v>
      </c>
      <c r="C103" s="669">
        <f>ROUND((入组月+治疗月+随访月+长随访月)/12,0)</f>
        <v>1</v>
      </c>
      <c r="D103" s="667"/>
      <c r="F103" s="713" t="s">
        <v>898</v>
      </c>
    </row>
  </sheetData>
  <autoFilter xmlns:etc="http://www.wps.cn/officeDocument/2017/etCustomData" ref="A18:F103" etc:filterBottomFollowUsedRange="0">
    <extLst/>
  </autoFilter>
  <conditionalFormatting sqref="K33">
    <cfRule type="containsText" dxfId="75" priority="1" operator="between" text="N">
      <formula>NOT(ISERROR(SEARCH("N",K33)))</formula>
    </cfRule>
  </conditionalFormatting>
  <dataValidations count="18">
    <dataValidation type="list" allowBlank="1" showInputMessage="1" showErrorMessage="1" sqref="A2">
      <formula1>服务费底表!$AJ$2:$AQ$2</formula1>
    </dataValidation>
    <dataValidation type="list" allowBlank="1" showInputMessage="1" showErrorMessage="1" sqref="B2">
      <formula1>二三级标准!$AA$4:$AA$12</formula1>
    </dataValidation>
    <dataValidation type="list" allowBlank="1" showInputMessage="1" showErrorMessage="1" sqref="C2">
      <formula1>"标准,审批调整"</formula1>
    </dataValidation>
    <dataValidation type="list" allowBlank="1" showInputMessage="1" showErrorMessage="1" sqref="C19">
      <formula1>二三级标准!$S$4:$S$22</formula1>
    </dataValidation>
    <dataValidation type="list" allowBlank="1" showInputMessage="1" showErrorMessage="1" sqref="C20">
      <formula1>二三级标准!$U$4:$U$7</formula1>
    </dataValidation>
    <dataValidation type="list" allowBlank="1" showInputMessage="1" showErrorMessage="1" sqref="C22">
      <formula1>"注册申报,非注册申报"</formula1>
    </dataValidation>
    <dataValidation type="list" allowBlank="1" showInputMessage="1" showErrorMessage="1" sqref="E22">
      <formula1>"Ia,Ib,I期,II期,III期"</formula1>
    </dataValidation>
    <dataValidation type="list" allowBlank="1" showInputMessage="1" showErrorMessage="1" sqref="C23">
      <formula1>"适用,不适用"</formula1>
    </dataValidation>
    <dataValidation type="list" allowBlank="1" showInputMessage="1" showErrorMessage="1" sqref="C24">
      <formula1>"英文,中文"</formula1>
    </dataValidation>
    <dataValidation type="list" allowBlank="1" showInputMessage="1" showErrorMessage="1" sqref="C25">
      <formula1>"国内试验,国外试验,国际多中心试验"</formula1>
    </dataValidation>
    <dataValidation type="list" allowBlank="1" showInputMessage="1" showErrorMessage="1" sqref="C26">
      <formula1>"肿瘤患者,非肿瘤患者,健康人"</formula1>
    </dataValidation>
    <dataValidation type="list" allowBlank="1" showInputMessage="1" showErrorMessage="1" sqref="K33">
      <formula1>"Y,N"</formula1>
    </dataValidation>
    <dataValidation type="list" allowBlank="1" showInputMessage="1" sqref="C46">
      <formula1>"否,单盲,双盲"</formula1>
    </dataValidation>
    <dataValidation type="list" allowBlank="1" showInputMessage="1" sqref="C47">
      <formula1>"非随机化,系统随机,纸质随机"</formula1>
    </dataValidation>
    <dataValidation type="list" allowBlank="1" showInputMessage="1" showErrorMessage="1" sqref="C65">
      <formula1>"TrialMaster,非TrialMaster"</formula1>
    </dataValidation>
    <dataValidation type="list" allowBlank="1" showInputMessage="1" showErrorMessage="1" sqref="E75 E82 E96 E35:E36">
      <formula1>"编程,人工审核"</formula1>
    </dataValidation>
    <dataValidation type="list" allowBlank="1" showInputMessage="1" showErrorMessage="1" sqref="C100">
      <formula1>"是,否"</formula1>
    </dataValidation>
    <dataValidation type="list" allowBlank="1" showInputMessage="1" showErrorMessage="1" sqref="C5:C16">
      <formula1>"1,0"</formula1>
    </dataValidation>
  </dataValidations>
  <pageMargins left="0.708661417322835" right="0.708661417322835" top="0.748031496062992" bottom="0.748031496062992" header="0.31496062992126" footer="0.31496062992126"/>
  <pageSetup paperSize="9" scale="77" fitToHeight="0" orientation="portrait" horizontalDpi="1200" verticalDpi="1200"/>
  <headerFooter>
    <oddFooter>&amp;C&amp;"微软雅黑,常规"&amp;9本文档中的所有内容为上海有临医药科技有限公司的机密和专属所有，未经明确书面许可， 任何组织或个人不得以任何目的、任何形式及任何手段复制或传播本文档部分或全部内容。</oddFooter>
  </headerFooter>
  <ignoredErrors>
    <ignoredError sqref="C59 C37:C44 C51:C52 C54:C56 D72 C68:C69 C63:C65" unlockedFormula="1"/>
  </ignoredError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rgb="FF0070C0"/>
    <pageSetUpPr fitToPage="1"/>
  </sheetPr>
  <dimension ref="B1:I46"/>
  <sheetViews>
    <sheetView showGridLines="0" view="pageBreakPreview" zoomScale="115" zoomScaleNormal="100" workbookViewId="0">
      <selection activeCell="H14" sqref="H14"/>
    </sheetView>
  </sheetViews>
  <sheetFormatPr defaultColWidth="8.88888888888889" defaultRowHeight="15.6"/>
  <cols>
    <col min="1" max="1" width="8.88888888888889" style="82"/>
    <col min="2" max="2" width="15" style="82" customWidth="1"/>
    <col min="3" max="3" width="31.5555555555556" style="82" customWidth="1"/>
    <col min="4" max="4" width="20" style="605" customWidth="1"/>
    <col min="5" max="5" width="8.22222222222222" style="606" customWidth="1"/>
    <col min="6" max="6" width="19.6666666666667" style="605" customWidth="1"/>
    <col min="7" max="7" width="36.6666666666667" style="169" customWidth="1"/>
    <col min="8" max="8" width="18.1111111111111" style="607" customWidth="1"/>
    <col min="9" max="9" width="14" style="82" customWidth="1"/>
    <col min="10" max="16384" width="8.88888888888889" style="82"/>
  </cols>
  <sheetData>
    <row r="1" ht="37.2" customHeight="1" spans="2:9">
      <c r="B1" s="608" t="s">
        <v>899</v>
      </c>
      <c r="C1" s="608"/>
      <c r="D1" s="608"/>
      <c r="E1" s="608"/>
      <c r="F1" s="608"/>
      <c r="G1" s="608"/>
      <c r="H1" s="609" t="s">
        <v>742</v>
      </c>
    </row>
    <row r="2" ht="24" customHeight="1" spans="2:9">
      <c r="B2" s="610" t="s">
        <v>900</v>
      </c>
      <c r="C2" s="168"/>
      <c r="E2" s="611"/>
      <c r="F2" s="612"/>
      <c r="G2" s="82"/>
      <c r="H2" s="613" t="s">
        <v>901</v>
      </c>
      <c r="I2" s="614" t="s">
        <v>902</v>
      </c>
    </row>
    <row r="3" ht="24" customHeight="1" spans="2:9">
      <c r="B3" s="610" t="s">
        <v>903</v>
      </c>
      <c r="C3" s="168" t="s">
        <v>904</v>
      </c>
      <c r="E3" s="615" t="s">
        <v>905</v>
      </c>
      <c r="F3" s="616" t="s">
        <v>905</v>
      </c>
      <c r="G3" s="82"/>
      <c r="H3" s="617" t="s">
        <v>906</v>
      </c>
      <c r="I3" s="618">
        <v>46255</v>
      </c>
    </row>
    <row r="4" ht="32.4" spans="2:9">
      <c r="B4" s="619" t="s">
        <v>907</v>
      </c>
      <c r="C4" s="619" t="s">
        <v>908</v>
      </c>
      <c r="D4" s="620" t="s">
        <v>909</v>
      </c>
      <c r="E4" s="621" t="s">
        <v>741</v>
      </c>
      <c r="F4" s="620" t="s">
        <v>910</v>
      </c>
      <c r="G4" s="619" t="s">
        <v>747</v>
      </c>
    </row>
    <row r="5" ht="23.4" customHeight="1" spans="2:9">
      <c r="B5" s="174" t="s">
        <v>753</v>
      </c>
      <c r="C5" s="622" t="s">
        <v>911</v>
      </c>
      <c r="D5" s="623">
        <f>注册申报明细!H120</f>
        <v>0</v>
      </c>
      <c r="E5" s="624" t="str">
        <f t="shared" ref="E5:E21" si="0">IF(F5&lt;&gt;D5,1-ROUND(IFERROR(F5/D5,0),2),"NA")</f>
        <v>NA</v>
      </c>
      <c r="F5" s="623">
        <f>注册申报明细!J120</f>
        <v>0</v>
      </c>
      <c r="G5" s="183" t="s">
        <v>912</v>
      </c>
      <c r="H5" s="625" t="s">
        <v>913</v>
      </c>
    </row>
    <row r="6" ht="23.4" customHeight="1" spans="2:9">
      <c r="B6" s="174" t="s">
        <v>914</v>
      </c>
      <c r="C6" s="622"/>
      <c r="D6" s="623">
        <f>SUM(D7:D21)</f>
        <v>3348842</v>
      </c>
      <c r="E6" s="624" t="str">
        <f t="shared" si="0"/>
        <v>NA</v>
      </c>
      <c r="F6" s="623">
        <f>SUM(F7:F21)</f>
        <v>3348842</v>
      </c>
      <c r="G6" s="626"/>
      <c r="H6" s="625" t="s">
        <v>915</v>
      </c>
    </row>
    <row r="7" ht="23.4" customHeight="1" spans="2:9">
      <c r="B7" s="173" t="s">
        <v>916</v>
      </c>
      <c r="C7" s="627" t="str">
        <f>INDEX(服务费明细!$C:$C,MATCH(费用摘要!$B7,服务费明细!$B:$B,0))</f>
        <v>研究文件撰写和审核</v>
      </c>
      <c r="D7" s="628">
        <f>INDEX(服务费明细!$AF:$AF,MATCH(费用摘要!$B7,服务费明细!$B:$B,0))</f>
        <v>163695</v>
      </c>
      <c r="E7" s="629" t="str">
        <f t="shared" si="0"/>
        <v>NA</v>
      </c>
      <c r="F7" s="628">
        <f>INDEX(服务费明细!$AH:$AH,MATCH(费用摘要!$B7,服务费明细!$B:$B,0))</f>
        <v>163695</v>
      </c>
      <c r="G7" s="183"/>
    </row>
    <row r="8" ht="23.4" customHeight="1" spans="2:9">
      <c r="B8" s="173" t="s">
        <v>917</v>
      </c>
      <c r="C8" s="627" t="str">
        <f>INDEX(服务费明细!$C:$C,MATCH(费用摘要!$B8,服务费明细!$B:$B,0))</f>
        <v>试验准备</v>
      </c>
      <c r="D8" s="628">
        <f>INDEX(服务费明细!$AF:$AF,MATCH(费用摘要!$B8,服务费明细!$B:$B,0))</f>
        <v>204560</v>
      </c>
      <c r="E8" s="629" t="str">
        <f t="shared" si="0"/>
        <v>NA</v>
      </c>
      <c r="F8" s="628">
        <f>INDEX(服务费明细!$AH:$AH,MATCH(费用摘要!$B8,服务费明细!$B:$B,0))</f>
        <v>204560</v>
      </c>
      <c r="G8" s="183"/>
    </row>
    <row r="9" ht="23.4" customHeight="1" spans="2:9">
      <c r="B9" s="173" t="s">
        <v>918</v>
      </c>
      <c r="C9" s="627" t="str">
        <f>INDEX(服务费明细!$C:$C,MATCH(费用摘要!$B9,服务费明细!$B:$B,0))</f>
        <v>遗传办递交和跟进</v>
      </c>
      <c r="D9" s="628">
        <f>INDEX(服务费明细!$AF:$AF,MATCH(费用摘要!$B9,服务费明细!$B:$B,0))</f>
        <v>33020</v>
      </c>
      <c r="E9" s="629" t="str">
        <f t="shared" si="0"/>
        <v>NA</v>
      </c>
      <c r="F9" s="628">
        <f>INDEX(服务费明细!$AH:$AH,MATCH(费用摘要!$B9,服务费明细!$B:$B,0))</f>
        <v>33020</v>
      </c>
      <c r="G9" s="183"/>
    </row>
    <row r="10" ht="23.4" customHeight="1" spans="2:9">
      <c r="B10" s="173" t="s">
        <v>919</v>
      </c>
      <c r="C10" s="627" t="str">
        <f>INDEX(服务费明细!$C:$C,MATCH(费用摘要!$B10,服务费明细!$B:$B,0))</f>
        <v>召开研究者会议</v>
      </c>
      <c r="D10" s="628">
        <f>INDEX(服务费明细!$AF:$AF,MATCH(费用摘要!$B10,服务费明细!$B:$B,0))</f>
        <v>73330</v>
      </c>
      <c r="E10" s="629" t="str">
        <f t="shared" si="0"/>
        <v>NA</v>
      </c>
      <c r="F10" s="628">
        <f>INDEX(服务费明细!$AH:$AH,MATCH(费用摘要!$B10,服务费明细!$B:$B,0))</f>
        <v>73330</v>
      </c>
      <c r="G10" s="183"/>
    </row>
    <row r="11" ht="23.4" customHeight="1" spans="2:9">
      <c r="B11" s="173" t="s">
        <v>920</v>
      </c>
      <c r="C11" s="627" t="str">
        <f>INDEX(服务费明细!$C:$C,MATCH(费用摘要!$B11,服务费明细!$B:$B,0))</f>
        <v>临床监查和中心管理</v>
      </c>
      <c r="D11" s="628">
        <f>INDEX(服务费明细!$AF:$AF,MATCH(费用摘要!$B11,服务费明细!$B:$B,0))</f>
        <v>971055</v>
      </c>
      <c r="E11" s="629" t="str">
        <f t="shared" si="0"/>
        <v>NA</v>
      </c>
      <c r="F11" s="628">
        <f>INDEX(服务费明细!$AH:$AH,MATCH(费用摘要!$B11,服务费明细!$B:$B,0))</f>
        <v>971055</v>
      </c>
      <c r="G11" s="183"/>
    </row>
    <row r="12" ht="23.4" customHeight="1" spans="2:9">
      <c r="B12" s="173" t="s">
        <v>921</v>
      </c>
      <c r="C12" s="627" t="str">
        <f>INDEX(服务费明细!$C:$C,MATCH(费用摘要!$B12,服务费明细!$B:$B,0))</f>
        <v>项目管理</v>
      </c>
      <c r="D12" s="628">
        <f>INDEX(服务费明细!$AF:$AF,MATCH(费用摘要!$B12,服务费明细!$B:$B,0))</f>
        <v>782562.5</v>
      </c>
      <c r="E12" s="629" t="str">
        <f t="shared" si="0"/>
        <v>NA</v>
      </c>
      <c r="F12" s="628">
        <f>INDEX(服务费明细!$AH:$AH,MATCH(费用摘要!$B12,服务费明细!$B:$B,0))</f>
        <v>782562.5</v>
      </c>
      <c r="G12" s="183"/>
    </row>
    <row r="13" ht="23.4" customHeight="1" spans="2:9">
      <c r="B13" s="173" t="s">
        <v>922</v>
      </c>
      <c r="C13" s="627" t="str">
        <f>INDEX(服务费明细!$C:$C,MATCH(费用摘要!$B13,服务费明细!$B:$B,0))</f>
        <v>医学监查</v>
      </c>
      <c r="D13" s="628">
        <f>INDEX(服务费明细!$AF:$AF,MATCH(费用摘要!$B13,服务费明细!$B:$B,0))</f>
        <v>285273</v>
      </c>
      <c r="E13" s="629" t="str">
        <f t="shared" si="0"/>
        <v>NA</v>
      </c>
      <c r="F13" s="628">
        <f>INDEX(服务费明细!$AH:$AH,MATCH(费用摘要!$B13,服务费明细!$B:$B,0))</f>
        <v>285273</v>
      </c>
      <c r="G13" s="183"/>
    </row>
    <row r="14" ht="23.4" customHeight="1" spans="2:9">
      <c r="B14" s="173" t="s">
        <v>923</v>
      </c>
      <c r="C14" s="627" t="str">
        <f>INDEX(服务费明细!$C:$C,MATCH(费用摘要!$B14,服务费明细!$B:$B,0))</f>
        <v>数据管理</v>
      </c>
      <c r="D14" s="628">
        <f>INDEX(服务费明细!$AF:$AF,MATCH(费用摘要!$B14,服务费明细!$B:$B,0))</f>
        <v>204684</v>
      </c>
      <c r="E14" s="629" t="str">
        <f t="shared" si="0"/>
        <v>NA</v>
      </c>
      <c r="F14" s="628">
        <f>INDEX(服务费明细!$AH:$AH,MATCH(费用摘要!$B14,服务费明细!$B:$B,0))</f>
        <v>204684</v>
      </c>
      <c r="G14" s="183"/>
    </row>
    <row r="15" ht="23.4" customHeight="1" spans="2:9">
      <c r="B15" s="173" t="s">
        <v>924</v>
      </c>
      <c r="C15" s="627" t="str">
        <f>INDEX(服务费明细!$C:$C,MATCH(费用摘要!$B15,服务费明细!$B:$B,0))</f>
        <v>生物统计及分析</v>
      </c>
      <c r="D15" s="628">
        <f>INDEX(服务费明细!$AF:$AF,MATCH(费用摘要!$B15,服务费明细!$B:$B,0))</f>
        <v>243762.5</v>
      </c>
      <c r="E15" s="629" t="str">
        <f t="shared" si="0"/>
        <v>NA</v>
      </c>
      <c r="F15" s="628">
        <f>INDEX(服务费明细!$AH:$AH,MATCH(费用摘要!$B15,服务费明细!$B:$B,0))</f>
        <v>243762.5</v>
      </c>
      <c r="G15" s="183"/>
    </row>
    <row r="16" ht="23.4" customHeight="1" spans="2:9">
      <c r="B16" s="173" t="s">
        <v>925</v>
      </c>
      <c r="C16" s="627" t="str">
        <f>INDEX(服务费明细!$C:$C,MATCH(费用摘要!$B16,服务费明细!$B:$B,0))</f>
        <v>临床药理</v>
      </c>
      <c r="D16" s="628">
        <f>INDEX(服务费明细!$AF:$AF,MATCH(费用摘要!$B16,服务费明细!$B:$B,0))</f>
        <v>113740</v>
      </c>
      <c r="E16" s="629" t="str">
        <f t="shared" si="0"/>
        <v>NA</v>
      </c>
      <c r="F16" s="628">
        <f>INDEX(服务费明细!$AH:$AH,MATCH(费用摘要!$B16,服务费明细!$B:$B,0))</f>
        <v>113740</v>
      </c>
      <c r="G16" s="183"/>
    </row>
    <row r="17" ht="23.4" customHeight="1" spans="2:8">
      <c r="B17" s="173" t="s">
        <v>926</v>
      </c>
      <c r="C17" s="627" t="str">
        <f>INDEX(服务费明细!$C:$C,MATCH(费用摘要!$B17,服务费明细!$B:$B,0))</f>
        <v>安全警戒</v>
      </c>
      <c r="D17" s="628">
        <f>INDEX(服务费明细!$AF:$AF,MATCH(费用摘要!$B17,服务费明细!$B:$B,0))</f>
        <v>171520</v>
      </c>
      <c r="E17" s="629" t="str">
        <f t="shared" si="0"/>
        <v>NA</v>
      </c>
      <c r="F17" s="628">
        <f>INDEX(服务费明细!$AH:$AH,MATCH(费用摘要!$B17,服务费明细!$B:$B,0))</f>
        <v>171520</v>
      </c>
      <c r="G17" s="183"/>
    </row>
    <row r="18" ht="23.4" customHeight="1" spans="2:8">
      <c r="B18" s="173" t="s">
        <v>927</v>
      </c>
      <c r="C18" s="627" t="str">
        <f>INDEX(服务费明细!$C:$C,MATCH(费用摘要!$B18,服务费明细!$B:$B,0))</f>
        <v>医学撰写</v>
      </c>
      <c r="D18" s="628">
        <f>INDEX(服务费明细!$AF:$AF,MATCH(费用摘要!$B18,服务费明细!$B:$B,0))</f>
        <v>101640</v>
      </c>
      <c r="E18" s="629" t="str">
        <f t="shared" si="0"/>
        <v>NA</v>
      </c>
      <c r="F18" s="628">
        <f>INDEX(服务费明细!$AH:$AH,MATCH(费用摘要!$B18,服务费明细!$B:$B,0))</f>
        <v>101640</v>
      </c>
      <c r="G18" s="183"/>
    </row>
    <row r="19" ht="23.4" customHeight="1" spans="2:8">
      <c r="B19" s="173" t="s">
        <v>928</v>
      </c>
      <c r="C19" s="627" t="str">
        <f>INDEX(服务费明细!$C:$C,MATCH(费用摘要!$B19,服务费明细!$B:$B,0))</f>
        <v>非盲临床运营</v>
      </c>
      <c r="D19" s="628">
        <f>INDEX(服务费明细!$AF:$AF,MATCH(费用摘要!$B19,服务费明细!$B:$B,0))</f>
        <v>0</v>
      </c>
      <c r="E19" s="629" t="str">
        <f t="shared" si="0"/>
        <v>NA</v>
      </c>
      <c r="F19" s="628">
        <f>INDEX(服务费明细!$AH:$AH,MATCH(费用摘要!$B19,服务费明细!$B:$B,0))</f>
        <v>0</v>
      </c>
      <c r="G19" s="183"/>
    </row>
    <row r="20" ht="23.4" customHeight="1" spans="2:8">
      <c r="B20" s="173" t="s">
        <v>929</v>
      </c>
      <c r="C20" s="627" t="str">
        <f>INDEX(服务费明细!$C:$C,MATCH(费用摘要!$B20,服务费明细!$B:$B,0))</f>
        <v>质量保证</v>
      </c>
      <c r="D20" s="628">
        <f>INDEX(服务费明细!$AF:$AF,MATCH(费用摘要!$B20,服务费明细!$B:$B,0))</f>
        <v>0</v>
      </c>
      <c r="E20" s="629" t="str">
        <f t="shared" si="0"/>
        <v>NA</v>
      </c>
      <c r="F20" s="628">
        <f>INDEX(服务费明细!$AH:$AH,MATCH(费用摘要!$B20,服务费明细!$B:$B,0))</f>
        <v>0</v>
      </c>
      <c r="G20" s="183"/>
    </row>
    <row r="21" ht="23.4" customHeight="1" spans="2:8">
      <c r="B21" s="173" t="s">
        <v>930</v>
      </c>
      <c r="C21" s="627" t="str">
        <f>INDEX(服务费明细!$C:$C,MATCH(费用摘要!$B21,服务费明细!$B:$B,0))</f>
        <v>国家局核查支持</v>
      </c>
      <c r="D21" s="628">
        <f>INDEX(服务费明细!$AF:$AF,MATCH(费用摘要!$B21,服务费明细!$B:$B,0))</f>
        <v>0</v>
      </c>
      <c r="E21" s="629" t="str">
        <f t="shared" si="0"/>
        <v>NA</v>
      </c>
      <c r="F21" s="628">
        <f>INDEX(服务费明细!$AH:$AH,MATCH(费用摘要!$B21,服务费明细!$B:$B,0))</f>
        <v>0</v>
      </c>
      <c r="G21" s="183" t="s">
        <v>931</v>
      </c>
    </row>
    <row r="22" ht="23.4" customHeight="1" spans="2:8">
      <c r="B22" s="188" t="s">
        <v>932</v>
      </c>
      <c r="C22" s="630" t="s">
        <v>933</v>
      </c>
      <c r="D22" s="631">
        <f>ROUND(SUM($D$7:$D$21,D5),2)</f>
        <v>3348842</v>
      </c>
      <c r="E22" s="632"/>
      <c r="F22" s="631">
        <f>ROUND(SUM(F$7:F$21,F5),2)</f>
        <v>3348842</v>
      </c>
      <c r="G22" s="633"/>
      <c r="H22" s="634"/>
    </row>
    <row r="23" ht="23.4" hidden="1" customHeight="1" outlineLevel="1" spans="2:8">
      <c r="B23" s="173" t="s">
        <v>934</v>
      </c>
      <c r="C23" s="635">
        <f>服务费明细!$C$252</f>
        <v>0.066</v>
      </c>
      <c r="D23" s="623">
        <f>D24-D22</f>
        <v>221023.57</v>
      </c>
      <c r="E23" s="636"/>
      <c r="F23" s="623">
        <f>F24-F22</f>
        <v>221023.57</v>
      </c>
      <c r="G23" s="183"/>
      <c r="H23" s="634" t="s">
        <v>935</v>
      </c>
    </row>
    <row r="24" ht="23.4" hidden="1" customHeight="1" outlineLevel="1" spans="2:8">
      <c r="B24" s="619" t="s">
        <v>936</v>
      </c>
      <c r="C24" s="619" t="s">
        <v>933</v>
      </c>
      <c r="D24" s="637">
        <f>ROUND(D22*(1+$C$23),2)</f>
        <v>3569865.57</v>
      </c>
      <c r="E24" s="638"/>
      <c r="F24" s="637">
        <f>ROUND(F22*(1+$C$23),2)</f>
        <v>3569865.57</v>
      </c>
      <c r="G24" s="639"/>
      <c r="H24" s="634" t="s">
        <v>935</v>
      </c>
    </row>
    <row r="25" ht="23.4" hidden="1" customHeight="1" outlineLevel="1" spans="2:8">
      <c r="B25" s="640" t="s">
        <v>932</v>
      </c>
      <c r="C25" s="640" t="s">
        <v>937</v>
      </c>
      <c r="D25" s="641">
        <f>D22-F22</f>
        <v>0</v>
      </c>
      <c r="E25" s="642" t="s">
        <v>741</v>
      </c>
      <c r="F25" s="643">
        <f>IFERROR(ROUND(($D$22-$F$22)/$D$22,2),0)</f>
        <v>0</v>
      </c>
      <c r="G25" s="644">
        <f>IF($F$25&gt;0,IF(LEN(1-$F$25)-LEN(INT(1-$F$25))-1=1,(1-$F$25)*10&amp;"折",(1-$F$25)*100&amp;"折"),)</f>
        <v>0</v>
      </c>
      <c r="H25" s="634" t="s">
        <v>935</v>
      </c>
    </row>
    <row r="26" ht="30.6" customHeight="1" collapsed="1" spans="2:8">
      <c r="B26" s="619" t="s">
        <v>907</v>
      </c>
      <c r="C26" s="619" t="s">
        <v>938</v>
      </c>
      <c r="D26" s="620" t="s">
        <v>909</v>
      </c>
      <c r="E26" s="621" t="s">
        <v>741</v>
      </c>
      <c r="F26" s="620" t="s">
        <v>910</v>
      </c>
      <c r="G26" s="619" t="s">
        <v>747</v>
      </c>
    </row>
    <row r="27" ht="23.4" customHeight="1" spans="2:8">
      <c r="B27" s="173" t="s">
        <v>939</v>
      </c>
      <c r="C27" s="627" t="str">
        <f>INDEX(其他费用明细!$D:$D,MATCH(费用摘要!$B27,其他费用明细!$C:$C,0))</f>
        <v>有临系统</v>
      </c>
      <c r="D27" s="628">
        <f>INDEX(其他费用明细!$I:$I,MATCH(费用摘要!$B27,其他费用明细!$C:$C,0))</f>
        <v>0</v>
      </c>
      <c r="E27" s="629">
        <v>0</v>
      </c>
      <c r="F27" s="628">
        <f>IF(E27="",D27,D27*(1-E27))</f>
        <v>0</v>
      </c>
      <c r="G27" s="626">
        <f>IF($E$27&gt;0,IF(LEN(1-$E$27)-LEN(INT(1-$E$27))-1=1,(1-$E$27)*10&amp;"折",(1-$E$27)*100&amp;"折"),)</f>
        <v>0</v>
      </c>
      <c r="H27" s="607" t="s">
        <v>940</v>
      </c>
    </row>
    <row r="28" ht="23.4" customHeight="1" spans="2:8">
      <c r="B28" s="173" t="s">
        <v>941</v>
      </c>
      <c r="C28" s="645" t="str">
        <f>INDEX(其他费用明细!$D:$D,MATCH(费用摘要!$B28,其他费用明细!$C:$C,0))</f>
        <v>CRO间接费用</v>
      </c>
      <c r="D28" s="628">
        <f>INDEX(其他费用明细!$I:$I,MATCH(费用摘要!$B28,其他费用明细!$C:$C,0))</f>
        <v>147550</v>
      </c>
      <c r="E28" s="646" t="s">
        <v>685</v>
      </c>
      <c r="F28" s="628">
        <f>IF(E28="NA",D28,D28*(1-E28))</f>
        <v>147550</v>
      </c>
      <c r="G28" s="183"/>
    </row>
    <row r="29" ht="23.4" customHeight="1" spans="2:8">
      <c r="B29" s="173" t="s">
        <v>942</v>
      </c>
      <c r="C29" s="645" t="str">
        <f>INDEX(其他费用明细!$D:$D,MATCH(费用摘要!$B29,其他费用明细!$C:$C,0))</f>
        <v>会议相关费用</v>
      </c>
      <c r="D29" s="628">
        <f>INDEX(其他费用明细!$I:$I,MATCH(费用摘要!$B29,其他费用明细!$C:$C,0))</f>
        <v>0</v>
      </c>
      <c r="E29" s="646" t="s">
        <v>685</v>
      </c>
      <c r="F29" s="628">
        <f>IF(E29="NA",D29,D29*(1-E29))</f>
        <v>0</v>
      </c>
      <c r="G29" s="183"/>
    </row>
    <row r="30" ht="23.4" customHeight="1" spans="2:8">
      <c r="B30" s="173" t="s">
        <v>943</v>
      </c>
      <c r="C30" s="627" t="str">
        <f>INDEX(其他费用明细!$D:$D,MATCH(费用摘要!$B30,其他费用明细!$C:$C,0))</f>
        <v>供应商费用</v>
      </c>
      <c r="D30" s="628">
        <f>INDEX(其他费用明细!$I:$I,MATCH(费用摘要!$B30,其他费用明细!$C:$C,0))</f>
        <v>0</v>
      </c>
      <c r="E30" s="646" t="s">
        <v>685</v>
      </c>
      <c r="F30" s="628">
        <f>IF(E30="NA",D30,D30*(1-E30))</f>
        <v>0</v>
      </c>
      <c r="G30" s="183"/>
    </row>
    <row r="31" ht="23.4" customHeight="1" spans="2:8">
      <c r="B31" s="173" t="s">
        <v>944</v>
      </c>
      <c r="C31" s="627" t="str">
        <f>INDEX(其他费用明细!$D:$D,MATCH(费用摘要!$B31,其他费用明细!$C:$C,0))</f>
        <v>研究中心费用</v>
      </c>
      <c r="D31" s="628">
        <f>INDEX(其他费用明细!$I:$I,MATCH(费用摘要!$B31,其他费用明细!$C:$C,0))</f>
        <v>0</v>
      </c>
      <c r="E31" s="646" t="s">
        <v>685</v>
      </c>
      <c r="F31" s="628">
        <f>IF(E31="NA",D31,D31*(1-E31))</f>
        <v>0</v>
      </c>
      <c r="G31" s="183"/>
    </row>
    <row r="32" ht="23.4" customHeight="1" spans="2:8">
      <c r="B32" s="188" t="s">
        <v>932</v>
      </c>
      <c r="C32" s="630" t="s">
        <v>945</v>
      </c>
      <c r="D32" s="631">
        <f>ROUND(SUM($D$27:$D$31),2)</f>
        <v>147550</v>
      </c>
      <c r="E32" s="647"/>
      <c r="F32" s="631">
        <f>ROUND(SUM($F$27:$F$31),2)</f>
        <v>147550</v>
      </c>
      <c r="G32" s="633" t="s">
        <v>946</v>
      </c>
    </row>
    <row r="33" ht="23.4" customHeight="1" outlineLevel="1" spans="2:9">
      <c r="B33" s="173" t="s">
        <v>934</v>
      </c>
      <c r="C33" s="635">
        <f>其他费用明细!D73</f>
        <v>0.066</v>
      </c>
      <c r="D33" s="623">
        <f>D34-D32</f>
        <v>9738.29999999999</v>
      </c>
      <c r="E33" s="636"/>
      <c r="F33" s="623">
        <f>F34-F32</f>
        <v>9738.29999999999</v>
      </c>
      <c r="G33" s="183"/>
      <c r="H33" s="607" t="s">
        <v>935</v>
      </c>
    </row>
    <row r="34" ht="23.4" customHeight="1" outlineLevel="1" spans="2:9">
      <c r="B34" s="619" t="s">
        <v>936</v>
      </c>
      <c r="C34" s="619" t="s">
        <v>945</v>
      </c>
      <c r="D34" s="637">
        <f>ROUND(D32*(1+$C$33),2)</f>
        <v>157288.3</v>
      </c>
      <c r="E34" s="638"/>
      <c r="F34" s="637">
        <f>ROUND(F32*(1+$C$33),2)</f>
        <v>157288.3</v>
      </c>
      <c r="G34" s="639"/>
      <c r="H34" s="634" t="s">
        <v>935</v>
      </c>
    </row>
    <row r="35" ht="21.6" customHeight="1" spans="2:9">
      <c r="G35" s="168"/>
    </row>
    <row r="36" s="104" customFormat="1" ht="23.4" customHeight="1" spans="2:9">
      <c r="B36" s="630" t="s">
        <v>932</v>
      </c>
      <c r="C36" s="630" t="s">
        <v>947</v>
      </c>
      <c r="D36" s="631">
        <f>D22+D32</f>
        <v>3496392</v>
      </c>
      <c r="E36" s="647"/>
      <c r="F36" s="631">
        <f>F22+F32</f>
        <v>3496392</v>
      </c>
      <c r="G36" s="633"/>
      <c r="H36" s="625"/>
    </row>
    <row r="37" ht="23.4" customHeight="1" spans="2:9">
      <c r="B37" s="173" t="s">
        <v>934</v>
      </c>
      <c r="C37" s="635">
        <f>服务费明细!C252</f>
        <v>0.066</v>
      </c>
      <c r="D37" s="623">
        <f>D38-D36</f>
        <v>230761.87</v>
      </c>
      <c r="E37" s="623"/>
      <c r="F37" s="623">
        <f t="shared" ref="F37" si="1">F38-F36</f>
        <v>230761.87</v>
      </c>
      <c r="G37" s="183"/>
      <c r="H37" s="634"/>
    </row>
    <row r="38" ht="23.4" customHeight="1" spans="2:9">
      <c r="B38" s="648" t="s">
        <v>936</v>
      </c>
      <c r="C38" s="619" t="s">
        <v>947</v>
      </c>
      <c r="D38" s="637">
        <f>D24+D34</f>
        <v>3727153.87</v>
      </c>
      <c r="E38" s="637"/>
      <c r="F38" s="637">
        <f t="shared" ref="F38" si="2">F24+F34</f>
        <v>3727153.87</v>
      </c>
      <c r="G38" s="639"/>
      <c r="H38" s="634">
        <f>F38/入组试验参与者数</f>
        <v>124238.462333333</v>
      </c>
    </row>
    <row r="39" ht="16.2" hidden="1" spans="2:9">
      <c r="B39" s="104"/>
      <c r="G39" s="168"/>
    </row>
    <row r="40" ht="23.4" hidden="1" customHeight="1" spans="2:9">
      <c r="B40" s="649" t="s">
        <v>948</v>
      </c>
      <c r="C40" s="650"/>
      <c r="D40" s="651">
        <f>D38-F38</f>
        <v>0</v>
      </c>
      <c r="E40" s="652"/>
      <c r="F40" s="653"/>
      <c r="G40" s="644"/>
      <c r="H40" s="625" t="s">
        <v>935</v>
      </c>
    </row>
    <row r="41" ht="16.2" spans="2:9">
      <c r="B41" s="104" t="s">
        <v>949</v>
      </c>
      <c r="H41" s="625" t="s">
        <v>950</v>
      </c>
      <c r="I41" s="82" t="s">
        <v>951</v>
      </c>
    </row>
    <row r="42" spans="2:9">
      <c r="B42" s="82" t="s">
        <v>952</v>
      </c>
      <c r="I42" s="82" t="s">
        <v>953</v>
      </c>
    </row>
    <row r="43" s="604" customFormat="1" ht="30.6" customHeight="1" spans="2:9">
      <c r="B43" s="654" t="s">
        <v>954</v>
      </c>
      <c r="C43" s="654"/>
      <c r="D43" s="654"/>
      <c r="E43" s="654"/>
      <c r="F43" s="654"/>
      <c r="G43" s="654"/>
      <c r="H43" s="655"/>
      <c r="I43" s="604" t="s">
        <v>955</v>
      </c>
    </row>
    <row r="44" spans="2:9">
      <c r="I44" s="82" t="s">
        <v>956</v>
      </c>
    </row>
    <row r="45" spans="2:9">
      <c r="I45" s="82" t="s">
        <v>957</v>
      </c>
    </row>
    <row r="46" spans="2:9">
      <c r="I46" s="82" t="s">
        <v>958</v>
      </c>
    </row>
  </sheetData>
  <mergeCells count="4">
    <mergeCell ref="B1:G1"/>
    <mergeCell ref="B40:C40"/>
    <mergeCell ref="D40:F40"/>
    <mergeCell ref="B43:G43"/>
  </mergeCells>
  <dataValidations count="2">
    <dataValidation type="list" allowBlank="1" showInputMessage="1" showErrorMessage="1" sqref="C2">
      <formula1>"v1,v2,v3,v4,v5,v6,v7,v8,v9"</formula1>
    </dataValidation>
    <dataValidation type="list" allowBlank="1" showInputMessage="1" showErrorMessage="1" sqref="C3">
      <formula1>"30天,60天,90天,120天,180天"</formula1>
    </dataValidation>
  </dataValidations>
  <pageMargins left="0.7" right="0.7" top="0.75" bottom="0.75" header="0.3" footer="0.3"/>
  <pageSetup paperSize="9" scale="65" fitToHeight="0" orientation="portrait" horizontalDpi="1200" verticalDpi="1200"/>
  <headerFooter>
    <oddFooter>&amp;C&amp;"微软雅黑,常规"&amp;9本文档中的所有内容为上海有临医药科技有限公司的机密和专属所有，未经明确书面许可， 任何组织或个人不得以任何目的、任何形式及任何手段复制或传播本文档部分或全部内容。</oddFooter>
  </headerFooter>
  <colBreaks count="1" manualBreakCount="1">
    <brk id="7" max="1048575" man="1"/>
  </colBreaks>
  <ignoredErrors>
    <ignoredError sqref="E6 D37 F37" formula="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workbookViewId="0">
      <selection activeCell="B31" sqref="B31"/>
    </sheetView>
  </sheetViews>
  <sheetFormatPr defaultColWidth="9" defaultRowHeight="13.8"/>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0070C0"/>
    <pageSetUpPr fitToPage="1"/>
  </sheetPr>
  <dimension ref="A1:CTV256"/>
  <sheetViews>
    <sheetView view="pageBreakPreview" zoomScale="85" zoomScaleNormal="100" topLeftCell="A133" workbookViewId="0">
      <selection activeCell="AF159" sqref="AF159"/>
    </sheetView>
  </sheetViews>
  <sheetFormatPr defaultColWidth="8.88888888888889" defaultRowHeight="15"/>
  <cols>
    <col min="1" max="1" width="11.5833333333333" style="261" customWidth="1"/>
    <col min="2" max="2" width="6.44444444444444" style="261" customWidth="1"/>
    <col min="3" max="3" width="40.787037037037" style="261" customWidth="1"/>
    <col min="4" max="4" width="9.11111111111111" style="262" customWidth="1"/>
    <col min="5" max="5" width="10.4444444444444" style="262" customWidth="1"/>
    <col min="6" max="6" width="9.11111111111111" style="261" customWidth="1"/>
    <col min="7" max="30" width="9.11111111111111" style="261" hidden="1" customWidth="1" outlineLevel="1"/>
    <col min="31" max="31" width="14.6666666666667" style="541" customWidth="1" collapsed="1"/>
    <col min="32" max="32" width="14.8888888888889" style="542" customWidth="1"/>
    <col min="33" max="33" width="14.2222222222222" style="542" customWidth="1" outlineLevel="1"/>
    <col min="34" max="34" width="14.2222222222222" style="541" customWidth="1" outlineLevel="1"/>
    <col min="35" max="35" width="44.6666666666667" style="172" customWidth="1"/>
    <col min="36" max="36" width="10.5555555555556" style="366" customWidth="1"/>
    <col min="37" max="37" width="10.5555555555556" style="543" customWidth="1"/>
    <col min="38" max="38" width="10.462962962963" style="357" customWidth="1"/>
    <col min="39" max="61" width="10.5555555555556" style="368" customWidth="1"/>
    <col min="62" max="62" width="11.6666666666667" style="368" customWidth="1"/>
    <col min="63" max="63" width="10.5555555555556" style="368" customWidth="1"/>
    <col min="64" max="64" width="9.33333333333333" style="368" customWidth="1"/>
    <col min="65" max="67" width="9.44444444444444" style="368" customWidth="1"/>
    <col min="68" max="68" width="8.88888888888889" style="261"/>
    <col min="69" max="69" width="12.6666666666667" style="369" customWidth="1"/>
    <col min="70" max="70" width="12.3333333333333" style="369" customWidth="1"/>
    <col min="71" max="71" width="10.4444444444444" style="369" customWidth="1"/>
    <col min="72" max="72" width="12.3333333333333" style="369" customWidth="1"/>
    <col min="73" max="73" width="12.8888888888889" style="369" customWidth="1"/>
    <col min="74" max="74" width="9.11111111111111" style="369" customWidth="1"/>
    <col min="75" max="75" width="10.4444444444444" style="369" customWidth="1"/>
    <col min="76" max="16384" width="8.88888888888889" style="261"/>
  </cols>
  <sheetData>
    <row r="1" ht="23.4" spans="1:75">
      <c r="B1" s="421" t="s">
        <v>959</v>
      </c>
      <c r="C1" s="351"/>
      <c r="D1" s="351"/>
      <c r="E1" s="351"/>
      <c r="F1" s="351"/>
      <c r="G1" s="351"/>
      <c r="H1" s="351"/>
      <c r="I1" s="351"/>
      <c r="J1" s="351"/>
      <c r="K1" s="351"/>
      <c r="L1" s="351"/>
      <c r="M1" s="351"/>
      <c r="N1" s="351"/>
      <c r="O1" s="351"/>
      <c r="P1" s="351"/>
      <c r="Q1" s="351"/>
      <c r="R1" s="351"/>
      <c r="S1" s="351"/>
      <c r="T1" s="351"/>
      <c r="U1" s="351"/>
      <c r="V1" s="351"/>
      <c r="W1" s="351"/>
      <c r="X1" s="351"/>
      <c r="Y1" s="351"/>
      <c r="Z1" s="351"/>
      <c r="AA1" s="351"/>
      <c r="AB1" s="351"/>
      <c r="AC1" s="351"/>
      <c r="AD1" s="351"/>
      <c r="AE1" s="544"/>
      <c r="AF1" s="545"/>
      <c r="AG1" s="545"/>
      <c r="AH1" s="544"/>
      <c r="AI1" s="546" t="s">
        <v>960</v>
      </c>
      <c r="AJ1" s="355" t="s">
        <v>961</v>
      </c>
      <c r="AK1" s="547"/>
      <c r="AM1" s="358"/>
      <c r="AN1" s="358"/>
      <c r="AO1" s="358"/>
      <c r="AP1" s="358"/>
      <c r="AQ1" s="358"/>
      <c r="AR1" s="358"/>
      <c r="AS1" s="358"/>
      <c r="AT1" s="358"/>
      <c r="AU1" s="358"/>
      <c r="AV1" s="358"/>
      <c r="AW1" s="358"/>
      <c r="AX1" s="358"/>
      <c r="AY1" s="358"/>
      <c r="AZ1" s="358"/>
      <c r="BA1" s="358"/>
      <c r="BB1" s="358"/>
      <c r="BC1" s="358"/>
      <c r="BD1" s="358"/>
      <c r="BE1" s="358"/>
      <c r="BF1" s="358"/>
      <c r="BG1" s="358"/>
      <c r="BH1" s="358"/>
      <c r="BI1" s="358" t="s">
        <v>961</v>
      </c>
      <c r="BJ1" s="359"/>
      <c r="BK1" s="359"/>
      <c r="BL1" s="359"/>
      <c r="BM1" s="359"/>
      <c r="BN1" s="359"/>
      <c r="BO1" s="359"/>
      <c r="BQ1" s="360" t="s">
        <v>962</v>
      </c>
      <c r="BR1" s="360"/>
      <c r="BS1" s="360"/>
      <c r="BT1" s="360"/>
      <c r="BU1" s="360"/>
      <c r="BV1" s="360"/>
      <c r="BW1" s="360"/>
    </row>
    <row r="2" ht="15.6" spans="1:75">
      <c r="B2" s="361" t="s">
        <v>963</v>
      </c>
      <c r="G2" s="423" t="s">
        <v>964</v>
      </c>
      <c r="AC2" s="548" t="s">
        <v>965</v>
      </c>
      <c r="AD2" s="548"/>
      <c r="AG2" s="549" t="s">
        <v>966</v>
      </c>
      <c r="AH2" s="549" t="s">
        <v>966</v>
      </c>
      <c r="AL2" s="317"/>
    </row>
    <row r="3" ht="46.8" spans="1:75">
      <c r="A3" s="261" t="s">
        <v>967</v>
      </c>
      <c r="B3" s="370" t="s">
        <v>907</v>
      </c>
      <c r="C3" s="370" t="s">
        <v>968</v>
      </c>
      <c r="D3" s="370" t="s">
        <v>740</v>
      </c>
      <c r="E3" s="370" t="s">
        <v>969</v>
      </c>
      <c r="F3" s="370" t="s">
        <v>970</v>
      </c>
      <c r="G3" s="550" t="s">
        <v>595</v>
      </c>
      <c r="H3" s="550" t="s">
        <v>597</v>
      </c>
      <c r="I3" s="550" t="s">
        <v>599</v>
      </c>
      <c r="J3" s="550" t="s">
        <v>601</v>
      </c>
      <c r="K3" s="550" t="s">
        <v>603</v>
      </c>
      <c r="L3" s="550" t="s">
        <v>613</v>
      </c>
      <c r="M3" s="550" t="s">
        <v>615</v>
      </c>
      <c r="N3" s="550" t="s">
        <v>624</v>
      </c>
      <c r="O3" s="550" t="s">
        <v>620</v>
      </c>
      <c r="P3" s="550" t="s">
        <v>622</v>
      </c>
      <c r="Q3" s="550" t="s">
        <v>629</v>
      </c>
      <c r="R3" s="550" t="s">
        <v>631</v>
      </c>
      <c r="S3" s="550" t="s">
        <v>633</v>
      </c>
      <c r="T3" s="550" t="s">
        <v>635</v>
      </c>
      <c r="U3" s="550" t="s">
        <v>638</v>
      </c>
      <c r="V3" s="550" t="s">
        <v>639</v>
      </c>
      <c r="W3" s="550" t="s">
        <v>642</v>
      </c>
      <c r="X3" s="550" t="s">
        <v>652</v>
      </c>
      <c r="Y3" s="550" t="s">
        <v>654</v>
      </c>
      <c r="Z3" s="550" t="s">
        <v>645</v>
      </c>
      <c r="AA3" s="550" t="s">
        <v>647</v>
      </c>
      <c r="AB3" s="550" t="s">
        <v>649</v>
      </c>
      <c r="AC3" s="551" t="s">
        <v>971</v>
      </c>
      <c r="AD3" s="551" t="s">
        <v>972</v>
      </c>
      <c r="AE3" s="552" t="s">
        <v>973</v>
      </c>
      <c r="AF3" s="552" t="s">
        <v>971</v>
      </c>
      <c r="AG3" s="552" t="s">
        <v>974</v>
      </c>
      <c r="AH3" s="552" t="s">
        <v>975</v>
      </c>
      <c r="AI3" s="370" t="s">
        <v>747</v>
      </c>
      <c r="AJ3" s="553" t="s">
        <v>976</v>
      </c>
      <c r="AK3" s="554" t="s">
        <v>977</v>
      </c>
      <c r="AL3" s="550" t="s">
        <v>595</v>
      </c>
      <c r="AM3" s="550" t="s">
        <v>597</v>
      </c>
      <c r="AN3" s="550" t="s">
        <v>599</v>
      </c>
      <c r="AO3" s="550" t="s">
        <v>601</v>
      </c>
      <c r="AP3" s="550" t="s">
        <v>603</v>
      </c>
      <c r="AQ3" s="550" t="s">
        <v>613</v>
      </c>
      <c r="AR3" s="550" t="s">
        <v>615</v>
      </c>
      <c r="AS3" s="550" t="s">
        <v>624</v>
      </c>
      <c r="AT3" s="550" t="s">
        <v>620</v>
      </c>
      <c r="AU3" s="550" t="s">
        <v>622</v>
      </c>
      <c r="AV3" s="550" t="s">
        <v>629</v>
      </c>
      <c r="AW3" s="550" t="s">
        <v>631</v>
      </c>
      <c r="AX3" s="550" t="s">
        <v>633</v>
      </c>
      <c r="AY3" s="550" t="s">
        <v>635</v>
      </c>
      <c r="AZ3" s="550" t="s">
        <v>638</v>
      </c>
      <c r="BA3" s="550" t="s">
        <v>639</v>
      </c>
      <c r="BB3" s="550" t="s">
        <v>642</v>
      </c>
      <c r="BC3" s="550" t="s">
        <v>652</v>
      </c>
      <c r="BD3" s="550" t="s">
        <v>654</v>
      </c>
      <c r="BE3" s="550" t="s">
        <v>645</v>
      </c>
      <c r="BF3" s="550" t="s">
        <v>647</v>
      </c>
      <c r="BG3" s="550" t="s">
        <v>649</v>
      </c>
      <c r="BH3" s="555"/>
      <c r="BI3" s="373" t="s">
        <v>577</v>
      </c>
      <c r="BJ3" s="373" t="s">
        <v>569</v>
      </c>
      <c r="BK3" s="373" t="s">
        <v>573</v>
      </c>
      <c r="BL3" s="373" t="s">
        <v>634</v>
      </c>
      <c r="BM3" s="373" t="s">
        <v>576</v>
      </c>
      <c r="BN3" s="373" t="s">
        <v>568</v>
      </c>
      <c r="BO3" s="373" t="s">
        <v>580</v>
      </c>
      <c r="BP3" s="262"/>
      <c r="BQ3" s="374" t="s">
        <v>577</v>
      </c>
      <c r="BR3" s="374" t="s">
        <v>569</v>
      </c>
      <c r="BS3" s="375" t="s">
        <v>573</v>
      </c>
      <c r="BT3" s="375" t="s">
        <v>634</v>
      </c>
      <c r="BU3" s="374" t="s">
        <v>576</v>
      </c>
      <c r="BV3" s="374" t="s">
        <v>568</v>
      </c>
      <c r="BW3" s="374" t="s">
        <v>580</v>
      </c>
    </row>
    <row r="4" ht="15.6" hidden="1" outlineLevel="1" spans="1:75">
      <c r="B4" s="370"/>
      <c r="C4" s="370" t="s">
        <v>978</v>
      </c>
      <c r="D4" s="370"/>
      <c r="E4" s="370"/>
      <c r="F4" s="370"/>
      <c r="G4" s="370">
        <f>'Rate Card'!K3</f>
        <v>340</v>
      </c>
      <c r="H4" s="370">
        <f>'Rate Card'!J4</f>
        <v>220</v>
      </c>
      <c r="I4" s="370">
        <f>'Rate Card'!J5</f>
        <v>650</v>
      </c>
      <c r="J4" s="370">
        <f>'Rate Card'!J6</f>
        <v>800</v>
      </c>
      <c r="K4" s="370">
        <f>'Rate Card'!J7</f>
        <v>600</v>
      </c>
      <c r="L4" s="370">
        <f>'Rate Card'!K10</f>
        <v>990</v>
      </c>
      <c r="M4" s="370">
        <f>'Rate Card'!K11</f>
        <v>650</v>
      </c>
      <c r="N4" s="370">
        <f>'Rate Card'!K14</f>
        <v>300</v>
      </c>
      <c r="O4" s="370">
        <f>'Rate Card'!K12</f>
        <v>500</v>
      </c>
      <c r="P4" s="370">
        <f>'Rate Card'!K13</f>
        <v>700</v>
      </c>
      <c r="Q4" s="370">
        <f>'Rate Card'!K15</f>
        <v>300</v>
      </c>
      <c r="R4" s="370">
        <f>'Rate Card'!K16</f>
        <v>200</v>
      </c>
      <c r="S4" s="370">
        <f>'Rate Card'!K17</f>
        <v>360</v>
      </c>
      <c r="T4" s="370">
        <f>'Rate Card'!K18</f>
        <v>225</v>
      </c>
      <c r="U4" s="370">
        <f>'Rate Card'!K19</f>
        <v>450</v>
      </c>
      <c r="V4" s="370">
        <f>'Rate Card'!K20</f>
        <v>400</v>
      </c>
      <c r="W4" s="370">
        <f>'Rate Card'!K21</f>
        <v>700</v>
      </c>
      <c r="X4" s="370">
        <f>'Rate Card'!K25</f>
        <v>580</v>
      </c>
      <c r="Y4" s="370">
        <f>'Rate Card'!K26</f>
        <v>700</v>
      </c>
      <c r="Z4" s="370">
        <f>'Rate Card'!K22</f>
        <v>1000</v>
      </c>
      <c r="AA4" s="370">
        <f>'Rate Card'!K23</f>
        <v>600</v>
      </c>
      <c r="AB4" s="370">
        <f>'Rate Card'!K24</f>
        <v>400</v>
      </c>
      <c r="AC4" s="370"/>
      <c r="AD4" s="370"/>
      <c r="AE4" s="552"/>
      <c r="AF4" s="552"/>
      <c r="AG4" s="552"/>
      <c r="AH4" s="552"/>
      <c r="AI4" s="370"/>
      <c r="AJ4" s="553"/>
      <c r="AK4" s="554"/>
      <c r="AL4" s="372"/>
      <c r="AM4" s="555"/>
      <c r="AN4" s="555"/>
      <c r="AO4" s="555"/>
      <c r="AP4" s="555"/>
      <c r="AQ4" s="555"/>
      <c r="AR4" s="555"/>
      <c r="AS4" s="555"/>
      <c r="AT4" s="555"/>
      <c r="AU4" s="555"/>
      <c r="AV4" s="555"/>
      <c r="AW4" s="555"/>
      <c r="AX4" s="555"/>
      <c r="AY4" s="555"/>
      <c r="AZ4" s="555"/>
      <c r="BA4" s="555"/>
      <c r="BB4" s="555"/>
      <c r="BC4" s="555"/>
      <c r="BD4" s="555"/>
      <c r="BE4" s="555"/>
      <c r="BF4" s="555"/>
      <c r="BG4" s="555"/>
      <c r="BH4" s="555"/>
      <c r="BI4" s="373"/>
      <c r="BJ4" s="373"/>
      <c r="BK4" s="373"/>
      <c r="BL4" s="373"/>
      <c r="BM4" s="373"/>
      <c r="BN4" s="373"/>
      <c r="BO4" s="373"/>
      <c r="BP4" s="262"/>
      <c r="BQ4" s="374"/>
      <c r="BR4" s="374"/>
      <c r="BS4" s="375"/>
      <c r="BT4" s="375"/>
      <c r="BU4" s="374"/>
      <c r="BV4" s="374"/>
      <c r="BW4" s="374"/>
    </row>
    <row r="5" ht="15.6" collapsed="1" spans="1:75">
      <c r="B5" s="88" t="s">
        <v>916</v>
      </c>
      <c r="C5" s="88" t="str">
        <f>INDEX(二三级标准!$Q:$Q,MATCH(服务费明细!$B5,二三级标准!$O:$O,0))</f>
        <v>研究文件撰写和审核</v>
      </c>
      <c r="D5" s="376">
        <f>IF(医学撰写YN=1,1,0)</f>
        <v>1</v>
      </c>
      <c r="E5" s="377"/>
      <c r="F5" s="378"/>
      <c r="G5" s="429">
        <f>SUM(G6:G14)</f>
        <v>0</v>
      </c>
      <c r="H5" s="429">
        <f t="shared" ref="H5:AB5" si="0">SUM(H6:H14)</f>
        <v>0</v>
      </c>
      <c r="I5" s="429">
        <f t="shared" si="0"/>
        <v>16</v>
      </c>
      <c r="J5" s="429">
        <f t="shared" si="0"/>
        <v>0</v>
      </c>
      <c r="K5" s="429">
        <f t="shared" si="0"/>
        <v>0</v>
      </c>
      <c r="L5" s="429">
        <f t="shared" si="0"/>
        <v>41.5</v>
      </c>
      <c r="M5" s="429">
        <f t="shared" si="0"/>
        <v>149</v>
      </c>
      <c r="N5" s="429">
        <f t="shared" si="0"/>
        <v>0</v>
      </c>
      <c r="O5" s="429">
        <f t="shared" si="0"/>
        <v>0</v>
      </c>
      <c r="P5" s="429">
        <f t="shared" si="0"/>
        <v>0</v>
      </c>
      <c r="Q5" s="429">
        <f t="shared" si="0"/>
        <v>0</v>
      </c>
      <c r="R5" s="429">
        <f t="shared" si="0"/>
        <v>19</v>
      </c>
      <c r="S5" s="429">
        <f t="shared" si="0"/>
        <v>6</v>
      </c>
      <c r="T5" s="429">
        <f t="shared" si="0"/>
        <v>0</v>
      </c>
      <c r="U5" s="429">
        <f t="shared" si="0"/>
        <v>0</v>
      </c>
      <c r="V5" s="556">
        <f t="shared" si="0"/>
        <v>6</v>
      </c>
      <c r="W5" s="429">
        <f t="shared" si="0"/>
        <v>6</v>
      </c>
      <c r="X5" s="429">
        <f t="shared" si="0"/>
        <v>0</v>
      </c>
      <c r="Y5" s="429">
        <f t="shared" si="0"/>
        <v>4</v>
      </c>
      <c r="Z5" s="429">
        <f t="shared" si="0"/>
        <v>0</v>
      </c>
      <c r="AA5" s="429">
        <f t="shared" si="0"/>
        <v>0</v>
      </c>
      <c r="AB5" s="429">
        <f t="shared" si="0"/>
        <v>0</v>
      </c>
      <c r="AC5" s="378"/>
      <c r="AD5" s="378">
        <f>SUM(G5:AB5)</f>
        <v>247.5</v>
      </c>
      <c r="AE5" s="379"/>
      <c r="AF5" s="380">
        <f>SUM(AF6:AF14)</f>
        <v>163695</v>
      </c>
      <c r="AG5" s="380"/>
      <c r="AH5" s="380">
        <f>SUM(AH6:AH14)</f>
        <v>163695</v>
      </c>
      <c r="AI5" s="557"/>
      <c r="AJ5" s="558"/>
      <c r="AK5" s="559">
        <f>SUM(AK6:AK14)</f>
        <v>247.5</v>
      </c>
      <c r="AL5" s="385"/>
      <c r="AM5" s="560"/>
      <c r="AN5" s="560"/>
      <c r="AO5" s="560"/>
      <c r="AP5" s="560"/>
      <c r="AQ5" s="560"/>
      <c r="AR5" s="560"/>
      <c r="AS5" s="560"/>
      <c r="AT5" s="560"/>
      <c r="AU5" s="560"/>
      <c r="AV5" s="560"/>
      <c r="AW5" s="560"/>
      <c r="AX5" s="560"/>
      <c r="AY5" s="560"/>
      <c r="AZ5" s="560"/>
      <c r="BA5" s="560"/>
      <c r="BB5" s="560"/>
      <c r="BC5" s="560"/>
      <c r="BD5" s="560"/>
      <c r="BE5" s="560"/>
      <c r="BF5" s="560"/>
      <c r="BG5" s="560"/>
      <c r="BH5" s="560"/>
      <c r="BI5" s="561">
        <f t="shared" ref="BI5:BO5" si="1">SUM(BI6:BI14)</f>
        <v>190.5</v>
      </c>
      <c r="BJ5" s="561">
        <f t="shared" si="1"/>
        <v>16</v>
      </c>
      <c r="BK5" s="561">
        <f t="shared" si="1"/>
        <v>25</v>
      </c>
      <c r="BL5" s="561">
        <f t="shared" si="1"/>
        <v>12</v>
      </c>
      <c r="BM5" s="561">
        <f t="shared" si="1"/>
        <v>0</v>
      </c>
      <c r="BN5" s="561">
        <f t="shared" si="1"/>
        <v>4</v>
      </c>
      <c r="BO5" s="561">
        <f t="shared" si="1"/>
        <v>0</v>
      </c>
      <c r="BQ5" s="562">
        <f t="shared" ref="BQ5:BW5" si="2">SUM(BQ6:BQ14)</f>
        <v>137935</v>
      </c>
      <c r="BR5" s="562">
        <f t="shared" si="2"/>
        <v>10400</v>
      </c>
      <c r="BS5" s="562">
        <f t="shared" si="2"/>
        <v>5960</v>
      </c>
      <c r="BT5" s="562">
        <f t="shared" si="2"/>
        <v>6600</v>
      </c>
      <c r="BU5" s="562">
        <f t="shared" si="2"/>
        <v>0</v>
      </c>
      <c r="BV5" s="562">
        <f t="shared" si="2"/>
        <v>2800</v>
      </c>
      <c r="BW5" s="562">
        <f t="shared" si="2"/>
        <v>0</v>
      </c>
    </row>
    <row r="6" spans="1:75">
      <c r="B6" s="89" t="s">
        <v>91</v>
      </c>
      <c r="C6" s="89" t="str">
        <f>INDEX(二三级标准!$C:$C,MATCH(服务费明细!$B6,二三级标准!$B:$B,0))</f>
        <v>方案撰写</v>
      </c>
      <c r="D6" s="166">
        <f>IF($D$5=1,1,0)</f>
        <v>1</v>
      </c>
      <c r="E6" s="166">
        <f>IF($D6=1,1,0)</f>
        <v>1</v>
      </c>
      <c r="F6" s="89" t="str">
        <f>INDEX(二三级标准!$G:$G,MATCH(服务费明细!$B6,二三级标准!$B:$B,0))</f>
        <v>份</v>
      </c>
      <c r="G6" s="166">
        <f>AL6</f>
        <v>0</v>
      </c>
      <c r="H6" s="166">
        <f t="shared" ref="H6:AB6" si="3">AM6</f>
        <v>0</v>
      </c>
      <c r="I6" s="166">
        <f t="shared" si="3"/>
        <v>0</v>
      </c>
      <c r="J6" s="166">
        <f t="shared" si="3"/>
        <v>0</v>
      </c>
      <c r="K6" s="166">
        <f t="shared" si="3"/>
        <v>0</v>
      </c>
      <c r="L6" s="166">
        <f t="shared" si="3"/>
        <v>26</v>
      </c>
      <c r="M6" s="166">
        <f t="shared" si="3"/>
        <v>80</v>
      </c>
      <c r="N6" s="166">
        <f t="shared" si="3"/>
        <v>0</v>
      </c>
      <c r="O6" s="166">
        <f t="shared" si="3"/>
        <v>0</v>
      </c>
      <c r="P6" s="166">
        <f t="shared" si="3"/>
        <v>0</v>
      </c>
      <c r="Q6" s="166">
        <f t="shared" si="3"/>
        <v>0</v>
      </c>
      <c r="R6" s="166">
        <f t="shared" si="3"/>
        <v>0</v>
      </c>
      <c r="S6" s="166">
        <f t="shared" si="3"/>
        <v>0</v>
      </c>
      <c r="T6" s="166">
        <f t="shared" si="3"/>
        <v>0</v>
      </c>
      <c r="U6" s="166">
        <f t="shared" si="3"/>
        <v>0</v>
      </c>
      <c r="V6" s="166">
        <f t="shared" si="3"/>
        <v>0</v>
      </c>
      <c r="W6" s="166">
        <f t="shared" si="3"/>
        <v>6</v>
      </c>
      <c r="X6" s="166">
        <f t="shared" si="3"/>
        <v>0</v>
      </c>
      <c r="Y6" s="166">
        <f t="shared" si="3"/>
        <v>0</v>
      </c>
      <c r="Z6" s="166">
        <f t="shared" si="3"/>
        <v>0</v>
      </c>
      <c r="AA6" s="166">
        <f t="shared" si="3"/>
        <v>0</v>
      </c>
      <c r="AB6" s="166">
        <f t="shared" si="3"/>
        <v>0</v>
      </c>
      <c r="AC6" s="166" cm="1">
        <f t="array" ref="AC6">SUMPRODUCT(G6:AB6,$G$4:$AB$4)</f>
        <v>81940</v>
      </c>
      <c r="AD6" s="89" t="b">
        <f>IF(AF6=AC6,TRUE,FALSE)</f>
        <v>1</v>
      </c>
      <c r="AE6" s="386">
        <f>IFERROR(SUMIF(服务费底表!$K:$K,服务费明细!$B6,服务费底表!$AD:$AD)/E6,0)</f>
        <v>81940</v>
      </c>
      <c r="AF6" s="386">
        <f>E6*AE6</f>
        <v>81940</v>
      </c>
      <c r="AG6" s="386">
        <f>IFERROR(SUMIF(服务费底表!$K:$K,服务费明细!$B6,服务费底表!$AG:$AG)/E6,0)</f>
        <v>81940</v>
      </c>
      <c r="AH6" s="386">
        <f>AG6*E6</f>
        <v>81940</v>
      </c>
      <c r="AI6" s="409" t="s">
        <v>979</v>
      </c>
      <c r="AJ6" s="563">
        <f>IF(D6=1,AK6/E6,0)</f>
        <v>112</v>
      </c>
      <c r="AK6" s="564">
        <f>SUMIF(服务费底表!$K:$K,服务费明细!$B6,服务费底表!$AC:$AC)</f>
        <v>112</v>
      </c>
      <c r="AL6" s="166">
        <f>SUMIFS(服务费底表!$AC:$AC,服务费底表!$K:$K,服务费明细!$B6,服务费底表!$T:$T,AL$3)</f>
        <v>0</v>
      </c>
      <c r="AM6" s="166">
        <f>SUMIFS(服务费底表!$AC:$AC,服务费底表!$K:$K,服务费明细!$B6,服务费底表!$T:$T,AM$3)</f>
        <v>0</v>
      </c>
      <c r="AN6" s="166">
        <f>SUMIFS(服务费底表!$AC:$AC,服务费底表!$K:$K,服务费明细!$B6,服务费底表!$T:$T,AN$3)</f>
        <v>0</v>
      </c>
      <c r="AO6" s="166">
        <f>SUMIFS(服务费底表!$AC:$AC,服务费底表!$K:$K,服务费明细!$B6,服务费底表!$T:$T,AO$3)</f>
        <v>0</v>
      </c>
      <c r="AP6" s="166">
        <f>SUMIFS(服务费底表!$AC:$AC,服务费底表!$K:$K,服务费明细!$B6,服务费底表!$T:$T,AP$3)</f>
        <v>0</v>
      </c>
      <c r="AQ6" s="166">
        <f>SUMIFS(服务费底表!$AC:$AC,服务费底表!$K:$K,服务费明细!$B6,服务费底表!$T:$T,AQ$3)</f>
        <v>26</v>
      </c>
      <c r="AR6" s="166">
        <f>SUMIFS(服务费底表!$AC:$AC,服务费底表!$K:$K,服务费明细!$B6,服务费底表!$T:$T,AR$3)</f>
        <v>80</v>
      </c>
      <c r="AS6" s="166">
        <f>SUMIFS(服务费底表!$AC:$AC,服务费底表!$K:$K,服务费明细!$B6,服务费底表!$T:$T,AS$3)</f>
        <v>0</v>
      </c>
      <c r="AT6" s="166">
        <f>SUMIFS(服务费底表!$AC:$AC,服务费底表!$K:$K,服务费明细!$B6,服务费底表!$T:$T,AT$3)</f>
        <v>0</v>
      </c>
      <c r="AU6" s="166">
        <f>SUMIFS(服务费底表!$AC:$AC,服务费底表!$K:$K,服务费明细!$B6,服务费底表!$T:$T,AU$3)</f>
        <v>0</v>
      </c>
      <c r="AV6" s="166">
        <f>SUMIFS(服务费底表!$AC:$AC,服务费底表!$K:$K,服务费明细!$B6,服务费底表!$T:$T,AV$3)</f>
        <v>0</v>
      </c>
      <c r="AW6" s="166">
        <f>SUMIFS(服务费底表!$AC:$AC,服务费底表!$K:$K,服务费明细!$B6,服务费底表!$T:$T,AW$3)</f>
        <v>0</v>
      </c>
      <c r="AX6" s="166">
        <f>SUMIFS(服务费底表!$AC:$AC,服务费底表!$K:$K,服务费明细!$B6,服务费底表!$T:$T,AX$3)</f>
        <v>0</v>
      </c>
      <c r="AY6" s="166">
        <f>SUMIFS(服务费底表!$AC:$AC,服务费底表!$K:$K,服务费明细!$B6,服务费底表!$T:$T,AY$3)</f>
        <v>0</v>
      </c>
      <c r="AZ6" s="166">
        <f>SUMIFS(服务费底表!$AC:$AC,服务费底表!$K:$K,服务费明细!$B6,服务费底表!$T:$T,AZ$3)</f>
        <v>0</v>
      </c>
      <c r="BA6" s="166">
        <f>SUMIFS(服务费底表!$AC:$AC,服务费底表!$K:$K,服务费明细!$B6,服务费底表!$T:$T,BA$3)</f>
        <v>0</v>
      </c>
      <c r="BB6" s="166">
        <f>SUMIFS(服务费底表!$AC:$AC,服务费底表!$K:$K,服务费明细!$B6,服务费底表!$T:$T,BB$3)</f>
        <v>6</v>
      </c>
      <c r="BC6" s="166">
        <f>SUMIFS(服务费底表!$AC:$AC,服务费底表!$K:$K,服务费明细!$B6,服务费底表!$T:$T,BC$3)</f>
        <v>0</v>
      </c>
      <c r="BD6" s="166">
        <f>SUMIFS(服务费底表!$AC:$AC,服务费底表!$K:$K,服务费明细!$B6,服务费底表!$T:$T,BD$3)</f>
        <v>0</v>
      </c>
      <c r="BE6" s="166">
        <f>SUMIFS(服务费底表!$AC:$AC,服务费底表!$K:$K,服务费明细!$B6,服务费底表!$T:$T,BE$3)</f>
        <v>0</v>
      </c>
      <c r="BF6" s="166">
        <f>SUMIFS(服务费底表!$AC:$AC,服务费底表!$K:$K,服务费明细!$B6,服务费底表!$T:$T,BF$3)</f>
        <v>0</v>
      </c>
      <c r="BG6" s="166">
        <f>SUMIFS(服务费底表!$AC:$AC,服务费底表!$K:$K,服务费明细!$B6,服务费底表!$T:$T,BG$3)</f>
        <v>0</v>
      </c>
      <c r="BI6" s="388">
        <f>SUMIFS(服务费底表!$AC:$AC,服务费底表!$K:$K,服务费明细!$B6,服务费底表!$H:$H,服务费明细!BI$3)</f>
        <v>106</v>
      </c>
      <c r="BJ6" s="388">
        <f>SUMIFS(服务费底表!$AC:$AC,服务费底表!$K:$K,服务费明细!$B6,服务费底表!$H:$H,服务费明细!BJ$3)</f>
        <v>0</v>
      </c>
      <c r="BK6" s="388">
        <f>SUMIFS(服务费底表!$AC:$AC,服务费底表!$K:$K,服务费明细!$B6,服务费底表!$H:$H,服务费明细!BK$3)</f>
        <v>0</v>
      </c>
      <c r="BL6" s="388">
        <f>SUMIFS(服务费底表!$AC:$AC,服务费底表!$K:$K,服务费明细!$B6,服务费底表!$H:$H,服务费明细!BL$3)</f>
        <v>6</v>
      </c>
      <c r="BM6" s="388">
        <f>SUMIFS(服务费底表!$AC:$AC,服务费底表!$K:$K,服务费明细!$B6,服务费底表!$H:$H,服务费明细!BM$3)</f>
        <v>0</v>
      </c>
      <c r="BN6" s="388">
        <f>SUMIFS(服务费底表!$AC:$AC,服务费底表!$K:$K,服务费明细!$B6,服务费底表!$H:$H,服务费明细!BN$3)</f>
        <v>0</v>
      </c>
      <c r="BO6" s="388">
        <f>SUMIFS(服务费底表!$AC:$AC,服务费底表!$K:$K,服务费明细!$B6,服务费底表!$H:$H,服务费明细!BO$3)</f>
        <v>0</v>
      </c>
      <c r="BQ6" s="389">
        <f>SUMIFS(服务费底表!$AD:$AD,服务费底表!$K:$K,服务费明细!$B6,服务费底表!$H:$H,服务费明细!BQ$3)</f>
        <v>77740</v>
      </c>
      <c r="BR6" s="389">
        <f>SUMIFS(服务费底表!$AD:$AD,服务费底表!$K:$K,服务费明细!$B6,服务费底表!$H:$H,服务费明细!BR$3)</f>
        <v>0</v>
      </c>
      <c r="BS6" s="389">
        <f>SUMIFS(服务费底表!$AD:$AD,服务费底表!$K:$K,服务费明细!$B6,服务费底表!$H:$H,服务费明细!BS$3)</f>
        <v>0</v>
      </c>
      <c r="BT6" s="389">
        <f>SUMIFS(服务费底表!$AD:$AD,服务费底表!$K:$K,服务费明细!$B6,服务费底表!$H:$H,服务费明细!BT$3)</f>
        <v>4200</v>
      </c>
      <c r="BU6" s="389">
        <f>SUMIFS(服务费底表!$AD:$AD,服务费底表!$K:$K,服务费明细!$B6,服务费底表!$H:$H,服务费明细!BU$3)</f>
        <v>0</v>
      </c>
      <c r="BV6" s="389">
        <f>SUMIFS(服务费底表!$AD:$AD,服务费底表!$K:$K,服务费明细!$B6,服务费底表!$H:$H,服务费明细!BV$3)</f>
        <v>0</v>
      </c>
      <c r="BW6" s="389">
        <f>SUMIFS(服务费底表!$AD:$AD,服务费底表!$K:$K,服务费明细!$B6,服务费底表!$H:$H,服务费明细!BW$3)</f>
        <v>0</v>
      </c>
    </row>
    <row r="7" spans="1:75">
      <c r="B7" s="89" t="s">
        <v>980</v>
      </c>
      <c r="C7" s="89" t="str">
        <f>INDEX(二三级标准!$C:$C,MATCH(服务费明细!$B7,二三级标准!$B:$B,0))</f>
        <v>熟悉与研究相关的资料及文献检索</v>
      </c>
      <c r="D7" s="166">
        <v>0</v>
      </c>
      <c r="E7" s="166">
        <f>IF($D7=1,1,0)</f>
        <v>0</v>
      </c>
      <c r="F7" s="89" t="str">
        <f>INDEX(二三级标准!$G:$G,MATCH(服务费明细!$B7,二三级标准!$B:$B,0))</f>
        <v>项目</v>
      </c>
      <c r="G7" s="166"/>
      <c r="H7" s="166"/>
      <c r="I7" s="166"/>
      <c r="J7" s="166"/>
      <c r="K7" s="166"/>
      <c r="L7" s="166"/>
      <c r="M7" s="166"/>
      <c r="N7" s="166"/>
      <c r="O7" s="166"/>
      <c r="P7" s="166"/>
      <c r="Q7" s="166"/>
      <c r="R7" s="166"/>
      <c r="S7" s="166"/>
      <c r="T7" s="166"/>
      <c r="U7" s="166"/>
      <c r="V7" s="166"/>
      <c r="W7" s="166"/>
      <c r="X7" s="166"/>
      <c r="Y7" s="166"/>
      <c r="Z7" s="166"/>
      <c r="AA7" s="166"/>
      <c r="AB7" s="166"/>
      <c r="AC7" s="166"/>
      <c r="AD7" s="89"/>
      <c r="AE7" s="386">
        <f>IFERROR(SUMIF(服务费底表!$K:$K,服务费明细!$B7,服务费底表!$AD:$AD)/E7,0)</f>
        <v>0</v>
      </c>
      <c r="AF7" s="386">
        <f>E7*AE7</f>
        <v>0</v>
      </c>
      <c r="AG7" s="386">
        <f>IFERROR(SUMIF(服务费底表!$K:$K,服务费明细!$B7,服务费底表!$AG:$AG)/E7,0)</f>
        <v>0</v>
      </c>
      <c r="AH7" s="386">
        <f>AG7*E7</f>
        <v>0</v>
      </c>
      <c r="AI7" s="409"/>
      <c r="AJ7" s="563">
        <f>IF(D7=1,AK7/E7,0)</f>
        <v>0</v>
      </c>
      <c r="AK7" s="564">
        <f>SUMIF(服务费底表!$K:$K,服务费明细!$B7,服务费底表!$AC:$AC)</f>
        <v>0</v>
      </c>
      <c r="AL7" s="166">
        <f>SUMIFS(服务费底表!$AC:$AC,服务费底表!$K:$K,服务费明细!$B7,服务费底表!$T:$T,AL$3)</f>
        <v>0</v>
      </c>
      <c r="AM7" s="166">
        <f>SUMIFS(服务费底表!$AC:$AC,服务费底表!$K:$K,服务费明细!$B7,服务费底表!$T:$T,AM$3)</f>
        <v>0</v>
      </c>
      <c r="AN7" s="166">
        <f>SUMIFS(服务费底表!$AC:$AC,服务费底表!$K:$K,服务费明细!$B7,服务费底表!$T:$T,AN$3)</f>
        <v>0</v>
      </c>
      <c r="AO7" s="166">
        <f>SUMIFS(服务费底表!$AC:$AC,服务费底表!$K:$K,服务费明细!$B7,服务费底表!$T:$T,AO$3)</f>
        <v>0</v>
      </c>
      <c r="AP7" s="166">
        <f>SUMIFS(服务费底表!$AC:$AC,服务费底表!$K:$K,服务费明细!$B7,服务费底表!$T:$T,AP$3)</f>
        <v>0</v>
      </c>
      <c r="AQ7" s="166">
        <f>SUMIFS(服务费底表!$AC:$AC,服务费底表!$K:$K,服务费明细!$B7,服务费底表!$T:$T,AQ$3)</f>
        <v>0</v>
      </c>
      <c r="AR7" s="166">
        <f>SUMIFS(服务费底表!$AC:$AC,服务费底表!$K:$K,服务费明细!$B7,服务费底表!$T:$T,AR$3)</f>
        <v>0</v>
      </c>
      <c r="AS7" s="166">
        <f>SUMIFS(服务费底表!$AC:$AC,服务费底表!$K:$K,服务费明细!$B7,服务费底表!$T:$T,AS$3)</f>
        <v>0</v>
      </c>
      <c r="AT7" s="166">
        <f>SUMIFS(服务费底表!$AC:$AC,服务费底表!$K:$K,服务费明细!$B7,服务费底表!$T:$T,AT$3)</f>
        <v>0</v>
      </c>
      <c r="AU7" s="166">
        <f>SUMIFS(服务费底表!$AC:$AC,服务费底表!$K:$K,服务费明细!$B7,服务费底表!$T:$T,AU$3)</f>
        <v>0</v>
      </c>
      <c r="AV7" s="166">
        <f>SUMIFS(服务费底表!$AC:$AC,服务费底表!$K:$K,服务费明细!$B7,服务费底表!$T:$T,AV$3)</f>
        <v>0</v>
      </c>
      <c r="AW7" s="166">
        <f>SUMIFS(服务费底表!$AC:$AC,服务费底表!$K:$K,服务费明细!$B7,服务费底表!$T:$T,AW$3)</f>
        <v>0</v>
      </c>
      <c r="AX7" s="166">
        <f>SUMIFS(服务费底表!$AC:$AC,服务费底表!$K:$K,服务费明细!$B7,服务费底表!$T:$T,AX$3)</f>
        <v>0</v>
      </c>
      <c r="AY7" s="166">
        <f>SUMIFS(服务费底表!$AC:$AC,服务费底表!$K:$K,服务费明细!$B7,服务费底表!$T:$T,AY$3)</f>
        <v>0</v>
      </c>
      <c r="AZ7" s="166">
        <f>SUMIFS(服务费底表!$AC:$AC,服务费底表!$K:$K,服务费明细!$B7,服务费底表!$T:$T,AZ$3)</f>
        <v>0</v>
      </c>
      <c r="BA7" s="166">
        <f>SUMIFS(服务费底表!$AC:$AC,服务费底表!$K:$K,服务费明细!$B7,服务费底表!$T:$T,BA$3)</f>
        <v>0</v>
      </c>
      <c r="BB7" s="166">
        <f>SUMIFS(服务费底表!$AC:$AC,服务费底表!$K:$K,服务费明细!$B7,服务费底表!$T:$T,BB$3)</f>
        <v>0</v>
      </c>
      <c r="BC7" s="166">
        <f>SUMIFS(服务费底表!$AC:$AC,服务费底表!$K:$K,服务费明细!$B7,服务费底表!$T:$T,BC$3)</f>
        <v>0</v>
      </c>
      <c r="BD7" s="166">
        <f>SUMIFS(服务费底表!$AC:$AC,服务费底表!$K:$K,服务费明细!$B7,服务费底表!$T:$T,BD$3)</f>
        <v>0</v>
      </c>
      <c r="BE7" s="166">
        <f>SUMIFS(服务费底表!$AC:$AC,服务费底表!$K:$K,服务费明细!$B7,服务费底表!$T:$T,BE$3)</f>
        <v>0</v>
      </c>
      <c r="BF7" s="166">
        <f>SUMIFS(服务费底表!$AC:$AC,服务费底表!$K:$K,服务费明细!$B7,服务费底表!$T:$T,BF$3)</f>
        <v>0</v>
      </c>
      <c r="BG7" s="166">
        <f>SUMIFS(服务费底表!$AC:$AC,服务费底表!$K:$K,服务费明细!$B7,服务费底表!$T:$T,BG$3)</f>
        <v>0</v>
      </c>
      <c r="BI7" s="388"/>
      <c r="BJ7" s="388"/>
      <c r="BK7" s="388"/>
      <c r="BL7" s="388"/>
      <c r="BM7" s="388"/>
      <c r="BN7" s="388"/>
      <c r="BO7" s="388"/>
      <c r="BQ7" s="389"/>
      <c r="BR7" s="389"/>
      <c r="BS7" s="389"/>
      <c r="BT7" s="389"/>
      <c r="BU7" s="389"/>
      <c r="BV7" s="389"/>
      <c r="BW7" s="389"/>
    </row>
    <row r="8" spans="1:75">
      <c r="B8" s="89" t="s">
        <v>981</v>
      </c>
      <c r="C8" s="89" t="str">
        <f>INDEX(二三级标准!$C:$C,MATCH(服务费明细!$B8,二三级标准!$B:$B,0))</f>
        <v>方案（中译英）</v>
      </c>
      <c r="D8" s="166">
        <v>0</v>
      </c>
      <c r="E8" s="166">
        <f>IF($D8=1,1,0)</f>
        <v>0</v>
      </c>
      <c r="F8" s="89" t="str">
        <f>INDEX(二三级标准!$G:$G,MATCH(服务费明细!$B8,二三级标准!$B:$B,0))</f>
        <v>份</v>
      </c>
      <c r="G8" s="166">
        <f t="shared" ref="G8:G14" si="4">AL8</f>
        <v>0</v>
      </c>
      <c r="H8" s="166">
        <f t="shared" ref="H8:H14" si="5">AM8</f>
        <v>0</v>
      </c>
      <c r="I8" s="166">
        <f t="shared" ref="I8:I14" si="6">AN8</f>
        <v>0</v>
      </c>
      <c r="J8" s="166">
        <f t="shared" ref="J8:J14" si="7">AO8</f>
        <v>0</v>
      </c>
      <c r="K8" s="166">
        <f t="shared" ref="K8:K14" si="8">AP8</f>
        <v>0</v>
      </c>
      <c r="L8" s="166">
        <f t="shared" ref="L8:L14" si="9">AQ8</f>
        <v>0</v>
      </c>
      <c r="M8" s="166">
        <f t="shared" ref="M8:M14" si="10">AR8</f>
        <v>0</v>
      </c>
      <c r="N8" s="166">
        <f t="shared" ref="N8:N14" si="11">AS8</f>
        <v>0</v>
      </c>
      <c r="O8" s="166">
        <f t="shared" ref="O8:O14" si="12">AT8</f>
        <v>0</v>
      </c>
      <c r="P8" s="166">
        <f t="shared" ref="P8:P14" si="13">AU8</f>
        <v>0</v>
      </c>
      <c r="Q8" s="166">
        <f t="shared" ref="Q8:Q14" si="14">AV8</f>
        <v>0</v>
      </c>
      <c r="R8" s="166">
        <f t="shared" ref="R8:R14" si="15">AW8</f>
        <v>0</v>
      </c>
      <c r="S8" s="166">
        <f t="shared" ref="S8:S14" si="16">AX8</f>
        <v>0</v>
      </c>
      <c r="T8" s="166">
        <f t="shared" ref="T8:T14" si="17">AY8</f>
        <v>0</v>
      </c>
      <c r="U8" s="166">
        <f t="shared" ref="U8:U14" si="18">AZ8</f>
        <v>0</v>
      </c>
      <c r="V8" s="166">
        <f t="shared" ref="V8:V14" si="19">BA8</f>
        <v>0</v>
      </c>
      <c r="W8" s="166">
        <f t="shared" ref="W8:W14" si="20">BB8</f>
        <v>0</v>
      </c>
      <c r="X8" s="166">
        <f t="shared" ref="X8:X14" si="21">BC8</f>
        <v>0</v>
      </c>
      <c r="Y8" s="166">
        <f t="shared" ref="Y8:Y14" si="22">BD8</f>
        <v>0</v>
      </c>
      <c r="Z8" s="166">
        <f t="shared" ref="Z8:Z14" si="23">BE8</f>
        <v>0</v>
      </c>
      <c r="AA8" s="166">
        <f t="shared" ref="AA8:AA14" si="24">BF8</f>
        <v>0</v>
      </c>
      <c r="AB8" s="166">
        <f t="shared" ref="AB8:AB14" si="25">BG8</f>
        <v>0</v>
      </c>
      <c r="AC8" s="166" cm="1">
        <f t="array" ref="AC8">SUMPRODUCT(G8:AB8,$G$4:$AB$4)</f>
        <v>0</v>
      </c>
      <c r="AD8" s="89" t="b">
        <f>IF(AF8=AC8,TRUE,FALSE)</f>
        <v>1</v>
      </c>
      <c r="AE8" s="386">
        <f>IFERROR(SUMIF(服务费底表!$K:$K,服务费明细!$B8,服务费底表!$AD:$AD)/E8,0)</f>
        <v>0</v>
      </c>
      <c r="AF8" s="386">
        <f>E8*AE8</f>
        <v>0</v>
      </c>
      <c r="AG8" s="386">
        <f>IFERROR(SUMIF(服务费底表!$K:$K,服务费明细!$B8,服务费底表!$AG:$AG)/E8,0)</f>
        <v>0</v>
      </c>
      <c r="AH8" s="386">
        <f>AG8*E8</f>
        <v>0</v>
      </c>
      <c r="AI8" s="409" t="s">
        <v>982</v>
      </c>
      <c r="AJ8" s="563">
        <f>IF(D8=1,AK8/E8,0)</f>
        <v>0</v>
      </c>
      <c r="AK8" s="564">
        <f>SUMIF(服务费底表!$K:$K,服务费明细!$B8,服务费底表!$AC:$AC)</f>
        <v>0</v>
      </c>
      <c r="AL8" s="166">
        <f>SUMIFS(服务费底表!$AC:$AC,服务费底表!$K:$K,服务费明细!$B8,服务费底表!$T:$T,AL$3)</f>
        <v>0</v>
      </c>
      <c r="AM8" s="166">
        <f>SUMIFS(服务费底表!$AC:$AC,服务费底表!$K:$K,服务费明细!$B8,服务费底表!$T:$T,AM$3)</f>
        <v>0</v>
      </c>
      <c r="AN8" s="166">
        <f>SUMIFS(服务费底表!$AC:$AC,服务费底表!$K:$K,服务费明细!$B8,服务费底表!$T:$T,AN$3)</f>
        <v>0</v>
      </c>
      <c r="AO8" s="166">
        <f>SUMIFS(服务费底表!$AC:$AC,服务费底表!$K:$K,服务费明细!$B8,服务费底表!$T:$T,AO$3)</f>
        <v>0</v>
      </c>
      <c r="AP8" s="166">
        <f>SUMIFS(服务费底表!$AC:$AC,服务费底表!$K:$K,服务费明细!$B8,服务费底表!$T:$T,AP$3)</f>
        <v>0</v>
      </c>
      <c r="AQ8" s="166">
        <f>SUMIFS(服务费底表!$AC:$AC,服务费底表!$K:$K,服务费明细!$B8,服务费底表!$T:$T,AQ$3)</f>
        <v>0</v>
      </c>
      <c r="AR8" s="166">
        <f>SUMIFS(服务费底表!$AC:$AC,服务费底表!$K:$K,服务费明细!$B8,服务费底表!$T:$T,AR$3)</f>
        <v>0</v>
      </c>
      <c r="AS8" s="166">
        <f>SUMIFS(服务费底表!$AC:$AC,服务费底表!$K:$K,服务费明细!$B8,服务费底表!$T:$T,AS$3)</f>
        <v>0</v>
      </c>
      <c r="AT8" s="166">
        <f>SUMIFS(服务费底表!$AC:$AC,服务费底表!$K:$K,服务费明细!$B8,服务费底表!$T:$T,AT$3)</f>
        <v>0</v>
      </c>
      <c r="AU8" s="166">
        <f>SUMIFS(服务费底表!$AC:$AC,服务费底表!$K:$K,服务费明细!$B8,服务费底表!$T:$T,AU$3)</f>
        <v>0</v>
      </c>
      <c r="AV8" s="166">
        <f>SUMIFS(服务费底表!$AC:$AC,服务费底表!$K:$K,服务费明细!$B8,服务费底表!$T:$T,AV$3)</f>
        <v>0</v>
      </c>
      <c r="AW8" s="166">
        <f>SUMIFS(服务费底表!$AC:$AC,服务费底表!$K:$K,服务费明细!$B8,服务费底表!$T:$T,AW$3)</f>
        <v>0</v>
      </c>
      <c r="AX8" s="166">
        <f>SUMIFS(服务费底表!$AC:$AC,服务费底表!$K:$K,服务费明细!$B8,服务费底表!$T:$T,AX$3)</f>
        <v>0</v>
      </c>
      <c r="AY8" s="166">
        <f>SUMIFS(服务费底表!$AC:$AC,服务费底表!$K:$K,服务费明细!$B8,服务费底表!$T:$T,AY$3)</f>
        <v>0</v>
      </c>
      <c r="AZ8" s="166">
        <f>SUMIFS(服务费底表!$AC:$AC,服务费底表!$K:$K,服务费明细!$B8,服务费底表!$T:$T,AZ$3)</f>
        <v>0</v>
      </c>
      <c r="BA8" s="166">
        <f>SUMIFS(服务费底表!$AC:$AC,服务费底表!$K:$K,服务费明细!$B8,服务费底表!$T:$T,BA$3)</f>
        <v>0</v>
      </c>
      <c r="BB8" s="166">
        <f>SUMIFS(服务费底表!$AC:$AC,服务费底表!$K:$K,服务费明细!$B8,服务费底表!$T:$T,BB$3)</f>
        <v>0</v>
      </c>
      <c r="BC8" s="166">
        <f>SUMIFS(服务费底表!$AC:$AC,服务费底表!$K:$K,服务费明细!$B8,服务费底表!$T:$T,BC$3)</f>
        <v>0</v>
      </c>
      <c r="BD8" s="166">
        <f>SUMIFS(服务费底表!$AC:$AC,服务费底表!$K:$K,服务费明细!$B8,服务费底表!$T:$T,BD$3)</f>
        <v>0</v>
      </c>
      <c r="BE8" s="166">
        <f>SUMIFS(服务费底表!$AC:$AC,服务费底表!$K:$K,服务费明细!$B8,服务费底表!$T:$T,BE$3)</f>
        <v>0</v>
      </c>
      <c r="BF8" s="166">
        <f>SUMIFS(服务费底表!$AC:$AC,服务费底表!$K:$K,服务费明细!$B8,服务费底表!$T:$T,BF$3)</f>
        <v>0</v>
      </c>
      <c r="BG8" s="166">
        <f>SUMIFS(服务费底表!$AC:$AC,服务费底表!$K:$K,服务费明细!$B8,服务费底表!$T:$T,BG$3)</f>
        <v>0</v>
      </c>
      <c r="BI8" s="388">
        <f>SUMIFS(服务费底表!$AC:$AC,服务费底表!$K:$K,服务费明细!$B8,服务费底表!$H:$H,服务费明细!BI$3)</f>
        <v>0</v>
      </c>
      <c r="BJ8" s="388">
        <f>SUMIFS(服务费底表!$AC:$AC,服务费底表!$K:$K,服务费明细!$B8,服务费底表!$H:$H,服务费明细!BJ$3)</f>
        <v>0</v>
      </c>
      <c r="BK8" s="388">
        <f>SUMIFS(服务费底表!$AC:$AC,服务费底表!$K:$K,服务费明细!$B8,服务费底表!$H:$H,服务费明细!BK$3)</f>
        <v>0</v>
      </c>
      <c r="BL8" s="388">
        <f>SUMIFS(服务费底表!$AC:$AC,服务费底表!$K:$K,服务费明细!$B8,服务费底表!$H:$H,服务费明细!BL$3)</f>
        <v>0</v>
      </c>
      <c r="BM8" s="388">
        <f>SUMIFS(服务费底表!$AC:$AC,服务费底表!$K:$K,服务费明细!$B8,服务费底表!$H:$H,服务费明细!BM$3)</f>
        <v>0</v>
      </c>
      <c r="BN8" s="388">
        <f>SUMIFS(服务费底表!$AC:$AC,服务费底表!$K:$K,服务费明细!$B8,服务费底表!$H:$H,服务费明细!BN$3)</f>
        <v>0</v>
      </c>
      <c r="BO8" s="388">
        <f>SUMIFS(服务费底表!$AC:$AC,服务费底表!$K:$K,服务费明细!$B8,服务费底表!$H:$H,服务费明细!BO$3)</f>
        <v>0</v>
      </c>
      <c r="BQ8" s="389">
        <f>SUMIFS(服务费底表!$AD:$AD,服务费底表!$K:$K,服务费明细!$B8,服务费底表!$H:$H,服务费明细!BQ$3)</f>
        <v>0</v>
      </c>
      <c r="BR8" s="389">
        <f>SUMIFS(服务费底表!$AD:$AD,服务费底表!$K:$K,服务费明细!$B8,服务费底表!$H:$H,服务费明细!BR$3)</f>
        <v>0</v>
      </c>
      <c r="BS8" s="389">
        <f>SUMIFS(服务费底表!$AD:$AD,服务费底表!$K:$K,服务费明细!$B8,服务费底表!$H:$H,服务费明细!BS$3)</f>
        <v>0</v>
      </c>
      <c r="BT8" s="389">
        <f>SUMIFS(服务费底表!$AD:$AD,服务费底表!$K:$K,服务费明细!$B8,服务费底表!$H:$H,服务费明细!BT$3)</f>
        <v>0</v>
      </c>
      <c r="BU8" s="389">
        <f>SUMIFS(服务费底表!$AD:$AD,服务费底表!$K:$K,服务费明细!$B8,服务费底表!$H:$H,服务费明细!BU$3)</f>
        <v>0</v>
      </c>
      <c r="BV8" s="389">
        <f>SUMIFS(服务费底表!$AD:$AD,服务费底表!$K:$K,服务费明细!$B8,服务费底表!$H:$H,服务费明细!BV$3)</f>
        <v>0</v>
      </c>
      <c r="BW8" s="389">
        <f>SUMIFS(服务费底表!$AD:$AD,服务费底表!$K:$K,服务费明细!$B8,服务费底表!$H:$H,服务费明细!BW$3)</f>
        <v>0</v>
      </c>
    </row>
    <row r="9" spans="1:75">
      <c r="B9" s="89" t="s">
        <v>94</v>
      </c>
      <c r="C9" s="89" t="str">
        <f>INDEX(二三级标准!$C:$C,MATCH(服务费明细!$B9,二三级标准!$B:$B,0))</f>
        <v>撰写CRF</v>
      </c>
      <c r="D9" s="166">
        <f>IF($D$5=1,1,0)</f>
        <v>1</v>
      </c>
      <c r="E9" s="166">
        <f t="shared" ref="E9:E14" si="26">IF($D9=1,1,0)</f>
        <v>1</v>
      </c>
      <c r="F9" s="89" t="str">
        <f>INDEX(二三级标准!$G:$G,MATCH(服务费明细!$B9,二三级标准!$B:$B,0))</f>
        <v>份</v>
      </c>
      <c r="G9" s="166">
        <f t="shared" si="4"/>
        <v>0</v>
      </c>
      <c r="H9" s="166">
        <f t="shared" si="5"/>
        <v>0</v>
      </c>
      <c r="I9" s="166">
        <f t="shared" si="6"/>
        <v>2</v>
      </c>
      <c r="J9" s="166">
        <f t="shared" si="7"/>
        <v>0</v>
      </c>
      <c r="K9" s="166">
        <f t="shared" si="8"/>
        <v>0</v>
      </c>
      <c r="L9" s="166">
        <f t="shared" si="9"/>
        <v>0</v>
      </c>
      <c r="M9" s="166">
        <f t="shared" si="10"/>
        <v>8</v>
      </c>
      <c r="N9" s="166">
        <f t="shared" si="11"/>
        <v>0</v>
      </c>
      <c r="O9" s="166">
        <f t="shared" si="12"/>
        <v>0</v>
      </c>
      <c r="P9" s="166">
        <f t="shared" si="13"/>
        <v>0</v>
      </c>
      <c r="Q9" s="166">
        <f t="shared" si="14"/>
        <v>0</v>
      </c>
      <c r="R9" s="166">
        <f t="shared" si="15"/>
        <v>19</v>
      </c>
      <c r="S9" s="166">
        <f t="shared" si="16"/>
        <v>6</v>
      </c>
      <c r="T9" s="166">
        <f t="shared" si="17"/>
        <v>0</v>
      </c>
      <c r="U9" s="166">
        <f t="shared" si="18"/>
        <v>0</v>
      </c>
      <c r="V9" s="166">
        <f t="shared" si="19"/>
        <v>2</v>
      </c>
      <c r="W9" s="166">
        <f t="shared" si="20"/>
        <v>0</v>
      </c>
      <c r="X9" s="166">
        <f t="shared" si="21"/>
        <v>0</v>
      </c>
      <c r="Y9" s="166">
        <f t="shared" si="22"/>
        <v>0</v>
      </c>
      <c r="Z9" s="166">
        <f t="shared" si="23"/>
        <v>0</v>
      </c>
      <c r="AA9" s="166">
        <f t="shared" si="24"/>
        <v>0</v>
      </c>
      <c r="AB9" s="166">
        <f t="shared" si="25"/>
        <v>0</v>
      </c>
      <c r="AC9" s="166" cm="1">
        <f t="array" ref="AC9">SUMPRODUCT(G9:AB9,$G$4:$AB$4)</f>
        <v>13260</v>
      </c>
      <c r="AD9" s="89" t="b">
        <f t="shared" ref="AD9:AD14" si="27">IF(AF9=AC9,TRUE,FALSE)</f>
        <v>1</v>
      </c>
      <c r="AE9" s="386">
        <f>IFERROR(SUMIF(服务费底表!$K:$K,服务费明细!$B9,服务费底表!$AD:$AD)/E9,0)</f>
        <v>13260</v>
      </c>
      <c r="AF9" s="386">
        <f t="shared" ref="AF9:AF14" si="28">E9*AE9</f>
        <v>13260</v>
      </c>
      <c r="AG9" s="386">
        <f>IFERROR(SUMIF(服务费底表!$K:$K,服务费明细!$B9,服务费底表!$AG:$AG)/E9,0)</f>
        <v>13260</v>
      </c>
      <c r="AH9" s="386">
        <f t="shared" ref="AH9:AH14" si="29">AG9*E9</f>
        <v>13260</v>
      </c>
      <c r="AI9" s="409" t="s">
        <v>983</v>
      </c>
      <c r="AJ9" s="563">
        <f t="shared" ref="AJ9:AJ14" si="30">IF(D9=1,AK9/E9,0)</f>
        <v>37</v>
      </c>
      <c r="AK9" s="564">
        <f>SUMIF(服务费底表!$K:$K,服务费明细!$B9,服务费底表!$AC:$AC)</f>
        <v>37</v>
      </c>
      <c r="AL9" s="166">
        <f>SUMIFS(服务费底表!$AC:$AC,服务费底表!$K:$K,服务费明细!$B9,服务费底表!$T:$T,AL$3)</f>
        <v>0</v>
      </c>
      <c r="AM9" s="166">
        <f>SUMIFS(服务费底表!$AC:$AC,服务费底表!$K:$K,服务费明细!$B9,服务费底表!$T:$T,AM$3)</f>
        <v>0</v>
      </c>
      <c r="AN9" s="166">
        <f>SUMIFS(服务费底表!$AC:$AC,服务费底表!$K:$K,服务费明细!$B9,服务费底表!$T:$T,AN$3)</f>
        <v>2</v>
      </c>
      <c r="AO9" s="166">
        <f>SUMIFS(服务费底表!$AC:$AC,服务费底表!$K:$K,服务费明细!$B9,服务费底表!$T:$T,AO$3)</f>
        <v>0</v>
      </c>
      <c r="AP9" s="166">
        <f>SUMIFS(服务费底表!$AC:$AC,服务费底表!$K:$K,服务费明细!$B9,服务费底表!$T:$T,AP$3)</f>
        <v>0</v>
      </c>
      <c r="AQ9" s="166">
        <f>SUMIFS(服务费底表!$AC:$AC,服务费底表!$K:$K,服务费明细!$B9,服务费底表!$T:$T,AQ$3)</f>
        <v>0</v>
      </c>
      <c r="AR9" s="166">
        <f>SUMIFS(服务费底表!$AC:$AC,服务费底表!$K:$K,服务费明细!$B9,服务费底表!$T:$T,AR$3)</f>
        <v>8</v>
      </c>
      <c r="AS9" s="166">
        <f>SUMIFS(服务费底表!$AC:$AC,服务费底表!$K:$K,服务费明细!$B9,服务费底表!$T:$T,AS$3)</f>
        <v>0</v>
      </c>
      <c r="AT9" s="166">
        <f>SUMIFS(服务费底表!$AC:$AC,服务费底表!$K:$K,服务费明细!$B9,服务费底表!$T:$T,AT$3)</f>
        <v>0</v>
      </c>
      <c r="AU9" s="166">
        <f>SUMIFS(服务费底表!$AC:$AC,服务费底表!$K:$K,服务费明细!$B9,服务费底表!$T:$T,AU$3)</f>
        <v>0</v>
      </c>
      <c r="AV9" s="166">
        <f>SUMIFS(服务费底表!$AC:$AC,服务费底表!$K:$K,服务费明细!$B9,服务费底表!$T:$T,AV$3)</f>
        <v>0</v>
      </c>
      <c r="AW9" s="166">
        <f>SUMIFS(服务费底表!$AC:$AC,服务费底表!$K:$K,服务费明细!$B9,服务费底表!$T:$T,AW$3)</f>
        <v>19</v>
      </c>
      <c r="AX9" s="166">
        <f>SUMIFS(服务费底表!$AC:$AC,服务费底表!$K:$K,服务费明细!$B9,服务费底表!$T:$T,AX$3)</f>
        <v>6</v>
      </c>
      <c r="AY9" s="166">
        <f>SUMIFS(服务费底表!$AC:$AC,服务费底表!$K:$K,服务费明细!$B9,服务费底表!$T:$T,AY$3)</f>
        <v>0</v>
      </c>
      <c r="AZ9" s="166">
        <f>SUMIFS(服务费底表!$AC:$AC,服务费底表!$K:$K,服务费明细!$B9,服务费底表!$T:$T,AZ$3)</f>
        <v>0</v>
      </c>
      <c r="BA9" s="166">
        <f>SUMIFS(服务费底表!$AC:$AC,服务费底表!$K:$K,服务费明细!$B9,服务费底表!$T:$T,BA$3)</f>
        <v>2</v>
      </c>
      <c r="BB9" s="166">
        <f>SUMIFS(服务费底表!$AC:$AC,服务费底表!$K:$K,服务费明细!$B9,服务费底表!$T:$T,BB$3)</f>
        <v>0</v>
      </c>
      <c r="BC9" s="166">
        <f>SUMIFS(服务费底表!$AC:$AC,服务费底表!$K:$K,服务费明细!$B9,服务费底表!$T:$T,BC$3)</f>
        <v>0</v>
      </c>
      <c r="BD9" s="166">
        <f>SUMIFS(服务费底表!$AC:$AC,服务费底表!$K:$K,服务费明细!$B9,服务费底表!$T:$T,BD$3)</f>
        <v>0</v>
      </c>
      <c r="BE9" s="166">
        <f>SUMIFS(服务费底表!$AC:$AC,服务费底表!$K:$K,服务费明细!$B9,服务费底表!$T:$T,BE$3)</f>
        <v>0</v>
      </c>
      <c r="BF9" s="166">
        <f>SUMIFS(服务费底表!$AC:$AC,服务费底表!$K:$K,服务费明细!$B9,服务费底表!$T:$T,BF$3)</f>
        <v>0</v>
      </c>
      <c r="BG9" s="166">
        <f>SUMIFS(服务费底表!$AC:$AC,服务费底表!$K:$K,服务费明细!$B9,服务费底表!$T:$T,BG$3)</f>
        <v>0</v>
      </c>
      <c r="BI9" s="388">
        <f>SUMIFS(服务费底表!$AC:$AC,服务费底表!$K:$K,服务费明细!$B9,服务费底表!$H:$H,服务费明细!BI$3)</f>
        <v>8</v>
      </c>
      <c r="BJ9" s="388">
        <f>SUMIFS(服务费底表!$AC:$AC,服务费底表!$K:$K,服务费明细!$B9,服务费底表!$H:$H,服务费明细!BJ$3)</f>
        <v>2</v>
      </c>
      <c r="BK9" s="388">
        <f>SUMIFS(服务费底表!$AC:$AC,服务费底表!$K:$K,服务费明细!$B9,服务费底表!$H:$H,服务费明细!BK$3)</f>
        <v>25</v>
      </c>
      <c r="BL9" s="388">
        <f>SUMIFS(服务费底表!$AC:$AC,服务费底表!$K:$K,服务费明细!$B9,服务费底表!$H:$H,服务费明细!BL$3)</f>
        <v>2</v>
      </c>
      <c r="BM9" s="388">
        <f>SUMIFS(服务费底表!$AC:$AC,服务费底表!$K:$K,服务费明细!$B9,服务费底表!$H:$H,服务费明细!BM$3)</f>
        <v>0</v>
      </c>
      <c r="BN9" s="388">
        <f>SUMIFS(服务费底表!$AC:$AC,服务费底表!$K:$K,服务费明细!$B9,服务费底表!$H:$H,服务费明细!BN$3)</f>
        <v>0</v>
      </c>
      <c r="BO9" s="388">
        <f>SUMIFS(服务费底表!$AC:$AC,服务费底表!$K:$K,服务费明细!$B9,服务费底表!$H:$H,服务费明细!BO$3)</f>
        <v>0</v>
      </c>
      <c r="BQ9" s="389">
        <f>SUMIFS(服务费底表!$AD:$AD,服务费底表!$K:$K,服务费明细!$B9,服务费底表!$H:$H,服务费明细!BQ$3)</f>
        <v>5200</v>
      </c>
      <c r="BR9" s="389">
        <f>SUMIFS(服务费底表!$AD:$AD,服务费底表!$K:$K,服务费明细!$B9,服务费底表!$H:$H,服务费明细!BR$3)</f>
        <v>1300</v>
      </c>
      <c r="BS9" s="389">
        <f>SUMIFS(服务费底表!$AD:$AD,服务费底表!$K:$K,服务费明细!$B9,服务费底表!$H:$H,服务费明细!BS$3)</f>
        <v>5960</v>
      </c>
      <c r="BT9" s="389">
        <f>SUMIFS(服务费底表!$AD:$AD,服务费底表!$K:$K,服务费明细!$B9,服务费底表!$H:$H,服务费明细!BT$3)</f>
        <v>800</v>
      </c>
      <c r="BU9" s="389">
        <f>SUMIFS(服务费底表!$AD:$AD,服务费底表!$K:$K,服务费明细!$B9,服务费底表!$H:$H,服务费明细!BU$3)</f>
        <v>0</v>
      </c>
      <c r="BV9" s="389">
        <f>SUMIFS(服务费底表!$AD:$AD,服务费底表!$K:$K,服务费明细!$B9,服务费底表!$H:$H,服务费明细!BV$3)</f>
        <v>0</v>
      </c>
      <c r="BW9" s="389">
        <f>SUMIFS(服务费底表!$AD:$AD,服务费底表!$K:$K,服务费明细!$B9,服务费底表!$H:$H,服务费明细!BW$3)</f>
        <v>0</v>
      </c>
    </row>
    <row r="10" spans="1:75">
      <c r="B10" s="89" t="s">
        <v>96</v>
      </c>
      <c r="C10" s="89" t="str">
        <f>INDEX(二三级标准!$C:$C,MATCH(服务费明细!$B10,二三级标准!$B:$B,0))</f>
        <v>方案版本更新</v>
      </c>
      <c r="D10" s="166">
        <f>IF($D$5=1,1,0)</f>
        <v>1</v>
      </c>
      <c r="E10" s="166">
        <f t="shared" si="26"/>
        <v>1</v>
      </c>
      <c r="F10" s="89" t="str">
        <f>INDEX(二三级标准!$G:$G,MATCH(服务费明细!$B10,二三级标准!$B:$B,0))</f>
        <v>次</v>
      </c>
      <c r="G10" s="166">
        <f t="shared" si="4"/>
        <v>0</v>
      </c>
      <c r="H10" s="166">
        <f t="shared" si="5"/>
        <v>0</v>
      </c>
      <c r="I10" s="166">
        <f t="shared" si="6"/>
        <v>0</v>
      </c>
      <c r="J10" s="166">
        <f t="shared" si="7"/>
        <v>0</v>
      </c>
      <c r="K10" s="166">
        <f t="shared" si="8"/>
        <v>0</v>
      </c>
      <c r="L10" s="166">
        <f t="shared" si="9"/>
        <v>10</v>
      </c>
      <c r="M10" s="166">
        <f t="shared" si="10"/>
        <v>42</v>
      </c>
      <c r="N10" s="166">
        <f t="shared" si="11"/>
        <v>0</v>
      </c>
      <c r="O10" s="166">
        <f t="shared" si="12"/>
        <v>0</v>
      </c>
      <c r="P10" s="166">
        <f t="shared" si="13"/>
        <v>0</v>
      </c>
      <c r="Q10" s="166">
        <f t="shared" si="14"/>
        <v>0</v>
      </c>
      <c r="R10" s="166">
        <f t="shared" si="15"/>
        <v>0</v>
      </c>
      <c r="S10" s="166">
        <f t="shared" si="16"/>
        <v>0</v>
      </c>
      <c r="T10" s="166">
        <f t="shared" si="17"/>
        <v>0</v>
      </c>
      <c r="U10" s="166">
        <f t="shared" si="18"/>
        <v>0</v>
      </c>
      <c r="V10" s="565">
        <f t="shared" si="19"/>
        <v>4</v>
      </c>
      <c r="W10" s="166">
        <f t="shared" si="20"/>
        <v>0</v>
      </c>
      <c r="X10" s="166">
        <f t="shared" si="21"/>
        <v>0</v>
      </c>
      <c r="Y10" s="166">
        <f t="shared" si="22"/>
        <v>4</v>
      </c>
      <c r="Z10" s="166">
        <f t="shared" si="23"/>
        <v>0</v>
      </c>
      <c r="AA10" s="166">
        <f t="shared" si="24"/>
        <v>0</v>
      </c>
      <c r="AB10" s="166">
        <f t="shared" si="25"/>
        <v>0</v>
      </c>
      <c r="AC10" s="166" cm="1">
        <f t="array" ref="AC10">SUMPRODUCT(G10:AB10,$G$4:$AB$4)</f>
        <v>41600</v>
      </c>
      <c r="AD10" s="89" t="b">
        <f t="shared" si="27"/>
        <v>1</v>
      </c>
      <c r="AE10" s="386">
        <f>IFERROR(SUMIF(服务费底表!$K:$K,服务费明细!$B10,服务费底表!$AD:$AD)/E10,0)</f>
        <v>41600</v>
      </c>
      <c r="AF10" s="386">
        <f t="shared" si="28"/>
        <v>41600</v>
      </c>
      <c r="AG10" s="386">
        <f>IFERROR(SUMIF(服务费底表!$K:$K,服务费明细!$B10,服务费底表!$AG:$AG)/E10,0)</f>
        <v>41600</v>
      </c>
      <c r="AH10" s="386">
        <f t="shared" si="29"/>
        <v>41600</v>
      </c>
      <c r="AI10" s="409" t="s">
        <v>984</v>
      </c>
      <c r="AJ10" s="563">
        <f t="shared" si="30"/>
        <v>60</v>
      </c>
      <c r="AK10" s="564">
        <f>SUMIF(服务费底表!$K:$K,服务费明细!$B10,服务费底表!$AC:$AC)</f>
        <v>60</v>
      </c>
      <c r="AL10" s="166">
        <f>SUMIFS(服务费底表!$AC:$AC,服务费底表!$K:$K,服务费明细!$B10,服务费底表!$T:$T,AL$3)</f>
        <v>0</v>
      </c>
      <c r="AM10" s="166">
        <f>SUMIFS(服务费底表!$AC:$AC,服务费底表!$K:$K,服务费明细!$B10,服务费底表!$T:$T,AM$3)</f>
        <v>0</v>
      </c>
      <c r="AN10" s="166">
        <f>SUMIFS(服务费底表!$AC:$AC,服务费底表!$K:$K,服务费明细!$B10,服务费底表!$T:$T,AN$3)</f>
        <v>0</v>
      </c>
      <c r="AO10" s="166">
        <f>SUMIFS(服务费底表!$AC:$AC,服务费底表!$K:$K,服务费明细!$B10,服务费底表!$T:$T,AO$3)</f>
        <v>0</v>
      </c>
      <c r="AP10" s="166">
        <f>SUMIFS(服务费底表!$AC:$AC,服务费底表!$K:$K,服务费明细!$B10,服务费底表!$T:$T,AP$3)</f>
        <v>0</v>
      </c>
      <c r="AQ10" s="166">
        <f>SUMIFS(服务费底表!$AC:$AC,服务费底表!$K:$K,服务费明细!$B10,服务费底表!$T:$T,AQ$3)</f>
        <v>10</v>
      </c>
      <c r="AR10" s="166">
        <f>SUMIFS(服务费底表!$AC:$AC,服务费底表!$K:$K,服务费明细!$B10,服务费底表!$T:$T,AR$3)</f>
        <v>42</v>
      </c>
      <c r="AS10" s="166">
        <f>SUMIFS(服务费底表!$AC:$AC,服务费底表!$K:$K,服务费明细!$B10,服务费底表!$T:$T,AS$3)</f>
        <v>0</v>
      </c>
      <c r="AT10" s="166">
        <f>SUMIFS(服务费底表!$AC:$AC,服务费底表!$K:$K,服务费明细!$B10,服务费底表!$T:$T,AT$3)</f>
        <v>0</v>
      </c>
      <c r="AU10" s="166">
        <f>SUMIFS(服务费底表!$AC:$AC,服务费底表!$K:$K,服务费明细!$B10,服务费底表!$T:$T,AU$3)</f>
        <v>0</v>
      </c>
      <c r="AV10" s="166">
        <f>SUMIFS(服务费底表!$AC:$AC,服务费底表!$K:$K,服务费明细!$B10,服务费底表!$T:$T,AV$3)</f>
        <v>0</v>
      </c>
      <c r="AW10" s="166">
        <f>SUMIFS(服务费底表!$AC:$AC,服务费底表!$K:$K,服务费明细!$B10,服务费底表!$T:$T,AW$3)</f>
        <v>0</v>
      </c>
      <c r="AX10" s="166">
        <f>SUMIFS(服务费底表!$AC:$AC,服务费底表!$K:$K,服务费明细!$B10,服务费底表!$T:$T,AX$3)</f>
        <v>0</v>
      </c>
      <c r="AY10" s="166">
        <f>SUMIFS(服务费底表!$AC:$AC,服务费底表!$K:$K,服务费明细!$B10,服务费底表!$T:$T,AY$3)</f>
        <v>0</v>
      </c>
      <c r="AZ10" s="166">
        <f>SUMIFS(服务费底表!$AC:$AC,服务费底表!$K:$K,服务费明细!$B10,服务费底表!$T:$T,AZ$3)</f>
        <v>0</v>
      </c>
      <c r="BA10" s="166">
        <f>SUMIFS(服务费底表!$AC:$AC,服务费底表!$K:$K,服务费明细!$B10,服务费底表!$T:$T,BA$3)</f>
        <v>4</v>
      </c>
      <c r="BB10" s="166">
        <f>SUMIFS(服务费底表!$AC:$AC,服务费底表!$K:$K,服务费明细!$B10,服务费底表!$T:$T,BB$3)</f>
        <v>0</v>
      </c>
      <c r="BC10" s="166">
        <f>SUMIFS(服务费底表!$AC:$AC,服务费底表!$K:$K,服务费明细!$B10,服务费底表!$T:$T,BC$3)</f>
        <v>0</v>
      </c>
      <c r="BD10" s="166">
        <f>SUMIFS(服务费底表!$AC:$AC,服务费底表!$K:$K,服务费明细!$B10,服务费底表!$T:$T,BD$3)</f>
        <v>4</v>
      </c>
      <c r="BE10" s="166">
        <f>SUMIFS(服务费底表!$AC:$AC,服务费底表!$K:$K,服务费明细!$B10,服务费底表!$T:$T,BE$3)</f>
        <v>0</v>
      </c>
      <c r="BF10" s="166">
        <f>SUMIFS(服务费底表!$AC:$AC,服务费底表!$K:$K,服务费明细!$B10,服务费底表!$T:$T,BF$3)</f>
        <v>0</v>
      </c>
      <c r="BG10" s="166">
        <f>SUMIFS(服务费底表!$AC:$AC,服务费底表!$K:$K,服务费明细!$B10,服务费底表!$T:$T,BG$3)</f>
        <v>0</v>
      </c>
      <c r="BI10" s="388">
        <f>SUMIFS(服务费底表!$AC:$AC,服务费底表!$K:$K,服务费明细!$B10,服务费底表!$H:$H,服务费明细!BI$3)</f>
        <v>52</v>
      </c>
      <c r="BJ10" s="388">
        <f>SUMIFS(服务费底表!$AC:$AC,服务费底表!$K:$K,服务费明细!$B10,服务费底表!$H:$H,服务费明细!BJ$3)</f>
        <v>0</v>
      </c>
      <c r="BK10" s="388">
        <f>SUMIFS(服务费底表!$AC:$AC,服务费底表!$K:$K,服务费明细!$B10,服务费底表!$H:$H,服务费明细!BK$3)</f>
        <v>0</v>
      </c>
      <c r="BL10" s="388">
        <f>SUMIFS(服务费底表!$AC:$AC,服务费底表!$K:$K,服务费明细!$B10,服务费底表!$H:$H,服务费明细!BL$3)</f>
        <v>4</v>
      </c>
      <c r="BM10" s="388">
        <f>SUMIFS(服务费底表!$AC:$AC,服务费底表!$K:$K,服务费明细!$B10,服务费底表!$H:$H,服务费明细!BM$3)</f>
        <v>0</v>
      </c>
      <c r="BN10" s="388">
        <f>SUMIFS(服务费底表!$AC:$AC,服务费底表!$K:$K,服务费明细!$B10,服务费底表!$H:$H,服务费明细!BN$3)</f>
        <v>4</v>
      </c>
      <c r="BO10" s="388">
        <f>SUMIFS(服务费底表!$AC:$AC,服务费底表!$K:$K,服务费明细!$B10,服务费底表!$H:$H,服务费明细!BO$3)</f>
        <v>0</v>
      </c>
      <c r="BQ10" s="389">
        <f>SUMIFS(服务费底表!$AD:$AD,服务费底表!$K:$K,服务费明细!$B10,服务费底表!$H:$H,服务费明细!BQ$3)</f>
        <v>37200</v>
      </c>
      <c r="BR10" s="389">
        <f>SUMIFS(服务费底表!$AD:$AD,服务费底表!$K:$K,服务费明细!$B10,服务费底表!$H:$H,服务费明细!BR$3)</f>
        <v>0</v>
      </c>
      <c r="BS10" s="389">
        <f>SUMIFS(服务费底表!$AD:$AD,服务费底表!$K:$K,服务费明细!$B10,服务费底表!$H:$H,服务费明细!BS$3)</f>
        <v>0</v>
      </c>
      <c r="BT10" s="389">
        <f>SUMIFS(服务费底表!$AD:$AD,服务费底表!$K:$K,服务费明细!$B10,服务费底表!$H:$H,服务费明细!BT$3)</f>
        <v>1600</v>
      </c>
      <c r="BU10" s="389">
        <f>SUMIFS(服务费底表!$AD:$AD,服务费底表!$K:$K,服务费明细!$B10,服务费底表!$H:$H,服务费明细!BU$3)</f>
        <v>0</v>
      </c>
      <c r="BV10" s="389">
        <f>SUMIFS(服务费底表!$AD:$AD,服务费底表!$K:$K,服务费明细!$B10,服务费底表!$H:$H,服务费明细!BV$3)</f>
        <v>2800</v>
      </c>
      <c r="BW10" s="389">
        <f>SUMIFS(服务费底表!$AD:$AD,服务费底表!$K:$K,服务费明细!$B10,服务费底表!$H:$H,服务费明细!BW$3)</f>
        <v>0</v>
      </c>
    </row>
    <row r="11" spans="1:75">
      <c r="B11" s="89" t="s">
        <v>99</v>
      </c>
      <c r="C11" s="89" t="str">
        <f>INDEX(二三级标准!$C:$C,MATCH(服务费明细!$B11,二三级标准!$B:$B,0))</f>
        <v>主知情同意撰写</v>
      </c>
      <c r="D11" s="166">
        <f>IF($D$5=1,1,0)</f>
        <v>1</v>
      </c>
      <c r="E11" s="166">
        <f t="shared" si="26"/>
        <v>1</v>
      </c>
      <c r="F11" s="89" t="str">
        <f>INDEX(二三级标准!$G:$G,MATCH(服务费明细!$B11,二三级标准!$B:$B,0))</f>
        <v>次</v>
      </c>
      <c r="G11" s="166">
        <f t="shared" si="4"/>
        <v>0</v>
      </c>
      <c r="H11" s="166">
        <f t="shared" si="5"/>
        <v>0</v>
      </c>
      <c r="I11" s="166">
        <f t="shared" si="6"/>
        <v>2</v>
      </c>
      <c r="J11" s="166">
        <f t="shared" si="7"/>
        <v>0</v>
      </c>
      <c r="K11" s="166">
        <f t="shared" si="8"/>
        <v>0</v>
      </c>
      <c r="L11" s="166">
        <f t="shared" si="9"/>
        <v>4</v>
      </c>
      <c r="M11" s="166">
        <f t="shared" si="10"/>
        <v>10</v>
      </c>
      <c r="N11" s="166">
        <f t="shared" si="11"/>
        <v>0</v>
      </c>
      <c r="O11" s="166">
        <f t="shared" si="12"/>
        <v>0</v>
      </c>
      <c r="P11" s="166">
        <f t="shared" si="13"/>
        <v>0</v>
      </c>
      <c r="Q11" s="166">
        <f t="shared" si="14"/>
        <v>0</v>
      </c>
      <c r="R11" s="166">
        <f t="shared" si="15"/>
        <v>0</v>
      </c>
      <c r="S11" s="166">
        <f t="shared" si="16"/>
        <v>0</v>
      </c>
      <c r="T11" s="166">
        <f t="shared" si="17"/>
        <v>0</v>
      </c>
      <c r="U11" s="166">
        <f t="shared" si="18"/>
        <v>0</v>
      </c>
      <c r="V11" s="166">
        <f t="shared" si="19"/>
        <v>0</v>
      </c>
      <c r="W11" s="166">
        <f t="shared" si="20"/>
        <v>0</v>
      </c>
      <c r="X11" s="166">
        <f t="shared" si="21"/>
        <v>0</v>
      </c>
      <c r="Y11" s="166">
        <f t="shared" si="22"/>
        <v>0</v>
      </c>
      <c r="Z11" s="166">
        <f t="shared" si="23"/>
        <v>0</v>
      </c>
      <c r="AA11" s="166">
        <f t="shared" si="24"/>
        <v>0</v>
      </c>
      <c r="AB11" s="166">
        <f t="shared" si="25"/>
        <v>0</v>
      </c>
      <c r="AC11" s="166" cm="1">
        <f t="array" ref="AC11">SUMPRODUCT(G11:AB11,$G$4:$AB$4)</f>
        <v>11760</v>
      </c>
      <c r="AD11" s="89" t="b">
        <f t="shared" si="27"/>
        <v>1</v>
      </c>
      <c r="AE11" s="386">
        <f>IFERROR(SUMIF(服务费底表!$K:$K,服务费明细!$B11,服务费底表!$AD:$AD)/E11,0)</f>
        <v>11760</v>
      </c>
      <c r="AF11" s="386">
        <f t="shared" si="28"/>
        <v>11760</v>
      </c>
      <c r="AG11" s="386">
        <f>IFERROR(SUMIF(服务费底表!$K:$K,服务费明细!$B11,服务费底表!$AG:$AG)/E11,0)</f>
        <v>11760</v>
      </c>
      <c r="AH11" s="386">
        <f t="shared" si="29"/>
        <v>11760</v>
      </c>
      <c r="AI11" s="409" t="s">
        <v>985</v>
      </c>
      <c r="AJ11" s="563">
        <f t="shared" si="30"/>
        <v>16</v>
      </c>
      <c r="AK11" s="564">
        <f>SUMIF(服务费底表!$K:$K,服务费明细!$B11,服务费底表!$AC:$AC)</f>
        <v>16</v>
      </c>
      <c r="AL11" s="166">
        <f>SUMIFS(服务费底表!$AC:$AC,服务费底表!$K:$K,服务费明细!$B11,服务费底表!$T:$T,AL$3)</f>
        <v>0</v>
      </c>
      <c r="AM11" s="166">
        <f>SUMIFS(服务费底表!$AC:$AC,服务费底表!$K:$K,服务费明细!$B11,服务费底表!$T:$T,AM$3)</f>
        <v>0</v>
      </c>
      <c r="AN11" s="166">
        <f>SUMIFS(服务费底表!$AC:$AC,服务费底表!$K:$K,服务费明细!$B11,服务费底表!$T:$T,AN$3)</f>
        <v>2</v>
      </c>
      <c r="AO11" s="166">
        <f>SUMIFS(服务费底表!$AC:$AC,服务费底表!$K:$K,服务费明细!$B11,服务费底表!$T:$T,AO$3)</f>
        <v>0</v>
      </c>
      <c r="AP11" s="166">
        <f>SUMIFS(服务费底表!$AC:$AC,服务费底表!$K:$K,服务费明细!$B11,服务费底表!$T:$T,AP$3)</f>
        <v>0</v>
      </c>
      <c r="AQ11" s="166">
        <f>SUMIFS(服务费底表!$AC:$AC,服务费底表!$K:$K,服务费明细!$B11,服务费底表!$T:$T,AQ$3)</f>
        <v>4</v>
      </c>
      <c r="AR11" s="166">
        <f>SUMIFS(服务费底表!$AC:$AC,服务费底表!$K:$K,服务费明细!$B11,服务费底表!$T:$T,AR$3)</f>
        <v>10</v>
      </c>
      <c r="AS11" s="166">
        <f>SUMIFS(服务费底表!$AC:$AC,服务费底表!$K:$K,服务费明细!$B11,服务费底表!$T:$T,AS$3)</f>
        <v>0</v>
      </c>
      <c r="AT11" s="166">
        <f>SUMIFS(服务费底表!$AC:$AC,服务费底表!$K:$K,服务费明细!$B11,服务费底表!$T:$T,AT$3)</f>
        <v>0</v>
      </c>
      <c r="AU11" s="166">
        <f>SUMIFS(服务费底表!$AC:$AC,服务费底表!$K:$K,服务费明细!$B11,服务费底表!$T:$T,AU$3)</f>
        <v>0</v>
      </c>
      <c r="AV11" s="166">
        <f>SUMIFS(服务费底表!$AC:$AC,服务费底表!$K:$K,服务费明细!$B11,服务费底表!$T:$T,AV$3)</f>
        <v>0</v>
      </c>
      <c r="AW11" s="166">
        <f>SUMIFS(服务费底表!$AC:$AC,服务费底表!$K:$K,服务费明细!$B11,服务费底表!$T:$T,AW$3)</f>
        <v>0</v>
      </c>
      <c r="AX11" s="166">
        <f>SUMIFS(服务费底表!$AC:$AC,服务费底表!$K:$K,服务费明细!$B11,服务费底表!$T:$T,AX$3)</f>
        <v>0</v>
      </c>
      <c r="AY11" s="166">
        <f>SUMIFS(服务费底表!$AC:$AC,服务费底表!$K:$K,服务费明细!$B11,服务费底表!$T:$T,AY$3)</f>
        <v>0</v>
      </c>
      <c r="AZ11" s="166">
        <f>SUMIFS(服务费底表!$AC:$AC,服务费底表!$K:$K,服务费明细!$B11,服务费底表!$T:$T,AZ$3)</f>
        <v>0</v>
      </c>
      <c r="BA11" s="166">
        <f>SUMIFS(服务费底表!$AC:$AC,服务费底表!$K:$K,服务费明细!$B11,服务费底表!$T:$T,BA$3)</f>
        <v>0</v>
      </c>
      <c r="BB11" s="166">
        <f>SUMIFS(服务费底表!$AC:$AC,服务费底表!$K:$K,服务费明细!$B11,服务费底表!$T:$T,BB$3)</f>
        <v>0</v>
      </c>
      <c r="BC11" s="166">
        <f>SUMIFS(服务费底表!$AC:$AC,服务费底表!$K:$K,服务费明细!$B11,服务费底表!$T:$T,BC$3)</f>
        <v>0</v>
      </c>
      <c r="BD11" s="166">
        <f>SUMIFS(服务费底表!$AC:$AC,服务费底表!$K:$K,服务费明细!$B11,服务费底表!$T:$T,BD$3)</f>
        <v>0</v>
      </c>
      <c r="BE11" s="166">
        <f>SUMIFS(服务费底表!$AC:$AC,服务费底表!$K:$K,服务费明细!$B11,服务费底表!$T:$T,BE$3)</f>
        <v>0</v>
      </c>
      <c r="BF11" s="166">
        <f>SUMIFS(服务费底表!$AC:$AC,服务费底表!$K:$K,服务费明细!$B11,服务费底表!$T:$T,BF$3)</f>
        <v>0</v>
      </c>
      <c r="BG11" s="166">
        <f>SUMIFS(服务费底表!$AC:$AC,服务费底表!$K:$K,服务费明细!$B11,服务费底表!$T:$T,BG$3)</f>
        <v>0</v>
      </c>
      <c r="BI11" s="388">
        <f>SUMIFS(服务费底表!$AC:$AC,服务费底表!$K:$K,服务费明细!$B11,服务费底表!$H:$H,服务费明细!BI$3)</f>
        <v>14</v>
      </c>
      <c r="BJ11" s="388">
        <f>SUMIFS(服务费底表!$AC:$AC,服务费底表!$K:$K,服务费明细!$B11,服务费底表!$H:$H,服务费明细!BJ$3)</f>
        <v>2</v>
      </c>
      <c r="BK11" s="388">
        <f>SUMIFS(服务费底表!$AC:$AC,服务费底表!$K:$K,服务费明细!$B11,服务费底表!$H:$H,服务费明细!BK$3)</f>
        <v>0</v>
      </c>
      <c r="BL11" s="388">
        <f>SUMIFS(服务费底表!$AC:$AC,服务费底表!$K:$K,服务费明细!$B11,服务费底表!$H:$H,服务费明细!BL$3)</f>
        <v>0</v>
      </c>
      <c r="BM11" s="388">
        <f>SUMIFS(服务费底表!$AC:$AC,服务费底表!$K:$K,服务费明细!$B11,服务费底表!$H:$H,服务费明细!BM$3)</f>
        <v>0</v>
      </c>
      <c r="BN11" s="388">
        <f>SUMIFS(服务费底表!$AC:$AC,服务费底表!$K:$K,服务费明细!$B11,服务费底表!$H:$H,服务费明细!BN$3)</f>
        <v>0</v>
      </c>
      <c r="BO11" s="388">
        <f>SUMIFS(服务费底表!$AC:$AC,服务费底表!$K:$K,服务费明细!$B11,服务费底表!$H:$H,服务费明细!BO$3)</f>
        <v>0</v>
      </c>
      <c r="BQ11" s="389">
        <f>SUMIFS(服务费底表!$AD:$AD,服务费底表!$K:$K,服务费明细!$B11,服务费底表!$H:$H,服务费明细!BQ$3)</f>
        <v>10460</v>
      </c>
      <c r="BR11" s="389">
        <f>SUMIFS(服务费底表!$AD:$AD,服务费底表!$K:$K,服务费明细!$B11,服务费底表!$H:$H,服务费明细!BR$3)</f>
        <v>1300</v>
      </c>
      <c r="BS11" s="389">
        <f>SUMIFS(服务费底表!$AD:$AD,服务费底表!$K:$K,服务费明细!$B11,服务费底表!$H:$H,服务费明细!BS$3)</f>
        <v>0</v>
      </c>
      <c r="BT11" s="389">
        <f>SUMIFS(服务费底表!$AD:$AD,服务费底表!$K:$K,服务费明细!$B11,服务费底表!$H:$H,服务费明细!BT$3)</f>
        <v>0</v>
      </c>
      <c r="BU11" s="389">
        <f>SUMIFS(服务费底表!$AD:$AD,服务费底表!$K:$K,服务费明细!$B11,服务费底表!$H:$H,服务费明细!BU$3)</f>
        <v>0</v>
      </c>
      <c r="BV11" s="389">
        <f>SUMIFS(服务费底表!$AD:$AD,服务费底表!$K:$K,服务费明细!$B11,服务费底表!$H:$H,服务费明细!BV$3)</f>
        <v>0</v>
      </c>
      <c r="BW11" s="389">
        <f>SUMIFS(服务费底表!$AD:$AD,服务费底表!$K:$K,服务费明细!$B11,服务费底表!$H:$H,服务费明细!BW$3)</f>
        <v>0</v>
      </c>
    </row>
    <row r="12" spans="1:75">
      <c r="B12" s="89" t="s">
        <v>101</v>
      </c>
      <c r="C12" s="89" t="str">
        <f>INDEX(二三级标准!$C:$C,MATCH(服务费明细!$B12,二三级标准!$B:$B,0))</f>
        <v>主知情同意版本更新</v>
      </c>
      <c r="D12" s="166">
        <f>IF($D$5=1,1,0)</f>
        <v>1</v>
      </c>
      <c r="E12" s="166">
        <f t="shared" si="26"/>
        <v>1</v>
      </c>
      <c r="F12" s="89" t="str">
        <f>INDEX(二三级标准!$G:$G,MATCH(服务费明细!$B12,二三级标准!$B:$B,0))</f>
        <v>份</v>
      </c>
      <c r="G12" s="166">
        <f t="shared" si="4"/>
        <v>0</v>
      </c>
      <c r="H12" s="166">
        <f t="shared" si="5"/>
        <v>0</v>
      </c>
      <c r="I12" s="166">
        <f t="shared" si="6"/>
        <v>0</v>
      </c>
      <c r="J12" s="166">
        <f t="shared" si="7"/>
        <v>0</v>
      </c>
      <c r="K12" s="166">
        <f t="shared" si="8"/>
        <v>0</v>
      </c>
      <c r="L12" s="166">
        <f t="shared" si="9"/>
        <v>1.5</v>
      </c>
      <c r="M12" s="166">
        <f t="shared" si="10"/>
        <v>6</v>
      </c>
      <c r="N12" s="166">
        <f t="shared" si="11"/>
        <v>0</v>
      </c>
      <c r="O12" s="166">
        <f t="shared" si="12"/>
        <v>0</v>
      </c>
      <c r="P12" s="166">
        <f t="shared" si="13"/>
        <v>0</v>
      </c>
      <c r="Q12" s="166">
        <f t="shared" si="14"/>
        <v>0</v>
      </c>
      <c r="R12" s="166">
        <f t="shared" si="15"/>
        <v>0</v>
      </c>
      <c r="S12" s="166">
        <f t="shared" si="16"/>
        <v>0</v>
      </c>
      <c r="T12" s="166">
        <f t="shared" si="17"/>
        <v>0</v>
      </c>
      <c r="U12" s="166">
        <f t="shared" si="18"/>
        <v>0</v>
      </c>
      <c r="V12" s="166">
        <f t="shared" si="19"/>
        <v>0</v>
      </c>
      <c r="W12" s="166">
        <f t="shared" si="20"/>
        <v>0</v>
      </c>
      <c r="X12" s="166">
        <f t="shared" si="21"/>
        <v>0</v>
      </c>
      <c r="Y12" s="166">
        <f t="shared" si="22"/>
        <v>0</v>
      </c>
      <c r="Z12" s="166">
        <f t="shared" si="23"/>
        <v>0</v>
      </c>
      <c r="AA12" s="166">
        <f t="shared" si="24"/>
        <v>0</v>
      </c>
      <c r="AB12" s="166">
        <f t="shared" si="25"/>
        <v>0</v>
      </c>
      <c r="AC12" s="166" cm="1">
        <f t="array" ref="AC12">SUMPRODUCT(G12:AB12,$G$4:$AB$4)</f>
        <v>5385</v>
      </c>
      <c r="AD12" s="89" t="b">
        <f t="shared" si="27"/>
        <v>1</v>
      </c>
      <c r="AE12" s="386">
        <f>IFERROR(SUMIF(服务费底表!$K:$K,服务费明细!$B12,服务费底表!$AD:$AD)/E12,0)</f>
        <v>5385</v>
      </c>
      <c r="AF12" s="386">
        <f t="shared" si="28"/>
        <v>5385</v>
      </c>
      <c r="AG12" s="386">
        <f>IFERROR(SUMIF(服务费底表!$K:$K,服务费明细!$B12,服务费底表!$AG:$AG)/E12,0)</f>
        <v>5385</v>
      </c>
      <c r="AH12" s="386">
        <f t="shared" si="29"/>
        <v>5385</v>
      </c>
      <c r="AI12" s="409" t="s">
        <v>986</v>
      </c>
      <c r="AJ12" s="563">
        <f t="shared" si="30"/>
        <v>7.5</v>
      </c>
      <c r="AK12" s="564">
        <f>SUMIF(服务费底表!$K:$K,服务费明细!$B12,服务费底表!$AC:$AC)</f>
        <v>7.5</v>
      </c>
      <c r="AL12" s="166">
        <f>SUMIFS(服务费底表!$AC:$AC,服务费底表!$K:$K,服务费明细!$B12,服务费底表!$T:$T,AL$3)</f>
        <v>0</v>
      </c>
      <c r="AM12" s="166">
        <f>SUMIFS(服务费底表!$AC:$AC,服务费底表!$K:$K,服务费明细!$B12,服务费底表!$T:$T,AM$3)</f>
        <v>0</v>
      </c>
      <c r="AN12" s="166">
        <f>SUMIFS(服务费底表!$AC:$AC,服务费底表!$K:$K,服务费明细!$B12,服务费底表!$T:$T,AN$3)</f>
        <v>0</v>
      </c>
      <c r="AO12" s="166">
        <f>SUMIFS(服务费底表!$AC:$AC,服务费底表!$K:$K,服务费明细!$B12,服务费底表!$T:$T,AO$3)</f>
        <v>0</v>
      </c>
      <c r="AP12" s="166">
        <f>SUMIFS(服务费底表!$AC:$AC,服务费底表!$K:$K,服务费明细!$B12,服务费底表!$T:$T,AP$3)</f>
        <v>0</v>
      </c>
      <c r="AQ12" s="166">
        <f>SUMIFS(服务费底表!$AC:$AC,服务费底表!$K:$K,服务费明细!$B12,服务费底表!$T:$T,AQ$3)</f>
        <v>1.5</v>
      </c>
      <c r="AR12" s="166">
        <f>SUMIFS(服务费底表!$AC:$AC,服务费底表!$K:$K,服务费明细!$B12,服务费底表!$T:$T,AR$3)</f>
        <v>6</v>
      </c>
      <c r="AS12" s="166">
        <f>SUMIFS(服务费底表!$AC:$AC,服务费底表!$K:$K,服务费明细!$B12,服务费底表!$T:$T,AS$3)</f>
        <v>0</v>
      </c>
      <c r="AT12" s="166">
        <f>SUMIFS(服务费底表!$AC:$AC,服务费底表!$K:$K,服务费明细!$B12,服务费底表!$T:$T,AT$3)</f>
        <v>0</v>
      </c>
      <c r="AU12" s="166">
        <f>SUMIFS(服务费底表!$AC:$AC,服务费底表!$K:$K,服务费明细!$B12,服务费底表!$T:$T,AU$3)</f>
        <v>0</v>
      </c>
      <c r="AV12" s="166">
        <f>SUMIFS(服务费底表!$AC:$AC,服务费底表!$K:$K,服务费明细!$B12,服务费底表!$T:$T,AV$3)</f>
        <v>0</v>
      </c>
      <c r="AW12" s="166">
        <f>SUMIFS(服务费底表!$AC:$AC,服务费底表!$K:$K,服务费明细!$B12,服务费底表!$T:$T,AW$3)</f>
        <v>0</v>
      </c>
      <c r="AX12" s="166">
        <f>SUMIFS(服务费底表!$AC:$AC,服务费底表!$K:$K,服务费明细!$B12,服务费底表!$T:$T,AX$3)</f>
        <v>0</v>
      </c>
      <c r="AY12" s="166">
        <f>SUMIFS(服务费底表!$AC:$AC,服务费底表!$K:$K,服务费明细!$B12,服务费底表!$T:$T,AY$3)</f>
        <v>0</v>
      </c>
      <c r="AZ12" s="166">
        <f>SUMIFS(服务费底表!$AC:$AC,服务费底表!$K:$K,服务费明细!$B12,服务费底表!$T:$T,AZ$3)</f>
        <v>0</v>
      </c>
      <c r="BA12" s="166">
        <f>SUMIFS(服务费底表!$AC:$AC,服务费底表!$K:$K,服务费明细!$B12,服务费底表!$T:$T,BA$3)</f>
        <v>0</v>
      </c>
      <c r="BB12" s="166">
        <f>SUMIFS(服务费底表!$AC:$AC,服务费底表!$K:$K,服务费明细!$B12,服务费底表!$T:$T,BB$3)</f>
        <v>0</v>
      </c>
      <c r="BC12" s="166">
        <f>SUMIFS(服务费底表!$AC:$AC,服务费底表!$K:$K,服务费明细!$B12,服务费底表!$T:$T,BC$3)</f>
        <v>0</v>
      </c>
      <c r="BD12" s="166">
        <f>SUMIFS(服务费底表!$AC:$AC,服务费底表!$K:$K,服务费明细!$B12,服务费底表!$T:$T,BD$3)</f>
        <v>0</v>
      </c>
      <c r="BE12" s="166">
        <f>SUMIFS(服务费底表!$AC:$AC,服务费底表!$K:$K,服务费明细!$B12,服务费底表!$T:$T,BE$3)</f>
        <v>0</v>
      </c>
      <c r="BF12" s="166">
        <f>SUMIFS(服务费底表!$AC:$AC,服务费底表!$K:$K,服务费明细!$B12,服务费底表!$T:$T,BF$3)</f>
        <v>0</v>
      </c>
      <c r="BG12" s="166">
        <f>SUMIFS(服务费底表!$AC:$AC,服务费底表!$K:$K,服务费明细!$B12,服务费底表!$T:$T,BG$3)</f>
        <v>0</v>
      </c>
      <c r="BI12" s="388">
        <f>SUMIFS(服务费底表!$AC:$AC,服务费底表!$K:$K,服务费明细!$B12,服务费底表!$H:$H,服务费明细!BI$3)</f>
        <v>7.5</v>
      </c>
      <c r="BJ12" s="388">
        <f>SUMIFS(服务费底表!$AC:$AC,服务费底表!$K:$K,服务费明细!$B12,服务费底表!$H:$H,服务费明细!BJ$3)</f>
        <v>0</v>
      </c>
      <c r="BK12" s="388">
        <f>SUMIFS(服务费底表!$AC:$AC,服务费底表!$K:$K,服务费明细!$B12,服务费底表!$H:$H,服务费明细!BK$3)</f>
        <v>0</v>
      </c>
      <c r="BL12" s="388">
        <f>SUMIFS(服务费底表!$AC:$AC,服务费底表!$K:$K,服务费明细!$B12,服务费底表!$H:$H,服务费明细!BL$3)</f>
        <v>0</v>
      </c>
      <c r="BM12" s="388">
        <f>SUMIFS(服务费底表!$AC:$AC,服务费底表!$K:$K,服务费明细!$B12,服务费底表!$H:$H,服务费明细!BM$3)</f>
        <v>0</v>
      </c>
      <c r="BN12" s="388">
        <f>SUMIFS(服务费底表!$AC:$AC,服务费底表!$K:$K,服务费明细!$B12,服务费底表!$H:$H,服务费明细!BN$3)</f>
        <v>0</v>
      </c>
      <c r="BO12" s="388">
        <f>SUMIFS(服务费底表!$AC:$AC,服务费底表!$K:$K,服务费明细!$B12,服务费底表!$H:$H,服务费明细!BO$3)</f>
        <v>0</v>
      </c>
      <c r="BQ12" s="389">
        <f>SUMIFS(服务费底表!$AD:$AD,服务费底表!$K:$K,服务费明细!$B12,服务费底表!$H:$H,服务费明细!BQ$3)</f>
        <v>5385</v>
      </c>
      <c r="BR12" s="389">
        <f>SUMIFS(服务费底表!$AD:$AD,服务费底表!$K:$K,服务费明细!$B12,服务费底表!$H:$H,服务费明细!BR$3)</f>
        <v>0</v>
      </c>
      <c r="BS12" s="389">
        <f>SUMIFS(服务费底表!$AD:$AD,服务费底表!$K:$K,服务费明细!$B12,服务费底表!$H:$H,服务费明细!BS$3)</f>
        <v>0</v>
      </c>
      <c r="BT12" s="389">
        <f>SUMIFS(服务费底表!$AD:$AD,服务费底表!$K:$K,服务费明细!$B12,服务费底表!$H:$H,服务费明细!BT$3)</f>
        <v>0</v>
      </c>
      <c r="BU12" s="389">
        <f>SUMIFS(服务费底表!$AD:$AD,服务费底表!$K:$K,服务费明细!$B12,服务费底表!$H:$H,服务费明细!BU$3)</f>
        <v>0</v>
      </c>
      <c r="BV12" s="389">
        <f>SUMIFS(服务费底表!$AD:$AD,服务费底表!$K:$K,服务费明细!$B12,服务费底表!$H:$H,服务费明细!BV$3)</f>
        <v>0</v>
      </c>
      <c r="BW12" s="389">
        <f>SUMIFS(服务费底表!$AD:$AD,服务费底表!$K:$K,服务费明细!$B12,服务费底表!$H:$H,服务费明细!BW$3)</f>
        <v>0</v>
      </c>
    </row>
    <row r="13" spans="1:75">
      <c r="B13" s="89" t="s">
        <v>104</v>
      </c>
      <c r="C13" s="89" t="str">
        <f>INDEX(二三级标准!$C:$C,MATCH(服务费明细!$B13,二三级标准!$B:$B,0))</f>
        <v>试验参与者日记卡撰写</v>
      </c>
      <c r="D13" s="166" cm="1">
        <f t="array" ref="D13">IF(AND($D$5=1,试验参与者类型&lt;&gt;"健康人"),1,0)</f>
        <v>1</v>
      </c>
      <c r="E13" s="166">
        <f t="shared" si="26"/>
        <v>1</v>
      </c>
      <c r="F13" s="89" t="str">
        <f>INDEX(二三级标准!$G:$G,MATCH(服务费明细!$B13,二三级标准!$B:$B,0))</f>
        <v>次</v>
      </c>
      <c r="G13" s="166">
        <f t="shared" si="4"/>
        <v>0</v>
      </c>
      <c r="H13" s="166">
        <f t="shared" si="5"/>
        <v>0</v>
      </c>
      <c r="I13" s="166">
        <f t="shared" si="6"/>
        <v>6</v>
      </c>
      <c r="J13" s="166">
        <f t="shared" si="7"/>
        <v>0</v>
      </c>
      <c r="K13" s="166">
        <f t="shared" si="8"/>
        <v>0</v>
      </c>
      <c r="L13" s="166">
        <f t="shared" si="9"/>
        <v>0</v>
      </c>
      <c r="M13" s="166">
        <f t="shared" si="10"/>
        <v>2</v>
      </c>
      <c r="N13" s="166">
        <f t="shared" si="11"/>
        <v>0</v>
      </c>
      <c r="O13" s="166">
        <f t="shared" si="12"/>
        <v>0</v>
      </c>
      <c r="P13" s="166">
        <f t="shared" si="13"/>
        <v>0</v>
      </c>
      <c r="Q13" s="166">
        <f t="shared" si="14"/>
        <v>0</v>
      </c>
      <c r="R13" s="166">
        <f t="shared" si="15"/>
        <v>0</v>
      </c>
      <c r="S13" s="166">
        <f t="shared" si="16"/>
        <v>0</v>
      </c>
      <c r="T13" s="166">
        <f t="shared" si="17"/>
        <v>0</v>
      </c>
      <c r="U13" s="166">
        <f t="shared" si="18"/>
        <v>0</v>
      </c>
      <c r="V13" s="166">
        <f t="shared" si="19"/>
        <v>0</v>
      </c>
      <c r="W13" s="166">
        <f t="shared" si="20"/>
        <v>0</v>
      </c>
      <c r="X13" s="166">
        <f t="shared" si="21"/>
        <v>0</v>
      </c>
      <c r="Y13" s="166">
        <f t="shared" si="22"/>
        <v>0</v>
      </c>
      <c r="Z13" s="166">
        <f t="shared" si="23"/>
        <v>0</v>
      </c>
      <c r="AA13" s="166">
        <f t="shared" si="24"/>
        <v>0</v>
      </c>
      <c r="AB13" s="166">
        <f t="shared" si="25"/>
        <v>0</v>
      </c>
      <c r="AC13" s="166" cm="1">
        <f t="array" ref="AC13">SUMPRODUCT(G13:AB13,$G$4:$AB$4)</f>
        <v>5200</v>
      </c>
      <c r="AD13" s="89" t="b">
        <f t="shared" si="27"/>
        <v>1</v>
      </c>
      <c r="AE13" s="386">
        <f>IFERROR(SUMIF(服务费底表!$K:$K,服务费明细!$B13,服务费底表!$AD:$AD)/E13,0)</f>
        <v>5200</v>
      </c>
      <c r="AF13" s="386">
        <f t="shared" si="28"/>
        <v>5200</v>
      </c>
      <c r="AG13" s="386">
        <f>IFERROR(SUMIF(服务费底表!$K:$K,服务费明细!$B13,服务费底表!$AG:$AG)/E13,0)</f>
        <v>5200</v>
      </c>
      <c r="AH13" s="386">
        <f t="shared" si="29"/>
        <v>5200</v>
      </c>
      <c r="AI13" s="409" t="s">
        <v>985</v>
      </c>
      <c r="AJ13" s="563">
        <f t="shared" si="30"/>
        <v>8</v>
      </c>
      <c r="AK13" s="564">
        <f>SUMIF(服务费底表!$K:$K,服务费明细!$B13,服务费底表!$AC:$AC)</f>
        <v>8</v>
      </c>
      <c r="AL13" s="166">
        <f>SUMIFS(服务费底表!$AC:$AC,服务费底表!$K:$K,服务费明细!$B13,服务费底表!$T:$T,AL$3)</f>
        <v>0</v>
      </c>
      <c r="AM13" s="166">
        <f>SUMIFS(服务费底表!$AC:$AC,服务费底表!$K:$K,服务费明细!$B13,服务费底表!$T:$T,AM$3)</f>
        <v>0</v>
      </c>
      <c r="AN13" s="166">
        <f>SUMIFS(服务费底表!$AC:$AC,服务费底表!$K:$K,服务费明细!$B13,服务费底表!$T:$T,AN$3)</f>
        <v>6</v>
      </c>
      <c r="AO13" s="166">
        <f>SUMIFS(服务费底表!$AC:$AC,服务费底表!$K:$K,服务费明细!$B13,服务费底表!$T:$T,AO$3)</f>
        <v>0</v>
      </c>
      <c r="AP13" s="166">
        <f>SUMIFS(服务费底表!$AC:$AC,服务费底表!$K:$K,服务费明细!$B13,服务费底表!$T:$T,AP$3)</f>
        <v>0</v>
      </c>
      <c r="AQ13" s="166">
        <f>SUMIFS(服务费底表!$AC:$AC,服务费底表!$K:$K,服务费明细!$B13,服务费底表!$T:$T,AQ$3)</f>
        <v>0</v>
      </c>
      <c r="AR13" s="166">
        <f>SUMIFS(服务费底表!$AC:$AC,服务费底表!$K:$K,服务费明细!$B13,服务费底表!$T:$T,AR$3)</f>
        <v>2</v>
      </c>
      <c r="AS13" s="166">
        <f>SUMIFS(服务费底表!$AC:$AC,服务费底表!$K:$K,服务费明细!$B13,服务费底表!$T:$T,AS$3)</f>
        <v>0</v>
      </c>
      <c r="AT13" s="166">
        <f>SUMIFS(服务费底表!$AC:$AC,服务费底表!$K:$K,服务费明细!$B13,服务费底表!$T:$T,AT$3)</f>
        <v>0</v>
      </c>
      <c r="AU13" s="166">
        <f>SUMIFS(服务费底表!$AC:$AC,服务费底表!$K:$K,服务费明细!$B13,服务费底表!$T:$T,AU$3)</f>
        <v>0</v>
      </c>
      <c r="AV13" s="166">
        <f>SUMIFS(服务费底表!$AC:$AC,服务费底表!$K:$K,服务费明细!$B13,服务费底表!$T:$T,AV$3)</f>
        <v>0</v>
      </c>
      <c r="AW13" s="166">
        <f>SUMIFS(服务费底表!$AC:$AC,服务费底表!$K:$K,服务费明细!$B13,服务费底表!$T:$T,AW$3)</f>
        <v>0</v>
      </c>
      <c r="AX13" s="166">
        <f>SUMIFS(服务费底表!$AC:$AC,服务费底表!$K:$K,服务费明细!$B13,服务费底表!$T:$T,AX$3)</f>
        <v>0</v>
      </c>
      <c r="AY13" s="166">
        <f>SUMIFS(服务费底表!$AC:$AC,服务费底表!$K:$K,服务费明细!$B13,服务费底表!$T:$T,AY$3)</f>
        <v>0</v>
      </c>
      <c r="AZ13" s="166">
        <f>SUMIFS(服务费底表!$AC:$AC,服务费底表!$K:$K,服务费明细!$B13,服务费底表!$T:$T,AZ$3)</f>
        <v>0</v>
      </c>
      <c r="BA13" s="166">
        <f>SUMIFS(服务费底表!$AC:$AC,服务费底表!$K:$K,服务费明细!$B13,服务费底表!$T:$T,BA$3)</f>
        <v>0</v>
      </c>
      <c r="BB13" s="166">
        <f>SUMIFS(服务费底表!$AC:$AC,服务费底表!$K:$K,服务费明细!$B13,服务费底表!$T:$T,BB$3)</f>
        <v>0</v>
      </c>
      <c r="BC13" s="166">
        <f>SUMIFS(服务费底表!$AC:$AC,服务费底表!$K:$K,服务费明细!$B13,服务费底表!$T:$T,BC$3)</f>
        <v>0</v>
      </c>
      <c r="BD13" s="166">
        <f>SUMIFS(服务费底表!$AC:$AC,服务费底表!$K:$K,服务费明细!$B13,服务费底表!$T:$T,BD$3)</f>
        <v>0</v>
      </c>
      <c r="BE13" s="166">
        <f>SUMIFS(服务费底表!$AC:$AC,服务费底表!$K:$K,服务费明细!$B13,服务费底表!$T:$T,BE$3)</f>
        <v>0</v>
      </c>
      <c r="BF13" s="166">
        <f>SUMIFS(服务费底表!$AC:$AC,服务费底表!$K:$K,服务费明细!$B13,服务费底表!$T:$T,BF$3)</f>
        <v>0</v>
      </c>
      <c r="BG13" s="166">
        <f>SUMIFS(服务费底表!$AC:$AC,服务费底表!$K:$K,服务费明细!$B13,服务费底表!$T:$T,BG$3)</f>
        <v>0</v>
      </c>
      <c r="BI13" s="388">
        <f>SUMIFS(服务费底表!$AC:$AC,服务费底表!$K:$K,服务费明细!$B13,服务费底表!$H:$H,服务费明细!BI$3)</f>
        <v>2</v>
      </c>
      <c r="BJ13" s="388">
        <f>SUMIFS(服务费底表!$AC:$AC,服务费底表!$K:$K,服务费明细!$B13,服务费底表!$H:$H,服务费明细!BJ$3)</f>
        <v>6</v>
      </c>
      <c r="BK13" s="388">
        <f>SUMIFS(服务费底表!$AC:$AC,服务费底表!$K:$K,服务费明细!$B13,服务费底表!$H:$H,服务费明细!BK$3)</f>
        <v>0</v>
      </c>
      <c r="BL13" s="388">
        <f>SUMIFS(服务费底表!$AC:$AC,服务费底表!$K:$K,服务费明细!$B13,服务费底表!$H:$H,服务费明细!BL$3)</f>
        <v>0</v>
      </c>
      <c r="BM13" s="388">
        <f>SUMIFS(服务费底表!$AC:$AC,服务费底表!$K:$K,服务费明细!$B13,服务费底表!$H:$H,服务费明细!BM$3)</f>
        <v>0</v>
      </c>
      <c r="BN13" s="388">
        <f>SUMIFS(服务费底表!$AC:$AC,服务费底表!$K:$K,服务费明细!$B13,服务费底表!$H:$H,服务费明细!BN$3)</f>
        <v>0</v>
      </c>
      <c r="BO13" s="388">
        <f>SUMIFS(服务费底表!$AC:$AC,服务费底表!$K:$K,服务费明细!$B13,服务费底表!$H:$H,服务费明细!BO$3)</f>
        <v>0</v>
      </c>
      <c r="BQ13" s="389">
        <f>SUMIFS(服务费底表!$AD:$AD,服务费底表!$K:$K,服务费明细!$B13,服务费底表!$H:$H,服务费明细!BQ$3)</f>
        <v>1300</v>
      </c>
      <c r="BR13" s="389">
        <f>SUMIFS(服务费底表!$AD:$AD,服务费底表!$K:$K,服务费明细!$B13,服务费底表!$H:$H,服务费明细!BR$3)</f>
        <v>3900</v>
      </c>
      <c r="BS13" s="389">
        <f>SUMIFS(服务费底表!$AD:$AD,服务费底表!$K:$K,服务费明细!$B13,服务费底表!$H:$H,服务费明细!BS$3)</f>
        <v>0</v>
      </c>
      <c r="BT13" s="389">
        <f>SUMIFS(服务费底表!$AD:$AD,服务费底表!$K:$K,服务费明细!$B13,服务费底表!$H:$H,服务费明细!BT$3)</f>
        <v>0</v>
      </c>
      <c r="BU13" s="389">
        <f>SUMIFS(服务费底表!$AD:$AD,服务费底表!$K:$K,服务费明细!$B13,服务费底表!$H:$H,服务费明细!BU$3)</f>
        <v>0</v>
      </c>
      <c r="BV13" s="389">
        <f>SUMIFS(服务费底表!$AD:$AD,服务费底表!$K:$K,服务费明细!$B13,服务费底表!$H:$H,服务费明细!BV$3)</f>
        <v>0</v>
      </c>
      <c r="BW13" s="389">
        <f>SUMIFS(服务费底表!$AD:$AD,服务费底表!$K:$K,服务费明细!$B13,服务费底表!$H:$H,服务费明细!BW$3)</f>
        <v>0</v>
      </c>
    </row>
    <row r="14" spans="1:75">
      <c r="B14" s="89" t="s">
        <v>107</v>
      </c>
      <c r="C14" s="89" t="str">
        <f>INDEX(二三级标准!$C:$C,MATCH(服务费明细!$B14,二三级标准!$B:$B,0))</f>
        <v>试验参与者招募广告撰写</v>
      </c>
      <c r="D14" s="166">
        <f>IF($D$5=1,1,0)</f>
        <v>1</v>
      </c>
      <c r="E14" s="166">
        <f t="shared" si="26"/>
        <v>1</v>
      </c>
      <c r="F14" s="89" t="str">
        <f>INDEX(二三级标准!$G:$G,MATCH(服务费明细!$B14,二三级标准!$B:$B,0))</f>
        <v>份</v>
      </c>
      <c r="G14" s="166">
        <f t="shared" si="4"/>
        <v>0</v>
      </c>
      <c r="H14" s="166">
        <f t="shared" si="5"/>
        <v>0</v>
      </c>
      <c r="I14" s="166">
        <f t="shared" si="6"/>
        <v>6</v>
      </c>
      <c r="J14" s="166">
        <f t="shared" si="7"/>
        <v>0</v>
      </c>
      <c r="K14" s="166">
        <f t="shared" si="8"/>
        <v>0</v>
      </c>
      <c r="L14" s="166">
        <f t="shared" si="9"/>
        <v>0</v>
      </c>
      <c r="M14" s="166">
        <f t="shared" si="10"/>
        <v>1</v>
      </c>
      <c r="N14" s="166">
        <f t="shared" si="11"/>
        <v>0</v>
      </c>
      <c r="O14" s="166">
        <f t="shared" si="12"/>
        <v>0</v>
      </c>
      <c r="P14" s="166">
        <f t="shared" si="13"/>
        <v>0</v>
      </c>
      <c r="Q14" s="166">
        <f t="shared" si="14"/>
        <v>0</v>
      </c>
      <c r="R14" s="166">
        <f t="shared" si="15"/>
        <v>0</v>
      </c>
      <c r="S14" s="166">
        <f t="shared" si="16"/>
        <v>0</v>
      </c>
      <c r="T14" s="166">
        <f t="shared" si="17"/>
        <v>0</v>
      </c>
      <c r="U14" s="166">
        <f t="shared" si="18"/>
        <v>0</v>
      </c>
      <c r="V14" s="166">
        <f t="shared" si="19"/>
        <v>0</v>
      </c>
      <c r="W14" s="166">
        <f t="shared" si="20"/>
        <v>0</v>
      </c>
      <c r="X14" s="166">
        <f t="shared" si="21"/>
        <v>0</v>
      </c>
      <c r="Y14" s="166">
        <f t="shared" si="22"/>
        <v>0</v>
      </c>
      <c r="Z14" s="166">
        <f t="shared" si="23"/>
        <v>0</v>
      </c>
      <c r="AA14" s="166">
        <f t="shared" si="24"/>
        <v>0</v>
      </c>
      <c r="AB14" s="166">
        <f t="shared" si="25"/>
        <v>0</v>
      </c>
      <c r="AC14" s="166" cm="1">
        <f t="array" ref="AC14">SUMPRODUCT(G14:AB14,$G$4:$AB$4)</f>
        <v>4550</v>
      </c>
      <c r="AD14" s="89" t="b">
        <f t="shared" si="27"/>
        <v>1</v>
      </c>
      <c r="AE14" s="386">
        <f>IFERROR(SUMIF(服务费底表!$K:$K,服务费明细!$B14,服务费底表!$AD:$AD)/E14,0)</f>
        <v>4550</v>
      </c>
      <c r="AF14" s="386">
        <f t="shared" si="28"/>
        <v>4550</v>
      </c>
      <c r="AG14" s="386">
        <f>IFERROR(SUMIF(服务费底表!$K:$K,服务费明细!$B14,服务费底表!$AG:$AG)/E14,0)</f>
        <v>4550</v>
      </c>
      <c r="AH14" s="386">
        <f t="shared" si="29"/>
        <v>4550</v>
      </c>
      <c r="AI14" s="409" t="s">
        <v>985</v>
      </c>
      <c r="AJ14" s="563">
        <f t="shared" si="30"/>
        <v>7</v>
      </c>
      <c r="AK14" s="564">
        <f>SUMIF(服务费底表!$K:$K,服务费明细!$B14,服务费底表!$AC:$AC)</f>
        <v>7</v>
      </c>
      <c r="AL14" s="166">
        <f>SUMIFS(服务费底表!$AC:$AC,服务费底表!$K:$K,服务费明细!$B14,服务费底表!$T:$T,AL$3)</f>
        <v>0</v>
      </c>
      <c r="AM14" s="166">
        <f>SUMIFS(服务费底表!$AC:$AC,服务费底表!$K:$K,服务费明细!$B14,服务费底表!$T:$T,AM$3)</f>
        <v>0</v>
      </c>
      <c r="AN14" s="166">
        <f>SUMIFS(服务费底表!$AC:$AC,服务费底表!$K:$K,服务费明细!$B14,服务费底表!$T:$T,AN$3)</f>
        <v>6</v>
      </c>
      <c r="AO14" s="166">
        <f>SUMIFS(服务费底表!$AC:$AC,服务费底表!$K:$K,服务费明细!$B14,服务费底表!$T:$T,AO$3)</f>
        <v>0</v>
      </c>
      <c r="AP14" s="166">
        <f>SUMIFS(服务费底表!$AC:$AC,服务费底表!$K:$K,服务费明细!$B14,服务费底表!$T:$T,AP$3)</f>
        <v>0</v>
      </c>
      <c r="AQ14" s="166">
        <f>SUMIFS(服务费底表!$AC:$AC,服务费底表!$K:$K,服务费明细!$B14,服务费底表!$T:$T,AQ$3)</f>
        <v>0</v>
      </c>
      <c r="AR14" s="166">
        <f>SUMIFS(服务费底表!$AC:$AC,服务费底表!$K:$K,服务费明细!$B14,服务费底表!$T:$T,AR$3)</f>
        <v>1</v>
      </c>
      <c r="AS14" s="166">
        <f>SUMIFS(服务费底表!$AC:$AC,服务费底表!$K:$K,服务费明细!$B14,服务费底表!$T:$T,AS$3)</f>
        <v>0</v>
      </c>
      <c r="AT14" s="166">
        <f>SUMIFS(服务费底表!$AC:$AC,服务费底表!$K:$K,服务费明细!$B14,服务费底表!$T:$T,AT$3)</f>
        <v>0</v>
      </c>
      <c r="AU14" s="166">
        <f>SUMIFS(服务费底表!$AC:$AC,服务费底表!$K:$K,服务费明细!$B14,服务费底表!$T:$T,AU$3)</f>
        <v>0</v>
      </c>
      <c r="AV14" s="166">
        <f>SUMIFS(服务费底表!$AC:$AC,服务费底表!$K:$K,服务费明细!$B14,服务费底表!$T:$T,AV$3)</f>
        <v>0</v>
      </c>
      <c r="AW14" s="166">
        <f>SUMIFS(服务费底表!$AC:$AC,服务费底表!$K:$K,服务费明细!$B14,服务费底表!$T:$T,AW$3)</f>
        <v>0</v>
      </c>
      <c r="AX14" s="166">
        <f>SUMIFS(服务费底表!$AC:$AC,服务费底表!$K:$K,服务费明细!$B14,服务费底表!$T:$T,AX$3)</f>
        <v>0</v>
      </c>
      <c r="AY14" s="166">
        <f>SUMIFS(服务费底表!$AC:$AC,服务费底表!$K:$K,服务费明细!$B14,服务费底表!$T:$T,AY$3)</f>
        <v>0</v>
      </c>
      <c r="AZ14" s="166">
        <f>SUMIFS(服务费底表!$AC:$AC,服务费底表!$K:$K,服务费明细!$B14,服务费底表!$T:$T,AZ$3)</f>
        <v>0</v>
      </c>
      <c r="BA14" s="166">
        <f>SUMIFS(服务费底表!$AC:$AC,服务费底表!$K:$K,服务费明细!$B14,服务费底表!$T:$T,BA$3)</f>
        <v>0</v>
      </c>
      <c r="BB14" s="166">
        <f>SUMIFS(服务费底表!$AC:$AC,服务费底表!$K:$K,服务费明细!$B14,服务费底表!$T:$T,BB$3)</f>
        <v>0</v>
      </c>
      <c r="BC14" s="166">
        <f>SUMIFS(服务费底表!$AC:$AC,服务费底表!$K:$K,服务费明细!$B14,服务费底表!$T:$T,BC$3)</f>
        <v>0</v>
      </c>
      <c r="BD14" s="166">
        <f>SUMIFS(服务费底表!$AC:$AC,服务费底表!$K:$K,服务费明细!$B14,服务费底表!$T:$T,BD$3)</f>
        <v>0</v>
      </c>
      <c r="BE14" s="166">
        <f>SUMIFS(服务费底表!$AC:$AC,服务费底表!$K:$K,服务费明细!$B14,服务费底表!$T:$T,BE$3)</f>
        <v>0</v>
      </c>
      <c r="BF14" s="166">
        <f>SUMIFS(服务费底表!$AC:$AC,服务费底表!$K:$K,服务费明细!$B14,服务费底表!$T:$T,BF$3)</f>
        <v>0</v>
      </c>
      <c r="BG14" s="166">
        <f>SUMIFS(服务费底表!$AC:$AC,服务费底表!$K:$K,服务费明细!$B14,服务费底表!$T:$T,BG$3)</f>
        <v>0</v>
      </c>
      <c r="BI14" s="388">
        <f>SUMIFS(服务费底表!$AC:$AC,服务费底表!$K:$K,服务费明细!$B14,服务费底表!$H:$H,服务费明细!BI$3)</f>
        <v>1</v>
      </c>
      <c r="BJ14" s="388">
        <f>SUMIFS(服务费底表!$AC:$AC,服务费底表!$K:$K,服务费明细!$B14,服务费底表!$H:$H,服务费明细!BJ$3)</f>
        <v>6</v>
      </c>
      <c r="BK14" s="388">
        <f>SUMIFS(服务费底表!$AC:$AC,服务费底表!$K:$K,服务费明细!$B14,服务费底表!$H:$H,服务费明细!BK$3)</f>
        <v>0</v>
      </c>
      <c r="BL14" s="388">
        <f>SUMIFS(服务费底表!$AC:$AC,服务费底表!$K:$K,服务费明细!$B14,服务费底表!$H:$H,服务费明细!BL$3)</f>
        <v>0</v>
      </c>
      <c r="BM14" s="388">
        <f>SUMIFS(服务费底表!$AC:$AC,服务费底表!$K:$K,服务费明细!$B14,服务费底表!$H:$H,服务费明细!BM$3)</f>
        <v>0</v>
      </c>
      <c r="BN14" s="388">
        <f>SUMIFS(服务费底表!$AC:$AC,服务费底表!$K:$K,服务费明细!$B14,服务费底表!$H:$H,服务费明细!BN$3)</f>
        <v>0</v>
      </c>
      <c r="BO14" s="388">
        <f>SUMIFS(服务费底表!$AC:$AC,服务费底表!$K:$K,服务费明细!$B14,服务费底表!$H:$H,服务费明细!BO$3)</f>
        <v>0</v>
      </c>
      <c r="BQ14" s="389">
        <f>SUMIFS(服务费底表!$AD:$AD,服务费底表!$K:$K,服务费明细!$B14,服务费底表!$H:$H,服务费明细!BQ$3)</f>
        <v>650</v>
      </c>
      <c r="BR14" s="389">
        <f>SUMIFS(服务费底表!$AD:$AD,服务费底表!$K:$K,服务费明细!$B14,服务费底表!$H:$H,服务费明细!BR$3)</f>
        <v>3900</v>
      </c>
      <c r="BS14" s="389">
        <f>SUMIFS(服务费底表!$AD:$AD,服务费底表!$K:$K,服务费明细!$B14,服务费底表!$H:$H,服务费明细!BS$3)</f>
        <v>0</v>
      </c>
      <c r="BT14" s="389">
        <f>SUMIFS(服务费底表!$AD:$AD,服务费底表!$K:$K,服务费明细!$B14,服务费底表!$H:$H,服务费明细!BT$3)</f>
        <v>0</v>
      </c>
      <c r="BU14" s="389">
        <f>SUMIFS(服务费底表!$AD:$AD,服务费底表!$K:$K,服务费明细!$B14,服务费底表!$H:$H,服务费明细!BU$3)</f>
        <v>0</v>
      </c>
      <c r="BV14" s="389">
        <f>SUMIFS(服务费底表!$AD:$AD,服务费底表!$K:$K,服务费明细!$B14,服务费底表!$H:$H,服务费明细!BV$3)</f>
        <v>0</v>
      </c>
      <c r="BW14" s="389">
        <f>SUMIFS(服务费底表!$AD:$AD,服务费底表!$K:$K,服务费明细!$B14,服务费底表!$H:$H,服务费明细!BW$3)</f>
        <v>0</v>
      </c>
    </row>
    <row r="15" ht="15.6" spans="1:75">
      <c r="B15" s="88" t="s">
        <v>917</v>
      </c>
      <c r="C15" s="88" t="str">
        <f>INDEX(二三级标准!$Q:$Q,MATCH(服务费明细!$B15,二三级标准!$O:$O,0))</f>
        <v>试验准备</v>
      </c>
      <c r="D15" s="376">
        <f>IF(临床监查YN=1,1,0)</f>
        <v>1</v>
      </c>
      <c r="E15" s="377"/>
      <c r="F15" s="378"/>
      <c r="G15" s="429">
        <f>SUM(G17:G33)</f>
        <v>295</v>
      </c>
      <c r="H15" s="429">
        <f t="shared" ref="H15:AB15" si="31">SUM(H17:H33)</f>
        <v>43</v>
      </c>
      <c r="I15" s="429">
        <f t="shared" si="31"/>
        <v>64</v>
      </c>
      <c r="J15" s="429">
        <f t="shared" si="31"/>
        <v>2</v>
      </c>
      <c r="K15" s="429">
        <f t="shared" si="31"/>
        <v>0</v>
      </c>
      <c r="L15" s="429">
        <f t="shared" si="31"/>
        <v>1</v>
      </c>
      <c r="M15" s="429">
        <f t="shared" si="31"/>
        <v>61</v>
      </c>
      <c r="N15" s="429">
        <f t="shared" si="31"/>
        <v>0</v>
      </c>
      <c r="O15" s="429">
        <f t="shared" si="31"/>
        <v>3</v>
      </c>
      <c r="P15" s="429">
        <f t="shared" si="31"/>
        <v>0</v>
      </c>
      <c r="Q15" s="429">
        <f t="shared" si="31"/>
        <v>0</v>
      </c>
      <c r="R15" s="429">
        <f t="shared" si="31"/>
        <v>0</v>
      </c>
      <c r="S15" s="429">
        <f t="shared" si="31"/>
        <v>3</v>
      </c>
      <c r="T15" s="429">
        <f t="shared" si="31"/>
        <v>0</v>
      </c>
      <c r="U15" s="429">
        <f t="shared" si="31"/>
        <v>0</v>
      </c>
      <c r="V15" s="429">
        <f t="shared" si="31"/>
        <v>3</v>
      </c>
      <c r="W15" s="429">
        <f t="shared" si="31"/>
        <v>0</v>
      </c>
      <c r="X15" s="429">
        <f t="shared" si="31"/>
        <v>1</v>
      </c>
      <c r="Y15" s="429">
        <f t="shared" si="31"/>
        <v>2</v>
      </c>
      <c r="Z15" s="429">
        <f t="shared" si="31"/>
        <v>0</v>
      </c>
      <c r="AA15" s="429">
        <f t="shared" si="31"/>
        <v>0</v>
      </c>
      <c r="AB15" s="429">
        <f t="shared" si="31"/>
        <v>0</v>
      </c>
      <c r="AC15" s="378"/>
      <c r="AD15" s="378">
        <f>SUM(G15:AB15)</f>
        <v>478</v>
      </c>
      <c r="AE15" s="379"/>
      <c r="AF15" s="380">
        <f>SUM(AF16:AF33)</f>
        <v>204560</v>
      </c>
      <c r="AG15" s="380"/>
      <c r="AH15" s="380">
        <f>SUM(AH16:AH33)</f>
        <v>204560</v>
      </c>
      <c r="AI15" s="557"/>
      <c r="AJ15" s="566"/>
      <c r="AK15" s="559">
        <f>SUM(AK16:AK33)</f>
        <v>486</v>
      </c>
      <c r="AL15" s="385"/>
      <c r="AM15" s="567"/>
      <c r="AN15" s="567"/>
      <c r="AO15" s="567"/>
      <c r="AP15" s="567"/>
      <c r="AQ15" s="567"/>
      <c r="AR15" s="567"/>
      <c r="AS15" s="567"/>
      <c r="AT15" s="567"/>
      <c r="AU15" s="567"/>
      <c r="AV15" s="567"/>
      <c r="AW15" s="567"/>
      <c r="AX15" s="567"/>
      <c r="AY15" s="567"/>
      <c r="AZ15" s="567"/>
      <c r="BA15" s="567"/>
      <c r="BB15" s="567"/>
      <c r="BC15" s="567"/>
      <c r="BD15" s="567"/>
      <c r="BE15" s="567"/>
      <c r="BF15" s="567"/>
      <c r="BG15" s="567"/>
      <c r="BH15" s="567"/>
      <c r="BI15" s="568">
        <f t="shared" ref="BI15:BO15" si="32">SUM(BI17:BI33)</f>
        <v>62</v>
      </c>
      <c r="BJ15" s="568">
        <f t="shared" si="32"/>
        <v>404</v>
      </c>
      <c r="BK15" s="568">
        <f t="shared" si="32"/>
        <v>3</v>
      </c>
      <c r="BL15" s="568">
        <f t="shared" si="32"/>
        <v>3</v>
      </c>
      <c r="BM15" s="568">
        <f t="shared" si="32"/>
        <v>3</v>
      </c>
      <c r="BN15" s="568">
        <f t="shared" si="32"/>
        <v>3</v>
      </c>
      <c r="BO15" s="568">
        <f t="shared" si="32"/>
        <v>0</v>
      </c>
      <c r="BQ15" s="569">
        <f t="shared" ref="BQ15:BW15" si="33">SUM(BQ17:BQ33)</f>
        <v>40640</v>
      </c>
      <c r="BR15" s="569">
        <f t="shared" si="33"/>
        <v>152960</v>
      </c>
      <c r="BS15" s="569">
        <f t="shared" si="33"/>
        <v>1080</v>
      </c>
      <c r="BT15" s="569">
        <f t="shared" si="33"/>
        <v>1200</v>
      </c>
      <c r="BU15" s="569">
        <f t="shared" si="33"/>
        <v>1500</v>
      </c>
      <c r="BV15" s="569">
        <f t="shared" si="33"/>
        <v>1980</v>
      </c>
      <c r="BW15" s="569">
        <f t="shared" si="33"/>
        <v>0</v>
      </c>
    </row>
    <row r="16" spans="1:75">
      <c r="B16" s="89" t="s">
        <v>987</v>
      </c>
      <c r="C16" s="89" t="str">
        <f>INDEX(二三级标准!$C:$C,MATCH(服务费明细!$B16,二三级标准!$B:$B,0))</f>
        <v>研究中心启动会/立项会资料支持</v>
      </c>
      <c r="D16" s="166">
        <f t="shared" ref="D16:D19" si="34">IF($D$15=1,1,0)</f>
        <v>1</v>
      </c>
      <c r="E16" s="166">
        <f>IF($D16=1,启动中心数,0)</f>
        <v>4</v>
      </c>
      <c r="F16" s="89" t="str">
        <f>INDEX(二三级标准!$G:$G,MATCH(服务费明细!$B16,二三级标准!$B:$B,0))</f>
        <v>中心</v>
      </c>
      <c r="G16" s="166">
        <f t="shared" ref="G16:AB16" si="35">AL16</f>
        <v>0</v>
      </c>
      <c r="H16" s="166">
        <f t="shared" si="35"/>
        <v>0</v>
      </c>
      <c r="I16" s="166">
        <f t="shared" si="35"/>
        <v>0</v>
      </c>
      <c r="J16" s="166">
        <f t="shared" si="35"/>
        <v>0</v>
      </c>
      <c r="K16" s="166">
        <f t="shared" si="35"/>
        <v>0</v>
      </c>
      <c r="L16" s="166">
        <f t="shared" si="35"/>
        <v>0</v>
      </c>
      <c r="M16" s="166">
        <f t="shared" si="35"/>
        <v>8</v>
      </c>
      <c r="N16" s="166">
        <f t="shared" si="35"/>
        <v>0</v>
      </c>
      <c r="O16" s="166">
        <f t="shared" si="35"/>
        <v>0</v>
      </c>
      <c r="P16" s="166">
        <f t="shared" si="35"/>
        <v>0</v>
      </c>
      <c r="Q16" s="166">
        <f t="shared" si="35"/>
        <v>0</v>
      </c>
      <c r="R16" s="166">
        <f t="shared" si="35"/>
        <v>0</v>
      </c>
      <c r="S16" s="166">
        <f t="shared" si="35"/>
        <v>0</v>
      </c>
      <c r="T16" s="166">
        <f t="shared" si="35"/>
        <v>0</v>
      </c>
      <c r="U16" s="166">
        <f t="shared" si="35"/>
        <v>0</v>
      </c>
      <c r="V16" s="166">
        <f t="shared" si="35"/>
        <v>0</v>
      </c>
      <c r="W16" s="166">
        <f t="shared" si="35"/>
        <v>0</v>
      </c>
      <c r="X16" s="166">
        <f t="shared" si="35"/>
        <v>0</v>
      </c>
      <c r="Y16" s="166">
        <f t="shared" si="35"/>
        <v>0</v>
      </c>
      <c r="Z16" s="166">
        <f t="shared" si="35"/>
        <v>0</v>
      </c>
      <c r="AA16" s="166">
        <f t="shared" si="35"/>
        <v>0</v>
      </c>
      <c r="AB16" s="166">
        <f t="shared" si="35"/>
        <v>0</v>
      </c>
      <c r="AC16" s="166" cm="1">
        <f t="array" ref="AC16">SUMPRODUCT(G16:AB16,$G$4:$AB$4)</f>
        <v>5200</v>
      </c>
      <c r="AD16" s="89" t="b">
        <f t="shared" ref="AD16:AD26" si="36">IF(AF16=AC16,TRUE,FALSE)</f>
        <v>1</v>
      </c>
      <c r="AE16" s="386">
        <f>IFERROR(SUMIF(服务费底表!$K:$K,服务费明细!$B16,服务费底表!$AD:$AD)/E16,0)</f>
        <v>1300</v>
      </c>
      <c r="AF16" s="386">
        <f t="shared" ref="AF16:AF26" si="37">E16*AE16</f>
        <v>5200</v>
      </c>
      <c r="AG16" s="386">
        <f>IFERROR(SUMIF(服务费底表!$K:$K,服务费明细!$B16,服务费底表!$AG:$AG)/E16,0)</f>
        <v>1300</v>
      </c>
      <c r="AH16" s="386">
        <f t="shared" ref="AH16:AH26" si="38">AG16*E16</f>
        <v>5200</v>
      </c>
      <c r="AI16" s="409"/>
      <c r="AJ16" s="563">
        <f>IF(D16=1,AK16/E16,0)</f>
        <v>2</v>
      </c>
      <c r="AK16" s="564">
        <f>SUMIF(服务费底表!$K:$K,服务费明细!$B16,服务费底表!$AC:$AC)</f>
        <v>8</v>
      </c>
      <c r="AL16" s="166">
        <f>SUMIFS(服务费底表!$AC:$AC,服务费底表!$K:$K,服务费明细!$B16,服务费底表!$T:$T,AL$3)</f>
        <v>0</v>
      </c>
      <c r="AM16" s="166">
        <f>SUMIFS(服务费底表!$AC:$AC,服务费底表!$K:$K,服务费明细!$B16,服务费底表!$T:$T,AM$3)</f>
        <v>0</v>
      </c>
      <c r="AN16" s="166">
        <f>SUMIFS(服务费底表!$AC:$AC,服务费底表!$K:$K,服务费明细!$B16,服务费底表!$T:$T,AN$3)</f>
        <v>0</v>
      </c>
      <c r="AO16" s="166">
        <f>SUMIFS(服务费底表!$AC:$AC,服务费底表!$K:$K,服务费明细!$B16,服务费底表!$T:$T,AO$3)</f>
        <v>0</v>
      </c>
      <c r="AP16" s="166">
        <f>SUMIFS(服务费底表!$AC:$AC,服务费底表!$K:$K,服务费明细!$B16,服务费底表!$T:$T,AP$3)</f>
        <v>0</v>
      </c>
      <c r="AQ16" s="166">
        <f>SUMIFS(服务费底表!$AC:$AC,服务费底表!$K:$K,服务费明细!$B16,服务费底表!$T:$T,AQ$3)</f>
        <v>0</v>
      </c>
      <c r="AR16" s="166">
        <f>SUMIFS(服务费底表!$AC:$AC,服务费底表!$K:$K,服务费明细!$B16,服务费底表!$T:$T,AR$3)</f>
        <v>8</v>
      </c>
      <c r="AS16" s="166">
        <f>SUMIFS(服务费底表!$AC:$AC,服务费底表!$K:$K,服务费明细!$B16,服务费底表!$T:$T,AS$3)</f>
        <v>0</v>
      </c>
      <c r="AT16" s="166">
        <f>SUMIFS(服务费底表!$AC:$AC,服务费底表!$K:$K,服务费明细!$B16,服务费底表!$T:$T,AT$3)</f>
        <v>0</v>
      </c>
      <c r="AU16" s="166">
        <f>SUMIFS(服务费底表!$AC:$AC,服务费底表!$K:$K,服务费明细!$B16,服务费底表!$T:$T,AU$3)</f>
        <v>0</v>
      </c>
      <c r="AV16" s="166">
        <f>SUMIFS(服务费底表!$AC:$AC,服务费底表!$K:$K,服务费明细!$B16,服务费底表!$T:$T,AV$3)</f>
        <v>0</v>
      </c>
      <c r="AW16" s="166">
        <f>SUMIFS(服务费底表!$AC:$AC,服务费底表!$K:$K,服务费明细!$B16,服务费底表!$T:$T,AW$3)</f>
        <v>0</v>
      </c>
      <c r="AX16" s="166">
        <f>SUMIFS(服务费底表!$AC:$AC,服务费底表!$K:$K,服务费明细!$B16,服务费底表!$T:$T,AX$3)</f>
        <v>0</v>
      </c>
      <c r="AY16" s="166">
        <f>SUMIFS(服务费底表!$AC:$AC,服务费底表!$K:$K,服务费明细!$B16,服务费底表!$T:$T,AY$3)</f>
        <v>0</v>
      </c>
      <c r="AZ16" s="166">
        <f>SUMIFS(服务费底表!$AC:$AC,服务费底表!$K:$K,服务费明细!$B16,服务费底表!$T:$T,AZ$3)</f>
        <v>0</v>
      </c>
      <c r="BA16" s="166">
        <f>SUMIFS(服务费底表!$AC:$AC,服务费底表!$K:$K,服务费明细!$B16,服务费底表!$T:$T,BA$3)</f>
        <v>0</v>
      </c>
      <c r="BB16" s="166">
        <f>SUMIFS(服务费底表!$AC:$AC,服务费底表!$K:$K,服务费明细!$B16,服务费底表!$T:$T,BB$3)</f>
        <v>0</v>
      </c>
      <c r="BC16" s="166">
        <f>SUMIFS(服务费底表!$AC:$AC,服务费底表!$K:$K,服务费明细!$B16,服务费底表!$T:$T,BC$3)</f>
        <v>0</v>
      </c>
      <c r="BD16" s="166">
        <f>SUMIFS(服务费底表!$AC:$AC,服务费底表!$K:$K,服务费明细!$B16,服务费底表!$T:$T,BD$3)</f>
        <v>0</v>
      </c>
      <c r="BE16" s="166">
        <f>SUMIFS(服务费底表!$AC:$AC,服务费底表!$K:$K,服务费明细!$B16,服务费底表!$T:$T,BE$3)</f>
        <v>0</v>
      </c>
      <c r="BF16" s="166">
        <f>SUMIFS(服务费底表!$AC:$AC,服务费底表!$K:$K,服务费明细!$B16,服务费底表!$T:$T,BF$3)</f>
        <v>0</v>
      </c>
      <c r="BG16" s="166">
        <f>SUMIFS(服务费底表!$AC:$AC,服务费底表!$K:$K,服务费明细!$B16,服务费底表!$T:$T,BG$3)</f>
        <v>0</v>
      </c>
      <c r="BI16" s="388">
        <f>SUMIFS(服务费底表!$AC:$AC,服务费底表!$K:$K,服务费明细!$B16,服务费底表!$H:$H,服务费明细!BI$3)</f>
        <v>8</v>
      </c>
      <c r="BJ16" s="388">
        <f>SUMIFS(服务费底表!$AC:$AC,服务费底表!$K:$K,服务费明细!$B16,服务费底表!$H:$H,服务费明细!BJ$3)</f>
        <v>0</v>
      </c>
      <c r="BK16" s="388">
        <f>SUMIFS(服务费底表!$AC:$AC,服务费底表!$K:$K,服务费明细!$B16,服务费底表!$H:$H,服务费明细!BK$3)</f>
        <v>0</v>
      </c>
      <c r="BL16" s="388">
        <f>SUMIFS(服务费底表!$AC:$AC,服务费底表!$K:$K,服务费明细!$B16,服务费底表!$H:$H,服务费明细!BL$3)</f>
        <v>0</v>
      </c>
      <c r="BM16" s="388">
        <f>SUMIFS(服务费底表!$AC:$AC,服务费底表!$K:$K,服务费明细!$B16,服务费底表!$H:$H,服务费明细!BM$3)</f>
        <v>0</v>
      </c>
      <c r="BN16" s="388">
        <f>SUMIFS(服务费底表!$AC:$AC,服务费底表!$K:$K,服务费明细!$B16,服务费底表!$H:$H,服务费明细!BN$3)</f>
        <v>0</v>
      </c>
      <c r="BO16" s="388">
        <f>SUMIFS(服务费底表!$AC:$AC,服务费底表!$K:$K,服务费明细!$B16,服务费底表!$H:$H,服务费明细!BO$3)</f>
        <v>0</v>
      </c>
      <c r="BQ16" s="389">
        <f>SUMIFS(服务费底表!$AD:$AD,服务费底表!$K:$K,服务费明细!$B16,服务费底表!$H:$H,服务费明细!BQ$3)</f>
        <v>5200</v>
      </c>
      <c r="BR16" s="389">
        <f>SUMIFS(服务费底表!$AD:$AD,服务费底表!$K:$K,服务费明细!$B16,服务费底表!$H:$H,服务费明细!BR$3)</f>
        <v>0</v>
      </c>
      <c r="BS16" s="389">
        <f>SUMIFS(服务费底表!$AD:$AD,服务费底表!$K:$K,服务费明细!$B16,服务费底表!$H:$H,服务费明细!BS$3)</f>
        <v>0</v>
      </c>
      <c r="BT16" s="389">
        <f>SUMIFS(服务费底表!$AD:$AD,服务费底表!$K:$K,服务费明细!$B16,服务费底表!$H:$H,服务费明细!BT$3)</f>
        <v>0</v>
      </c>
      <c r="BU16" s="389">
        <f>SUMIFS(服务费底表!$AD:$AD,服务费底表!$K:$K,服务费明细!$B16,服务费底表!$H:$H,服务费明细!BU$3)</f>
        <v>0</v>
      </c>
      <c r="BV16" s="389">
        <f>SUMIFS(服务费底表!$AD:$AD,服务费底表!$K:$K,服务费明细!$B16,服务费底表!$H:$H,服务费明细!BV$3)</f>
        <v>0</v>
      </c>
      <c r="BW16" s="389">
        <f>SUMIFS(服务费底表!$AD:$AD,服务费底表!$K:$K,服务费明细!$B16,服务费底表!$H:$H,服务费明细!BW$3)</f>
        <v>0</v>
      </c>
    </row>
    <row r="17" spans="2:75">
      <c r="B17" s="89" t="s">
        <v>110</v>
      </c>
      <c r="C17" s="89" t="str">
        <f>INDEX(二三级标准!$C:$C,MATCH(服务费明细!$B17,二三级标准!$B:$B,0))</f>
        <v>召开客户启动会</v>
      </c>
      <c r="D17" s="166">
        <f t="shared" si="34"/>
        <v>1</v>
      </c>
      <c r="E17" s="166">
        <f>IF($D17=1,1,0)</f>
        <v>1</v>
      </c>
      <c r="F17" s="89" t="str">
        <f>INDEX(二三级标准!$G:$G,MATCH(服务费明细!$B17,二三级标准!$B:$B,0))</f>
        <v>次</v>
      </c>
      <c r="G17" s="166">
        <f>AL17</f>
        <v>0</v>
      </c>
      <c r="H17" s="166">
        <f t="shared" ref="H17:AB17" si="39">AM17</f>
        <v>2</v>
      </c>
      <c r="I17" s="166">
        <f t="shared" si="39"/>
        <v>6</v>
      </c>
      <c r="J17" s="166">
        <f t="shared" si="39"/>
        <v>2</v>
      </c>
      <c r="K17" s="166">
        <f t="shared" si="39"/>
        <v>0</v>
      </c>
      <c r="L17" s="166">
        <f t="shared" si="39"/>
        <v>0</v>
      </c>
      <c r="M17" s="166">
        <f t="shared" si="39"/>
        <v>2</v>
      </c>
      <c r="N17" s="166">
        <f t="shared" si="39"/>
        <v>0</v>
      </c>
      <c r="O17" s="166">
        <f t="shared" si="39"/>
        <v>2</v>
      </c>
      <c r="P17" s="166">
        <f t="shared" si="39"/>
        <v>0</v>
      </c>
      <c r="Q17" s="166">
        <f t="shared" si="39"/>
        <v>0</v>
      </c>
      <c r="R17" s="166">
        <f t="shared" si="39"/>
        <v>0</v>
      </c>
      <c r="S17" s="166">
        <f t="shared" si="39"/>
        <v>2</v>
      </c>
      <c r="T17" s="166">
        <f t="shared" si="39"/>
        <v>0</v>
      </c>
      <c r="U17" s="166">
        <f t="shared" si="39"/>
        <v>0</v>
      </c>
      <c r="V17" s="166">
        <f t="shared" si="39"/>
        <v>2</v>
      </c>
      <c r="W17" s="166">
        <f t="shared" si="39"/>
        <v>0</v>
      </c>
      <c r="X17" s="166">
        <f t="shared" si="39"/>
        <v>0</v>
      </c>
      <c r="Y17" s="166">
        <f t="shared" si="39"/>
        <v>2</v>
      </c>
      <c r="Z17" s="166">
        <f t="shared" si="39"/>
        <v>0</v>
      </c>
      <c r="AA17" s="166">
        <f t="shared" si="39"/>
        <v>0</v>
      </c>
      <c r="AB17" s="166">
        <f t="shared" si="39"/>
        <v>0</v>
      </c>
      <c r="AC17" s="166" cm="1">
        <f t="array" ref="AC17">SUMPRODUCT(G17:AB17,$G$4:$AB$4)</f>
        <v>11160</v>
      </c>
      <c r="AD17" s="89" t="b">
        <f t="shared" si="36"/>
        <v>1</v>
      </c>
      <c r="AE17" s="386">
        <f>IFERROR(SUMIF(服务费底表!$K:$K,服务费明细!$B17,服务费底表!$AD:$AD)/E17,0)</f>
        <v>11160</v>
      </c>
      <c r="AF17" s="386">
        <f t="shared" si="37"/>
        <v>11160</v>
      </c>
      <c r="AG17" s="386">
        <f>IFERROR(SUMIF(服务费底表!$K:$K,服务费明细!$B17,服务费底表!$AG:$AG)/E17,0)</f>
        <v>11160</v>
      </c>
      <c r="AH17" s="386">
        <f t="shared" si="38"/>
        <v>11160</v>
      </c>
      <c r="AI17" s="409"/>
      <c r="AJ17" s="563">
        <f>IF(D17=1,AK17/E17,0)</f>
        <v>20</v>
      </c>
      <c r="AK17" s="564">
        <f>SUMIF(服务费底表!$K:$K,服务费明细!$B17,服务费底表!$AC:$AC)</f>
        <v>20</v>
      </c>
      <c r="AL17" s="166">
        <f>SUMIFS(服务费底表!$AC:$AC,服务费底表!$K:$K,服务费明细!$B17,服务费底表!$T:$T,AL$3)</f>
        <v>0</v>
      </c>
      <c r="AM17" s="166">
        <f>SUMIFS(服务费底表!$AC:$AC,服务费底表!$K:$K,服务费明细!$B17,服务费底表!$T:$T,AM$3)</f>
        <v>2</v>
      </c>
      <c r="AN17" s="166">
        <f>SUMIFS(服务费底表!$AC:$AC,服务费底表!$K:$K,服务费明细!$B17,服务费底表!$T:$T,AN$3)</f>
        <v>6</v>
      </c>
      <c r="AO17" s="166">
        <f>SUMIFS(服务费底表!$AC:$AC,服务费底表!$K:$K,服务费明细!$B17,服务费底表!$T:$T,AO$3)</f>
        <v>2</v>
      </c>
      <c r="AP17" s="166">
        <f>SUMIFS(服务费底表!$AC:$AC,服务费底表!$K:$K,服务费明细!$B17,服务费底表!$T:$T,AP$3)</f>
        <v>0</v>
      </c>
      <c r="AQ17" s="166">
        <f>SUMIFS(服务费底表!$AC:$AC,服务费底表!$K:$K,服务费明细!$B17,服务费底表!$T:$T,AQ$3)</f>
        <v>0</v>
      </c>
      <c r="AR17" s="166">
        <f>SUMIFS(服务费底表!$AC:$AC,服务费底表!$K:$K,服务费明细!$B17,服务费底表!$T:$T,AR$3)</f>
        <v>2</v>
      </c>
      <c r="AS17" s="166">
        <f>SUMIFS(服务费底表!$AC:$AC,服务费底表!$K:$K,服务费明细!$B17,服务费底表!$T:$T,AS$3)</f>
        <v>0</v>
      </c>
      <c r="AT17" s="166">
        <f>SUMIFS(服务费底表!$AC:$AC,服务费底表!$K:$K,服务费明细!$B17,服务费底表!$T:$T,AT$3)</f>
        <v>2</v>
      </c>
      <c r="AU17" s="166">
        <f>SUMIFS(服务费底表!$AC:$AC,服务费底表!$K:$K,服务费明细!$B17,服务费底表!$T:$T,AU$3)</f>
        <v>0</v>
      </c>
      <c r="AV17" s="166">
        <f>SUMIFS(服务费底表!$AC:$AC,服务费底表!$K:$K,服务费明细!$B17,服务费底表!$T:$T,AV$3)</f>
        <v>0</v>
      </c>
      <c r="AW17" s="166">
        <f>SUMIFS(服务费底表!$AC:$AC,服务费底表!$K:$K,服务费明细!$B17,服务费底表!$T:$T,AW$3)</f>
        <v>0</v>
      </c>
      <c r="AX17" s="166">
        <f>SUMIFS(服务费底表!$AC:$AC,服务费底表!$K:$K,服务费明细!$B17,服务费底表!$T:$T,AX$3)</f>
        <v>2</v>
      </c>
      <c r="AY17" s="166">
        <f>SUMIFS(服务费底表!$AC:$AC,服务费底表!$K:$K,服务费明细!$B17,服务费底表!$T:$T,AY$3)</f>
        <v>0</v>
      </c>
      <c r="AZ17" s="166">
        <f>SUMIFS(服务费底表!$AC:$AC,服务费底表!$K:$K,服务费明细!$B17,服务费底表!$T:$T,AZ$3)</f>
        <v>0</v>
      </c>
      <c r="BA17" s="166">
        <f>SUMIFS(服务费底表!$AC:$AC,服务费底表!$K:$K,服务费明细!$B17,服务费底表!$T:$T,BA$3)</f>
        <v>2</v>
      </c>
      <c r="BB17" s="166">
        <f>SUMIFS(服务费底表!$AC:$AC,服务费底表!$K:$K,服务费明细!$B17,服务费底表!$T:$T,BB$3)</f>
        <v>0</v>
      </c>
      <c r="BC17" s="166">
        <f>SUMIFS(服务费底表!$AC:$AC,服务费底表!$K:$K,服务费明细!$B17,服务费底表!$T:$T,BC$3)</f>
        <v>0</v>
      </c>
      <c r="BD17" s="166">
        <f>SUMIFS(服务费底表!$AC:$AC,服务费底表!$K:$K,服务费明细!$B17,服务费底表!$T:$T,BD$3)</f>
        <v>2</v>
      </c>
      <c r="BE17" s="166">
        <f>SUMIFS(服务费底表!$AC:$AC,服务费底表!$K:$K,服务费明细!$B17,服务费底表!$T:$T,BE$3)</f>
        <v>0</v>
      </c>
      <c r="BF17" s="166">
        <f>SUMIFS(服务费底表!$AC:$AC,服务费底表!$K:$K,服务费明细!$B17,服务费底表!$T:$T,BF$3)</f>
        <v>0</v>
      </c>
      <c r="BG17" s="166">
        <f>SUMIFS(服务费底表!$AC:$AC,服务费底表!$K:$K,服务费明细!$B17,服务费底表!$T:$T,BG$3)</f>
        <v>0</v>
      </c>
      <c r="BI17" s="388">
        <f>SUMIFS(服务费底表!$AC:$AC,服务费底表!$K:$K,服务费明细!$B17,服务费底表!$H:$H,服务费明细!BI$3)</f>
        <v>2</v>
      </c>
      <c r="BJ17" s="388">
        <f>SUMIFS(服务费底表!$AC:$AC,服务费底表!$K:$K,服务费明细!$B17,服务费底表!$H:$H,服务费明细!BJ$3)</f>
        <v>10</v>
      </c>
      <c r="BK17" s="388">
        <f>SUMIFS(服务费底表!$AC:$AC,服务费底表!$K:$K,服务费明细!$B17,服务费底表!$H:$H,服务费明细!BK$3)</f>
        <v>2</v>
      </c>
      <c r="BL17" s="388">
        <f>SUMIFS(服务费底表!$AC:$AC,服务费底表!$K:$K,服务费明细!$B17,服务费底表!$H:$H,服务费明细!BL$3)</f>
        <v>2</v>
      </c>
      <c r="BM17" s="388">
        <f>SUMIFS(服务费底表!$AC:$AC,服务费底表!$K:$K,服务费明细!$B17,服务费底表!$H:$H,服务费明细!BM$3)</f>
        <v>2</v>
      </c>
      <c r="BN17" s="388">
        <f>SUMIFS(服务费底表!$AC:$AC,服务费底表!$K:$K,服务费明细!$B17,服务费底表!$H:$H,服务费明细!BN$3)</f>
        <v>2</v>
      </c>
      <c r="BO17" s="388">
        <f>SUMIFS(服务费底表!$AC:$AC,服务费底表!$K:$K,服务费明细!$B17,服务费底表!$H:$H,服务费明细!BO$3)</f>
        <v>0</v>
      </c>
      <c r="BQ17" s="389">
        <f>SUMIFS(服务费底表!$AD:$AD,服务费底表!$K:$K,服务费明细!$B17,服务费底表!$H:$H,服务费明细!BQ$3)</f>
        <v>1300</v>
      </c>
      <c r="BR17" s="389">
        <f>SUMIFS(服务费底表!$AD:$AD,服务费底表!$K:$K,服务费明细!$B17,服务费底表!$H:$H,服务费明细!BR$3)</f>
        <v>5940</v>
      </c>
      <c r="BS17" s="389">
        <f>SUMIFS(服务费底表!$AD:$AD,服务费底表!$K:$K,服务费明细!$B17,服务费底表!$H:$H,服务费明细!BS$3)</f>
        <v>720</v>
      </c>
      <c r="BT17" s="389">
        <f>SUMIFS(服务费底表!$AD:$AD,服务费底表!$K:$K,服务费明细!$B17,服务费底表!$H:$H,服务费明细!BT$3)</f>
        <v>800</v>
      </c>
      <c r="BU17" s="389">
        <f>SUMIFS(服务费底表!$AD:$AD,服务费底表!$K:$K,服务费明细!$B17,服务费底表!$H:$H,服务费明细!BU$3)</f>
        <v>1000</v>
      </c>
      <c r="BV17" s="389">
        <f>SUMIFS(服务费底表!$AD:$AD,服务费底表!$K:$K,服务费明细!$B17,服务费底表!$H:$H,服务费明细!BV$3)</f>
        <v>1400</v>
      </c>
      <c r="BW17" s="389">
        <f>SUMIFS(服务费底表!$AD:$AD,服务费底表!$K:$K,服务费明细!$B17,服务费底表!$H:$H,服务费明细!BW$3)</f>
        <v>0</v>
      </c>
    </row>
    <row r="18" spans="2:75">
      <c r="B18" s="89" t="s">
        <v>988</v>
      </c>
      <c r="C18" s="89" t="str">
        <f>INDEX(二三级标准!$C:$C,MATCH(服务费明细!$B18,二三级标准!$B:$B,0))</f>
        <v>协同拜访PI</v>
      </c>
      <c r="D18" s="166">
        <f t="shared" si="34"/>
        <v>1</v>
      </c>
      <c r="E18" s="166">
        <f>IF($D18=1,1,0)</f>
        <v>1</v>
      </c>
      <c r="F18" s="89" t="str">
        <f>INDEX(二三级标准!$G:$G,MATCH(服务费明细!$B18,二三级标准!$B:$B,0))</f>
        <v>次</v>
      </c>
      <c r="G18" s="166">
        <f t="shared" ref="G18:AB18" si="40">AL18</f>
        <v>0</v>
      </c>
      <c r="H18" s="166">
        <f t="shared" si="40"/>
        <v>0</v>
      </c>
      <c r="I18" s="166">
        <f t="shared" si="40"/>
        <v>0</v>
      </c>
      <c r="J18" s="166">
        <f t="shared" si="40"/>
        <v>0</v>
      </c>
      <c r="K18" s="166">
        <f t="shared" si="40"/>
        <v>0</v>
      </c>
      <c r="L18" s="166">
        <f t="shared" si="40"/>
        <v>0</v>
      </c>
      <c r="M18" s="166">
        <f t="shared" si="40"/>
        <v>16</v>
      </c>
      <c r="N18" s="166">
        <f t="shared" si="40"/>
        <v>0</v>
      </c>
      <c r="O18" s="166">
        <f t="shared" si="40"/>
        <v>0</v>
      </c>
      <c r="P18" s="166">
        <f t="shared" si="40"/>
        <v>0</v>
      </c>
      <c r="Q18" s="166">
        <f t="shared" si="40"/>
        <v>0</v>
      </c>
      <c r="R18" s="166">
        <f t="shared" si="40"/>
        <v>0</v>
      </c>
      <c r="S18" s="166">
        <f t="shared" si="40"/>
        <v>0</v>
      </c>
      <c r="T18" s="166">
        <f t="shared" si="40"/>
        <v>0</v>
      </c>
      <c r="U18" s="166">
        <f t="shared" si="40"/>
        <v>0</v>
      </c>
      <c r="V18" s="166">
        <f t="shared" si="40"/>
        <v>0</v>
      </c>
      <c r="W18" s="166">
        <f t="shared" si="40"/>
        <v>0</v>
      </c>
      <c r="X18" s="166">
        <f t="shared" si="40"/>
        <v>0</v>
      </c>
      <c r="Y18" s="166">
        <f t="shared" si="40"/>
        <v>0</v>
      </c>
      <c r="Z18" s="166">
        <f t="shared" si="40"/>
        <v>0</v>
      </c>
      <c r="AA18" s="166">
        <f t="shared" si="40"/>
        <v>0</v>
      </c>
      <c r="AB18" s="166">
        <f t="shared" si="40"/>
        <v>0</v>
      </c>
      <c r="AC18" s="166" cm="1">
        <f t="array" ref="AC18">SUMPRODUCT(G18:AB18,$G$4:$AB$4)</f>
        <v>10400</v>
      </c>
      <c r="AD18" s="89" t="b">
        <f t="shared" si="36"/>
        <v>1</v>
      </c>
      <c r="AE18" s="386">
        <f>IFERROR(SUMIF(服务费底表!$K:$K,服务费明细!$B18,服务费底表!$AD:$AD)/E18,0)</f>
        <v>10400</v>
      </c>
      <c r="AF18" s="386">
        <f t="shared" si="37"/>
        <v>10400</v>
      </c>
      <c r="AG18" s="386">
        <f>IFERROR(SUMIF(服务费底表!$K:$K,服务费明细!$B18,服务费底表!$AG:$AG)/E18,0)</f>
        <v>10400</v>
      </c>
      <c r="AH18" s="386">
        <f t="shared" si="38"/>
        <v>10400</v>
      </c>
      <c r="AI18" s="409" t="s">
        <v>989</v>
      </c>
      <c r="AJ18" s="563">
        <f t="shared" ref="AJ18:AJ28" si="41">IF(D18=1,AK18/E18,0)</f>
        <v>16</v>
      </c>
      <c r="AK18" s="564">
        <f>SUMIF(服务费底表!$K:$K,服务费明细!$B18,服务费底表!$AC:$AC)</f>
        <v>16</v>
      </c>
      <c r="AL18" s="166">
        <f>SUMIFS(服务费底表!$AC:$AC,服务费底表!$K:$K,服务费明细!$B18,服务费底表!$T:$T,AL$3)</f>
        <v>0</v>
      </c>
      <c r="AM18" s="166">
        <f>SUMIFS(服务费底表!$AC:$AC,服务费底表!$K:$K,服务费明细!$B18,服务费底表!$T:$T,AM$3)</f>
        <v>0</v>
      </c>
      <c r="AN18" s="166">
        <f>SUMIFS(服务费底表!$AC:$AC,服务费底表!$K:$K,服务费明细!$B18,服务费底表!$T:$T,AN$3)</f>
        <v>0</v>
      </c>
      <c r="AO18" s="166">
        <f>SUMIFS(服务费底表!$AC:$AC,服务费底表!$K:$K,服务费明细!$B18,服务费底表!$T:$T,AO$3)</f>
        <v>0</v>
      </c>
      <c r="AP18" s="166">
        <f>SUMIFS(服务费底表!$AC:$AC,服务费底表!$K:$K,服务费明细!$B18,服务费底表!$T:$T,AP$3)</f>
        <v>0</v>
      </c>
      <c r="AQ18" s="166">
        <f>SUMIFS(服务费底表!$AC:$AC,服务费底表!$K:$K,服务费明细!$B18,服务费底表!$T:$T,AQ$3)</f>
        <v>0</v>
      </c>
      <c r="AR18" s="166">
        <f>SUMIFS(服务费底表!$AC:$AC,服务费底表!$K:$K,服务费明细!$B18,服务费底表!$T:$T,AR$3)</f>
        <v>16</v>
      </c>
      <c r="AS18" s="166">
        <f>SUMIFS(服务费底表!$AC:$AC,服务费底表!$K:$K,服务费明细!$B18,服务费底表!$T:$T,AS$3)</f>
        <v>0</v>
      </c>
      <c r="AT18" s="166">
        <f>SUMIFS(服务费底表!$AC:$AC,服务费底表!$K:$K,服务费明细!$B18,服务费底表!$T:$T,AT$3)</f>
        <v>0</v>
      </c>
      <c r="AU18" s="166">
        <f>SUMIFS(服务费底表!$AC:$AC,服务费底表!$K:$K,服务费明细!$B18,服务费底表!$T:$T,AU$3)</f>
        <v>0</v>
      </c>
      <c r="AV18" s="166">
        <f>SUMIFS(服务费底表!$AC:$AC,服务费底表!$K:$K,服务费明细!$B18,服务费底表!$T:$T,AV$3)</f>
        <v>0</v>
      </c>
      <c r="AW18" s="166">
        <f>SUMIFS(服务费底表!$AC:$AC,服务费底表!$K:$K,服务费明细!$B18,服务费底表!$T:$T,AW$3)</f>
        <v>0</v>
      </c>
      <c r="AX18" s="166">
        <f>SUMIFS(服务费底表!$AC:$AC,服务费底表!$K:$K,服务费明细!$B18,服务费底表!$T:$T,AX$3)</f>
        <v>0</v>
      </c>
      <c r="AY18" s="166">
        <f>SUMIFS(服务费底表!$AC:$AC,服务费底表!$K:$K,服务费明细!$B18,服务费底表!$T:$T,AY$3)</f>
        <v>0</v>
      </c>
      <c r="AZ18" s="166">
        <f>SUMIFS(服务费底表!$AC:$AC,服务费底表!$K:$K,服务费明细!$B18,服务费底表!$T:$T,AZ$3)</f>
        <v>0</v>
      </c>
      <c r="BA18" s="166">
        <f>SUMIFS(服务费底表!$AC:$AC,服务费底表!$K:$K,服务费明细!$B18,服务费底表!$T:$T,BA$3)</f>
        <v>0</v>
      </c>
      <c r="BB18" s="166">
        <f>SUMIFS(服务费底表!$AC:$AC,服务费底表!$K:$K,服务费明细!$B18,服务费底表!$T:$T,BB$3)</f>
        <v>0</v>
      </c>
      <c r="BC18" s="166">
        <f>SUMIFS(服务费底表!$AC:$AC,服务费底表!$K:$K,服务费明细!$B18,服务费底表!$T:$T,BC$3)</f>
        <v>0</v>
      </c>
      <c r="BD18" s="166">
        <f>SUMIFS(服务费底表!$AC:$AC,服务费底表!$K:$K,服务费明细!$B18,服务费底表!$T:$T,BD$3)</f>
        <v>0</v>
      </c>
      <c r="BE18" s="166">
        <f>SUMIFS(服务费底表!$AC:$AC,服务费底表!$K:$K,服务费明细!$B18,服务费底表!$T:$T,BE$3)</f>
        <v>0</v>
      </c>
      <c r="BF18" s="166">
        <f>SUMIFS(服务费底表!$AC:$AC,服务费底表!$K:$K,服务费明细!$B18,服务费底表!$T:$T,BF$3)</f>
        <v>0</v>
      </c>
      <c r="BG18" s="166">
        <f>SUMIFS(服务费底表!$AC:$AC,服务费底表!$K:$K,服务费明细!$B18,服务费底表!$T:$T,BG$3)</f>
        <v>0</v>
      </c>
      <c r="BI18" s="388">
        <f>SUMIFS(服务费底表!$AC:$AC,服务费底表!$K:$K,服务费明细!$B18,服务费底表!$H:$H,服务费明细!BI$3)</f>
        <v>16</v>
      </c>
      <c r="BJ18" s="388">
        <f>SUMIFS(服务费底表!$AC:$AC,服务费底表!$K:$K,服务费明细!$B18,服务费底表!$H:$H,服务费明细!BJ$3)</f>
        <v>0</v>
      </c>
      <c r="BK18" s="388">
        <f>SUMIFS(服务费底表!$AC:$AC,服务费底表!$K:$K,服务费明细!$B18,服务费底表!$H:$H,服务费明细!BK$3)</f>
        <v>0</v>
      </c>
      <c r="BL18" s="388">
        <f>SUMIFS(服务费底表!$AC:$AC,服务费底表!$K:$K,服务费明细!$B18,服务费底表!$H:$H,服务费明细!BL$3)</f>
        <v>0</v>
      </c>
      <c r="BM18" s="388">
        <f>SUMIFS(服务费底表!$AC:$AC,服务费底表!$K:$K,服务费明细!$B18,服务费底表!$H:$H,服务费明细!BM$3)</f>
        <v>0</v>
      </c>
      <c r="BN18" s="388">
        <f>SUMIFS(服务费底表!$AC:$AC,服务费底表!$K:$K,服务费明细!$B18,服务费底表!$H:$H,服务费明细!BN$3)</f>
        <v>0</v>
      </c>
      <c r="BO18" s="388">
        <f>SUMIFS(服务费底表!$AC:$AC,服务费底表!$K:$K,服务费明细!$B18,服务费底表!$H:$H,服务费明细!BO$3)</f>
        <v>0</v>
      </c>
      <c r="BQ18" s="389">
        <f>SUMIFS(服务费底表!$AD:$AD,服务费底表!$K:$K,服务费明细!$B18,服务费底表!$H:$H,服务费明细!BQ$3)</f>
        <v>10400</v>
      </c>
      <c r="BR18" s="389">
        <f>SUMIFS(服务费底表!$AD:$AD,服务费底表!$K:$K,服务费明细!$B18,服务费底表!$H:$H,服务费明细!BR$3)</f>
        <v>0</v>
      </c>
      <c r="BS18" s="389">
        <f>SUMIFS(服务费底表!$AD:$AD,服务费底表!$K:$K,服务费明细!$B18,服务费底表!$H:$H,服务费明细!BS$3)</f>
        <v>0</v>
      </c>
      <c r="BT18" s="389">
        <f>SUMIFS(服务费底表!$AD:$AD,服务费底表!$K:$K,服务费明细!$B18,服务费底表!$H:$H,服务费明细!BT$3)</f>
        <v>0</v>
      </c>
      <c r="BU18" s="389">
        <f>SUMIFS(服务费底表!$AD:$AD,服务费底表!$K:$K,服务费明细!$B18,服务费底表!$H:$H,服务费明细!BU$3)</f>
        <v>0</v>
      </c>
      <c r="BV18" s="389">
        <f>SUMIFS(服务费底表!$AD:$AD,服务费底表!$K:$K,服务费明细!$B18,服务费底表!$H:$H,服务费明细!BV$3)</f>
        <v>0</v>
      </c>
      <c r="BW18" s="389">
        <f>SUMIFS(服务费底表!$AD:$AD,服务费底表!$K:$K,服务费明细!$B18,服务费底表!$H:$H,服务费明细!BW$3)</f>
        <v>0</v>
      </c>
    </row>
    <row r="19" spans="2:75">
      <c r="B19" s="89" t="s">
        <v>990</v>
      </c>
      <c r="C19" s="89" t="str">
        <f>INDEX(二三级标准!$C:$C,MATCH(服务费明细!$B19,二三级标准!$B:$B,0))</f>
        <v>研究中心伦理意见答复</v>
      </c>
      <c r="D19" s="166">
        <f t="shared" si="34"/>
        <v>1</v>
      </c>
      <c r="E19" s="166">
        <f>IF($D19=1,启动中心数,0)</f>
        <v>4</v>
      </c>
      <c r="F19" s="89" t="str">
        <f>INDEX(二三级标准!$G:$G,MATCH(服务费明细!$B19,二三级标准!$B:$B,0))</f>
        <v>中心</v>
      </c>
      <c r="G19" s="166">
        <f t="shared" ref="G19:AB19" si="42">AL19</f>
        <v>0</v>
      </c>
      <c r="H19" s="166">
        <f t="shared" si="42"/>
        <v>0</v>
      </c>
      <c r="I19" s="166">
        <f t="shared" si="42"/>
        <v>0</v>
      </c>
      <c r="J19" s="166">
        <f t="shared" si="42"/>
        <v>0</v>
      </c>
      <c r="K19" s="166">
        <f t="shared" si="42"/>
        <v>0</v>
      </c>
      <c r="L19" s="166">
        <f t="shared" si="42"/>
        <v>0</v>
      </c>
      <c r="M19" s="166">
        <f t="shared" si="42"/>
        <v>4</v>
      </c>
      <c r="N19" s="166">
        <f t="shared" si="42"/>
        <v>0</v>
      </c>
      <c r="O19" s="166">
        <f t="shared" si="42"/>
        <v>0</v>
      </c>
      <c r="P19" s="166">
        <f t="shared" si="42"/>
        <v>0</v>
      </c>
      <c r="Q19" s="166">
        <f t="shared" si="42"/>
        <v>0</v>
      </c>
      <c r="R19" s="166">
        <f t="shared" si="42"/>
        <v>0</v>
      </c>
      <c r="S19" s="166">
        <f t="shared" si="42"/>
        <v>0</v>
      </c>
      <c r="T19" s="166">
        <f t="shared" si="42"/>
        <v>0</v>
      </c>
      <c r="U19" s="166">
        <f t="shared" si="42"/>
        <v>0</v>
      </c>
      <c r="V19" s="166">
        <f t="shared" si="42"/>
        <v>0</v>
      </c>
      <c r="W19" s="166">
        <f t="shared" si="42"/>
        <v>0</v>
      </c>
      <c r="X19" s="166">
        <f t="shared" si="42"/>
        <v>0</v>
      </c>
      <c r="Y19" s="166">
        <f t="shared" si="42"/>
        <v>0</v>
      </c>
      <c r="Z19" s="166">
        <f t="shared" si="42"/>
        <v>0</v>
      </c>
      <c r="AA19" s="166">
        <f t="shared" si="42"/>
        <v>0</v>
      </c>
      <c r="AB19" s="166">
        <f t="shared" si="42"/>
        <v>0</v>
      </c>
      <c r="AC19" s="166" cm="1">
        <f t="array" ref="AC19">SUMPRODUCT(G19:AB19,$G$4:$AB$4)</f>
        <v>2600</v>
      </c>
      <c r="AD19" s="89" t="b">
        <f t="shared" si="36"/>
        <v>1</v>
      </c>
      <c r="AE19" s="386">
        <f>IFERROR(SUMIF(服务费底表!$K:$K,服务费明细!$B19,服务费底表!$AD:$AD)/E19,0)</f>
        <v>650</v>
      </c>
      <c r="AF19" s="386">
        <f t="shared" si="37"/>
        <v>2600</v>
      </c>
      <c r="AG19" s="386">
        <f>IFERROR(SUMIF(服务费底表!$K:$K,服务费明细!$B19,服务费底表!$AG:$AG)/E19,0)</f>
        <v>650</v>
      </c>
      <c r="AH19" s="386">
        <f t="shared" si="38"/>
        <v>2600</v>
      </c>
      <c r="AI19" s="409"/>
      <c r="AJ19" s="563">
        <f t="shared" si="41"/>
        <v>1</v>
      </c>
      <c r="AK19" s="564">
        <f>SUMIF(服务费底表!$K:$K,服务费明细!$B19,服务费底表!$AC:$AC)</f>
        <v>4</v>
      </c>
      <c r="AL19" s="166">
        <f>SUMIFS(服务费底表!$AC:$AC,服务费底表!$K:$K,服务费明细!$B19,服务费底表!$T:$T,AL$3)</f>
        <v>0</v>
      </c>
      <c r="AM19" s="166">
        <f>SUMIFS(服务费底表!$AC:$AC,服务费底表!$K:$K,服务费明细!$B19,服务费底表!$T:$T,AM$3)</f>
        <v>0</v>
      </c>
      <c r="AN19" s="166">
        <f>SUMIFS(服务费底表!$AC:$AC,服务费底表!$K:$K,服务费明细!$B19,服务费底表!$T:$T,AN$3)</f>
        <v>0</v>
      </c>
      <c r="AO19" s="166">
        <f>SUMIFS(服务费底表!$AC:$AC,服务费底表!$K:$K,服务费明细!$B19,服务费底表!$T:$T,AO$3)</f>
        <v>0</v>
      </c>
      <c r="AP19" s="166">
        <f>SUMIFS(服务费底表!$AC:$AC,服务费底表!$K:$K,服务费明细!$B19,服务费底表!$T:$T,AP$3)</f>
        <v>0</v>
      </c>
      <c r="AQ19" s="166">
        <f>SUMIFS(服务费底表!$AC:$AC,服务费底表!$K:$K,服务费明细!$B19,服务费底表!$T:$T,AQ$3)</f>
        <v>0</v>
      </c>
      <c r="AR19" s="166">
        <f>SUMIFS(服务费底表!$AC:$AC,服务费底表!$K:$K,服务费明细!$B19,服务费底表!$T:$T,AR$3)</f>
        <v>4</v>
      </c>
      <c r="AS19" s="166">
        <f>SUMIFS(服务费底表!$AC:$AC,服务费底表!$K:$K,服务费明细!$B19,服务费底表!$T:$T,AS$3)</f>
        <v>0</v>
      </c>
      <c r="AT19" s="166">
        <f>SUMIFS(服务费底表!$AC:$AC,服务费底表!$K:$K,服务费明细!$B19,服务费底表!$T:$T,AT$3)</f>
        <v>0</v>
      </c>
      <c r="AU19" s="166">
        <f>SUMIFS(服务费底表!$AC:$AC,服务费底表!$K:$K,服务费明细!$B19,服务费底表!$T:$T,AU$3)</f>
        <v>0</v>
      </c>
      <c r="AV19" s="166">
        <f>SUMIFS(服务费底表!$AC:$AC,服务费底表!$K:$K,服务费明细!$B19,服务费底表!$T:$T,AV$3)</f>
        <v>0</v>
      </c>
      <c r="AW19" s="166">
        <f>SUMIFS(服务费底表!$AC:$AC,服务费底表!$K:$K,服务费明细!$B19,服务费底表!$T:$T,AW$3)</f>
        <v>0</v>
      </c>
      <c r="AX19" s="166">
        <f>SUMIFS(服务费底表!$AC:$AC,服务费底表!$K:$K,服务费明细!$B19,服务费底表!$T:$T,AX$3)</f>
        <v>0</v>
      </c>
      <c r="AY19" s="166">
        <f>SUMIFS(服务费底表!$AC:$AC,服务费底表!$K:$K,服务费明细!$B19,服务费底表!$T:$T,AY$3)</f>
        <v>0</v>
      </c>
      <c r="AZ19" s="166">
        <f>SUMIFS(服务费底表!$AC:$AC,服务费底表!$K:$K,服务费明细!$B19,服务费底表!$T:$T,AZ$3)</f>
        <v>0</v>
      </c>
      <c r="BA19" s="166">
        <f>SUMIFS(服务费底表!$AC:$AC,服务费底表!$K:$K,服务费明细!$B19,服务费底表!$T:$T,BA$3)</f>
        <v>0</v>
      </c>
      <c r="BB19" s="166">
        <f>SUMIFS(服务费底表!$AC:$AC,服务费底表!$K:$K,服务费明细!$B19,服务费底表!$T:$T,BB$3)</f>
        <v>0</v>
      </c>
      <c r="BC19" s="166">
        <f>SUMIFS(服务费底表!$AC:$AC,服务费底表!$K:$K,服务费明细!$B19,服务费底表!$T:$T,BC$3)</f>
        <v>0</v>
      </c>
      <c r="BD19" s="166">
        <f>SUMIFS(服务费底表!$AC:$AC,服务费底表!$K:$K,服务费明细!$B19,服务费底表!$T:$T,BD$3)</f>
        <v>0</v>
      </c>
      <c r="BE19" s="166">
        <f>SUMIFS(服务费底表!$AC:$AC,服务费底表!$K:$K,服务费明细!$B19,服务费底表!$T:$T,BE$3)</f>
        <v>0</v>
      </c>
      <c r="BF19" s="166">
        <f>SUMIFS(服务费底表!$AC:$AC,服务费底表!$K:$K,服务费明细!$B19,服务费底表!$T:$T,BF$3)</f>
        <v>0</v>
      </c>
      <c r="BG19" s="166">
        <f>SUMIFS(服务费底表!$AC:$AC,服务费底表!$K:$K,服务费明细!$B19,服务费底表!$T:$T,BG$3)</f>
        <v>0</v>
      </c>
      <c r="BI19" s="388">
        <f>SUMIFS(服务费底表!$AC:$AC,服务费底表!$K:$K,服务费明细!$B19,服务费底表!$H:$H,服务费明细!BI$3)</f>
        <v>4</v>
      </c>
      <c r="BJ19" s="388">
        <f>SUMIFS(服务费底表!$AC:$AC,服务费底表!$K:$K,服务费明细!$B19,服务费底表!$H:$H,服务费明细!BJ$3)</f>
        <v>0</v>
      </c>
      <c r="BK19" s="388">
        <f>SUMIFS(服务费底表!$AC:$AC,服务费底表!$K:$K,服务费明细!$B19,服务费底表!$H:$H,服务费明细!BK$3)</f>
        <v>0</v>
      </c>
      <c r="BL19" s="388">
        <f>SUMIFS(服务费底表!$AC:$AC,服务费底表!$K:$K,服务费明细!$B19,服务费底表!$H:$H,服务费明细!BL$3)</f>
        <v>0</v>
      </c>
      <c r="BM19" s="388">
        <f>SUMIFS(服务费底表!$AC:$AC,服务费底表!$K:$K,服务费明细!$B19,服务费底表!$H:$H,服务费明细!BM$3)</f>
        <v>0</v>
      </c>
      <c r="BN19" s="388">
        <f>SUMIFS(服务费底表!$AC:$AC,服务费底表!$K:$K,服务费明细!$B19,服务费底表!$H:$H,服务费明细!BN$3)</f>
        <v>0</v>
      </c>
      <c r="BO19" s="388">
        <f>SUMIFS(服务费底表!$AC:$AC,服务费底表!$K:$K,服务费明细!$B19,服务费底表!$H:$H,服务费明细!BO$3)</f>
        <v>0</v>
      </c>
      <c r="BQ19" s="389">
        <f>SUMIFS(服务费底表!$AD:$AD,服务费底表!$K:$K,服务费明细!$B19,服务费底表!$H:$H,服务费明细!BQ$3)</f>
        <v>2600</v>
      </c>
      <c r="BR19" s="389">
        <f>SUMIFS(服务费底表!$AD:$AD,服务费底表!$K:$K,服务费明细!$B19,服务费底表!$H:$H,服务费明细!BR$3)</f>
        <v>0</v>
      </c>
      <c r="BS19" s="389">
        <f>SUMIFS(服务费底表!$AD:$AD,服务费底表!$K:$K,服务费明细!$B19,服务费底表!$H:$H,服务费明细!BS$3)</f>
        <v>0</v>
      </c>
      <c r="BT19" s="389">
        <f>SUMIFS(服务费底表!$AD:$AD,服务费底表!$K:$K,服务费明细!$B19,服务费底表!$H:$H,服务费明细!BT$3)</f>
        <v>0</v>
      </c>
      <c r="BU19" s="389">
        <f>SUMIFS(服务费底表!$AD:$AD,服务费底表!$K:$K,服务费明细!$B19,服务费底表!$H:$H,服务费明细!BU$3)</f>
        <v>0</v>
      </c>
      <c r="BV19" s="389">
        <f>SUMIFS(服务费底表!$AD:$AD,服务费底表!$K:$K,服务费明细!$B19,服务费底表!$H:$H,服务费明细!BV$3)</f>
        <v>0</v>
      </c>
      <c r="BW19" s="389">
        <f>SUMIFS(服务费底表!$AD:$AD,服务费底表!$K:$K,服务费明细!$B19,服务费底表!$H:$H,服务费明细!BW$3)</f>
        <v>0</v>
      </c>
    </row>
    <row r="20" ht="19.8" customHeight="1" spans="2:75">
      <c r="B20" s="89" t="s">
        <v>113</v>
      </c>
      <c r="C20" s="89" t="str">
        <f>INDEX(二三级标准!$C:$C,MATCH(服务费明细!$B20,二三级标准!$B:$B,0))</f>
        <v>方案培训</v>
      </c>
      <c r="D20" s="166">
        <f t="shared" ref="D20:D29" si="43">IF($D$15=1,1,0)</f>
        <v>1</v>
      </c>
      <c r="E20" s="166">
        <f>IF($D20=1,1,0)</f>
        <v>1</v>
      </c>
      <c r="F20" s="89" t="str">
        <f>INDEX(二三级标准!$G:$G,MATCH(服务费明细!$B20,二三级标准!$B:$B,0))</f>
        <v>次</v>
      </c>
      <c r="G20" s="166">
        <f t="shared" ref="G20:AB20" si="44">AL20</f>
        <v>2</v>
      </c>
      <c r="H20" s="166">
        <f t="shared" si="44"/>
        <v>1</v>
      </c>
      <c r="I20" s="166">
        <f t="shared" si="44"/>
        <v>1</v>
      </c>
      <c r="J20" s="166">
        <f t="shared" si="44"/>
        <v>0</v>
      </c>
      <c r="K20" s="166">
        <f t="shared" si="44"/>
        <v>0</v>
      </c>
      <c r="L20" s="166">
        <f t="shared" si="44"/>
        <v>1</v>
      </c>
      <c r="M20" s="166">
        <f t="shared" si="44"/>
        <v>7</v>
      </c>
      <c r="N20" s="166">
        <f t="shared" si="44"/>
        <v>0</v>
      </c>
      <c r="O20" s="166">
        <f t="shared" si="44"/>
        <v>1</v>
      </c>
      <c r="P20" s="166">
        <f t="shared" si="44"/>
        <v>0</v>
      </c>
      <c r="Q20" s="166">
        <f t="shared" si="44"/>
        <v>0</v>
      </c>
      <c r="R20" s="166">
        <f t="shared" si="44"/>
        <v>0</v>
      </c>
      <c r="S20" s="166">
        <f t="shared" si="44"/>
        <v>1</v>
      </c>
      <c r="T20" s="166">
        <f t="shared" si="44"/>
        <v>0</v>
      </c>
      <c r="U20" s="166">
        <f t="shared" si="44"/>
        <v>0</v>
      </c>
      <c r="V20" s="166">
        <f t="shared" si="44"/>
        <v>1</v>
      </c>
      <c r="W20" s="166">
        <f t="shared" si="44"/>
        <v>0</v>
      </c>
      <c r="X20" s="166">
        <f t="shared" si="44"/>
        <v>1</v>
      </c>
      <c r="Y20" s="166">
        <f t="shared" si="44"/>
        <v>0</v>
      </c>
      <c r="Z20" s="166">
        <f t="shared" si="44"/>
        <v>0</v>
      </c>
      <c r="AA20" s="166">
        <f t="shared" si="44"/>
        <v>0</v>
      </c>
      <c r="AB20" s="166">
        <f t="shared" si="44"/>
        <v>0</v>
      </c>
      <c r="AC20" s="166" cm="1">
        <f t="array" ref="AC20">SUMPRODUCT(G20:AB20,$G$4:$AB$4)</f>
        <v>8930</v>
      </c>
      <c r="AD20" s="89" t="b">
        <f t="shared" si="36"/>
        <v>1</v>
      </c>
      <c r="AE20" s="386">
        <f>IFERROR(SUMIF(服务费底表!$K:$K,服务费明细!$B20,服务费底表!$AD:$AD)/E20,0)</f>
        <v>8930</v>
      </c>
      <c r="AF20" s="386">
        <f t="shared" si="37"/>
        <v>8930</v>
      </c>
      <c r="AG20" s="386">
        <f>IFERROR(SUMIF(服务费底表!$K:$K,服务费明细!$B20,服务费底表!$AG:$AG)/E20,0)</f>
        <v>8930</v>
      </c>
      <c r="AH20" s="386">
        <f t="shared" si="38"/>
        <v>8930</v>
      </c>
      <c r="AI20" s="409" t="str">
        <f>IF(医学监查YN=1,"有临医学组织项目组的方案培训。","项目组按照客户安排参加方案培训或自行组织学习方案。")</f>
        <v>有临医学组织项目组的方案培训。</v>
      </c>
      <c r="AJ20" s="563">
        <f t="shared" si="41"/>
        <v>16</v>
      </c>
      <c r="AK20" s="564">
        <f>SUMIF(服务费底表!$K:$K,服务费明细!$B20,服务费底表!$AC:$AC)</f>
        <v>16</v>
      </c>
      <c r="AL20" s="166">
        <f>SUMIFS(服务费底表!$AC:$AC,服务费底表!$K:$K,服务费明细!$B20,服务费底表!$T:$T,AL$3)</f>
        <v>2</v>
      </c>
      <c r="AM20" s="166">
        <f>SUMIFS(服务费底表!$AC:$AC,服务费底表!$K:$K,服务费明细!$B20,服务费底表!$T:$T,AM$3)</f>
        <v>1</v>
      </c>
      <c r="AN20" s="166">
        <f>SUMIFS(服务费底表!$AC:$AC,服务费底表!$K:$K,服务费明细!$B20,服务费底表!$T:$T,AN$3)</f>
        <v>1</v>
      </c>
      <c r="AO20" s="166">
        <f>SUMIFS(服务费底表!$AC:$AC,服务费底表!$K:$K,服务费明细!$B20,服务费底表!$T:$T,AO$3)</f>
        <v>0</v>
      </c>
      <c r="AP20" s="166">
        <f>SUMIFS(服务费底表!$AC:$AC,服务费底表!$K:$K,服务费明细!$B20,服务费底表!$T:$T,AP$3)</f>
        <v>0</v>
      </c>
      <c r="AQ20" s="166">
        <f>SUMIFS(服务费底表!$AC:$AC,服务费底表!$K:$K,服务费明细!$B20,服务费底表!$T:$T,AQ$3)</f>
        <v>1</v>
      </c>
      <c r="AR20" s="166">
        <f>SUMIFS(服务费底表!$AC:$AC,服务费底表!$K:$K,服务费明细!$B20,服务费底表!$T:$T,AR$3)</f>
        <v>7</v>
      </c>
      <c r="AS20" s="166">
        <f>SUMIFS(服务费底表!$AC:$AC,服务费底表!$K:$K,服务费明细!$B20,服务费底表!$T:$T,AS$3)</f>
        <v>0</v>
      </c>
      <c r="AT20" s="166">
        <f>SUMIFS(服务费底表!$AC:$AC,服务费底表!$K:$K,服务费明细!$B20,服务费底表!$T:$T,AT$3)</f>
        <v>1</v>
      </c>
      <c r="AU20" s="166">
        <f>SUMIFS(服务费底表!$AC:$AC,服务费底表!$K:$K,服务费明细!$B20,服务费底表!$T:$T,AU$3)</f>
        <v>0</v>
      </c>
      <c r="AV20" s="166">
        <f>SUMIFS(服务费底表!$AC:$AC,服务费底表!$K:$K,服务费明细!$B20,服务费底表!$T:$T,AV$3)</f>
        <v>0</v>
      </c>
      <c r="AW20" s="166">
        <f>SUMIFS(服务费底表!$AC:$AC,服务费底表!$K:$K,服务费明细!$B20,服务费底表!$T:$T,AW$3)</f>
        <v>0</v>
      </c>
      <c r="AX20" s="166">
        <f>SUMIFS(服务费底表!$AC:$AC,服务费底表!$K:$K,服务费明细!$B20,服务费底表!$T:$T,AX$3)</f>
        <v>1</v>
      </c>
      <c r="AY20" s="166">
        <f>SUMIFS(服务费底表!$AC:$AC,服务费底表!$K:$K,服务费明细!$B20,服务费底表!$T:$T,AY$3)</f>
        <v>0</v>
      </c>
      <c r="AZ20" s="166">
        <f>SUMIFS(服务费底表!$AC:$AC,服务费底表!$K:$K,服务费明细!$B20,服务费底表!$T:$T,AZ$3)</f>
        <v>0</v>
      </c>
      <c r="BA20" s="166">
        <f>SUMIFS(服务费底表!$AC:$AC,服务费底表!$K:$K,服务费明细!$B20,服务费底表!$T:$T,BA$3)</f>
        <v>1</v>
      </c>
      <c r="BB20" s="166">
        <f>SUMIFS(服务费底表!$AC:$AC,服务费底表!$K:$K,服务费明细!$B20,服务费底表!$T:$T,BB$3)</f>
        <v>0</v>
      </c>
      <c r="BC20" s="166">
        <f>SUMIFS(服务费底表!$AC:$AC,服务费底表!$K:$K,服务费明细!$B20,服务费底表!$T:$T,BC$3)</f>
        <v>1</v>
      </c>
      <c r="BD20" s="166">
        <f>SUMIFS(服务费底表!$AC:$AC,服务费底表!$K:$K,服务费明细!$B20,服务费底表!$T:$T,BD$3)</f>
        <v>0</v>
      </c>
      <c r="BE20" s="166">
        <f>SUMIFS(服务费底表!$AC:$AC,服务费底表!$K:$K,服务费明细!$B20,服务费底表!$T:$T,BE$3)</f>
        <v>0</v>
      </c>
      <c r="BF20" s="166">
        <f>SUMIFS(服务费底表!$AC:$AC,服务费底表!$K:$K,服务费明细!$B20,服务费底表!$T:$T,BF$3)</f>
        <v>0</v>
      </c>
      <c r="BG20" s="166">
        <f>SUMIFS(服务费底表!$AC:$AC,服务费底表!$K:$K,服务费明细!$B20,服务费底表!$T:$T,BG$3)</f>
        <v>0</v>
      </c>
      <c r="BI20" s="388">
        <f>SUMIFS(服务费底表!$AC:$AC,服务费底表!$K:$K,服务费明细!$B20,服务费底表!$H:$H,服务费明细!BI$3)</f>
        <v>8</v>
      </c>
      <c r="BJ20" s="388">
        <f>SUMIFS(服务费底表!$AC:$AC,服务费底表!$K:$K,服务费明细!$B20,服务费底表!$H:$H,服务费明细!BJ$3)</f>
        <v>4</v>
      </c>
      <c r="BK20" s="388">
        <f>SUMIFS(服务费底表!$AC:$AC,服务费底表!$K:$K,服务费明细!$B20,服务费底表!$H:$H,服务费明细!BK$3)</f>
        <v>1</v>
      </c>
      <c r="BL20" s="388">
        <f>SUMIFS(服务费底表!$AC:$AC,服务费底表!$K:$K,服务费明细!$B20,服务费底表!$H:$H,服务费明细!BL$3)</f>
        <v>1</v>
      </c>
      <c r="BM20" s="388">
        <f>SUMIFS(服务费底表!$AC:$AC,服务费底表!$K:$K,服务费明细!$B20,服务费底表!$H:$H,服务费明细!BM$3)</f>
        <v>1</v>
      </c>
      <c r="BN20" s="388">
        <f>SUMIFS(服务费底表!$AC:$AC,服务费底表!$K:$K,服务费明细!$B20,服务费底表!$H:$H,服务费明细!BN$3)</f>
        <v>1</v>
      </c>
      <c r="BO20" s="388">
        <f>SUMIFS(服务费底表!$AC:$AC,服务费底表!$K:$K,服务费明细!$B20,服务费底表!$H:$H,服务费明细!BO$3)</f>
        <v>0</v>
      </c>
      <c r="BQ20" s="389">
        <f>SUMIFS(服务费底表!$AD:$AD,服务费底表!$K:$K,服务费明细!$B20,服务费底表!$H:$H,服务费明细!BQ$3)</f>
        <v>5540</v>
      </c>
      <c r="BR20" s="389">
        <f>SUMIFS(服务费底表!$AD:$AD,服务费底表!$K:$K,服务费明细!$B20,服务费底表!$H:$H,服务费明细!BR$3)</f>
        <v>1550</v>
      </c>
      <c r="BS20" s="389">
        <f>SUMIFS(服务费底表!$AD:$AD,服务费底表!$K:$K,服务费明细!$B20,服务费底表!$H:$H,服务费明细!BS$3)</f>
        <v>360</v>
      </c>
      <c r="BT20" s="389">
        <f>SUMIFS(服务费底表!$AD:$AD,服务费底表!$K:$K,服务费明细!$B20,服务费底表!$H:$H,服务费明细!BT$3)</f>
        <v>400</v>
      </c>
      <c r="BU20" s="389">
        <f>SUMIFS(服务费底表!$AD:$AD,服务费底表!$K:$K,服务费明细!$B20,服务费底表!$H:$H,服务费明细!BU$3)</f>
        <v>500</v>
      </c>
      <c r="BV20" s="389">
        <f>SUMIFS(服务费底表!$AD:$AD,服务费底表!$K:$K,服务费明细!$B20,服务费底表!$H:$H,服务费明细!BV$3)</f>
        <v>580</v>
      </c>
      <c r="BW20" s="389">
        <f>SUMIFS(服务费底表!$AD:$AD,服务费底表!$K:$K,服务费明细!$B20,服务费底表!$H:$H,服务费明细!BW$3)</f>
        <v>0</v>
      </c>
    </row>
    <row r="21" ht="26.4" spans="2:75">
      <c r="B21" s="89" t="s">
        <v>991</v>
      </c>
      <c r="C21" s="89" t="str">
        <f>INDEX(二三级标准!$C:$C,MATCH(服务费明细!$B21,二三级标准!$B:$B,0))</f>
        <v>SSU阶段文件准备</v>
      </c>
      <c r="D21" s="166">
        <f t="shared" si="43"/>
        <v>1</v>
      </c>
      <c r="E21" s="166">
        <f>IF($D21=1,1,0)</f>
        <v>1</v>
      </c>
      <c r="F21" s="89" t="str">
        <f>INDEX(二三级标准!$G:$G,MATCH(服务费明细!$B21,二三级标准!$B:$B,0))</f>
        <v>份</v>
      </c>
      <c r="G21" s="166">
        <f t="shared" ref="G21:AB21" si="45">AL21</f>
        <v>0</v>
      </c>
      <c r="H21" s="166">
        <f t="shared" si="45"/>
        <v>0</v>
      </c>
      <c r="I21" s="166">
        <f t="shared" si="45"/>
        <v>24</v>
      </c>
      <c r="J21" s="166">
        <f t="shared" si="45"/>
        <v>0</v>
      </c>
      <c r="K21" s="166">
        <f t="shared" si="45"/>
        <v>0</v>
      </c>
      <c r="L21" s="166">
        <f t="shared" si="45"/>
        <v>0</v>
      </c>
      <c r="M21" s="166">
        <f t="shared" si="45"/>
        <v>0</v>
      </c>
      <c r="N21" s="166">
        <f t="shared" si="45"/>
        <v>0</v>
      </c>
      <c r="O21" s="166">
        <f t="shared" si="45"/>
        <v>0</v>
      </c>
      <c r="P21" s="166">
        <f t="shared" si="45"/>
        <v>0</v>
      </c>
      <c r="Q21" s="166">
        <f t="shared" si="45"/>
        <v>0</v>
      </c>
      <c r="R21" s="166">
        <f t="shared" si="45"/>
        <v>0</v>
      </c>
      <c r="S21" s="166">
        <f t="shared" si="45"/>
        <v>0</v>
      </c>
      <c r="T21" s="166">
        <f t="shared" si="45"/>
        <v>0</v>
      </c>
      <c r="U21" s="166">
        <f t="shared" si="45"/>
        <v>0</v>
      </c>
      <c r="V21" s="166">
        <f t="shared" si="45"/>
        <v>0</v>
      </c>
      <c r="W21" s="166">
        <f t="shared" si="45"/>
        <v>0</v>
      </c>
      <c r="X21" s="166">
        <f t="shared" si="45"/>
        <v>0</v>
      </c>
      <c r="Y21" s="166">
        <f t="shared" si="45"/>
        <v>0</v>
      </c>
      <c r="Z21" s="166">
        <f t="shared" si="45"/>
        <v>0</v>
      </c>
      <c r="AA21" s="166">
        <f t="shared" si="45"/>
        <v>0</v>
      </c>
      <c r="AB21" s="166">
        <f t="shared" si="45"/>
        <v>0</v>
      </c>
      <c r="AC21" s="166" cm="1">
        <f t="array" ref="AC21">SUMPRODUCT(G21:AB21,$G$4:$AB$4)</f>
        <v>15600</v>
      </c>
      <c r="AD21" s="89" t="b">
        <f t="shared" si="36"/>
        <v>1</v>
      </c>
      <c r="AE21" s="386">
        <f>IFERROR(SUMIF(服务费底表!$K:$K,服务费明细!$B21,服务费底表!$AD:$AD)/E21,0)</f>
        <v>15600</v>
      </c>
      <c r="AF21" s="386">
        <f t="shared" si="37"/>
        <v>15600</v>
      </c>
      <c r="AG21" s="386">
        <f>IFERROR(SUMIF(服务费底表!$K:$K,服务费明细!$B21,服务费底表!$AG:$AG)/E21,0)</f>
        <v>15600</v>
      </c>
      <c r="AH21" s="386">
        <f t="shared" si="38"/>
        <v>15600</v>
      </c>
      <c r="AI21" s="409" t="s">
        <v>992</v>
      </c>
      <c r="AJ21" s="563">
        <f t="shared" si="41"/>
        <v>24</v>
      </c>
      <c r="AK21" s="564">
        <f>SUMIF(服务费底表!$K:$K,服务费明细!$B21,服务费底表!$AC:$AC)</f>
        <v>24</v>
      </c>
      <c r="AL21" s="166">
        <f>SUMIFS(服务费底表!$AC:$AC,服务费底表!$K:$K,服务费明细!$B21,服务费底表!$T:$T,AL$3)</f>
        <v>0</v>
      </c>
      <c r="AM21" s="166">
        <f>SUMIFS(服务费底表!$AC:$AC,服务费底表!$K:$K,服务费明细!$B21,服务费底表!$T:$T,AM$3)</f>
        <v>0</v>
      </c>
      <c r="AN21" s="166">
        <f>SUMIFS(服务费底表!$AC:$AC,服务费底表!$K:$K,服务费明细!$B21,服务费底表!$T:$T,AN$3)</f>
        <v>24</v>
      </c>
      <c r="AO21" s="166">
        <f>SUMIFS(服务费底表!$AC:$AC,服务费底表!$K:$K,服务费明细!$B21,服务费底表!$T:$T,AO$3)</f>
        <v>0</v>
      </c>
      <c r="AP21" s="166">
        <f>SUMIFS(服务费底表!$AC:$AC,服务费底表!$K:$K,服务费明细!$B21,服务费底表!$T:$T,AP$3)</f>
        <v>0</v>
      </c>
      <c r="AQ21" s="166">
        <f>SUMIFS(服务费底表!$AC:$AC,服务费底表!$K:$K,服务费明细!$B21,服务费底表!$T:$T,AQ$3)</f>
        <v>0</v>
      </c>
      <c r="AR21" s="166">
        <f>SUMIFS(服务费底表!$AC:$AC,服务费底表!$K:$K,服务费明细!$B21,服务费底表!$T:$T,AR$3)</f>
        <v>0</v>
      </c>
      <c r="AS21" s="166">
        <f>SUMIFS(服务费底表!$AC:$AC,服务费底表!$K:$K,服务费明细!$B21,服务费底表!$T:$T,AS$3)</f>
        <v>0</v>
      </c>
      <c r="AT21" s="166">
        <f>SUMIFS(服务费底表!$AC:$AC,服务费底表!$K:$K,服务费明细!$B21,服务费底表!$T:$T,AT$3)</f>
        <v>0</v>
      </c>
      <c r="AU21" s="166">
        <f>SUMIFS(服务费底表!$AC:$AC,服务费底表!$K:$K,服务费明细!$B21,服务费底表!$T:$T,AU$3)</f>
        <v>0</v>
      </c>
      <c r="AV21" s="166">
        <f>SUMIFS(服务费底表!$AC:$AC,服务费底表!$K:$K,服务费明细!$B21,服务费底表!$T:$T,AV$3)</f>
        <v>0</v>
      </c>
      <c r="AW21" s="166">
        <f>SUMIFS(服务费底表!$AC:$AC,服务费底表!$K:$K,服务费明细!$B21,服务费底表!$T:$T,AW$3)</f>
        <v>0</v>
      </c>
      <c r="AX21" s="166">
        <f>SUMIFS(服务费底表!$AC:$AC,服务费底表!$K:$K,服务费明细!$B21,服务费底表!$T:$T,AX$3)</f>
        <v>0</v>
      </c>
      <c r="AY21" s="166">
        <f>SUMIFS(服务费底表!$AC:$AC,服务费底表!$K:$K,服务费明细!$B21,服务费底表!$T:$T,AY$3)</f>
        <v>0</v>
      </c>
      <c r="AZ21" s="166">
        <f>SUMIFS(服务费底表!$AC:$AC,服务费底表!$K:$K,服务费明细!$B21,服务费底表!$T:$T,AZ$3)</f>
        <v>0</v>
      </c>
      <c r="BA21" s="166">
        <f>SUMIFS(服务费底表!$AC:$AC,服务费底表!$K:$K,服务费明细!$B21,服务费底表!$T:$T,BA$3)</f>
        <v>0</v>
      </c>
      <c r="BB21" s="166">
        <f>SUMIFS(服务费底表!$AC:$AC,服务费底表!$K:$K,服务费明细!$B21,服务费底表!$T:$T,BB$3)</f>
        <v>0</v>
      </c>
      <c r="BC21" s="166">
        <f>SUMIFS(服务费底表!$AC:$AC,服务费底表!$K:$K,服务费明细!$B21,服务费底表!$T:$T,BC$3)</f>
        <v>0</v>
      </c>
      <c r="BD21" s="166">
        <f>SUMIFS(服务费底表!$AC:$AC,服务费底表!$K:$K,服务费明细!$B21,服务费底表!$T:$T,BD$3)</f>
        <v>0</v>
      </c>
      <c r="BE21" s="166">
        <f>SUMIFS(服务费底表!$AC:$AC,服务费底表!$K:$K,服务费明细!$B21,服务费底表!$T:$T,BE$3)</f>
        <v>0</v>
      </c>
      <c r="BF21" s="166">
        <f>SUMIFS(服务费底表!$AC:$AC,服务费底表!$K:$K,服务费明细!$B21,服务费底表!$T:$T,BF$3)</f>
        <v>0</v>
      </c>
      <c r="BG21" s="166">
        <f>SUMIFS(服务费底表!$AC:$AC,服务费底表!$K:$K,服务费明细!$B21,服务费底表!$T:$T,BG$3)</f>
        <v>0</v>
      </c>
      <c r="BI21" s="388">
        <f>SUMIFS(服务费底表!$AC:$AC,服务费底表!$K:$K,服务费明细!$B21,服务费底表!$H:$H,服务费明细!BI$3)</f>
        <v>0</v>
      </c>
      <c r="BJ21" s="388">
        <f>SUMIFS(服务费底表!$AC:$AC,服务费底表!$K:$K,服务费明细!$B21,服务费底表!$H:$H,服务费明细!BJ$3)</f>
        <v>24</v>
      </c>
      <c r="BK21" s="388">
        <f>SUMIFS(服务费底表!$AC:$AC,服务费底表!$K:$K,服务费明细!$B21,服务费底表!$H:$H,服务费明细!BK$3)</f>
        <v>0</v>
      </c>
      <c r="BL21" s="388">
        <f>SUMIFS(服务费底表!$AC:$AC,服务费底表!$K:$K,服务费明细!$B21,服务费底表!$H:$H,服务费明细!BL$3)</f>
        <v>0</v>
      </c>
      <c r="BM21" s="388">
        <f>SUMIFS(服务费底表!$AC:$AC,服务费底表!$K:$K,服务费明细!$B21,服务费底表!$H:$H,服务费明细!BM$3)</f>
        <v>0</v>
      </c>
      <c r="BN21" s="388">
        <f>SUMIFS(服务费底表!$AC:$AC,服务费底表!$K:$K,服务费明细!$B21,服务费底表!$H:$H,服务费明细!BN$3)</f>
        <v>0</v>
      </c>
      <c r="BO21" s="388">
        <f>SUMIFS(服务费底表!$AC:$AC,服务费底表!$K:$K,服务费明细!$B21,服务费底表!$H:$H,服务费明细!BO$3)</f>
        <v>0</v>
      </c>
      <c r="BQ21" s="389">
        <f>SUMIFS(服务费底表!$AD:$AD,服务费底表!$K:$K,服务费明细!$B21,服务费底表!$H:$H,服务费明细!BQ$3)</f>
        <v>0</v>
      </c>
      <c r="BR21" s="389">
        <f>SUMIFS(服务费底表!$AD:$AD,服务费底表!$K:$K,服务费明细!$B21,服务费底表!$H:$H,服务费明细!BR$3)</f>
        <v>15600</v>
      </c>
      <c r="BS21" s="389">
        <f>SUMIFS(服务费底表!$AD:$AD,服务费底表!$K:$K,服务费明细!$B21,服务费底表!$H:$H,服务费明细!BS$3)</f>
        <v>0</v>
      </c>
      <c r="BT21" s="389">
        <f>SUMIFS(服务费底表!$AD:$AD,服务费底表!$K:$K,服务费明细!$B21,服务费底表!$H:$H,服务费明细!BT$3)</f>
        <v>0</v>
      </c>
      <c r="BU21" s="389">
        <f>SUMIFS(服务费底表!$AD:$AD,服务费底表!$K:$K,服务费明细!$B21,服务费底表!$H:$H,服务费明细!BU$3)</f>
        <v>0</v>
      </c>
      <c r="BV21" s="389">
        <f>SUMIFS(服务费底表!$AD:$AD,服务费底表!$K:$K,服务费明细!$B21,服务费底表!$H:$H,服务费明细!BV$3)</f>
        <v>0</v>
      </c>
      <c r="BW21" s="389">
        <f>SUMIFS(服务费底表!$AD:$AD,服务费底表!$K:$K,服务费明细!$B21,服务费底表!$H:$H,服务费明细!BW$3)</f>
        <v>0</v>
      </c>
    </row>
    <row r="22" ht="54.6" customHeight="1" spans="2:75">
      <c r="B22" s="89" t="s">
        <v>116</v>
      </c>
      <c r="C22" s="89" t="str">
        <f>INDEX(二三级标准!$C:$C,MATCH(服务费明细!$B22,二三级标准!$B:$B,0))</f>
        <v>中心可行性调研</v>
      </c>
      <c r="D22" s="166">
        <f t="shared" si="43"/>
        <v>1</v>
      </c>
      <c r="E22" s="166">
        <f>IF($D22=1,调研中心数,0)</f>
        <v>8</v>
      </c>
      <c r="F22" s="89" t="str">
        <f>INDEX(二三级标准!$G:$G,MATCH(服务费明细!$B22,二三级标准!$B:$B,0))</f>
        <v>次</v>
      </c>
      <c r="G22" s="166">
        <f t="shared" ref="G22:AB22" si="46">AL22</f>
        <v>24</v>
      </c>
      <c r="H22" s="166">
        <f t="shared" si="46"/>
        <v>0</v>
      </c>
      <c r="I22" s="166">
        <f t="shared" si="46"/>
        <v>0</v>
      </c>
      <c r="J22" s="166">
        <f t="shared" si="46"/>
        <v>0</v>
      </c>
      <c r="K22" s="166">
        <f t="shared" si="46"/>
        <v>0</v>
      </c>
      <c r="L22" s="166">
        <f t="shared" si="46"/>
        <v>0</v>
      </c>
      <c r="M22" s="166">
        <f t="shared" si="46"/>
        <v>0</v>
      </c>
      <c r="N22" s="166">
        <f t="shared" si="46"/>
        <v>0</v>
      </c>
      <c r="O22" s="166">
        <f t="shared" si="46"/>
        <v>0</v>
      </c>
      <c r="P22" s="166">
        <f t="shared" si="46"/>
        <v>0</v>
      </c>
      <c r="Q22" s="166">
        <f t="shared" si="46"/>
        <v>0</v>
      </c>
      <c r="R22" s="166">
        <f t="shared" si="46"/>
        <v>0</v>
      </c>
      <c r="S22" s="166">
        <f t="shared" si="46"/>
        <v>0</v>
      </c>
      <c r="T22" s="166">
        <f t="shared" si="46"/>
        <v>0</v>
      </c>
      <c r="U22" s="166">
        <f t="shared" si="46"/>
        <v>0</v>
      </c>
      <c r="V22" s="166">
        <f t="shared" si="46"/>
        <v>0</v>
      </c>
      <c r="W22" s="166">
        <f t="shared" si="46"/>
        <v>0</v>
      </c>
      <c r="X22" s="166">
        <f t="shared" si="46"/>
        <v>0</v>
      </c>
      <c r="Y22" s="166">
        <f t="shared" si="46"/>
        <v>0</v>
      </c>
      <c r="Z22" s="166">
        <f t="shared" si="46"/>
        <v>0</v>
      </c>
      <c r="AA22" s="166">
        <f t="shared" si="46"/>
        <v>0</v>
      </c>
      <c r="AB22" s="166">
        <f t="shared" si="46"/>
        <v>0</v>
      </c>
      <c r="AC22" s="166" cm="1">
        <f t="array" ref="AC22">SUMPRODUCT(G22:AB22,$G$4:$AB$4)</f>
        <v>8160</v>
      </c>
      <c r="AD22" s="89" t="b">
        <f t="shared" si="36"/>
        <v>1</v>
      </c>
      <c r="AE22" s="386">
        <f>IFERROR(SUMIF(服务费底表!$K:$K,服务费明细!$B22,服务费底表!$AD:$AD)/E22,0)</f>
        <v>1020</v>
      </c>
      <c r="AF22" s="386">
        <f t="shared" si="37"/>
        <v>8160</v>
      </c>
      <c r="AG22" s="386">
        <f>IFERROR(SUMIF(服务费底表!$K:$K,服务费明细!$B22,服务费底表!$AG:$AG)/E22,0)</f>
        <v>1020</v>
      </c>
      <c r="AH22" s="386">
        <f t="shared" si="38"/>
        <v>8160</v>
      </c>
      <c r="AI22" s="409" t="str">
        <f>"有临撰写各研究中心可行性调研问卷，并将与潜在的"&amp;E22&amp;"家中心确认是否有兴趣接收项目相关信息和保密协议。保密协议签署后，项目信息将发给中心。有临对所有联络的中心进行分发、跟踪、收集和审核问卷。"</f>
        <v>有临撰写各研究中心可行性调研问卷，并将与潜在的8家中心确认是否有兴趣接收项目相关信息和保密协议。保密协议签署后，项目信息将发给中心。有临对所有联络的中心进行分发、跟踪、收集和审核问卷。</v>
      </c>
      <c r="AJ22" s="563">
        <f t="shared" si="41"/>
        <v>3</v>
      </c>
      <c r="AK22" s="564">
        <f>SUMIF(服务费底表!$K:$K,服务费明细!$B22,服务费底表!$AC:$AC)</f>
        <v>24</v>
      </c>
      <c r="AL22" s="166">
        <f>SUMIFS(服务费底表!$AC:$AC,服务费底表!$K:$K,服务费明细!$B22,服务费底表!$T:$T,AL$3)</f>
        <v>24</v>
      </c>
      <c r="AM22" s="166">
        <f>SUMIFS(服务费底表!$AC:$AC,服务费底表!$K:$K,服务费明细!$B22,服务费底表!$T:$T,AM$3)</f>
        <v>0</v>
      </c>
      <c r="AN22" s="166">
        <f>SUMIFS(服务费底表!$AC:$AC,服务费底表!$K:$K,服务费明细!$B22,服务费底表!$T:$T,AN$3)</f>
        <v>0</v>
      </c>
      <c r="AO22" s="166">
        <f>SUMIFS(服务费底表!$AC:$AC,服务费底表!$K:$K,服务费明细!$B22,服务费底表!$T:$T,AO$3)</f>
        <v>0</v>
      </c>
      <c r="AP22" s="166">
        <f>SUMIFS(服务费底表!$AC:$AC,服务费底表!$K:$K,服务费明细!$B22,服务费底表!$T:$T,AP$3)</f>
        <v>0</v>
      </c>
      <c r="AQ22" s="166">
        <f>SUMIFS(服务费底表!$AC:$AC,服务费底表!$K:$K,服务费明细!$B22,服务费底表!$T:$T,AQ$3)</f>
        <v>0</v>
      </c>
      <c r="AR22" s="166">
        <f>SUMIFS(服务费底表!$AC:$AC,服务费底表!$K:$K,服务费明细!$B22,服务费底表!$T:$T,AR$3)</f>
        <v>0</v>
      </c>
      <c r="AS22" s="166">
        <f>SUMIFS(服务费底表!$AC:$AC,服务费底表!$K:$K,服务费明细!$B22,服务费底表!$T:$T,AS$3)</f>
        <v>0</v>
      </c>
      <c r="AT22" s="166">
        <f>SUMIFS(服务费底表!$AC:$AC,服务费底表!$K:$K,服务费明细!$B22,服务费底表!$T:$T,AT$3)</f>
        <v>0</v>
      </c>
      <c r="AU22" s="166">
        <f>SUMIFS(服务费底表!$AC:$AC,服务费底表!$K:$K,服务费明细!$B22,服务费底表!$T:$T,AU$3)</f>
        <v>0</v>
      </c>
      <c r="AV22" s="166">
        <f>SUMIFS(服务费底表!$AC:$AC,服务费底表!$K:$K,服务费明细!$B22,服务费底表!$T:$T,AV$3)</f>
        <v>0</v>
      </c>
      <c r="AW22" s="166">
        <f>SUMIFS(服务费底表!$AC:$AC,服务费底表!$K:$K,服务费明细!$B22,服务费底表!$T:$T,AW$3)</f>
        <v>0</v>
      </c>
      <c r="AX22" s="166">
        <f>SUMIFS(服务费底表!$AC:$AC,服务费底表!$K:$K,服务费明细!$B22,服务费底表!$T:$T,AX$3)</f>
        <v>0</v>
      </c>
      <c r="AY22" s="166">
        <f>SUMIFS(服务费底表!$AC:$AC,服务费底表!$K:$K,服务费明细!$B22,服务费底表!$T:$T,AY$3)</f>
        <v>0</v>
      </c>
      <c r="AZ22" s="166">
        <f>SUMIFS(服务费底表!$AC:$AC,服务费底表!$K:$K,服务费明细!$B22,服务费底表!$T:$T,AZ$3)</f>
        <v>0</v>
      </c>
      <c r="BA22" s="166">
        <f>SUMIFS(服务费底表!$AC:$AC,服务费底表!$K:$K,服务费明细!$B22,服务费底表!$T:$T,BA$3)</f>
        <v>0</v>
      </c>
      <c r="BB22" s="166">
        <f>SUMIFS(服务费底表!$AC:$AC,服务费底表!$K:$K,服务费明细!$B22,服务费底表!$T:$T,BB$3)</f>
        <v>0</v>
      </c>
      <c r="BC22" s="166">
        <f>SUMIFS(服务费底表!$AC:$AC,服务费底表!$K:$K,服务费明细!$B22,服务费底表!$T:$T,BC$3)</f>
        <v>0</v>
      </c>
      <c r="BD22" s="166">
        <f>SUMIFS(服务费底表!$AC:$AC,服务费底表!$K:$K,服务费明细!$B22,服务费底表!$T:$T,BD$3)</f>
        <v>0</v>
      </c>
      <c r="BE22" s="166">
        <f>SUMIFS(服务费底表!$AC:$AC,服务费底表!$K:$K,服务费明细!$B22,服务费底表!$T:$T,BE$3)</f>
        <v>0</v>
      </c>
      <c r="BF22" s="166">
        <f>SUMIFS(服务费底表!$AC:$AC,服务费底表!$K:$K,服务费明细!$B22,服务费底表!$T:$T,BF$3)</f>
        <v>0</v>
      </c>
      <c r="BG22" s="166">
        <f>SUMIFS(服务费底表!$AC:$AC,服务费底表!$K:$K,服务费明细!$B22,服务费底表!$T:$T,BG$3)</f>
        <v>0</v>
      </c>
      <c r="BI22" s="388">
        <f>SUMIFS(服务费底表!$AC:$AC,服务费底表!$K:$K,服务费明细!$B22,服务费底表!$H:$H,服务费明细!BI$3)</f>
        <v>0</v>
      </c>
      <c r="BJ22" s="388">
        <f>SUMIFS(服务费底表!$AC:$AC,服务费底表!$K:$K,服务费明细!$B22,服务费底表!$H:$H,服务费明细!BJ$3)</f>
        <v>24</v>
      </c>
      <c r="BK22" s="388">
        <f>SUMIFS(服务费底表!$AC:$AC,服务费底表!$K:$K,服务费明细!$B22,服务费底表!$H:$H,服务费明细!BK$3)</f>
        <v>0</v>
      </c>
      <c r="BL22" s="388">
        <f>SUMIFS(服务费底表!$AC:$AC,服务费底表!$K:$K,服务费明细!$B22,服务费底表!$H:$H,服务费明细!BL$3)</f>
        <v>0</v>
      </c>
      <c r="BM22" s="388">
        <f>SUMIFS(服务费底表!$AC:$AC,服务费底表!$K:$K,服务费明细!$B22,服务费底表!$H:$H,服务费明细!BM$3)</f>
        <v>0</v>
      </c>
      <c r="BN22" s="388">
        <f>SUMIFS(服务费底表!$AC:$AC,服务费底表!$K:$K,服务费明细!$B22,服务费底表!$H:$H,服务费明细!BN$3)</f>
        <v>0</v>
      </c>
      <c r="BO22" s="388">
        <f>SUMIFS(服务费底表!$AC:$AC,服务费底表!$K:$K,服务费明细!$B22,服务费底表!$H:$H,服务费明细!BO$3)</f>
        <v>0</v>
      </c>
      <c r="BQ22" s="389">
        <f>SUMIFS(服务费底表!$AD:$AD,服务费底表!$K:$K,服务费明细!$B22,服务费底表!$H:$H,服务费明细!BQ$3)</f>
        <v>0</v>
      </c>
      <c r="BR22" s="389">
        <f>SUMIFS(服务费底表!$AD:$AD,服务费底表!$K:$K,服务费明细!$B22,服务费底表!$H:$H,服务费明细!BR$3)</f>
        <v>8160</v>
      </c>
      <c r="BS22" s="389">
        <f>SUMIFS(服务费底表!$AD:$AD,服务费底表!$K:$K,服务费明细!$B22,服务费底表!$H:$H,服务费明细!BS$3)</f>
        <v>0</v>
      </c>
      <c r="BT22" s="389">
        <f>SUMIFS(服务费底表!$AD:$AD,服务费底表!$K:$K,服务费明细!$B22,服务费底表!$H:$H,服务费明细!BT$3)</f>
        <v>0</v>
      </c>
      <c r="BU22" s="389">
        <f>SUMIFS(服务费底表!$AD:$AD,服务费底表!$K:$K,服务费明细!$B22,服务费底表!$H:$H,服务费明细!BU$3)</f>
        <v>0</v>
      </c>
      <c r="BV22" s="389">
        <f>SUMIFS(服务费底表!$AD:$AD,服务费底表!$K:$K,服务费明细!$B22,服务费底表!$H:$H,服务费明细!BV$3)</f>
        <v>0</v>
      </c>
      <c r="BW22" s="389">
        <f>SUMIFS(服务费底表!$AD:$AD,服务费底表!$K:$K,服务费明细!$B22,服务费底表!$H:$H,服务费明细!BW$3)</f>
        <v>0</v>
      </c>
    </row>
    <row r="23" spans="2:75">
      <c r="B23" s="89" t="s">
        <v>119</v>
      </c>
      <c r="C23" s="89" t="str">
        <f>INDEX(二三级标准!$C:$C,MATCH(服务费明细!$B23,二三级标准!$B:$B,0))</f>
        <v>筛选访视</v>
      </c>
      <c r="D23" s="166">
        <f t="shared" si="43"/>
        <v>1</v>
      </c>
      <c r="E23" s="166">
        <f>IF($D23=1,筛选中心数,0)</f>
        <v>6</v>
      </c>
      <c r="F23" s="89" t="str">
        <f>INDEX(二三级标准!$G:$G,MATCH(服务费明细!$B23,二三级标准!$B:$B,0))</f>
        <v>次</v>
      </c>
      <c r="G23" s="166">
        <f t="shared" ref="G23:AB23" si="47">AL23</f>
        <v>90</v>
      </c>
      <c r="H23" s="166">
        <f t="shared" si="47"/>
        <v>0</v>
      </c>
      <c r="I23" s="166">
        <f t="shared" si="47"/>
        <v>12</v>
      </c>
      <c r="J23" s="166">
        <f t="shared" si="47"/>
        <v>0</v>
      </c>
      <c r="K23" s="166">
        <f t="shared" si="47"/>
        <v>0</v>
      </c>
      <c r="L23" s="166">
        <f t="shared" si="47"/>
        <v>0</v>
      </c>
      <c r="M23" s="166">
        <f t="shared" si="47"/>
        <v>0</v>
      </c>
      <c r="N23" s="166">
        <f t="shared" si="47"/>
        <v>0</v>
      </c>
      <c r="O23" s="166">
        <f t="shared" si="47"/>
        <v>0</v>
      </c>
      <c r="P23" s="166">
        <f t="shared" si="47"/>
        <v>0</v>
      </c>
      <c r="Q23" s="166">
        <f t="shared" si="47"/>
        <v>0</v>
      </c>
      <c r="R23" s="166">
        <f t="shared" si="47"/>
        <v>0</v>
      </c>
      <c r="S23" s="166">
        <f t="shared" si="47"/>
        <v>0</v>
      </c>
      <c r="T23" s="166">
        <f t="shared" si="47"/>
        <v>0</v>
      </c>
      <c r="U23" s="166">
        <f t="shared" si="47"/>
        <v>0</v>
      </c>
      <c r="V23" s="166">
        <f t="shared" si="47"/>
        <v>0</v>
      </c>
      <c r="W23" s="166">
        <f t="shared" si="47"/>
        <v>0</v>
      </c>
      <c r="X23" s="166">
        <f t="shared" si="47"/>
        <v>0</v>
      </c>
      <c r="Y23" s="166">
        <f t="shared" si="47"/>
        <v>0</v>
      </c>
      <c r="Z23" s="166">
        <f t="shared" si="47"/>
        <v>0</v>
      </c>
      <c r="AA23" s="166">
        <f t="shared" si="47"/>
        <v>0</v>
      </c>
      <c r="AB23" s="166">
        <f t="shared" si="47"/>
        <v>0</v>
      </c>
      <c r="AC23" s="166" cm="1">
        <f t="array" ref="AC23">SUMPRODUCT(G23:AB23,$G$4:$AB$4)</f>
        <v>38400</v>
      </c>
      <c r="AD23" s="89" t="b">
        <f t="shared" si="36"/>
        <v>1</v>
      </c>
      <c r="AE23" s="386">
        <f>IFERROR(SUMIF(服务费底表!$K:$K,服务费明细!$B23,服务费底表!$AD:$AD)/E23,0)</f>
        <v>6400</v>
      </c>
      <c r="AF23" s="386">
        <f t="shared" si="37"/>
        <v>38400</v>
      </c>
      <c r="AG23" s="386">
        <f>IFERROR(SUMIF(服务费底表!$K:$K,服务费明细!$B23,服务费底表!$AG:$AG)/E23,0)</f>
        <v>6400</v>
      </c>
      <c r="AH23" s="386">
        <f t="shared" si="38"/>
        <v>38400</v>
      </c>
      <c r="AI23" s="409" t="str">
        <f>"从"&amp;E23&amp;"次筛选访视中筛选"&amp;启动中心数&amp;"家中心"</f>
        <v>从6次筛选访视中筛选4家中心</v>
      </c>
      <c r="AJ23" s="563">
        <f t="shared" si="41"/>
        <v>17</v>
      </c>
      <c r="AK23" s="564">
        <f>SUMIF(服务费底表!$K:$K,服务费明细!$B23,服务费底表!$AC:$AC)</f>
        <v>102</v>
      </c>
      <c r="AL23" s="166">
        <f>SUMIFS(服务费底表!$AC:$AC,服务费底表!$K:$K,服务费明细!$B23,服务费底表!$T:$T,AL$3)</f>
        <v>90</v>
      </c>
      <c r="AM23" s="166">
        <f>SUMIFS(服务费底表!$AC:$AC,服务费底表!$K:$K,服务费明细!$B23,服务费底表!$T:$T,AM$3)</f>
        <v>0</v>
      </c>
      <c r="AN23" s="166">
        <f>SUMIFS(服务费底表!$AC:$AC,服务费底表!$K:$K,服务费明细!$B23,服务费底表!$T:$T,AN$3)</f>
        <v>12</v>
      </c>
      <c r="AO23" s="166">
        <f>SUMIFS(服务费底表!$AC:$AC,服务费底表!$K:$K,服务费明细!$B23,服务费底表!$T:$T,AO$3)</f>
        <v>0</v>
      </c>
      <c r="AP23" s="166">
        <f>SUMIFS(服务费底表!$AC:$AC,服务费底表!$K:$K,服务费明细!$B23,服务费底表!$T:$T,AP$3)</f>
        <v>0</v>
      </c>
      <c r="AQ23" s="166">
        <f>SUMIFS(服务费底表!$AC:$AC,服务费底表!$K:$K,服务费明细!$B23,服务费底表!$T:$T,AQ$3)</f>
        <v>0</v>
      </c>
      <c r="AR23" s="166">
        <f>SUMIFS(服务费底表!$AC:$AC,服务费底表!$K:$K,服务费明细!$B23,服务费底表!$T:$T,AR$3)</f>
        <v>0</v>
      </c>
      <c r="AS23" s="166">
        <f>SUMIFS(服务费底表!$AC:$AC,服务费底表!$K:$K,服务费明细!$B23,服务费底表!$T:$T,AS$3)</f>
        <v>0</v>
      </c>
      <c r="AT23" s="166">
        <f>SUMIFS(服务费底表!$AC:$AC,服务费底表!$K:$K,服务费明细!$B23,服务费底表!$T:$T,AT$3)</f>
        <v>0</v>
      </c>
      <c r="AU23" s="166">
        <f>SUMIFS(服务费底表!$AC:$AC,服务费底表!$K:$K,服务费明细!$B23,服务费底表!$T:$T,AU$3)</f>
        <v>0</v>
      </c>
      <c r="AV23" s="166">
        <f>SUMIFS(服务费底表!$AC:$AC,服务费底表!$K:$K,服务费明细!$B23,服务费底表!$T:$T,AV$3)</f>
        <v>0</v>
      </c>
      <c r="AW23" s="166">
        <f>SUMIFS(服务费底表!$AC:$AC,服务费底表!$K:$K,服务费明细!$B23,服务费底表!$T:$T,AW$3)</f>
        <v>0</v>
      </c>
      <c r="AX23" s="166">
        <f>SUMIFS(服务费底表!$AC:$AC,服务费底表!$K:$K,服务费明细!$B23,服务费底表!$T:$T,AX$3)</f>
        <v>0</v>
      </c>
      <c r="AY23" s="166">
        <f>SUMIFS(服务费底表!$AC:$AC,服务费底表!$K:$K,服务费明细!$B23,服务费底表!$T:$T,AY$3)</f>
        <v>0</v>
      </c>
      <c r="AZ23" s="166">
        <f>SUMIFS(服务费底表!$AC:$AC,服务费底表!$K:$K,服务费明细!$B23,服务费底表!$T:$T,AZ$3)</f>
        <v>0</v>
      </c>
      <c r="BA23" s="166">
        <f>SUMIFS(服务费底表!$AC:$AC,服务费底表!$K:$K,服务费明细!$B23,服务费底表!$T:$T,BA$3)</f>
        <v>0</v>
      </c>
      <c r="BB23" s="166">
        <f>SUMIFS(服务费底表!$AC:$AC,服务费底表!$K:$K,服务费明细!$B23,服务费底表!$T:$T,BB$3)</f>
        <v>0</v>
      </c>
      <c r="BC23" s="166">
        <f>SUMIFS(服务费底表!$AC:$AC,服务费底表!$K:$K,服务费明细!$B23,服务费底表!$T:$T,BC$3)</f>
        <v>0</v>
      </c>
      <c r="BD23" s="166">
        <f>SUMIFS(服务费底表!$AC:$AC,服务费底表!$K:$K,服务费明细!$B23,服务费底表!$T:$T,BD$3)</f>
        <v>0</v>
      </c>
      <c r="BE23" s="166">
        <f>SUMIFS(服务费底表!$AC:$AC,服务费底表!$K:$K,服务费明细!$B23,服务费底表!$T:$T,BE$3)</f>
        <v>0</v>
      </c>
      <c r="BF23" s="166">
        <f>SUMIFS(服务费底表!$AC:$AC,服务费底表!$K:$K,服务费明细!$B23,服务费底表!$T:$T,BF$3)</f>
        <v>0</v>
      </c>
      <c r="BG23" s="166">
        <f>SUMIFS(服务费底表!$AC:$AC,服务费底表!$K:$K,服务费明细!$B23,服务费底表!$T:$T,BG$3)</f>
        <v>0</v>
      </c>
      <c r="BI23" s="388">
        <f>SUMIFS(服务费底表!$AC:$AC,服务费底表!$K:$K,服务费明细!$B23,服务费底表!$H:$H,服务费明细!BI$3)</f>
        <v>0</v>
      </c>
      <c r="BJ23" s="388">
        <f>SUMIFS(服务费底表!$AC:$AC,服务费底表!$K:$K,服务费明细!$B23,服务费底表!$H:$H,服务费明细!BJ$3)</f>
        <v>102</v>
      </c>
      <c r="BK23" s="388">
        <f>SUMIFS(服务费底表!$AC:$AC,服务费底表!$K:$K,服务费明细!$B23,服务费底表!$H:$H,服务费明细!BK$3)</f>
        <v>0</v>
      </c>
      <c r="BL23" s="388">
        <f>SUMIFS(服务费底表!$AC:$AC,服务费底表!$K:$K,服务费明细!$B23,服务费底表!$H:$H,服务费明细!BL$3)</f>
        <v>0</v>
      </c>
      <c r="BM23" s="388">
        <f>SUMIFS(服务费底表!$AC:$AC,服务费底表!$K:$K,服务费明细!$B23,服务费底表!$H:$H,服务费明细!BM$3)</f>
        <v>0</v>
      </c>
      <c r="BN23" s="388">
        <f>SUMIFS(服务费底表!$AC:$AC,服务费底表!$K:$K,服务费明细!$B23,服务费底表!$H:$H,服务费明细!BN$3)</f>
        <v>0</v>
      </c>
      <c r="BO23" s="388">
        <f>SUMIFS(服务费底表!$AC:$AC,服务费底表!$K:$K,服务费明细!$B23,服务费底表!$H:$H,服务费明细!BO$3)</f>
        <v>0</v>
      </c>
      <c r="BQ23" s="389">
        <f>SUMIFS(服务费底表!$AD:$AD,服务费底表!$K:$K,服务费明细!$B23,服务费底表!$H:$H,服务费明细!BQ$3)</f>
        <v>0</v>
      </c>
      <c r="BR23" s="389">
        <f>SUMIFS(服务费底表!$AD:$AD,服务费底表!$K:$K,服务费明细!$B23,服务费底表!$H:$H,服务费明细!BR$3)</f>
        <v>38400</v>
      </c>
      <c r="BS23" s="389">
        <f>SUMIFS(服务费底表!$AD:$AD,服务费底表!$K:$K,服务费明细!$B23,服务费底表!$H:$H,服务费明细!BS$3)</f>
        <v>0</v>
      </c>
      <c r="BT23" s="389">
        <f>SUMIFS(服务费底表!$AD:$AD,服务费底表!$K:$K,服务费明细!$B23,服务费底表!$H:$H,服务费明细!BT$3)</f>
        <v>0</v>
      </c>
      <c r="BU23" s="389">
        <f>SUMIFS(服务费底表!$AD:$AD,服务费底表!$K:$K,服务费明细!$B23,服务费底表!$H:$H,服务费明细!BU$3)</f>
        <v>0</v>
      </c>
      <c r="BV23" s="389">
        <f>SUMIFS(服务费底表!$AD:$AD,服务费底表!$K:$K,服务费明细!$B23,服务费底表!$H:$H,服务费明细!BV$3)</f>
        <v>0</v>
      </c>
      <c r="BW23" s="389">
        <f>SUMIFS(服务费底表!$AD:$AD,服务费底表!$K:$K,服务费明细!$B23,服务费底表!$H:$H,服务费明细!BW$3)</f>
        <v>0</v>
      </c>
    </row>
    <row r="24" spans="2:75">
      <c r="B24" s="89" t="s">
        <v>121</v>
      </c>
      <c r="C24" s="89" t="str">
        <f>INDEX(二三级标准!$C:$C,MATCH(服务费明细!$B24,二三级标准!$B:$B,0))</f>
        <v>机构立项</v>
      </c>
      <c r="D24" s="166">
        <f t="shared" si="43"/>
        <v>1</v>
      </c>
      <c r="E24" s="166">
        <f>IF($D24=1,启动中心数,0)</f>
        <v>4</v>
      </c>
      <c r="F24" s="89" t="str">
        <f>INDEX(二三级标准!$G:$G,MATCH(服务费明细!$B24,二三级标准!$B:$B,0))</f>
        <v>次</v>
      </c>
      <c r="G24" s="166">
        <f t="shared" ref="G24:AB24" si="48">AL24</f>
        <v>64</v>
      </c>
      <c r="H24" s="166">
        <f t="shared" si="48"/>
        <v>12</v>
      </c>
      <c r="I24" s="166">
        <f t="shared" si="48"/>
        <v>8</v>
      </c>
      <c r="J24" s="166">
        <f t="shared" si="48"/>
        <v>0</v>
      </c>
      <c r="K24" s="166">
        <f t="shared" si="48"/>
        <v>0</v>
      </c>
      <c r="L24" s="166">
        <f t="shared" si="48"/>
        <v>0</v>
      </c>
      <c r="M24" s="166">
        <f t="shared" si="48"/>
        <v>0</v>
      </c>
      <c r="N24" s="166">
        <f t="shared" si="48"/>
        <v>0</v>
      </c>
      <c r="O24" s="166">
        <f t="shared" si="48"/>
        <v>0</v>
      </c>
      <c r="P24" s="166">
        <f t="shared" si="48"/>
        <v>0</v>
      </c>
      <c r="Q24" s="166">
        <f t="shared" si="48"/>
        <v>0</v>
      </c>
      <c r="R24" s="166">
        <f t="shared" si="48"/>
        <v>0</v>
      </c>
      <c r="S24" s="166">
        <f t="shared" si="48"/>
        <v>0</v>
      </c>
      <c r="T24" s="166">
        <f t="shared" si="48"/>
        <v>0</v>
      </c>
      <c r="U24" s="166">
        <f t="shared" si="48"/>
        <v>0</v>
      </c>
      <c r="V24" s="166">
        <f t="shared" si="48"/>
        <v>0</v>
      </c>
      <c r="W24" s="166">
        <f t="shared" si="48"/>
        <v>0</v>
      </c>
      <c r="X24" s="166">
        <f t="shared" si="48"/>
        <v>0</v>
      </c>
      <c r="Y24" s="166">
        <f t="shared" si="48"/>
        <v>0</v>
      </c>
      <c r="Z24" s="166">
        <f t="shared" si="48"/>
        <v>0</v>
      </c>
      <c r="AA24" s="166">
        <f t="shared" si="48"/>
        <v>0</v>
      </c>
      <c r="AB24" s="166">
        <f t="shared" si="48"/>
        <v>0</v>
      </c>
      <c r="AC24" s="166" cm="1">
        <f t="array" ref="AC24">SUMPRODUCT(G24:AB24,$G$4:$AB$4)</f>
        <v>29600</v>
      </c>
      <c r="AD24" s="89" t="b">
        <f t="shared" si="36"/>
        <v>1</v>
      </c>
      <c r="AE24" s="386">
        <f>IFERROR(SUMIF(服务费底表!$K:$K,服务费明细!$B24,服务费底表!$AD:$AD)/E24,0)</f>
        <v>7400</v>
      </c>
      <c r="AF24" s="386">
        <f t="shared" si="37"/>
        <v>29600</v>
      </c>
      <c r="AG24" s="386">
        <f>IFERROR(SUMIF(服务费底表!$K:$K,服务费明细!$B24,服务费底表!$AG:$AG)/E24,0)</f>
        <v>7400</v>
      </c>
      <c r="AH24" s="386">
        <f t="shared" si="38"/>
        <v>29600</v>
      </c>
      <c r="AI24" s="409" t="s">
        <v>993</v>
      </c>
      <c r="AJ24" s="563">
        <f t="shared" si="41"/>
        <v>21</v>
      </c>
      <c r="AK24" s="564">
        <f>SUMIF(服务费底表!$K:$K,服务费明细!$B24,服务费底表!$AC:$AC)</f>
        <v>84</v>
      </c>
      <c r="AL24" s="166">
        <f>SUMIFS(服务费底表!$AC:$AC,服务费底表!$K:$K,服务费明细!$B24,服务费底表!$T:$T,AL$3)</f>
        <v>64</v>
      </c>
      <c r="AM24" s="166">
        <f>SUMIFS(服务费底表!$AC:$AC,服务费底表!$K:$K,服务费明细!$B24,服务费底表!$T:$T,AM$3)</f>
        <v>12</v>
      </c>
      <c r="AN24" s="166">
        <f>SUMIFS(服务费底表!$AC:$AC,服务费底表!$K:$K,服务费明细!$B24,服务费底表!$T:$T,AN$3)</f>
        <v>8</v>
      </c>
      <c r="AO24" s="166">
        <f>SUMIFS(服务费底表!$AC:$AC,服务费底表!$K:$K,服务费明细!$B24,服务费底表!$T:$T,AO$3)</f>
        <v>0</v>
      </c>
      <c r="AP24" s="166">
        <f>SUMIFS(服务费底表!$AC:$AC,服务费底表!$K:$K,服务费明细!$B24,服务费底表!$T:$T,AP$3)</f>
        <v>0</v>
      </c>
      <c r="AQ24" s="166">
        <f>SUMIFS(服务费底表!$AC:$AC,服务费底表!$K:$K,服务费明细!$B24,服务费底表!$T:$T,AQ$3)</f>
        <v>0</v>
      </c>
      <c r="AR24" s="166">
        <f>SUMIFS(服务费底表!$AC:$AC,服务费底表!$K:$K,服务费明细!$B24,服务费底表!$T:$T,AR$3)</f>
        <v>0</v>
      </c>
      <c r="AS24" s="166">
        <f>SUMIFS(服务费底表!$AC:$AC,服务费底表!$K:$K,服务费明细!$B24,服务费底表!$T:$T,AS$3)</f>
        <v>0</v>
      </c>
      <c r="AT24" s="166">
        <f>SUMIFS(服务费底表!$AC:$AC,服务费底表!$K:$K,服务费明细!$B24,服务费底表!$T:$T,AT$3)</f>
        <v>0</v>
      </c>
      <c r="AU24" s="166">
        <f>SUMIFS(服务费底表!$AC:$AC,服务费底表!$K:$K,服务费明细!$B24,服务费底表!$T:$T,AU$3)</f>
        <v>0</v>
      </c>
      <c r="AV24" s="166">
        <f>SUMIFS(服务费底表!$AC:$AC,服务费底表!$K:$K,服务费明细!$B24,服务费底表!$T:$T,AV$3)</f>
        <v>0</v>
      </c>
      <c r="AW24" s="166">
        <f>SUMIFS(服务费底表!$AC:$AC,服务费底表!$K:$K,服务费明细!$B24,服务费底表!$T:$T,AW$3)</f>
        <v>0</v>
      </c>
      <c r="AX24" s="166">
        <f>SUMIFS(服务费底表!$AC:$AC,服务费底表!$K:$K,服务费明细!$B24,服务费底表!$T:$T,AX$3)</f>
        <v>0</v>
      </c>
      <c r="AY24" s="166">
        <f>SUMIFS(服务费底表!$AC:$AC,服务费底表!$K:$K,服务费明细!$B24,服务费底表!$T:$T,AY$3)</f>
        <v>0</v>
      </c>
      <c r="AZ24" s="166">
        <f>SUMIFS(服务费底表!$AC:$AC,服务费底表!$K:$K,服务费明细!$B24,服务费底表!$T:$T,AZ$3)</f>
        <v>0</v>
      </c>
      <c r="BA24" s="166">
        <f>SUMIFS(服务费底表!$AC:$AC,服务费底表!$K:$K,服务费明细!$B24,服务费底表!$T:$T,BA$3)</f>
        <v>0</v>
      </c>
      <c r="BB24" s="166">
        <f>SUMIFS(服务费底表!$AC:$AC,服务费底表!$K:$K,服务费明细!$B24,服务费底表!$T:$T,BB$3)</f>
        <v>0</v>
      </c>
      <c r="BC24" s="166">
        <f>SUMIFS(服务费底表!$AC:$AC,服务费底表!$K:$K,服务费明细!$B24,服务费底表!$T:$T,BC$3)</f>
        <v>0</v>
      </c>
      <c r="BD24" s="166">
        <f>SUMIFS(服务费底表!$AC:$AC,服务费底表!$K:$K,服务费明细!$B24,服务费底表!$T:$T,BD$3)</f>
        <v>0</v>
      </c>
      <c r="BE24" s="166">
        <f>SUMIFS(服务费底表!$AC:$AC,服务费底表!$K:$K,服务费明细!$B24,服务费底表!$T:$T,BE$3)</f>
        <v>0</v>
      </c>
      <c r="BF24" s="166">
        <f>SUMIFS(服务费底表!$AC:$AC,服务费底表!$K:$K,服务费明细!$B24,服务费底表!$T:$T,BF$3)</f>
        <v>0</v>
      </c>
      <c r="BG24" s="166">
        <f>SUMIFS(服务费底表!$AC:$AC,服务费底表!$K:$K,服务费明细!$B24,服务费底表!$T:$T,BG$3)</f>
        <v>0</v>
      </c>
      <c r="BI24" s="388">
        <f>SUMIFS(服务费底表!$AC:$AC,服务费底表!$K:$K,服务费明细!$B24,服务费底表!$H:$H,服务费明细!BI$3)</f>
        <v>0</v>
      </c>
      <c r="BJ24" s="388">
        <f>SUMIFS(服务费底表!$AC:$AC,服务费底表!$K:$K,服务费明细!$B24,服务费底表!$H:$H,服务费明细!BJ$3)</f>
        <v>84</v>
      </c>
      <c r="BK24" s="388">
        <f>SUMIFS(服务费底表!$AC:$AC,服务费底表!$K:$K,服务费明细!$B24,服务费底表!$H:$H,服务费明细!BK$3)</f>
        <v>0</v>
      </c>
      <c r="BL24" s="388">
        <f>SUMIFS(服务费底表!$AC:$AC,服务费底表!$K:$K,服务费明细!$B24,服务费底表!$H:$H,服务费明细!BL$3)</f>
        <v>0</v>
      </c>
      <c r="BM24" s="388">
        <f>SUMIFS(服务费底表!$AC:$AC,服务费底表!$K:$K,服务费明细!$B24,服务费底表!$H:$H,服务费明细!BM$3)</f>
        <v>0</v>
      </c>
      <c r="BN24" s="388">
        <f>SUMIFS(服务费底表!$AC:$AC,服务费底表!$K:$K,服务费明细!$B24,服务费底表!$H:$H,服务费明细!BN$3)</f>
        <v>0</v>
      </c>
      <c r="BO24" s="388">
        <f>SUMIFS(服务费底表!$AC:$AC,服务费底表!$K:$K,服务费明细!$B24,服务费底表!$H:$H,服务费明细!BO$3)</f>
        <v>0</v>
      </c>
      <c r="BQ24" s="389">
        <f>SUMIFS(服务费底表!$AD:$AD,服务费底表!$K:$K,服务费明细!$B24,服务费底表!$H:$H,服务费明细!BQ$3)</f>
        <v>0</v>
      </c>
      <c r="BR24" s="389">
        <f>SUMIFS(服务费底表!$AD:$AD,服务费底表!$K:$K,服务费明细!$B24,服务费底表!$H:$H,服务费明细!BR$3)</f>
        <v>29600</v>
      </c>
      <c r="BS24" s="389">
        <f>SUMIFS(服务费底表!$AD:$AD,服务费底表!$K:$K,服务费明细!$B24,服务费底表!$H:$H,服务费明细!BS$3)</f>
        <v>0</v>
      </c>
      <c r="BT24" s="389">
        <f>SUMIFS(服务费底表!$AD:$AD,服务费底表!$K:$K,服务费明细!$B24,服务费底表!$H:$H,服务费明细!BT$3)</f>
        <v>0</v>
      </c>
      <c r="BU24" s="389">
        <f>SUMIFS(服务费底表!$AD:$AD,服务费底表!$K:$K,服务费明细!$B24,服务费底表!$H:$H,服务费明细!BU$3)</f>
        <v>0</v>
      </c>
      <c r="BV24" s="389">
        <f>SUMIFS(服务费底表!$AD:$AD,服务费底表!$K:$K,服务费明细!$B24,服务费底表!$H:$H,服务费明细!BV$3)</f>
        <v>0</v>
      </c>
      <c r="BW24" s="389">
        <f>SUMIFS(服务费底表!$AD:$AD,服务费底表!$K:$K,服务费明细!$B24,服务费底表!$H:$H,服务费明细!BW$3)</f>
        <v>0</v>
      </c>
    </row>
    <row r="25" ht="26.4" spans="2:75">
      <c r="B25" s="89" t="s">
        <v>123</v>
      </c>
      <c r="C25" s="89" t="str">
        <f>INDEX(二三级标准!$C:$C,MATCH(服务费明细!$B25,二三级标准!$B:$B,0))</f>
        <v>首次伦理文件准备和递交</v>
      </c>
      <c r="D25" s="166">
        <f t="shared" si="43"/>
        <v>1</v>
      </c>
      <c r="E25" s="166">
        <f>IF($D25=1,启动中心数,0)</f>
        <v>4</v>
      </c>
      <c r="F25" s="89" t="str">
        <f>INDEX(二三级标准!$G:$G,MATCH(服务费明细!$B25,二三级标准!$B:$B,0))</f>
        <v>次</v>
      </c>
      <c r="G25" s="166">
        <f t="shared" ref="G25:AB25" si="49">AL25</f>
        <v>96</v>
      </c>
      <c r="H25" s="166">
        <f t="shared" si="49"/>
        <v>12</v>
      </c>
      <c r="I25" s="166">
        <f t="shared" si="49"/>
        <v>8</v>
      </c>
      <c r="J25" s="166">
        <f t="shared" si="49"/>
        <v>0</v>
      </c>
      <c r="K25" s="166">
        <f t="shared" si="49"/>
        <v>0</v>
      </c>
      <c r="L25" s="166">
        <f t="shared" si="49"/>
        <v>0</v>
      </c>
      <c r="M25" s="166">
        <f t="shared" si="49"/>
        <v>0</v>
      </c>
      <c r="N25" s="166">
        <f t="shared" si="49"/>
        <v>0</v>
      </c>
      <c r="O25" s="166">
        <f t="shared" si="49"/>
        <v>0</v>
      </c>
      <c r="P25" s="166">
        <f t="shared" si="49"/>
        <v>0</v>
      </c>
      <c r="Q25" s="166">
        <f t="shared" si="49"/>
        <v>0</v>
      </c>
      <c r="R25" s="166">
        <f t="shared" si="49"/>
        <v>0</v>
      </c>
      <c r="S25" s="166">
        <f t="shared" si="49"/>
        <v>0</v>
      </c>
      <c r="T25" s="166">
        <f t="shared" si="49"/>
        <v>0</v>
      </c>
      <c r="U25" s="166">
        <f t="shared" si="49"/>
        <v>0</v>
      </c>
      <c r="V25" s="166">
        <f t="shared" si="49"/>
        <v>0</v>
      </c>
      <c r="W25" s="166">
        <f t="shared" si="49"/>
        <v>0</v>
      </c>
      <c r="X25" s="166">
        <f t="shared" si="49"/>
        <v>0</v>
      </c>
      <c r="Y25" s="166">
        <f t="shared" si="49"/>
        <v>0</v>
      </c>
      <c r="Z25" s="166">
        <f t="shared" si="49"/>
        <v>0</v>
      </c>
      <c r="AA25" s="166">
        <f t="shared" si="49"/>
        <v>0</v>
      </c>
      <c r="AB25" s="166">
        <f t="shared" si="49"/>
        <v>0</v>
      </c>
      <c r="AC25" s="166" cm="1">
        <f t="array" ref="AC25">SUMPRODUCT(G25:AB25,$G$4:$AB$4)</f>
        <v>40480</v>
      </c>
      <c r="AD25" s="89" t="b">
        <f t="shared" si="36"/>
        <v>1</v>
      </c>
      <c r="AE25" s="386">
        <f>IFERROR(SUMIF(服务费底表!$K:$K,服务费明细!$B25,服务费底表!$AD:$AD)/E25,0)</f>
        <v>10120</v>
      </c>
      <c r="AF25" s="386">
        <f t="shared" si="37"/>
        <v>40480</v>
      </c>
      <c r="AG25" s="386">
        <f>IFERROR(SUMIF(服务费底表!$K:$K,服务费明细!$B25,服务费底表!$AG:$AG)/E25,0)</f>
        <v>10120</v>
      </c>
      <c r="AH25" s="386">
        <f t="shared" si="38"/>
        <v>40480</v>
      </c>
      <c r="AI25" s="409" t="s">
        <v>994</v>
      </c>
      <c r="AJ25" s="563">
        <f t="shared" si="41"/>
        <v>29</v>
      </c>
      <c r="AK25" s="564">
        <f>SUMIF(服务费底表!$K:$K,服务费明细!$B25,服务费底表!$AC:$AC)</f>
        <v>116</v>
      </c>
      <c r="AL25" s="166">
        <f>SUMIFS(服务费底表!$AC:$AC,服务费底表!$K:$K,服务费明细!$B25,服务费底表!$T:$T,AL$3)</f>
        <v>96</v>
      </c>
      <c r="AM25" s="166">
        <f>SUMIFS(服务费底表!$AC:$AC,服务费底表!$K:$K,服务费明细!$B25,服务费底表!$T:$T,AM$3)</f>
        <v>12</v>
      </c>
      <c r="AN25" s="166">
        <f>SUMIFS(服务费底表!$AC:$AC,服务费底表!$K:$K,服务费明细!$B25,服务费底表!$T:$T,AN$3)</f>
        <v>8</v>
      </c>
      <c r="AO25" s="166">
        <f>SUMIFS(服务费底表!$AC:$AC,服务费底表!$K:$K,服务费明细!$B25,服务费底表!$T:$T,AO$3)</f>
        <v>0</v>
      </c>
      <c r="AP25" s="166">
        <f>SUMIFS(服务费底表!$AC:$AC,服务费底表!$K:$K,服务费明细!$B25,服务费底表!$T:$T,AP$3)</f>
        <v>0</v>
      </c>
      <c r="AQ25" s="166">
        <f>SUMIFS(服务费底表!$AC:$AC,服务费底表!$K:$K,服务费明细!$B25,服务费底表!$T:$T,AQ$3)</f>
        <v>0</v>
      </c>
      <c r="AR25" s="166">
        <f>SUMIFS(服务费底表!$AC:$AC,服务费底表!$K:$K,服务费明细!$B25,服务费底表!$T:$T,AR$3)</f>
        <v>0</v>
      </c>
      <c r="AS25" s="166">
        <f>SUMIFS(服务费底表!$AC:$AC,服务费底表!$K:$K,服务费明细!$B25,服务费底表!$T:$T,AS$3)</f>
        <v>0</v>
      </c>
      <c r="AT25" s="166">
        <f>SUMIFS(服务费底表!$AC:$AC,服务费底表!$K:$K,服务费明细!$B25,服务费底表!$T:$T,AT$3)</f>
        <v>0</v>
      </c>
      <c r="AU25" s="166">
        <f>SUMIFS(服务费底表!$AC:$AC,服务费底表!$K:$K,服务费明细!$B25,服务费底表!$T:$T,AU$3)</f>
        <v>0</v>
      </c>
      <c r="AV25" s="166">
        <f>SUMIFS(服务费底表!$AC:$AC,服务费底表!$K:$K,服务费明细!$B25,服务费底表!$T:$T,AV$3)</f>
        <v>0</v>
      </c>
      <c r="AW25" s="166">
        <f>SUMIFS(服务费底表!$AC:$AC,服务费底表!$K:$K,服务费明细!$B25,服务费底表!$T:$T,AW$3)</f>
        <v>0</v>
      </c>
      <c r="AX25" s="166">
        <f>SUMIFS(服务费底表!$AC:$AC,服务费底表!$K:$K,服务费明细!$B25,服务费底表!$T:$T,AX$3)</f>
        <v>0</v>
      </c>
      <c r="AY25" s="166">
        <f>SUMIFS(服务费底表!$AC:$AC,服务费底表!$K:$K,服务费明细!$B25,服务费底表!$T:$T,AY$3)</f>
        <v>0</v>
      </c>
      <c r="AZ25" s="166">
        <f>SUMIFS(服务费底表!$AC:$AC,服务费底表!$K:$K,服务费明细!$B25,服务费底表!$T:$T,AZ$3)</f>
        <v>0</v>
      </c>
      <c r="BA25" s="166">
        <f>SUMIFS(服务费底表!$AC:$AC,服务费底表!$K:$K,服务费明细!$B25,服务费底表!$T:$T,BA$3)</f>
        <v>0</v>
      </c>
      <c r="BB25" s="166">
        <f>SUMIFS(服务费底表!$AC:$AC,服务费底表!$K:$K,服务费明细!$B25,服务费底表!$T:$T,BB$3)</f>
        <v>0</v>
      </c>
      <c r="BC25" s="166">
        <f>SUMIFS(服务费底表!$AC:$AC,服务费底表!$K:$K,服务费明细!$B25,服务费底表!$T:$T,BC$3)</f>
        <v>0</v>
      </c>
      <c r="BD25" s="166">
        <f>SUMIFS(服务费底表!$AC:$AC,服务费底表!$K:$K,服务费明细!$B25,服务费底表!$T:$T,BD$3)</f>
        <v>0</v>
      </c>
      <c r="BE25" s="166">
        <f>SUMIFS(服务费底表!$AC:$AC,服务费底表!$K:$K,服务费明细!$B25,服务费底表!$T:$T,BE$3)</f>
        <v>0</v>
      </c>
      <c r="BF25" s="166">
        <f>SUMIFS(服务费底表!$AC:$AC,服务费底表!$K:$K,服务费明细!$B25,服务费底表!$T:$T,BF$3)</f>
        <v>0</v>
      </c>
      <c r="BG25" s="166">
        <f>SUMIFS(服务费底表!$AC:$AC,服务费底表!$K:$K,服务费明细!$B25,服务费底表!$T:$T,BG$3)</f>
        <v>0</v>
      </c>
      <c r="BI25" s="388">
        <f>SUMIFS(服务费底表!$AC:$AC,服务费底表!$K:$K,服务费明细!$B25,服务费底表!$H:$H,服务费明细!BI$3)</f>
        <v>0</v>
      </c>
      <c r="BJ25" s="388">
        <f>SUMIFS(服务费底表!$AC:$AC,服务费底表!$K:$K,服务费明细!$B25,服务费底表!$H:$H,服务费明细!BJ$3)</f>
        <v>116</v>
      </c>
      <c r="BK25" s="388">
        <f>SUMIFS(服务费底表!$AC:$AC,服务费底表!$K:$K,服务费明细!$B25,服务费底表!$H:$H,服务费明细!BK$3)</f>
        <v>0</v>
      </c>
      <c r="BL25" s="388">
        <f>SUMIFS(服务费底表!$AC:$AC,服务费底表!$K:$K,服务费明细!$B25,服务费底表!$H:$H,服务费明细!BL$3)</f>
        <v>0</v>
      </c>
      <c r="BM25" s="388">
        <f>SUMIFS(服务费底表!$AC:$AC,服务费底表!$K:$K,服务费明细!$B25,服务费底表!$H:$H,服务费明细!BM$3)</f>
        <v>0</v>
      </c>
      <c r="BN25" s="388">
        <f>SUMIFS(服务费底表!$AC:$AC,服务费底表!$K:$K,服务费明细!$B25,服务费底表!$H:$H,服务费明细!BN$3)</f>
        <v>0</v>
      </c>
      <c r="BO25" s="388">
        <f>SUMIFS(服务费底表!$AC:$AC,服务费底表!$K:$K,服务费明细!$B25,服务费底表!$H:$H,服务费明细!BO$3)</f>
        <v>0</v>
      </c>
      <c r="BQ25" s="389">
        <f>SUMIFS(服务费底表!$AD:$AD,服务费底表!$K:$K,服务费明细!$B25,服务费底表!$H:$H,服务费明细!BQ$3)</f>
        <v>0</v>
      </c>
      <c r="BR25" s="389">
        <f>SUMIFS(服务费底表!$AD:$AD,服务费底表!$K:$K,服务费明细!$B25,服务费底表!$H:$H,服务费明细!BR$3)</f>
        <v>40480</v>
      </c>
      <c r="BS25" s="389">
        <f>SUMIFS(服务费底表!$AD:$AD,服务费底表!$K:$K,服务费明细!$B25,服务费底表!$H:$H,服务费明细!BS$3)</f>
        <v>0</v>
      </c>
      <c r="BT25" s="389">
        <f>SUMIFS(服务费底表!$AD:$AD,服务费底表!$K:$K,服务费明细!$B25,服务费底表!$H:$H,服务费明细!BT$3)</f>
        <v>0</v>
      </c>
      <c r="BU25" s="389">
        <f>SUMIFS(服务费底表!$AD:$AD,服务费底表!$K:$K,服务费明细!$B25,服务费底表!$H:$H,服务费明细!BU$3)</f>
        <v>0</v>
      </c>
      <c r="BV25" s="389">
        <f>SUMIFS(服务费底表!$AD:$AD,服务费底表!$K:$K,服务费明细!$B25,服务费底表!$H:$H,服务费明细!BV$3)</f>
        <v>0</v>
      </c>
      <c r="BW25" s="389">
        <f>SUMIFS(服务费底表!$AD:$AD,服务费底表!$K:$K,服务费明细!$B25,服务费底表!$H:$H,服务费明细!BW$3)</f>
        <v>0</v>
      </c>
    </row>
    <row r="26" spans="2:75">
      <c r="B26" s="89" t="s">
        <v>995</v>
      </c>
      <c r="C26" s="89" t="str">
        <f>INDEX(二三级标准!$C:$C,MATCH(服务费明细!$B26,二三级标准!$B:$B,0))</f>
        <v>研究方案Q&amp;A回复</v>
      </c>
      <c r="D26" s="166">
        <f t="shared" si="43"/>
        <v>1</v>
      </c>
      <c r="E26" s="166">
        <f>IF($D26=1,ROUND(SUM(首家伦理月+首家合同月+遗传办月+入组月+治疗月+随访月+长随访月),0),0)</f>
        <v>16</v>
      </c>
      <c r="F26" s="89" t="str">
        <f>INDEX(二三级标准!$G:$G,MATCH(服务费明细!$B26,二三级标准!$B:$B,0))</f>
        <v>月</v>
      </c>
      <c r="G26" s="166">
        <f t="shared" ref="G26:AB26" si="50">AL26</f>
        <v>0</v>
      </c>
      <c r="H26" s="166">
        <f t="shared" si="50"/>
        <v>0</v>
      </c>
      <c r="I26" s="166">
        <f t="shared" si="50"/>
        <v>0</v>
      </c>
      <c r="J26" s="166">
        <f t="shared" si="50"/>
        <v>0</v>
      </c>
      <c r="K26" s="166">
        <f t="shared" si="50"/>
        <v>0</v>
      </c>
      <c r="L26" s="166">
        <f t="shared" si="50"/>
        <v>0</v>
      </c>
      <c r="M26" s="166">
        <f t="shared" si="50"/>
        <v>32</v>
      </c>
      <c r="N26" s="166">
        <f t="shared" si="50"/>
        <v>0</v>
      </c>
      <c r="O26" s="166">
        <f t="shared" si="50"/>
        <v>0</v>
      </c>
      <c r="P26" s="166">
        <f t="shared" si="50"/>
        <v>0</v>
      </c>
      <c r="Q26" s="166">
        <f t="shared" si="50"/>
        <v>0</v>
      </c>
      <c r="R26" s="166">
        <f t="shared" si="50"/>
        <v>0</v>
      </c>
      <c r="S26" s="166">
        <f t="shared" si="50"/>
        <v>0</v>
      </c>
      <c r="T26" s="166">
        <f t="shared" si="50"/>
        <v>0</v>
      </c>
      <c r="U26" s="166">
        <f t="shared" si="50"/>
        <v>0</v>
      </c>
      <c r="V26" s="166">
        <f t="shared" si="50"/>
        <v>0</v>
      </c>
      <c r="W26" s="166">
        <f t="shared" si="50"/>
        <v>0</v>
      </c>
      <c r="X26" s="166">
        <f t="shared" si="50"/>
        <v>0</v>
      </c>
      <c r="Y26" s="166">
        <f t="shared" si="50"/>
        <v>0</v>
      </c>
      <c r="Z26" s="166">
        <f t="shared" si="50"/>
        <v>0</v>
      </c>
      <c r="AA26" s="166">
        <f t="shared" si="50"/>
        <v>0</v>
      </c>
      <c r="AB26" s="166">
        <f t="shared" si="50"/>
        <v>0</v>
      </c>
      <c r="AC26" s="166" cm="1">
        <f t="array" ref="AC26">SUMPRODUCT(G26:AB26,$G$4:$AB$4)</f>
        <v>20800</v>
      </c>
      <c r="AD26" s="89" t="b">
        <f t="shared" si="36"/>
        <v>1</v>
      </c>
      <c r="AE26" s="386">
        <f>IFERROR(SUMIF(服务费底表!$K:$K,服务费明细!$B26,服务费底表!$AD:$AD)/E26,0)</f>
        <v>1300</v>
      </c>
      <c r="AF26" s="386">
        <f t="shared" si="37"/>
        <v>20800</v>
      </c>
      <c r="AG26" s="386">
        <f>IFERROR(SUMIF(服务费底表!$K:$K,服务费明细!$B26,服务费底表!$AG:$AG)/E26,0)</f>
        <v>1300</v>
      </c>
      <c r="AH26" s="386">
        <f t="shared" si="38"/>
        <v>20800</v>
      </c>
      <c r="AI26" s="409"/>
      <c r="AJ26" s="563">
        <f t="shared" si="41"/>
        <v>2</v>
      </c>
      <c r="AK26" s="564">
        <f>SUMIF(服务费底表!$K:$K,服务费明细!$B26,服务费底表!$AC:$AC)</f>
        <v>32</v>
      </c>
      <c r="AL26" s="166">
        <f>SUMIFS(服务费底表!$AC:$AC,服务费底表!$K:$K,服务费明细!$B26,服务费底表!$T:$T,AL$3)</f>
        <v>0</v>
      </c>
      <c r="AM26" s="166">
        <f>SUMIFS(服务费底表!$AC:$AC,服务费底表!$K:$K,服务费明细!$B26,服务费底表!$T:$T,AM$3)</f>
        <v>0</v>
      </c>
      <c r="AN26" s="166">
        <f>SUMIFS(服务费底表!$AC:$AC,服务费底表!$K:$K,服务费明细!$B26,服务费底表!$T:$T,AN$3)</f>
        <v>0</v>
      </c>
      <c r="AO26" s="166">
        <f>SUMIFS(服务费底表!$AC:$AC,服务费底表!$K:$K,服务费明细!$B26,服务费底表!$T:$T,AO$3)</f>
        <v>0</v>
      </c>
      <c r="AP26" s="166">
        <f>SUMIFS(服务费底表!$AC:$AC,服务费底表!$K:$K,服务费明细!$B26,服务费底表!$T:$T,AP$3)</f>
        <v>0</v>
      </c>
      <c r="AQ26" s="166">
        <f>SUMIFS(服务费底表!$AC:$AC,服务费底表!$K:$K,服务费明细!$B26,服务费底表!$T:$T,AQ$3)</f>
        <v>0</v>
      </c>
      <c r="AR26" s="166">
        <f>SUMIFS(服务费底表!$AC:$AC,服务费底表!$K:$K,服务费明细!$B26,服务费底表!$T:$T,AR$3)</f>
        <v>32</v>
      </c>
      <c r="AS26" s="166">
        <f>SUMIFS(服务费底表!$AC:$AC,服务费底表!$K:$K,服务费明细!$B26,服务费底表!$T:$T,AS$3)</f>
        <v>0</v>
      </c>
      <c r="AT26" s="166">
        <f>SUMIFS(服务费底表!$AC:$AC,服务费底表!$K:$K,服务费明细!$B26,服务费底表!$T:$T,AT$3)</f>
        <v>0</v>
      </c>
      <c r="AU26" s="166">
        <f>SUMIFS(服务费底表!$AC:$AC,服务费底表!$K:$K,服务费明细!$B26,服务费底表!$T:$T,AU$3)</f>
        <v>0</v>
      </c>
      <c r="AV26" s="166">
        <f>SUMIFS(服务费底表!$AC:$AC,服务费底表!$K:$K,服务费明细!$B26,服务费底表!$T:$T,AV$3)</f>
        <v>0</v>
      </c>
      <c r="AW26" s="166">
        <f>SUMIFS(服务费底表!$AC:$AC,服务费底表!$K:$K,服务费明细!$B26,服务费底表!$T:$T,AW$3)</f>
        <v>0</v>
      </c>
      <c r="AX26" s="166">
        <f>SUMIFS(服务费底表!$AC:$AC,服务费底表!$K:$K,服务费明细!$B26,服务费底表!$T:$T,AX$3)</f>
        <v>0</v>
      </c>
      <c r="AY26" s="166">
        <f>SUMIFS(服务费底表!$AC:$AC,服务费底表!$K:$K,服务费明细!$B26,服务费底表!$T:$T,AY$3)</f>
        <v>0</v>
      </c>
      <c r="AZ26" s="166">
        <f>SUMIFS(服务费底表!$AC:$AC,服务费底表!$K:$K,服务费明细!$B26,服务费底表!$T:$T,AZ$3)</f>
        <v>0</v>
      </c>
      <c r="BA26" s="166">
        <f>SUMIFS(服务费底表!$AC:$AC,服务费底表!$K:$K,服务费明细!$B26,服务费底表!$T:$T,BA$3)</f>
        <v>0</v>
      </c>
      <c r="BB26" s="166">
        <f>SUMIFS(服务费底表!$AC:$AC,服务费底表!$K:$K,服务费明细!$B26,服务费底表!$T:$T,BB$3)</f>
        <v>0</v>
      </c>
      <c r="BC26" s="166">
        <f>SUMIFS(服务费底表!$AC:$AC,服务费底表!$K:$K,服务费明细!$B26,服务费底表!$T:$T,BC$3)</f>
        <v>0</v>
      </c>
      <c r="BD26" s="166">
        <f>SUMIFS(服务费底表!$AC:$AC,服务费底表!$K:$K,服务费明细!$B26,服务费底表!$T:$T,BD$3)</f>
        <v>0</v>
      </c>
      <c r="BE26" s="166">
        <f>SUMIFS(服务费底表!$AC:$AC,服务费底表!$K:$K,服务费明细!$B26,服务费底表!$T:$T,BE$3)</f>
        <v>0</v>
      </c>
      <c r="BF26" s="166">
        <f>SUMIFS(服务费底表!$AC:$AC,服务费底表!$K:$K,服务费明细!$B26,服务费底表!$T:$T,BF$3)</f>
        <v>0</v>
      </c>
      <c r="BG26" s="166">
        <f>SUMIFS(服务费底表!$AC:$AC,服务费底表!$K:$K,服务费明细!$B26,服务费底表!$T:$T,BG$3)</f>
        <v>0</v>
      </c>
      <c r="BI26" s="388">
        <f>SUMIFS(服务费底表!$AC:$AC,服务费底表!$K:$K,服务费明细!$B26,服务费底表!$H:$H,服务费明细!BI$3)</f>
        <v>32</v>
      </c>
      <c r="BJ26" s="388">
        <f>SUMIFS(服务费底表!$AC:$AC,服务费底表!$K:$K,服务费明细!$B26,服务费底表!$H:$H,服务费明细!BJ$3)</f>
        <v>0</v>
      </c>
      <c r="BK26" s="388">
        <f>SUMIFS(服务费底表!$AC:$AC,服务费底表!$K:$K,服务费明细!$B26,服务费底表!$H:$H,服务费明细!BK$3)</f>
        <v>0</v>
      </c>
      <c r="BL26" s="388">
        <f>SUMIFS(服务费底表!$AC:$AC,服务费底表!$K:$K,服务费明细!$B26,服务费底表!$H:$H,服务费明细!BL$3)</f>
        <v>0</v>
      </c>
      <c r="BM26" s="388">
        <f>SUMIFS(服务费底表!$AC:$AC,服务费底表!$K:$K,服务费明细!$B26,服务费底表!$H:$H,服务费明细!BM$3)</f>
        <v>0</v>
      </c>
      <c r="BN26" s="388">
        <f>SUMIFS(服务费底表!$AC:$AC,服务费底表!$K:$K,服务费明细!$B26,服务费底表!$H:$H,服务费明细!BN$3)</f>
        <v>0</v>
      </c>
      <c r="BO26" s="388">
        <f>SUMIFS(服务费底表!$AC:$AC,服务费底表!$K:$K,服务费明细!$B26,服务费底表!$H:$H,服务费明细!BO$3)</f>
        <v>0</v>
      </c>
      <c r="BQ26" s="389">
        <f>SUMIFS(服务费底表!$AD:$AD,服务费底表!$K:$K,服务费明细!$B26,服务费底表!$H:$H,服务费明细!BQ$3)</f>
        <v>20800</v>
      </c>
      <c r="BR26" s="389">
        <f>SUMIFS(服务费底表!$AD:$AD,服务费底表!$K:$K,服务费明细!$B26,服务费底表!$H:$H,服务费明细!BR$3)</f>
        <v>0</v>
      </c>
      <c r="BS26" s="389">
        <f>SUMIFS(服务费底表!$AD:$AD,服务费底表!$K:$K,服务费明细!$B26,服务费底表!$H:$H,服务费明细!BS$3)</f>
        <v>0</v>
      </c>
      <c r="BT26" s="389">
        <f>SUMIFS(服务费底表!$AD:$AD,服务费底表!$K:$K,服务费明细!$B26,服务费底表!$H:$H,服务费明细!BT$3)</f>
        <v>0</v>
      </c>
      <c r="BU26" s="389">
        <f>SUMIFS(服务费底表!$AD:$AD,服务费底表!$K:$K,服务费明细!$B26,服务费底表!$H:$H,服务费明细!BU$3)</f>
        <v>0</v>
      </c>
      <c r="BV26" s="389">
        <f>SUMIFS(服务费底表!$AD:$AD,服务费底表!$K:$K,服务费明细!$B26,服务费底表!$H:$H,服务费明细!BV$3)</f>
        <v>0</v>
      </c>
      <c r="BW26" s="389">
        <f>SUMIFS(服务费底表!$AD:$AD,服务费底表!$K:$K,服务费明细!$B26,服务费底表!$H:$H,服务费明细!BW$3)</f>
        <v>0</v>
      </c>
    </row>
    <row r="27" spans="2:75">
      <c r="B27" s="89" t="s">
        <v>125</v>
      </c>
      <c r="C27" s="89" t="str">
        <f>INDEX(二三级标准!$C:$C,MATCH(服务费明细!$B27,二三级标准!$B:$B,0))</f>
        <v>中心知情同意书撰写</v>
      </c>
      <c r="D27" s="166">
        <f t="shared" si="43"/>
        <v>1</v>
      </c>
      <c r="E27" s="166">
        <f>IF($D27=1,ROUND(启动中心数*100%-1,0),0)</f>
        <v>3</v>
      </c>
      <c r="F27" s="89" t="str">
        <f>INDEX(二三级标准!$G:$G,MATCH(服务费明细!$B27,二三级标准!$B:$B,0))</f>
        <v>份</v>
      </c>
      <c r="G27" s="166">
        <f t="shared" ref="G27:G33" si="51">AL27</f>
        <v>3</v>
      </c>
      <c r="H27" s="166">
        <f t="shared" ref="H27:H33" si="52">AM27</f>
        <v>0</v>
      </c>
      <c r="I27" s="166">
        <f t="shared" ref="I27:I33" si="53">AN27</f>
        <v>3</v>
      </c>
      <c r="J27" s="166">
        <f t="shared" ref="J27:J33" si="54">AO27</f>
        <v>0</v>
      </c>
      <c r="K27" s="166">
        <f t="shared" ref="K27:K33" si="55">AP27</f>
        <v>0</v>
      </c>
      <c r="L27" s="166">
        <f t="shared" ref="L27:L33" si="56">AQ27</f>
        <v>0</v>
      </c>
      <c r="M27" s="166">
        <f t="shared" ref="M27:M33" si="57">AR27</f>
        <v>0</v>
      </c>
      <c r="N27" s="166">
        <f t="shared" ref="N27:N33" si="58">AS27</f>
        <v>0</v>
      </c>
      <c r="O27" s="166">
        <f t="shared" ref="O27:O33" si="59">AT27</f>
        <v>0</v>
      </c>
      <c r="P27" s="166">
        <f t="shared" ref="P27:P33" si="60">AU27</f>
        <v>0</v>
      </c>
      <c r="Q27" s="166">
        <f t="shared" ref="Q27:Q33" si="61">AV27</f>
        <v>0</v>
      </c>
      <c r="R27" s="166">
        <f t="shared" ref="R27:R33" si="62">AW27</f>
        <v>0</v>
      </c>
      <c r="S27" s="166">
        <f t="shared" ref="S27:S33" si="63">AX27</f>
        <v>0</v>
      </c>
      <c r="T27" s="166">
        <f t="shared" ref="T27:T33" si="64">AY27</f>
        <v>0</v>
      </c>
      <c r="U27" s="166">
        <f t="shared" ref="U27:U33" si="65">AZ27</f>
        <v>0</v>
      </c>
      <c r="V27" s="166">
        <f t="shared" ref="V27:V33" si="66">BA27</f>
        <v>0</v>
      </c>
      <c r="W27" s="166">
        <f t="shared" ref="W27:W33" si="67">BB27</f>
        <v>0</v>
      </c>
      <c r="X27" s="166">
        <f t="shared" ref="X27:X33" si="68">BC27</f>
        <v>0</v>
      </c>
      <c r="Y27" s="166">
        <f t="shared" ref="Y27:Y33" si="69">BD27</f>
        <v>0</v>
      </c>
      <c r="Z27" s="166">
        <f t="shared" ref="Z27:Z33" si="70">BE27</f>
        <v>0</v>
      </c>
      <c r="AA27" s="166">
        <f t="shared" ref="AA27:AA33" si="71">BF27</f>
        <v>0</v>
      </c>
      <c r="AB27" s="166">
        <f t="shared" ref="AB27:AB33" si="72">BG27</f>
        <v>0</v>
      </c>
      <c r="AC27" s="166" cm="1">
        <f t="array" ref="AC27">SUMPRODUCT(G27:AB27,$G$4:$AB$4)</f>
        <v>2970</v>
      </c>
      <c r="AD27" s="89" t="b">
        <f t="shared" ref="AD27:AD33" si="73">IF(AF27=AC27,TRUE,FALSE)</f>
        <v>1</v>
      </c>
      <c r="AE27" s="386">
        <f>IFERROR(SUMIF(服务费底表!$K:$K,服务费明细!$B27,服务费底表!$AD:$AD)/E27,0)</f>
        <v>990</v>
      </c>
      <c r="AF27" s="386">
        <f t="shared" ref="AF27:AF33" si="74">E27*AE27</f>
        <v>2970</v>
      </c>
      <c r="AG27" s="386">
        <f>IFERROR(SUMIF(服务费底表!$K:$K,服务费明细!$B27,服务费底表!$AG:$AG)/E27,0)</f>
        <v>990</v>
      </c>
      <c r="AH27" s="386">
        <f t="shared" ref="AH27:AH33" si="75">AG27*E27</f>
        <v>2970</v>
      </c>
      <c r="AI27" s="409" t="str">
        <f>"有临负责"&amp;E27&amp;"份中心知情同意书的撰写。"</f>
        <v>有临负责3份中心知情同意书的撰写。</v>
      </c>
      <c r="AJ27" s="563">
        <f t="shared" si="41"/>
        <v>2</v>
      </c>
      <c r="AK27" s="564">
        <f>SUMIF(服务费底表!$K:$K,服务费明细!$B27,服务费底表!$AC:$AC)</f>
        <v>6</v>
      </c>
      <c r="AL27" s="166">
        <f>SUMIFS(服务费底表!$AC:$AC,服务费底表!$K:$K,服务费明细!$B27,服务费底表!$T:$T,AL$3)</f>
        <v>3</v>
      </c>
      <c r="AM27" s="166">
        <f>SUMIFS(服务费底表!$AC:$AC,服务费底表!$K:$K,服务费明细!$B27,服务费底表!$T:$T,AM$3)</f>
        <v>0</v>
      </c>
      <c r="AN27" s="166">
        <f>SUMIFS(服务费底表!$AC:$AC,服务费底表!$K:$K,服务费明细!$B27,服务费底表!$T:$T,AN$3)</f>
        <v>3</v>
      </c>
      <c r="AO27" s="166">
        <f>SUMIFS(服务费底表!$AC:$AC,服务费底表!$K:$K,服务费明细!$B27,服务费底表!$T:$T,AO$3)</f>
        <v>0</v>
      </c>
      <c r="AP27" s="166">
        <f>SUMIFS(服务费底表!$AC:$AC,服务费底表!$K:$K,服务费明细!$B27,服务费底表!$T:$T,AP$3)</f>
        <v>0</v>
      </c>
      <c r="AQ27" s="166">
        <f>SUMIFS(服务费底表!$AC:$AC,服务费底表!$K:$K,服务费明细!$B27,服务费底表!$T:$T,AQ$3)</f>
        <v>0</v>
      </c>
      <c r="AR27" s="166">
        <f>SUMIFS(服务费底表!$AC:$AC,服务费底表!$K:$K,服务费明细!$B27,服务费底表!$T:$T,AR$3)</f>
        <v>0</v>
      </c>
      <c r="AS27" s="166">
        <f>SUMIFS(服务费底表!$AC:$AC,服务费底表!$K:$K,服务费明细!$B27,服务费底表!$T:$T,AS$3)</f>
        <v>0</v>
      </c>
      <c r="AT27" s="166">
        <f>SUMIFS(服务费底表!$AC:$AC,服务费底表!$K:$K,服务费明细!$B27,服务费底表!$T:$T,AT$3)</f>
        <v>0</v>
      </c>
      <c r="AU27" s="166">
        <f>SUMIFS(服务费底表!$AC:$AC,服务费底表!$K:$K,服务费明细!$B27,服务费底表!$T:$T,AU$3)</f>
        <v>0</v>
      </c>
      <c r="AV27" s="166">
        <f>SUMIFS(服务费底表!$AC:$AC,服务费底表!$K:$K,服务费明细!$B27,服务费底表!$T:$T,AV$3)</f>
        <v>0</v>
      </c>
      <c r="AW27" s="166">
        <f>SUMIFS(服务费底表!$AC:$AC,服务费底表!$K:$K,服务费明细!$B27,服务费底表!$T:$T,AW$3)</f>
        <v>0</v>
      </c>
      <c r="AX27" s="166">
        <f>SUMIFS(服务费底表!$AC:$AC,服务费底表!$K:$K,服务费明细!$B27,服务费底表!$T:$T,AX$3)</f>
        <v>0</v>
      </c>
      <c r="AY27" s="166">
        <f>SUMIFS(服务费底表!$AC:$AC,服务费底表!$K:$K,服务费明细!$B27,服务费底表!$T:$T,AY$3)</f>
        <v>0</v>
      </c>
      <c r="AZ27" s="166">
        <f>SUMIFS(服务费底表!$AC:$AC,服务费底表!$K:$K,服务费明细!$B27,服务费底表!$T:$T,AZ$3)</f>
        <v>0</v>
      </c>
      <c r="BA27" s="166">
        <f>SUMIFS(服务费底表!$AC:$AC,服务费底表!$K:$K,服务费明细!$B27,服务费底表!$T:$T,BA$3)</f>
        <v>0</v>
      </c>
      <c r="BB27" s="166">
        <f>SUMIFS(服务费底表!$AC:$AC,服务费底表!$K:$K,服务费明细!$B27,服务费底表!$T:$T,BB$3)</f>
        <v>0</v>
      </c>
      <c r="BC27" s="166">
        <f>SUMIFS(服务费底表!$AC:$AC,服务费底表!$K:$K,服务费明细!$B27,服务费底表!$T:$T,BC$3)</f>
        <v>0</v>
      </c>
      <c r="BD27" s="166">
        <f>SUMIFS(服务费底表!$AC:$AC,服务费底表!$K:$K,服务费明细!$B27,服务费底表!$T:$T,BD$3)</f>
        <v>0</v>
      </c>
      <c r="BE27" s="166">
        <f>SUMIFS(服务费底表!$AC:$AC,服务费底表!$K:$K,服务费明细!$B27,服务费底表!$T:$T,BE$3)</f>
        <v>0</v>
      </c>
      <c r="BF27" s="166">
        <f>SUMIFS(服务费底表!$AC:$AC,服务费底表!$K:$K,服务费明细!$B27,服务费底表!$T:$T,BF$3)</f>
        <v>0</v>
      </c>
      <c r="BG27" s="166">
        <f>SUMIFS(服务费底表!$AC:$AC,服务费底表!$K:$K,服务费明细!$B27,服务费底表!$T:$T,BG$3)</f>
        <v>0</v>
      </c>
      <c r="BI27" s="388">
        <f>SUMIFS(服务费底表!$AC:$AC,服务费底表!$K:$K,服务费明细!$B27,服务费底表!$H:$H,服务费明细!BI$3)</f>
        <v>0</v>
      </c>
      <c r="BJ27" s="388">
        <f>SUMIFS(服务费底表!$AC:$AC,服务费底表!$K:$K,服务费明细!$B27,服务费底表!$H:$H,服务费明细!BJ$3)</f>
        <v>6</v>
      </c>
      <c r="BK27" s="388">
        <f>SUMIFS(服务费底表!$AC:$AC,服务费底表!$K:$K,服务费明细!$B27,服务费底表!$H:$H,服务费明细!BK$3)</f>
        <v>0</v>
      </c>
      <c r="BL27" s="388">
        <f>SUMIFS(服务费底表!$AC:$AC,服务费底表!$K:$K,服务费明细!$B27,服务费底表!$H:$H,服务费明细!BL$3)</f>
        <v>0</v>
      </c>
      <c r="BM27" s="388">
        <f>SUMIFS(服务费底表!$AC:$AC,服务费底表!$K:$K,服务费明细!$B27,服务费底表!$H:$H,服务费明细!BM$3)</f>
        <v>0</v>
      </c>
      <c r="BN27" s="388">
        <f>SUMIFS(服务费底表!$AC:$AC,服务费底表!$K:$K,服务费明细!$B27,服务费底表!$H:$H,服务费明细!BN$3)</f>
        <v>0</v>
      </c>
      <c r="BO27" s="388">
        <f>SUMIFS(服务费底表!$AC:$AC,服务费底表!$K:$K,服务费明细!$B27,服务费底表!$H:$H,服务费明细!BO$3)</f>
        <v>0</v>
      </c>
      <c r="BQ27" s="389">
        <f>SUMIFS(服务费底表!$AD:$AD,服务费底表!$K:$K,服务费明细!$B27,服务费底表!$H:$H,服务费明细!BQ$3)</f>
        <v>0</v>
      </c>
      <c r="BR27" s="389">
        <f>SUMIFS(服务费底表!$AD:$AD,服务费底表!$K:$K,服务费明细!$B27,服务费底表!$H:$H,服务费明细!BR$3)</f>
        <v>2970</v>
      </c>
      <c r="BS27" s="389">
        <f>SUMIFS(服务费底表!$AD:$AD,服务费底表!$K:$K,服务费明细!$B27,服务费底表!$H:$H,服务费明细!BS$3)</f>
        <v>0</v>
      </c>
      <c r="BT27" s="389">
        <f>SUMIFS(服务费底表!$AD:$AD,服务费底表!$K:$K,服务费明细!$B27,服务费底表!$H:$H,服务费明细!BT$3)</f>
        <v>0</v>
      </c>
      <c r="BU27" s="389">
        <f>SUMIFS(服务费底表!$AD:$AD,服务费底表!$K:$K,服务费明细!$B27,服务费底表!$H:$H,服务费明细!BU$3)</f>
        <v>0</v>
      </c>
      <c r="BV27" s="389">
        <f>SUMIFS(服务费底表!$AD:$AD,服务费底表!$K:$K,服务费明细!$B27,服务费底表!$H:$H,服务费明细!BV$3)</f>
        <v>0</v>
      </c>
      <c r="BW27" s="389">
        <f>SUMIFS(服务费底表!$AD:$AD,服务费底表!$K:$K,服务费明细!$B27,服务费底表!$H:$H,服务费明细!BW$3)</f>
        <v>0</v>
      </c>
    </row>
    <row r="28" spans="2:75">
      <c r="B28" s="89" t="s">
        <v>127</v>
      </c>
      <c r="C28" s="89" t="str">
        <f>INDEX(二三级标准!$C:$C,MATCH(服务费明细!$B28,二三级标准!$B:$B,0))</f>
        <v>EDC上线前测试</v>
      </c>
      <c r="D28" s="166">
        <f t="shared" si="43"/>
        <v>1</v>
      </c>
      <c r="E28" s="166">
        <f>IF($D28=1,1,0)</f>
        <v>1</v>
      </c>
      <c r="F28" s="89" t="str">
        <f>INDEX(二三级标准!$G:$G,MATCH(服务费明细!$B28,二三级标准!$B:$B,0))</f>
        <v>次</v>
      </c>
      <c r="G28" s="166">
        <f t="shared" si="51"/>
        <v>0</v>
      </c>
      <c r="H28" s="166">
        <f t="shared" si="52"/>
        <v>0</v>
      </c>
      <c r="I28" s="166">
        <f t="shared" si="53"/>
        <v>2</v>
      </c>
      <c r="J28" s="166">
        <f t="shared" si="54"/>
        <v>0</v>
      </c>
      <c r="K28" s="166">
        <f t="shared" si="55"/>
        <v>0</v>
      </c>
      <c r="L28" s="166">
        <f t="shared" si="56"/>
        <v>0</v>
      </c>
      <c r="M28" s="166">
        <f t="shared" si="57"/>
        <v>0</v>
      </c>
      <c r="N28" s="166">
        <f t="shared" si="58"/>
        <v>0</v>
      </c>
      <c r="O28" s="166">
        <f t="shared" si="59"/>
        <v>0</v>
      </c>
      <c r="P28" s="166">
        <f t="shared" si="60"/>
        <v>0</v>
      </c>
      <c r="Q28" s="166">
        <f t="shared" si="61"/>
        <v>0</v>
      </c>
      <c r="R28" s="166">
        <f t="shared" si="62"/>
        <v>0</v>
      </c>
      <c r="S28" s="166">
        <f t="shared" si="63"/>
        <v>0</v>
      </c>
      <c r="T28" s="166">
        <f t="shared" si="64"/>
        <v>0</v>
      </c>
      <c r="U28" s="166">
        <f t="shared" si="65"/>
        <v>0</v>
      </c>
      <c r="V28" s="166">
        <f t="shared" si="66"/>
        <v>0</v>
      </c>
      <c r="W28" s="166">
        <f t="shared" si="67"/>
        <v>0</v>
      </c>
      <c r="X28" s="166">
        <f t="shared" si="68"/>
        <v>0</v>
      </c>
      <c r="Y28" s="166">
        <f t="shared" si="69"/>
        <v>0</v>
      </c>
      <c r="Z28" s="166">
        <f t="shared" si="70"/>
        <v>0</v>
      </c>
      <c r="AA28" s="166">
        <f t="shared" si="71"/>
        <v>0</v>
      </c>
      <c r="AB28" s="166">
        <f t="shared" si="72"/>
        <v>0</v>
      </c>
      <c r="AC28" s="166" cm="1">
        <f t="array" ref="AC28">SUMPRODUCT(G28:AB28,$G$4:$AB$4)</f>
        <v>1300</v>
      </c>
      <c r="AD28" s="89" t="b">
        <f t="shared" si="73"/>
        <v>1</v>
      </c>
      <c r="AE28" s="386">
        <f>IFERROR(SUMIF(服务费底表!$K:$K,服务费明细!$B28,服务费底表!$AD:$AD)/E28,0)</f>
        <v>1300</v>
      </c>
      <c r="AF28" s="386">
        <f t="shared" si="74"/>
        <v>1300</v>
      </c>
      <c r="AG28" s="386">
        <f>IFERROR(SUMIF(服务费底表!$K:$K,服务费明细!$B28,服务费底表!$AG:$AG)/E28,0)</f>
        <v>1300</v>
      </c>
      <c r="AH28" s="386">
        <f t="shared" si="75"/>
        <v>1300</v>
      </c>
      <c r="AI28" s="409"/>
      <c r="AJ28" s="563">
        <f t="shared" si="41"/>
        <v>2</v>
      </c>
      <c r="AK28" s="564">
        <f>SUMIF(服务费底表!$K:$K,服务费明细!$B28,服务费底表!$AC:$AC)</f>
        <v>2</v>
      </c>
      <c r="AL28" s="166">
        <f>SUMIFS(服务费底表!$AC:$AC,服务费底表!$K:$K,服务费明细!$B28,服务费底表!$T:$T,AL$3)</f>
        <v>0</v>
      </c>
      <c r="AM28" s="166">
        <f>SUMIFS(服务费底表!$AC:$AC,服务费底表!$K:$K,服务费明细!$B28,服务费底表!$T:$T,AM$3)</f>
        <v>0</v>
      </c>
      <c r="AN28" s="166">
        <f>SUMIFS(服务费底表!$AC:$AC,服务费底表!$K:$K,服务费明细!$B28,服务费底表!$T:$T,AN$3)</f>
        <v>2</v>
      </c>
      <c r="AO28" s="166">
        <f>SUMIFS(服务费底表!$AC:$AC,服务费底表!$K:$K,服务费明细!$B28,服务费底表!$T:$T,AO$3)</f>
        <v>0</v>
      </c>
      <c r="AP28" s="166">
        <f>SUMIFS(服务费底表!$AC:$AC,服务费底表!$K:$K,服务费明细!$B28,服务费底表!$T:$T,AP$3)</f>
        <v>0</v>
      </c>
      <c r="AQ28" s="166">
        <f>SUMIFS(服务费底表!$AC:$AC,服务费底表!$K:$K,服务费明细!$B28,服务费底表!$T:$T,AQ$3)</f>
        <v>0</v>
      </c>
      <c r="AR28" s="166">
        <f>SUMIFS(服务费底表!$AC:$AC,服务费底表!$K:$K,服务费明细!$B28,服务费底表!$T:$T,AR$3)</f>
        <v>0</v>
      </c>
      <c r="AS28" s="166">
        <f>SUMIFS(服务费底表!$AC:$AC,服务费底表!$K:$K,服务费明细!$B28,服务费底表!$T:$T,AS$3)</f>
        <v>0</v>
      </c>
      <c r="AT28" s="166">
        <f>SUMIFS(服务费底表!$AC:$AC,服务费底表!$K:$K,服务费明细!$B28,服务费底表!$T:$T,AT$3)</f>
        <v>0</v>
      </c>
      <c r="AU28" s="166">
        <f>SUMIFS(服务费底表!$AC:$AC,服务费底表!$K:$K,服务费明细!$B28,服务费底表!$T:$T,AU$3)</f>
        <v>0</v>
      </c>
      <c r="AV28" s="166">
        <f>SUMIFS(服务费底表!$AC:$AC,服务费底表!$K:$K,服务费明细!$B28,服务费底表!$T:$T,AV$3)</f>
        <v>0</v>
      </c>
      <c r="AW28" s="166">
        <f>SUMIFS(服务费底表!$AC:$AC,服务费底表!$K:$K,服务费明细!$B28,服务费底表!$T:$T,AW$3)</f>
        <v>0</v>
      </c>
      <c r="AX28" s="166">
        <f>SUMIFS(服务费底表!$AC:$AC,服务费底表!$K:$K,服务费明细!$B28,服务费底表!$T:$T,AX$3)</f>
        <v>0</v>
      </c>
      <c r="AY28" s="166">
        <f>SUMIFS(服务费底表!$AC:$AC,服务费底表!$K:$K,服务费明细!$B28,服务费底表!$T:$T,AY$3)</f>
        <v>0</v>
      </c>
      <c r="AZ28" s="166">
        <f>SUMIFS(服务费底表!$AC:$AC,服务费底表!$K:$K,服务费明细!$B28,服务费底表!$T:$T,AZ$3)</f>
        <v>0</v>
      </c>
      <c r="BA28" s="166">
        <f>SUMIFS(服务费底表!$AC:$AC,服务费底表!$K:$K,服务费明细!$B28,服务费底表!$T:$T,BA$3)</f>
        <v>0</v>
      </c>
      <c r="BB28" s="166">
        <f>SUMIFS(服务费底表!$AC:$AC,服务费底表!$K:$K,服务费明细!$B28,服务费底表!$T:$T,BB$3)</f>
        <v>0</v>
      </c>
      <c r="BC28" s="166">
        <f>SUMIFS(服务费底表!$AC:$AC,服务费底表!$K:$K,服务费明细!$B28,服务费底表!$T:$T,BC$3)</f>
        <v>0</v>
      </c>
      <c r="BD28" s="166">
        <f>SUMIFS(服务费底表!$AC:$AC,服务费底表!$K:$K,服务费明细!$B28,服务费底表!$T:$T,BD$3)</f>
        <v>0</v>
      </c>
      <c r="BE28" s="166">
        <f>SUMIFS(服务费底表!$AC:$AC,服务费底表!$K:$K,服务费明细!$B28,服务费底表!$T:$T,BE$3)</f>
        <v>0</v>
      </c>
      <c r="BF28" s="166">
        <f>SUMIFS(服务费底表!$AC:$AC,服务费底表!$K:$K,服务费明细!$B28,服务费底表!$T:$T,BF$3)</f>
        <v>0</v>
      </c>
      <c r="BG28" s="166">
        <f>SUMIFS(服务费底表!$AC:$AC,服务费底表!$K:$K,服务费明细!$B28,服务费底表!$T:$T,BG$3)</f>
        <v>0</v>
      </c>
      <c r="BI28" s="388">
        <f>SUMIFS(服务费底表!$AC:$AC,服务费底表!$K:$K,服务费明细!$B28,服务费底表!$H:$H,服务费明细!BI$3)</f>
        <v>0</v>
      </c>
      <c r="BJ28" s="388">
        <f>SUMIFS(服务费底表!$AC:$AC,服务费底表!$K:$K,服务费明细!$B28,服务费底表!$H:$H,服务费明细!BJ$3)</f>
        <v>2</v>
      </c>
      <c r="BK28" s="388">
        <f>SUMIFS(服务费底表!$AC:$AC,服务费底表!$K:$K,服务费明细!$B28,服务费底表!$H:$H,服务费明细!BK$3)</f>
        <v>0</v>
      </c>
      <c r="BL28" s="388">
        <f>SUMIFS(服务费底表!$AC:$AC,服务费底表!$K:$K,服务费明细!$B28,服务费底表!$H:$H,服务费明细!BL$3)</f>
        <v>0</v>
      </c>
      <c r="BM28" s="388">
        <f>SUMIFS(服务费底表!$AC:$AC,服务费底表!$K:$K,服务费明细!$B28,服务费底表!$H:$H,服务费明细!BM$3)</f>
        <v>0</v>
      </c>
      <c r="BN28" s="388">
        <f>SUMIFS(服务费底表!$AC:$AC,服务费底表!$K:$K,服务费明细!$B28,服务费底表!$H:$H,服务费明细!BN$3)</f>
        <v>0</v>
      </c>
      <c r="BO28" s="388">
        <f>SUMIFS(服务费底表!$AC:$AC,服务费底表!$K:$K,服务费明细!$B28,服务费底表!$H:$H,服务费明细!BO$3)</f>
        <v>0</v>
      </c>
      <c r="BQ28" s="389">
        <f>SUMIFS(服务费底表!$AD:$AD,服务费底表!$K:$K,服务费明细!$B28,服务费底表!$H:$H,服务费明细!BQ$3)</f>
        <v>0</v>
      </c>
      <c r="BR28" s="389">
        <f>SUMIFS(服务费底表!$AD:$AD,服务费底表!$K:$K,服务费明细!$B28,服务费底表!$H:$H,服务费明细!BR$3)</f>
        <v>1300</v>
      </c>
      <c r="BS28" s="389">
        <f>SUMIFS(服务费底表!$AD:$AD,服务费底表!$K:$K,服务费明细!$B28,服务费底表!$H:$H,服务费明细!BS$3)</f>
        <v>0</v>
      </c>
      <c r="BT28" s="389">
        <f>SUMIFS(服务费底表!$AD:$AD,服务费底表!$K:$K,服务费明细!$B28,服务费底表!$H:$H,服务费明细!BT$3)</f>
        <v>0</v>
      </c>
      <c r="BU28" s="389">
        <f>SUMIFS(服务费底表!$AD:$AD,服务费底表!$K:$K,服务费明细!$B28,服务费底表!$H:$H,服务费明细!BU$3)</f>
        <v>0</v>
      </c>
      <c r="BV28" s="389">
        <f>SUMIFS(服务费底表!$AD:$AD,服务费底表!$K:$K,服务费明细!$B28,服务费底表!$H:$H,服务费明细!BV$3)</f>
        <v>0</v>
      </c>
      <c r="BW28" s="389">
        <f>SUMIFS(服务费底表!$AD:$AD,服务费底表!$K:$K,服务费明细!$B28,服务费底表!$H:$H,服务费明细!BW$3)</f>
        <v>0</v>
      </c>
    </row>
    <row r="29" ht="84" customHeight="1" spans="2:75">
      <c r="B29" s="89" t="s">
        <v>129</v>
      </c>
      <c r="C29" s="89" t="str">
        <f>INDEX(二三级标准!$C:$C,MATCH(服务费明细!$B29,二三级标准!$B:$B,0))</f>
        <v>研究中心启动文件准备和快递</v>
      </c>
      <c r="D29" s="166">
        <f t="shared" si="43"/>
        <v>1</v>
      </c>
      <c r="E29" s="166">
        <f>IF($D29=1,启动中心数,0)</f>
        <v>4</v>
      </c>
      <c r="F29" s="89" t="str">
        <f>INDEX(二三级标准!$G:$G,MATCH(服务费明细!$B29,二三级标准!$B:$B,0))</f>
        <v>次</v>
      </c>
      <c r="G29" s="166">
        <f t="shared" si="51"/>
        <v>16</v>
      </c>
      <c r="H29" s="166">
        <f t="shared" si="52"/>
        <v>16</v>
      </c>
      <c r="I29" s="166">
        <f t="shared" si="53"/>
        <v>0</v>
      </c>
      <c r="J29" s="166">
        <f t="shared" si="54"/>
        <v>0</v>
      </c>
      <c r="K29" s="166">
        <f t="shared" si="55"/>
        <v>0</v>
      </c>
      <c r="L29" s="166">
        <f t="shared" si="56"/>
        <v>0</v>
      </c>
      <c r="M29" s="166">
        <f t="shared" si="57"/>
        <v>0</v>
      </c>
      <c r="N29" s="166">
        <f t="shared" si="58"/>
        <v>0</v>
      </c>
      <c r="O29" s="166">
        <f t="shared" si="59"/>
        <v>0</v>
      </c>
      <c r="P29" s="166">
        <f t="shared" si="60"/>
        <v>0</v>
      </c>
      <c r="Q29" s="166">
        <f t="shared" si="61"/>
        <v>0</v>
      </c>
      <c r="R29" s="166">
        <f t="shared" si="62"/>
        <v>0</v>
      </c>
      <c r="S29" s="166">
        <f t="shared" si="63"/>
        <v>0</v>
      </c>
      <c r="T29" s="166">
        <f t="shared" si="64"/>
        <v>0</v>
      </c>
      <c r="U29" s="166">
        <f t="shared" si="65"/>
        <v>0</v>
      </c>
      <c r="V29" s="166">
        <f t="shared" si="66"/>
        <v>0</v>
      </c>
      <c r="W29" s="166">
        <f t="shared" si="67"/>
        <v>0</v>
      </c>
      <c r="X29" s="166">
        <f t="shared" si="68"/>
        <v>0</v>
      </c>
      <c r="Y29" s="166">
        <f t="shared" si="69"/>
        <v>0</v>
      </c>
      <c r="Z29" s="166">
        <f t="shared" si="70"/>
        <v>0</v>
      </c>
      <c r="AA29" s="166">
        <f t="shared" si="71"/>
        <v>0</v>
      </c>
      <c r="AB29" s="166">
        <f t="shared" si="72"/>
        <v>0</v>
      </c>
      <c r="AC29" s="166" cm="1">
        <f t="array" ref="AC29">SUMPRODUCT(G29:AB29,$G$4:$AB$4)</f>
        <v>8960</v>
      </c>
      <c r="AD29" s="89" t="b">
        <f t="shared" si="73"/>
        <v>1</v>
      </c>
      <c r="AE29" s="386">
        <f>IFERROR(SUMIF(服务费底表!$K:$K,服务费明细!$B29,服务费底表!$AD:$AD)/E29,0)</f>
        <v>2240</v>
      </c>
      <c r="AF29" s="386">
        <f t="shared" si="74"/>
        <v>8960</v>
      </c>
      <c r="AG29" s="386">
        <f>IFERROR(SUMIF(服务费底表!$K:$K,服务费明细!$B29,服务费底表!$AG:$AG)/E29,0)</f>
        <v>2240</v>
      </c>
      <c r="AH29" s="386">
        <f t="shared" si="75"/>
        <v>8960</v>
      </c>
      <c r="AI29" s="409" t="s">
        <v>996</v>
      </c>
      <c r="AJ29" s="563">
        <f t="shared" ref="AJ27:AJ32" si="76">IF(D29=1,AK29/E29,0)</f>
        <v>8</v>
      </c>
      <c r="AK29" s="564">
        <f>SUMIF(服务费底表!$K:$K,服务费明细!$B29,服务费底表!$AC:$AC)</f>
        <v>32</v>
      </c>
      <c r="AL29" s="166">
        <f>SUMIFS(服务费底表!$AC:$AC,服务费底表!$K:$K,服务费明细!$B29,服务费底表!$T:$T,AL$3)</f>
        <v>16</v>
      </c>
      <c r="AM29" s="166">
        <f>SUMIFS(服务费底表!$AC:$AC,服务费底表!$K:$K,服务费明细!$B29,服务费底表!$T:$T,AM$3)</f>
        <v>16</v>
      </c>
      <c r="AN29" s="166">
        <f>SUMIFS(服务费底表!$AC:$AC,服务费底表!$K:$K,服务费明细!$B29,服务费底表!$T:$T,AN$3)</f>
        <v>0</v>
      </c>
      <c r="AO29" s="166">
        <f>SUMIFS(服务费底表!$AC:$AC,服务费底表!$K:$K,服务费明细!$B29,服务费底表!$T:$T,AO$3)</f>
        <v>0</v>
      </c>
      <c r="AP29" s="166">
        <f>SUMIFS(服务费底表!$AC:$AC,服务费底表!$K:$K,服务费明细!$B29,服务费底表!$T:$T,AP$3)</f>
        <v>0</v>
      </c>
      <c r="AQ29" s="166">
        <f>SUMIFS(服务费底表!$AC:$AC,服务费底表!$K:$K,服务费明细!$B29,服务费底表!$T:$T,AQ$3)</f>
        <v>0</v>
      </c>
      <c r="AR29" s="166">
        <f>SUMIFS(服务费底表!$AC:$AC,服务费底表!$K:$K,服务费明细!$B29,服务费底表!$T:$T,AR$3)</f>
        <v>0</v>
      </c>
      <c r="AS29" s="166">
        <f>SUMIFS(服务费底表!$AC:$AC,服务费底表!$K:$K,服务费明细!$B29,服务费底表!$T:$T,AS$3)</f>
        <v>0</v>
      </c>
      <c r="AT29" s="166">
        <f>SUMIFS(服务费底表!$AC:$AC,服务费底表!$K:$K,服务费明细!$B29,服务费底表!$T:$T,AT$3)</f>
        <v>0</v>
      </c>
      <c r="AU29" s="166">
        <f>SUMIFS(服务费底表!$AC:$AC,服务费底表!$K:$K,服务费明细!$B29,服务费底表!$T:$T,AU$3)</f>
        <v>0</v>
      </c>
      <c r="AV29" s="166">
        <f>SUMIFS(服务费底表!$AC:$AC,服务费底表!$K:$K,服务费明细!$B29,服务费底表!$T:$T,AV$3)</f>
        <v>0</v>
      </c>
      <c r="AW29" s="166">
        <f>SUMIFS(服务费底表!$AC:$AC,服务费底表!$K:$K,服务费明细!$B29,服务费底表!$T:$T,AW$3)</f>
        <v>0</v>
      </c>
      <c r="AX29" s="166">
        <f>SUMIFS(服务费底表!$AC:$AC,服务费底表!$K:$K,服务费明细!$B29,服务费底表!$T:$T,AX$3)</f>
        <v>0</v>
      </c>
      <c r="AY29" s="166">
        <f>SUMIFS(服务费底表!$AC:$AC,服务费底表!$K:$K,服务费明细!$B29,服务费底表!$T:$T,AY$3)</f>
        <v>0</v>
      </c>
      <c r="AZ29" s="166">
        <f>SUMIFS(服务费底表!$AC:$AC,服务费底表!$K:$K,服务费明细!$B29,服务费底表!$T:$T,AZ$3)</f>
        <v>0</v>
      </c>
      <c r="BA29" s="166">
        <f>SUMIFS(服务费底表!$AC:$AC,服务费底表!$K:$K,服务费明细!$B29,服务费底表!$T:$T,BA$3)</f>
        <v>0</v>
      </c>
      <c r="BB29" s="166">
        <f>SUMIFS(服务费底表!$AC:$AC,服务费底表!$K:$K,服务费明细!$B29,服务费底表!$T:$T,BB$3)</f>
        <v>0</v>
      </c>
      <c r="BC29" s="166">
        <f>SUMIFS(服务费底表!$AC:$AC,服务费底表!$K:$K,服务费明细!$B29,服务费底表!$T:$T,BC$3)</f>
        <v>0</v>
      </c>
      <c r="BD29" s="166">
        <f>SUMIFS(服务费底表!$AC:$AC,服务费底表!$K:$K,服务费明细!$B29,服务费底表!$T:$T,BD$3)</f>
        <v>0</v>
      </c>
      <c r="BE29" s="166">
        <f>SUMIFS(服务费底表!$AC:$AC,服务费底表!$K:$K,服务费明细!$B29,服务费底表!$T:$T,BE$3)</f>
        <v>0</v>
      </c>
      <c r="BF29" s="166">
        <f>SUMIFS(服务费底表!$AC:$AC,服务费底表!$K:$K,服务费明细!$B29,服务费底表!$T:$T,BF$3)</f>
        <v>0</v>
      </c>
      <c r="BG29" s="166">
        <f>SUMIFS(服务费底表!$AC:$AC,服务费底表!$K:$K,服务费明细!$B29,服务费底表!$T:$T,BG$3)</f>
        <v>0</v>
      </c>
      <c r="BI29" s="388">
        <f>SUMIFS(服务费底表!$AC:$AC,服务费底表!$K:$K,服务费明细!$B29,服务费底表!$H:$H,服务费明细!BI$3)</f>
        <v>0</v>
      </c>
      <c r="BJ29" s="388">
        <f>SUMIFS(服务费底表!$AC:$AC,服务费底表!$K:$K,服务费明细!$B29,服务费底表!$H:$H,服务费明细!BJ$3)</f>
        <v>32</v>
      </c>
      <c r="BK29" s="388">
        <f>SUMIFS(服务费底表!$AC:$AC,服务费底表!$K:$K,服务费明细!$B29,服务费底表!$H:$H,服务费明细!BK$3)</f>
        <v>0</v>
      </c>
      <c r="BL29" s="388">
        <f>SUMIFS(服务费底表!$AC:$AC,服务费底表!$K:$K,服务费明细!$B29,服务费底表!$H:$H,服务费明细!BL$3)</f>
        <v>0</v>
      </c>
      <c r="BM29" s="388">
        <f>SUMIFS(服务费底表!$AC:$AC,服务费底表!$K:$K,服务费明细!$B29,服务费底表!$H:$H,服务费明细!BM$3)</f>
        <v>0</v>
      </c>
      <c r="BN29" s="388">
        <f>SUMIFS(服务费底表!$AC:$AC,服务费底表!$K:$K,服务费明细!$B29,服务费底表!$H:$H,服务费明细!BN$3)</f>
        <v>0</v>
      </c>
      <c r="BO29" s="388">
        <f>SUMIFS(服务费底表!$AC:$AC,服务费底表!$K:$K,服务费明细!$B29,服务费底表!$H:$H,服务费明细!BO$3)</f>
        <v>0</v>
      </c>
      <c r="BQ29" s="389">
        <f>SUMIFS(服务费底表!$AD:$AD,服务费底表!$K:$K,服务费明细!$B29,服务费底表!$H:$H,服务费明细!BQ$3)</f>
        <v>0</v>
      </c>
      <c r="BR29" s="389">
        <f>SUMIFS(服务费底表!$AD:$AD,服务费底表!$K:$K,服务费明细!$B29,服务费底表!$H:$H,服务费明细!BR$3)</f>
        <v>8960</v>
      </c>
      <c r="BS29" s="389">
        <f>SUMIFS(服务费底表!$AD:$AD,服务费底表!$K:$K,服务费明细!$B29,服务费底表!$H:$H,服务费明细!BS$3)</f>
        <v>0</v>
      </c>
      <c r="BT29" s="389">
        <f>SUMIFS(服务费底表!$AD:$AD,服务费底表!$K:$K,服务费明细!$B29,服务费底表!$H:$H,服务费明细!BT$3)</f>
        <v>0</v>
      </c>
      <c r="BU29" s="389">
        <f>SUMIFS(服务费底表!$AD:$AD,服务费底表!$K:$K,服务费明细!$B29,服务费底表!$H:$H,服务费明细!BU$3)</f>
        <v>0</v>
      </c>
      <c r="BV29" s="389">
        <f>SUMIFS(服务费底表!$AD:$AD,服务费底表!$K:$K,服务费明细!$B29,服务费底表!$H:$H,服务费明细!BV$3)</f>
        <v>0</v>
      </c>
      <c r="BW29" s="389">
        <f>SUMIFS(服务费底表!$AD:$AD,服务费底表!$K:$K,服务费明细!$B29,服务费底表!$H:$H,服务费明细!BW$3)</f>
        <v>0</v>
      </c>
    </row>
    <row r="30" spans="2:75">
      <c r="B30" s="89" t="s">
        <v>131</v>
      </c>
      <c r="C30" s="89" t="str">
        <f>INDEX(二三级标准!$C:$C,MATCH(服务费明细!$B30,二三级标准!$B:$B,0))</f>
        <v>临床试验国家局备案</v>
      </c>
      <c r="D30" s="166">
        <v>0</v>
      </c>
      <c r="E30" s="166">
        <f>IF($D30=1,1,0)</f>
        <v>0</v>
      </c>
      <c r="F30" s="89" t="str">
        <f>INDEX(二三级标准!$G:$G,MATCH(服务费明细!$B30,二三级标准!$B:$B,0))</f>
        <v>次</v>
      </c>
      <c r="G30" s="166">
        <f t="shared" si="51"/>
        <v>0</v>
      </c>
      <c r="H30" s="166">
        <f t="shared" si="52"/>
        <v>0</v>
      </c>
      <c r="I30" s="166">
        <f t="shared" si="53"/>
        <v>0</v>
      </c>
      <c r="J30" s="166">
        <f t="shared" si="54"/>
        <v>0</v>
      </c>
      <c r="K30" s="166">
        <f t="shared" si="55"/>
        <v>0</v>
      </c>
      <c r="L30" s="166">
        <f t="shared" si="56"/>
        <v>0</v>
      </c>
      <c r="M30" s="166">
        <f t="shared" si="57"/>
        <v>0</v>
      </c>
      <c r="N30" s="166">
        <f t="shared" si="58"/>
        <v>0</v>
      </c>
      <c r="O30" s="166">
        <f t="shared" si="59"/>
        <v>0</v>
      </c>
      <c r="P30" s="166">
        <f t="shared" si="60"/>
        <v>0</v>
      </c>
      <c r="Q30" s="166">
        <f t="shared" si="61"/>
        <v>0</v>
      </c>
      <c r="R30" s="166">
        <f t="shared" si="62"/>
        <v>0</v>
      </c>
      <c r="S30" s="166">
        <f t="shared" si="63"/>
        <v>0</v>
      </c>
      <c r="T30" s="166">
        <f t="shared" si="64"/>
        <v>0</v>
      </c>
      <c r="U30" s="166">
        <f t="shared" si="65"/>
        <v>0</v>
      </c>
      <c r="V30" s="166">
        <f t="shared" si="66"/>
        <v>0</v>
      </c>
      <c r="W30" s="166">
        <f t="shared" si="67"/>
        <v>0</v>
      </c>
      <c r="X30" s="166">
        <f t="shared" si="68"/>
        <v>0</v>
      </c>
      <c r="Y30" s="166">
        <f t="shared" si="69"/>
        <v>0</v>
      </c>
      <c r="Z30" s="166">
        <f t="shared" si="70"/>
        <v>0</v>
      </c>
      <c r="AA30" s="166">
        <f t="shared" si="71"/>
        <v>0</v>
      </c>
      <c r="AB30" s="166">
        <f t="shared" si="72"/>
        <v>0</v>
      </c>
      <c r="AC30" s="166" cm="1">
        <f t="array" ref="AC30">SUMPRODUCT(G30:AB30,$G$4:$AB$4)</f>
        <v>0</v>
      </c>
      <c r="AD30" s="89" t="b">
        <f t="shared" si="73"/>
        <v>1</v>
      </c>
      <c r="AE30" s="386">
        <f>IFERROR(SUMIF(服务费底表!$K:$K,服务费明细!$B30,服务费底表!$AD:$AD)/E30,0)</f>
        <v>0</v>
      </c>
      <c r="AF30" s="386">
        <f t="shared" si="74"/>
        <v>0</v>
      </c>
      <c r="AG30" s="386">
        <f>IFERROR(SUMIF(服务费底表!$K:$K,服务费明细!$B30,服务费底表!$AG:$AG)/E30,0)</f>
        <v>0</v>
      </c>
      <c r="AH30" s="386">
        <f t="shared" si="75"/>
        <v>0</v>
      </c>
      <c r="AI30" s="409"/>
      <c r="AJ30" s="563">
        <f t="shared" si="76"/>
        <v>0</v>
      </c>
      <c r="AK30" s="564">
        <f>SUMIF(服务费底表!$K:$K,服务费明细!$B30,服务费底表!$AC:$AC)</f>
        <v>0</v>
      </c>
      <c r="AL30" s="166">
        <f>SUMIFS(服务费底表!$AC:$AC,服务费底表!$K:$K,服务费明细!$B30,服务费底表!$T:$T,AL$3)</f>
        <v>0</v>
      </c>
      <c r="AM30" s="166">
        <f>SUMIFS(服务费底表!$AC:$AC,服务费底表!$K:$K,服务费明细!$B30,服务费底表!$T:$T,AM$3)</f>
        <v>0</v>
      </c>
      <c r="AN30" s="166">
        <f>SUMIFS(服务费底表!$AC:$AC,服务费底表!$K:$K,服务费明细!$B30,服务费底表!$T:$T,AN$3)</f>
        <v>0</v>
      </c>
      <c r="AO30" s="166">
        <f>SUMIFS(服务费底表!$AC:$AC,服务费底表!$K:$K,服务费明细!$B30,服务费底表!$T:$T,AO$3)</f>
        <v>0</v>
      </c>
      <c r="AP30" s="166">
        <f>SUMIFS(服务费底表!$AC:$AC,服务费底表!$K:$K,服务费明细!$B30,服务费底表!$T:$T,AP$3)</f>
        <v>0</v>
      </c>
      <c r="AQ30" s="166">
        <f>SUMIFS(服务费底表!$AC:$AC,服务费底表!$K:$K,服务费明细!$B30,服务费底表!$T:$T,AQ$3)</f>
        <v>0</v>
      </c>
      <c r="AR30" s="166">
        <f>SUMIFS(服务费底表!$AC:$AC,服务费底表!$K:$K,服务费明细!$B30,服务费底表!$T:$T,AR$3)</f>
        <v>0</v>
      </c>
      <c r="AS30" s="166">
        <f>SUMIFS(服务费底表!$AC:$AC,服务费底表!$K:$K,服务费明细!$B30,服务费底表!$T:$T,AS$3)</f>
        <v>0</v>
      </c>
      <c r="AT30" s="166">
        <f>SUMIFS(服务费底表!$AC:$AC,服务费底表!$K:$K,服务费明细!$B30,服务费底表!$T:$T,AT$3)</f>
        <v>0</v>
      </c>
      <c r="AU30" s="166">
        <f>SUMIFS(服务费底表!$AC:$AC,服务费底表!$K:$K,服务费明细!$B30,服务费底表!$T:$T,AU$3)</f>
        <v>0</v>
      </c>
      <c r="AV30" s="166">
        <f>SUMIFS(服务费底表!$AC:$AC,服务费底表!$K:$K,服务费明细!$B30,服务费底表!$T:$T,AV$3)</f>
        <v>0</v>
      </c>
      <c r="AW30" s="166">
        <f>SUMIFS(服务费底表!$AC:$AC,服务费底表!$K:$K,服务费明细!$B30,服务费底表!$T:$T,AW$3)</f>
        <v>0</v>
      </c>
      <c r="AX30" s="166">
        <f>SUMIFS(服务费底表!$AC:$AC,服务费底表!$K:$K,服务费明细!$B30,服务费底表!$T:$T,AX$3)</f>
        <v>0</v>
      </c>
      <c r="AY30" s="166">
        <f>SUMIFS(服务费底表!$AC:$AC,服务费底表!$K:$K,服务费明细!$B30,服务费底表!$T:$T,AY$3)</f>
        <v>0</v>
      </c>
      <c r="AZ30" s="166">
        <f>SUMIFS(服务费底表!$AC:$AC,服务费底表!$K:$K,服务费明细!$B30,服务费底表!$T:$T,AZ$3)</f>
        <v>0</v>
      </c>
      <c r="BA30" s="166">
        <f>SUMIFS(服务费底表!$AC:$AC,服务费底表!$K:$K,服务费明细!$B30,服务费底表!$T:$T,BA$3)</f>
        <v>0</v>
      </c>
      <c r="BB30" s="166">
        <f>SUMIFS(服务费底表!$AC:$AC,服务费底表!$K:$K,服务费明细!$B30,服务费底表!$T:$T,BB$3)</f>
        <v>0</v>
      </c>
      <c r="BC30" s="166">
        <f>SUMIFS(服务费底表!$AC:$AC,服务费底表!$K:$K,服务费明细!$B30,服务费底表!$T:$T,BC$3)</f>
        <v>0</v>
      </c>
      <c r="BD30" s="166">
        <f>SUMIFS(服务费底表!$AC:$AC,服务费底表!$K:$K,服务费明细!$B30,服务费底表!$T:$T,BD$3)</f>
        <v>0</v>
      </c>
      <c r="BE30" s="166">
        <f>SUMIFS(服务费底表!$AC:$AC,服务费底表!$K:$K,服务费明细!$B30,服务费底表!$T:$T,BE$3)</f>
        <v>0</v>
      </c>
      <c r="BF30" s="166">
        <f>SUMIFS(服务费底表!$AC:$AC,服务费底表!$K:$K,服务费明细!$B30,服务费底表!$T:$T,BF$3)</f>
        <v>0</v>
      </c>
      <c r="BG30" s="166">
        <f>SUMIFS(服务费底表!$AC:$AC,服务费底表!$K:$K,服务费明细!$B30,服务费底表!$T:$T,BG$3)</f>
        <v>0</v>
      </c>
      <c r="BI30" s="388">
        <f>SUMIFS(服务费底表!$AC:$AC,服务费底表!$K:$K,服务费明细!$B30,服务费底表!$H:$H,服务费明细!BI$3)</f>
        <v>0</v>
      </c>
      <c r="BJ30" s="388">
        <f>SUMIFS(服务费底表!$AC:$AC,服务费底表!$K:$K,服务费明细!$B30,服务费底表!$H:$H,服务费明细!BJ$3)</f>
        <v>0</v>
      </c>
      <c r="BK30" s="388">
        <f>SUMIFS(服务费底表!$AC:$AC,服务费底表!$K:$K,服务费明细!$B30,服务费底表!$H:$H,服务费明细!BK$3)</f>
        <v>0</v>
      </c>
      <c r="BL30" s="388">
        <f>SUMIFS(服务费底表!$AC:$AC,服务费底表!$K:$K,服务费明细!$B30,服务费底表!$H:$H,服务费明细!BL$3)</f>
        <v>0</v>
      </c>
      <c r="BM30" s="388">
        <f>SUMIFS(服务费底表!$AC:$AC,服务费底表!$K:$K,服务费明细!$B30,服务费底表!$H:$H,服务费明细!BM$3)</f>
        <v>0</v>
      </c>
      <c r="BN30" s="388">
        <f>SUMIFS(服务费底表!$AC:$AC,服务费底表!$K:$K,服务费明细!$B30,服务费底表!$H:$H,服务费明细!BN$3)</f>
        <v>0</v>
      </c>
      <c r="BO30" s="388">
        <f>SUMIFS(服务费底表!$AC:$AC,服务费底表!$K:$K,服务费明细!$B30,服务费底表!$H:$H,服务费明细!BO$3)</f>
        <v>0</v>
      </c>
      <c r="BQ30" s="389">
        <f>SUMIFS(服务费底表!$AD:$AD,服务费底表!$K:$K,服务费明细!$B30,服务费底表!$H:$H,服务费明细!BQ$3)</f>
        <v>0</v>
      </c>
      <c r="BR30" s="389">
        <f>SUMIFS(服务费底表!$AD:$AD,服务费底表!$K:$K,服务费明细!$B30,服务费底表!$H:$H,服务费明细!BR$3)</f>
        <v>0</v>
      </c>
      <c r="BS30" s="389">
        <f>SUMIFS(服务费底表!$AD:$AD,服务费底表!$K:$K,服务费明细!$B30,服务费底表!$H:$H,服务费明细!BS$3)</f>
        <v>0</v>
      </c>
      <c r="BT30" s="389">
        <f>SUMIFS(服务费底表!$AD:$AD,服务费底表!$K:$K,服务费明细!$B30,服务费底表!$H:$H,服务费明细!BT$3)</f>
        <v>0</v>
      </c>
      <c r="BU30" s="389">
        <f>SUMIFS(服务费底表!$AD:$AD,服务费底表!$K:$K,服务费明细!$B30,服务费底表!$H:$H,服务费明细!BU$3)</f>
        <v>0</v>
      </c>
      <c r="BV30" s="389">
        <f>SUMIFS(服务费底表!$AD:$AD,服务费底表!$K:$K,服务费明细!$B30,服务费底表!$H:$H,服务费明细!BV$3)</f>
        <v>0</v>
      </c>
      <c r="BW30" s="389">
        <f>SUMIFS(服务费底表!$AD:$AD,服务费底表!$K:$K,服务费明细!$B30,服务费底表!$H:$H,服务费明细!BW$3)</f>
        <v>0</v>
      </c>
    </row>
    <row r="31" spans="2:75">
      <c r="B31" s="89" t="s">
        <v>133</v>
      </c>
      <c r="C31" s="89" t="str">
        <f>INDEX(二三级标准!$C:$C,MATCH(服务费明细!$B31,二三级标准!$B:$B,0))</f>
        <v>临床试验省局备案</v>
      </c>
      <c r="D31" s="166">
        <v>0</v>
      </c>
      <c r="E31" s="166">
        <f>IF($D31=1,ROUNDUP(启动中心数*30%,0),0)</f>
        <v>0</v>
      </c>
      <c r="F31" s="89" t="str">
        <f>INDEX(二三级标准!$G:$G,MATCH(服务费明细!$B31,二三级标准!$B:$B,0))</f>
        <v>次</v>
      </c>
      <c r="G31" s="166">
        <f t="shared" si="51"/>
        <v>0</v>
      </c>
      <c r="H31" s="166">
        <f t="shared" si="52"/>
        <v>0</v>
      </c>
      <c r="I31" s="166">
        <f t="shared" si="53"/>
        <v>0</v>
      </c>
      <c r="J31" s="166">
        <f t="shared" si="54"/>
        <v>0</v>
      </c>
      <c r="K31" s="166">
        <f t="shared" si="55"/>
        <v>0</v>
      </c>
      <c r="L31" s="166">
        <f t="shared" si="56"/>
        <v>0</v>
      </c>
      <c r="M31" s="166">
        <f t="shared" si="57"/>
        <v>0</v>
      </c>
      <c r="N31" s="166">
        <f t="shared" si="58"/>
        <v>0</v>
      </c>
      <c r="O31" s="166">
        <f t="shared" si="59"/>
        <v>0</v>
      </c>
      <c r="P31" s="166">
        <f t="shared" si="60"/>
        <v>0</v>
      </c>
      <c r="Q31" s="166">
        <f t="shared" si="61"/>
        <v>0</v>
      </c>
      <c r="R31" s="166">
        <f t="shared" si="62"/>
        <v>0</v>
      </c>
      <c r="S31" s="166">
        <f t="shared" si="63"/>
        <v>0</v>
      </c>
      <c r="T31" s="166">
        <f t="shared" si="64"/>
        <v>0</v>
      </c>
      <c r="U31" s="166">
        <f t="shared" si="65"/>
        <v>0</v>
      </c>
      <c r="V31" s="166">
        <f t="shared" si="66"/>
        <v>0</v>
      </c>
      <c r="W31" s="166">
        <f t="shared" si="67"/>
        <v>0</v>
      </c>
      <c r="X31" s="166">
        <f t="shared" si="68"/>
        <v>0</v>
      </c>
      <c r="Y31" s="166">
        <f t="shared" si="69"/>
        <v>0</v>
      </c>
      <c r="Z31" s="166">
        <f t="shared" si="70"/>
        <v>0</v>
      </c>
      <c r="AA31" s="166">
        <f t="shared" si="71"/>
        <v>0</v>
      </c>
      <c r="AB31" s="166">
        <f t="shared" si="72"/>
        <v>0</v>
      </c>
      <c r="AC31" s="166" cm="1">
        <f t="array" ref="AC31">SUMPRODUCT(G31:AB31,$G$4:$AB$4)</f>
        <v>0</v>
      </c>
      <c r="AD31" s="89" t="b">
        <f t="shared" si="73"/>
        <v>1</v>
      </c>
      <c r="AE31" s="386">
        <f>IFERROR(SUMIF(服务费底表!$K:$K,服务费明细!$B31,服务费底表!$AD:$AD)/E31,0)</f>
        <v>0</v>
      </c>
      <c r="AF31" s="386">
        <f t="shared" si="74"/>
        <v>0</v>
      </c>
      <c r="AG31" s="386">
        <f>IFERROR(SUMIF(服务费底表!$K:$K,服务费明细!$B31,服务费底表!$AG:$AG)/E31,0)</f>
        <v>0</v>
      </c>
      <c r="AH31" s="386">
        <f t="shared" si="75"/>
        <v>0</v>
      </c>
      <c r="AI31" s="409"/>
      <c r="AJ31" s="563">
        <f t="shared" si="76"/>
        <v>0</v>
      </c>
      <c r="AK31" s="564">
        <f>SUMIF(服务费底表!$K:$K,服务费明细!$B31,服务费底表!$AC:$AC)</f>
        <v>0</v>
      </c>
      <c r="AL31" s="166">
        <f>SUMIFS(服务费底表!$AC:$AC,服务费底表!$K:$K,服务费明细!$B31,服务费底表!$T:$T,AL$3)</f>
        <v>0</v>
      </c>
      <c r="AM31" s="166">
        <f>SUMIFS(服务费底表!$AC:$AC,服务费底表!$K:$K,服务费明细!$B31,服务费底表!$T:$T,AM$3)</f>
        <v>0</v>
      </c>
      <c r="AN31" s="166">
        <f>SUMIFS(服务费底表!$AC:$AC,服务费底表!$K:$K,服务费明细!$B31,服务费底表!$T:$T,AN$3)</f>
        <v>0</v>
      </c>
      <c r="AO31" s="166">
        <f>SUMIFS(服务费底表!$AC:$AC,服务费底表!$K:$K,服务费明细!$B31,服务费底表!$T:$T,AO$3)</f>
        <v>0</v>
      </c>
      <c r="AP31" s="166">
        <f>SUMIFS(服务费底表!$AC:$AC,服务费底表!$K:$K,服务费明细!$B31,服务费底表!$T:$T,AP$3)</f>
        <v>0</v>
      </c>
      <c r="AQ31" s="166">
        <f>SUMIFS(服务费底表!$AC:$AC,服务费底表!$K:$K,服务费明细!$B31,服务费底表!$T:$T,AQ$3)</f>
        <v>0</v>
      </c>
      <c r="AR31" s="166">
        <f>SUMIFS(服务费底表!$AC:$AC,服务费底表!$K:$K,服务费明细!$B31,服务费底表!$T:$T,AR$3)</f>
        <v>0</v>
      </c>
      <c r="AS31" s="166">
        <f>SUMIFS(服务费底表!$AC:$AC,服务费底表!$K:$K,服务费明细!$B31,服务费底表!$T:$T,AS$3)</f>
        <v>0</v>
      </c>
      <c r="AT31" s="166">
        <f>SUMIFS(服务费底表!$AC:$AC,服务费底表!$K:$K,服务费明细!$B31,服务费底表!$T:$T,AT$3)</f>
        <v>0</v>
      </c>
      <c r="AU31" s="166">
        <f>SUMIFS(服务费底表!$AC:$AC,服务费底表!$K:$K,服务费明细!$B31,服务费底表!$T:$T,AU$3)</f>
        <v>0</v>
      </c>
      <c r="AV31" s="166">
        <f>SUMIFS(服务费底表!$AC:$AC,服务费底表!$K:$K,服务费明细!$B31,服务费底表!$T:$T,AV$3)</f>
        <v>0</v>
      </c>
      <c r="AW31" s="166">
        <f>SUMIFS(服务费底表!$AC:$AC,服务费底表!$K:$K,服务费明细!$B31,服务费底表!$T:$T,AW$3)</f>
        <v>0</v>
      </c>
      <c r="AX31" s="166">
        <f>SUMIFS(服务费底表!$AC:$AC,服务费底表!$K:$K,服务费明细!$B31,服务费底表!$T:$T,AX$3)</f>
        <v>0</v>
      </c>
      <c r="AY31" s="166">
        <f>SUMIFS(服务费底表!$AC:$AC,服务费底表!$K:$K,服务费明细!$B31,服务费底表!$T:$T,AY$3)</f>
        <v>0</v>
      </c>
      <c r="AZ31" s="166">
        <f>SUMIFS(服务费底表!$AC:$AC,服务费底表!$K:$K,服务费明细!$B31,服务费底表!$T:$T,AZ$3)</f>
        <v>0</v>
      </c>
      <c r="BA31" s="166">
        <f>SUMIFS(服务费底表!$AC:$AC,服务费底表!$K:$K,服务费明细!$B31,服务费底表!$T:$T,BA$3)</f>
        <v>0</v>
      </c>
      <c r="BB31" s="166">
        <f>SUMIFS(服务费底表!$AC:$AC,服务费底表!$K:$K,服务费明细!$B31,服务费底表!$T:$T,BB$3)</f>
        <v>0</v>
      </c>
      <c r="BC31" s="166">
        <f>SUMIFS(服务费底表!$AC:$AC,服务费底表!$K:$K,服务费明细!$B31,服务费底表!$T:$T,BC$3)</f>
        <v>0</v>
      </c>
      <c r="BD31" s="166">
        <f>SUMIFS(服务费底表!$AC:$AC,服务费底表!$K:$K,服务费明细!$B31,服务费底表!$T:$T,BD$3)</f>
        <v>0</v>
      </c>
      <c r="BE31" s="166">
        <f>SUMIFS(服务费底表!$AC:$AC,服务费底表!$K:$K,服务费明细!$B31,服务费底表!$T:$T,BE$3)</f>
        <v>0</v>
      </c>
      <c r="BF31" s="166">
        <f>SUMIFS(服务费底表!$AC:$AC,服务费底表!$K:$K,服务费明细!$B31,服务费底表!$T:$T,BF$3)</f>
        <v>0</v>
      </c>
      <c r="BG31" s="166">
        <f>SUMIFS(服务费底表!$AC:$AC,服务费底表!$K:$K,服务费明细!$B31,服务费底表!$T:$T,BG$3)</f>
        <v>0</v>
      </c>
      <c r="BI31" s="388">
        <f>SUMIFS(服务费底表!$AC:$AC,服务费底表!$K:$K,服务费明细!$B31,服务费底表!$H:$H,服务费明细!BI$3)</f>
        <v>0</v>
      </c>
      <c r="BJ31" s="388">
        <f>SUMIFS(服务费底表!$AC:$AC,服务费底表!$K:$K,服务费明细!$B31,服务费底表!$H:$H,服务费明细!BJ$3)</f>
        <v>0</v>
      </c>
      <c r="BK31" s="388">
        <f>SUMIFS(服务费底表!$AC:$AC,服务费底表!$K:$K,服务费明细!$B31,服务费底表!$H:$H,服务费明细!BK$3)</f>
        <v>0</v>
      </c>
      <c r="BL31" s="388">
        <f>SUMIFS(服务费底表!$AC:$AC,服务费底表!$K:$K,服务费明细!$B31,服务费底表!$H:$H,服务费明细!BL$3)</f>
        <v>0</v>
      </c>
      <c r="BM31" s="388">
        <f>SUMIFS(服务费底表!$AC:$AC,服务费底表!$K:$K,服务费明细!$B31,服务费底表!$H:$H,服务费明细!BM$3)</f>
        <v>0</v>
      </c>
      <c r="BN31" s="388">
        <f>SUMIFS(服务费底表!$AC:$AC,服务费底表!$K:$K,服务费明细!$B31,服务费底表!$H:$H,服务费明细!BN$3)</f>
        <v>0</v>
      </c>
      <c r="BO31" s="388">
        <f>SUMIFS(服务费底表!$AC:$AC,服务费底表!$K:$K,服务费明细!$B31,服务费底表!$H:$H,服务费明细!BO$3)</f>
        <v>0</v>
      </c>
      <c r="BQ31" s="389">
        <f>SUMIFS(服务费底表!$AD:$AD,服务费底表!$K:$K,服务费明细!$B31,服务费底表!$H:$H,服务费明细!BQ$3)</f>
        <v>0</v>
      </c>
      <c r="BR31" s="389">
        <f>SUMIFS(服务费底表!$AD:$AD,服务费底表!$K:$K,服务费明细!$B31,服务费底表!$H:$H,服务费明细!BR$3)</f>
        <v>0</v>
      </c>
      <c r="BS31" s="389">
        <f>SUMIFS(服务费底表!$AD:$AD,服务费底表!$K:$K,服务费明细!$B31,服务费底表!$H:$H,服务费明细!BS$3)</f>
        <v>0</v>
      </c>
      <c r="BT31" s="389">
        <f>SUMIFS(服务费底表!$AD:$AD,服务费底表!$K:$K,服务费明细!$B31,服务费底表!$H:$H,服务费明细!BT$3)</f>
        <v>0</v>
      </c>
      <c r="BU31" s="389">
        <f>SUMIFS(服务费底表!$AD:$AD,服务费底表!$K:$K,服务费明细!$B31,服务费底表!$H:$H,服务费明细!BU$3)</f>
        <v>0</v>
      </c>
      <c r="BV31" s="389">
        <f>SUMIFS(服务费底表!$AD:$AD,服务费底表!$K:$K,服务费明细!$B31,服务费底表!$H:$H,服务费明细!BV$3)</f>
        <v>0</v>
      </c>
      <c r="BW31" s="389">
        <f>SUMIFS(服务费底表!$AD:$AD,服务费底表!$K:$K,服务费明细!$B31,服务费底表!$H:$H,服务费明细!BW$3)</f>
        <v>0</v>
      </c>
    </row>
    <row r="32" spans="2:75">
      <c r="B32" s="89" t="s">
        <v>136</v>
      </c>
      <c r="C32" s="89" t="str">
        <f>INDEX(二三级标准!$C:$C,MATCH(服务费明细!$B32,二三级标准!$B:$B,0))</f>
        <v>ClinicalTrials翻译</v>
      </c>
      <c r="D32" s="166">
        <v>0</v>
      </c>
      <c r="E32" s="166">
        <f>IF($D32=1,1,0)</f>
        <v>0</v>
      </c>
      <c r="F32" s="89" t="str">
        <f>INDEX(二三级标准!$G:$G,MATCH(服务费明细!$B32,二三级标准!$B:$B,0))</f>
        <v>次</v>
      </c>
      <c r="G32" s="166">
        <f t="shared" si="51"/>
        <v>0</v>
      </c>
      <c r="H32" s="166">
        <f t="shared" si="52"/>
        <v>0</v>
      </c>
      <c r="I32" s="166">
        <f t="shared" si="53"/>
        <v>0</v>
      </c>
      <c r="J32" s="166">
        <f t="shared" si="54"/>
        <v>0</v>
      </c>
      <c r="K32" s="166">
        <f t="shared" si="55"/>
        <v>0</v>
      </c>
      <c r="L32" s="166">
        <f t="shared" si="56"/>
        <v>0</v>
      </c>
      <c r="M32" s="166">
        <f t="shared" si="57"/>
        <v>0</v>
      </c>
      <c r="N32" s="166">
        <f t="shared" si="58"/>
        <v>0</v>
      </c>
      <c r="O32" s="166">
        <f t="shared" si="59"/>
        <v>0</v>
      </c>
      <c r="P32" s="166">
        <f t="shared" si="60"/>
        <v>0</v>
      </c>
      <c r="Q32" s="166">
        <f t="shared" si="61"/>
        <v>0</v>
      </c>
      <c r="R32" s="166">
        <f t="shared" si="62"/>
        <v>0</v>
      </c>
      <c r="S32" s="166">
        <f t="shared" si="63"/>
        <v>0</v>
      </c>
      <c r="T32" s="166">
        <f t="shared" si="64"/>
        <v>0</v>
      </c>
      <c r="U32" s="166">
        <f t="shared" si="65"/>
        <v>0</v>
      </c>
      <c r="V32" s="166">
        <f t="shared" si="66"/>
        <v>0</v>
      </c>
      <c r="W32" s="166">
        <f t="shared" si="67"/>
        <v>0</v>
      </c>
      <c r="X32" s="166">
        <f t="shared" si="68"/>
        <v>0</v>
      </c>
      <c r="Y32" s="166">
        <f t="shared" si="69"/>
        <v>0</v>
      </c>
      <c r="Z32" s="166">
        <f t="shared" si="70"/>
        <v>0</v>
      </c>
      <c r="AA32" s="166">
        <f t="shared" si="71"/>
        <v>0</v>
      </c>
      <c r="AB32" s="166">
        <f t="shared" si="72"/>
        <v>0</v>
      </c>
      <c r="AC32" s="166" cm="1">
        <f t="array" ref="AC32">SUMPRODUCT(G32:AB32,$G$4:$AB$4)</f>
        <v>0</v>
      </c>
      <c r="AD32" s="89" t="b">
        <f t="shared" si="73"/>
        <v>1</v>
      </c>
      <c r="AE32" s="386">
        <f>IFERROR(SUMIF(服务费底表!$K:$K,服务费明细!$B32,服务费底表!$AD:$AD)/E32,0)</f>
        <v>0</v>
      </c>
      <c r="AF32" s="386">
        <f t="shared" si="74"/>
        <v>0</v>
      </c>
      <c r="AG32" s="386">
        <f>IFERROR(SUMIF(服务费底表!$K:$K,服务费明细!$B32,服务费底表!$AG:$AG)/E32,0)</f>
        <v>0</v>
      </c>
      <c r="AH32" s="386">
        <f t="shared" si="75"/>
        <v>0</v>
      </c>
      <c r="AI32" s="409"/>
      <c r="AJ32" s="563">
        <f t="shared" si="76"/>
        <v>0</v>
      </c>
      <c r="AK32" s="564">
        <f>SUMIF(服务费底表!$K:$K,服务费明细!$B32,服务费底表!$AC:$AC)</f>
        <v>0</v>
      </c>
      <c r="AL32" s="166">
        <f>SUMIFS(服务费底表!$AC:$AC,服务费底表!$K:$K,服务费明细!$B32,服务费底表!$T:$T,AL$3)</f>
        <v>0</v>
      </c>
      <c r="AM32" s="166">
        <f>SUMIFS(服务费底表!$AC:$AC,服务费底表!$K:$K,服务费明细!$B32,服务费底表!$T:$T,AM$3)</f>
        <v>0</v>
      </c>
      <c r="AN32" s="166">
        <f>SUMIFS(服务费底表!$AC:$AC,服务费底表!$K:$K,服务费明细!$B32,服务费底表!$T:$T,AN$3)</f>
        <v>0</v>
      </c>
      <c r="AO32" s="166">
        <f>SUMIFS(服务费底表!$AC:$AC,服务费底表!$K:$K,服务费明细!$B32,服务费底表!$T:$T,AO$3)</f>
        <v>0</v>
      </c>
      <c r="AP32" s="166">
        <f>SUMIFS(服务费底表!$AC:$AC,服务费底表!$K:$K,服务费明细!$B32,服务费底表!$T:$T,AP$3)</f>
        <v>0</v>
      </c>
      <c r="AQ32" s="166">
        <f>SUMIFS(服务费底表!$AC:$AC,服务费底表!$K:$K,服务费明细!$B32,服务费底表!$T:$T,AQ$3)</f>
        <v>0</v>
      </c>
      <c r="AR32" s="166">
        <f>SUMIFS(服务费底表!$AC:$AC,服务费底表!$K:$K,服务费明细!$B32,服务费底表!$T:$T,AR$3)</f>
        <v>0</v>
      </c>
      <c r="AS32" s="166">
        <f>SUMIFS(服务费底表!$AC:$AC,服务费底表!$K:$K,服务费明细!$B32,服务费底表!$T:$T,AS$3)</f>
        <v>0</v>
      </c>
      <c r="AT32" s="166">
        <f>SUMIFS(服务费底表!$AC:$AC,服务费底表!$K:$K,服务费明细!$B32,服务费底表!$T:$T,AT$3)</f>
        <v>0</v>
      </c>
      <c r="AU32" s="166">
        <f>SUMIFS(服务费底表!$AC:$AC,服务费底表!$K:$K,服务费明细!$B32,服务费底表!$T:$T,AU$3)</f>
        <v>0</v>
      </c>
      <c r="AV32" s="166">
        <f>SUMIFS(服务费底表!$AC:$AC,服务费底表!$K:$K,服务费明细!$B32,服务费底表!$T:$T,AV$3)</f>
        <v>0</v>
      </c>
      <c r="AW32" s="166">
        <f>SUMIFS(服务费底表!$AC:$AC,服务费底表!$K:$K,服务费明细!$B32,服务费底表!$T:$T,AW$3)</f>
        <v>0</v>
      </c>
      <c r="AX32" s="166">
        <f>SUMIFS(服务费底表!$AC:$AC,服务费底表!$K:$K,服务费明细!$B32,服务费底表!$T:$T,AX$3)</f>
        <v>0</v>
      </c>
      <c r="AY32" s="166">
        <f>SUMIFS(服务费底表!$AC:$AC,服务费底表!$K:$K,服务费明细!$B32,服务费底表!$T:$T,AY$3)</f>
        <v>0</v>
      </c>
      <c r="AZ32" s="166">
        <f>SUMIFS(服务费底表!$AC:$AC,服务费底表!$K:$K,服务费明细!$B32,服务费底表!$T:$T,AZ$3)</f>
        <v>0</v>
      </c>
      <c r="BA32" s="166">
        <f>SUMIFS(服务费底表!$AC:$AC,服务费底表!$K:$K,服务费明细!$B32,服务费底表!$T:$T,BA$3)</f>
        <v>0</v>
      </c>
      <c r="BB32" s="166">
        <f>SUMIFS(服务费底表!$AC:$AC,服务费底表!$K:$K,服务费明细!$B32,服务费底表!$T:$T,BB$3)</f>
        <v>0</v>
      </c>
      <c r="BC32" s="166">
        <f>SUMIFS(服务费底表!$AC:$AC,服务费底表!$K:$K,服务费明细!$B32,服务费底表!$T:$T,BC$3)</f>
        <v>0</v>
      </c>
      <c r="BD32" s="166">
        <f>SUMIFS(服务费底表!$AC:$AC,服务费底表!$K:$K,服务费明细!$B32,服务费底表!$T:$T,BD$3)</f>
        <v>0</v>
      </c>
      <c r="BE32" s="166">
        <f>SUMIFS(服务费底表!$AC:$AC,服务费底表!$K:$K,服务费明细!$B32,服务费底表!$T:$T,BE$3)</f>
        <v>0</v>
      </c>
      <c r="BF32" s="166">
        <f>SUMIFS(服务费底表!$AC:$AC,服务费底表!$K:$K,服务费明细!$B32,服务费底表!$T:$T,BF$3)</f>
        <v>0</v>
      </c>
      <c r="BG32" s="166">
        <f>SUMIFS(服务费底表!$AC:$AC,服务费底表!$K:$K,服务费明细!$B32,服务费底表!$T:$T,BG$3)</f>
        <v>0</v>
      </c>
      <c r="BI32" s="388">
        <f>SUMIFS(服务费底表!$AC:$AC,服务费底表!$K:$K,服务费明细!$B32,服务费底表!$H:$H,服务费明细!BI$3)</f>
        <v>0</v>
      </c>
      <c r="BJ32" s="388">
        <f>SUMIFS(服务费底表!$AC:$AC,服务费底表!$K:$K,服务费明细!$B32,服务费底表!$H:$H,服务费明细!BJ$3)</f>
        <v>0</v>
      </c>
      <c r="BK32" s="388">
        <f>SUMIFS(服务费底表!$AC:$AC,服务费底表!$K:$K,服务费明细!$B32,服务费底表!$H:$H,服务费明细!BK$3)</f>
        <v>0</v>
      </c>
      <c r="BL32" s="388">
        <f>SUMIFS(服务费底表!$AC:$AC,服务费底表!$K:$K,服务费明细!$B32,服务费底表!$H:$H,服务费明细!BL$3)</f>
        <v>0</v>
      </c>
      <c r="BM32" s="388">
        <f>SUMIFS(服务费底表!$AC:$AC,服务费底表!$K:$K,服务费明细!$B32,服务费底表!$H:$H,服务费明细!BM$3)</f>
        <v>0</v>
      </c>
      <c r="BN32" s="388">
        <f>SUMIFS(服务费底表!$AC:$AC,服务费底表!$K:$K,服务费明细!$B32,服务费底表!$H:$H,服务费明细!BN$3)</f>
        <v>0</v>
      </c>
      <c r="BO32" s="388">
        <f>SUMIFS(服务费底表!$AC:$AC,服务费底表!$K:$K,服务费明细!$B32,服务费底表!$H:$H,服务费明细!BO$3)</f>
        <v>0</v>
      </c>
      <c r="BQ32" s="389">
        <f>SUMIFS(服务费底表!$AD:$AD,服务费底表!$K:$K,服务费明细!$B32,服务费底表!$H:$H,服务费明细!BQ$3)</f>
        <v>0</v>
      </c>
      <c r="BR32" s="389">
        <f>SUMIFS(服务费底表!$AD:$AD,服务费底表!$K:$K,服务费明细!$B32,服务费底表!$H:$H,服务费明细!BR$3)</f>
        <v>0</v>
      </c>
      <c r="BS32" s="389">
        <f>SUMIFS(服务费底表!$AD:$AD,服务费底表!$K:$K,服务费明细!$B32,服务费底表!$H:$H,服务费明细!BS$3)</f>
        <v>0</v>
      </c>
      <c r="BT32" s="389">
        <f>SUMIFS(服务费底表!$AD:$AD,服务费底表!$K:$K,服务费明细!$B32,服务费底表!$H:$H,服务费明细!BT$3)</f>
        <v>0</v>
      </c>
      <c r="BU32" s="389">
        <f>SUMIFS(服务费底表!$AD:$AD,服务费底表!$K:$K,服务费明细!$B32,服务费底表!$H:$H,服务费明细!BU$3)</f>
        <v>0</v>
      </c>
      <c r="BV32" s="389">
        <f>SUMIFS(服务费底表!$AD:$AD,服务费底表!$K:$K,服务费明细!$B32,服务费底表!$H:$H,服务费明细!BV$3)</f>
        <v>0</v>
      </c>
      <c r="BW32" s="389">
        <f>SUMIFS(服务费底表!$AD:$AD,服务费底表!$K:$K,服务费明细!$B32,服务费底表!$H:$H,服务费明细!BW$3)</f>
        <v>0</v>
      </c>
    </row>
    <row r="33" spans="2:75">
      <c r="B33" s="89" t="s">
        <v>997</v>
      </c>
      <c r="C33" s="89" t="str">
        <f>INDEX(二三级标准!$C:$C,MATCH(服务费明细!$B33,二三级标准!$B:$B,0))</f>
        <v>卫健委备案</v>
      </c>
      <c r="D33" s="166">
        <f>IF(报价场景="非注册",1,0)</f>
        <v>0</v>
      </c>
      <c r="E33" s="166">
        <f>IF($D33=1,1,0)</f>
        <v>0</v>
      </c>
      <c r="F33" s="89" t="str">
        <f>INDEX(二三级标准!$G:$G,MATCH(服务费明细!$B33,二三级标准!$B:$B,0))</f>
        <v>次</v>
      </c>
      <c r="G33" s="166">
        <f t="shared" si="51"/>
        <v>0</v>
      </c>
      <c r="H33" s="166">
        <f t="shared" si="52"/>
        <v>0</v>
      </c>
      <c r="I33" s="166">
        <f t="shared" si="53"/>
        <v>0</v>
      </c>
      <c r="J33" s="166">
        <f t="shared" si="54"/>
        <v>0</v>
      </c>
      <c r="K33" s="166">
        <f t="shared" si="55"/>
        <v>0</v>
      </c>
      <c r="L33" s="166">
        <f t="shared" si="56"/>
        <v>0</v>
      </c>
      <c r="M33" s="166">
        <f t="shared" si="57"/>
        <v>0</v>
      </c>
      <c r="N33" s="166">
        <f t="shared" si="58"/>
        <v>0</v>
      </c>
      <c r="O33" s="166">
        <f t="shared" si="59"/>
        <v>0</v>
      </c>
      <c r="P33" s="166">
        <f t="shared" si="60"/>
        <v>0</v>
      </c>
      <c r="Q33" s="166">
        <f t="shared" si="61"/>
        <v>0</v>
      </c>
      <c r="R33" s="166">
        <f t="shared" si="62"/>
        <v>0</v>
      </c>
      <c r="S33" s="166">
        <f t="shared" si="63"/>
        <v>0</v>
      </c>
      <c r="T33" s="166">
        <f t="shared" si="64"/>
        <v>0</v>
      </c>
      <c r="U33" s="166">
        <f t="shared" si="65"/>
        <v>0</v>
      </c>
      <c r="V33" s="166">
        <f t="shared" si="66"/>
        <v>0</v>
      </c>
      <c r="W33" s="166">
        <f t="shared" si="67"/>
        <v>0</v>
      </c>
      <c r="X33" s="166">
        <f t="shared" si="68"/>
        <v>0</v>
      </c>
      <c r="Y33" s="166">
        <f t="shared" si="69"/>
        <v>0</v>
      </c>
      <c r="Z33" s="166">
        <f t="shared" si="70"/>
        <v>0</v>
      </c>
      <c r="AA33" s="166">
        <f t="shared" si="71"/>
        <v>0</v>
      </c>
      <c r="AB33" s="166">
        <f t="shared" si="72"/>
        <v>0</v>
      </c>
      <c r="AC33" s="166" cm="1">
        <f t="array" ref="AC33">SUMPRODUCT(G33:AB33,$G$4:$AB$4)</f>
        <v>0</v>
      </c>
      <c r="AD33" s="89" t="b">
        <f t="shared" si="73"/>
        <v>1</v>
      </c>
      <c r="AE33" s="386">
        <f>IFERROR(SUMIF(服务费底表!$K:$K,服务费明细!$B33,服务费底表!$AD:$AD)/E33,0)</f>
        <v>0</v>
      </c>
      <c r="AF33" s="386">
        <f t="shared" si="74"/>
        <v>0</v>
      </c>
      <c r="AG33" s="386">
        <f>IFERROR(SUMIF(服务费底表!$K:$K,服务费明细!$B33,服务费底表!$AG:$AG)/E33,0)</f>
        <v>0</v>
      </c>
      <c r="AH33" s="386">
        <f t="shared" si="75"/>
        <v>0</v>
      </c>
      <c r="AI33" s="409"/>
      <c r="AJ33" s="563">
        <f t="shared" ref="AJ33" si="77">IF(D33=1,AK33/E33,0)</f>
        <v>0</v>
      </c>
      <c r="AK33" s="564">
        <f>SUMIF(服务费底表!$K:$K,服务费明细!$B33,服务费底表!$AC:$AC)</f>
        <v>0</v>
      </c>
      <c r="AL33" s="166">
        <f>SUMIFS(服务费底表!$AC:$AC,服务费底表!$K:$K,服务费明细!$B33,服务费底表!$T:$T,AL$3)</f>
        <v>0</v>
      </c>
      <c r="AM33" s="166">
        <f>SUMIFS(服务费底表!$AC:$AC,服务费底表!$K:$K,服务费明细!$B33,服务费底表!$T:$T,AM$3)</f>
        <v>0</v>
      </c>
      <c r="AN33" s="166">
        <f>SUMIFS(服务费底表!$AC:$AC,服务费底表!$K:$K,服务费明细!$B33,服务费底表!$T:$T,AN$3)</f>
        <v>0</v>
      </c>
      <c r="AO33" s="166">
        <f>SUMIFS(服务费底表!$AC:$AC,服务费底表!$K:$K,服务费明细!$B33,服务费底表!$T:$T,AO$3)</f>
        <v>0</v>
      </c>
      <c r="AP33" s="166">
        <f>SUMIFS(服务费底表!$AC:$AC,服务费底表!$K:$K,服务费明细!$B33,服务费底表!$T:$T,AP$3)</f>
        <v>0</v>
      </c>
      <c r="AQ33" s="166">
        <f>SUMIFS(服务费底表!$AC:$AC,服务费底表!$K:$K,服务费明细!$B33,服务费底表!$T:$T,AQ$3)</f>
        <v>0</v>
      </c>
      <c r="AR33" s="166">
        <f>SUMIFS(服务费底表!$AC:$AC,服务费底表!$K:$K,服务费明细!$B33,服务费底表!$T:$T,AR$3)</f>
        <v>0</v>
      </c>
      <c r="AS33" s="166">
        <f>SUMIFS(服务费底表!$AC:$AC,服务费底表!$K:$K,服务费明细!$B33,服务费底表!$T:$T,AS$3)</f>
        <v>0</v>
      </c>
      <c r="AT33" s="166">
        <f>SUMIFS(服务费底表!$AC:$AC,服务费底表!$K:$K,服务费明细!$B33,服务费底表!$T:$T,AT$3)</f>
        <v>0</v>
      </c>
      <c r="AU33" s="166">
        <f>SUMIFS(服务费底表!$AC:$AC,服务费底表!$K:$K,服务费明细!$B33,服务费底表!$T:$T,AU$3)</f>
        <v>0</v>
      </c>
      <c r="AV33" s="166">
        <f>SUMIFS(服务费底表!$AC:$AC,服务费底表!$K:$K,服务费明细!$B33,服务费底表!$T:$T,AV$3)</f>
        <v>0</v>
      </c>
      <c r="AW33" s="166">
        <f>SUMIFS(服务费底表!$AC:$AC,服务费底表!$K:$K,服务费明细!$B33,服务费底表!$T:$T,AW$3)</f>
        <v>0</v>
      </c>
      <c r="AX33" s="166">
        <f>SUMIFS(服务费底表!$AC:$AC,服务费底表!$K:$K,服务费明细!$B33,服务费底表!$T:$T,AX$3)</f>
        <v>0</v>
      </c>
      <c r="AY33" s="166">
        <f>SUMIFS(服务费底表!$AC:$AC,服务费底表!$K:$K,服务费明细!$B33,服务费底表!$T:$T,AY$3)</f>
        <v>0</v>
      </c>
      <c r="AZ33" s="166">
        <f>SUMIFS(服务费底表!$AC:$AC,服务费底表!$K:$K,服务费明细!$B33,服务费底表!$T:$T,AZ$3)</f>
        <v>0</v>
      </c>
      <c r="BA33" s="166">
        <f>SUMIFS(服务费底表!$AC:$AC,服务费底表!$K:$K,服务费明细!$B33,服务费底表!$T:$T,BA$3)</f>
        <v>0</v>
      </c>
      <c r="BB33" s="166">
        <f>SUMIFS(服务费底表!$AC:$AC,服务费底表!$K:$K,服务费明细!$B33,服务费底表!$T:$T,BB$3)</f>
        <v>0</v>
      </c>
      <c r="BC33" s="166">
        <f>SUMIFS(服务费底表!$AC:$AC,服务费底表!$K:$K,服务费明细!$B33,服务费底表!$T:$T,BC$3)</f>
        <v>0</v>
      </c>
      <c r="BD33" s="166">
        <f>SUMIFS(服务费底表!$AC:$AC,服务费底表!$K:$K,服务费明细!$B33,服务费底表!$T:$T,BD$3)</f>
        <v>0</v>
      </c>
      <c r="BE33" s="166">
        <f>SUMIFS(服务费底表!$AC:$AC,服务费底表!$K:$K,服务费明细!$B33,服务费底表!$T:$T,BE$3)</f>
        <v>0</v>
      </c>
      <c r="BF33" s="166">
        <f>SUMIFS(服务费底表!$AC:$AC,服务费底表!$K:$K,服务费明细!$B33,服务费底表!$T:$T,BF$3)</f>
        <v>0</v>
      </c>
      <c r="BG33" s="166">
        <f>SUMIFS(服务费底表!$AC:$AC,服务费底表!$K:$K,服务费明细!$B33,服务费底表!$T:$T,BG$3)</f>
        <v>0</v>
      </c>
      <c r="BI33" s="388">
        <f>SUMIFS(服务费底表!$AC:$AC,服务费底表!$K:$K,服务费明细!$B33,服务费底表!$H:$H,服务费明细!BI$3)</f>
        <v>0</v>
      </c>
      <c r="BJ33" s="388">
        <f>SUMIFS(服务费底表!$AC:$AC,服务费底表!$K:$K,服务费明细!$B33,服务费底表!$H:$H,服务费明细!BJ$3)</f>
        <v>0</v>
      </c>
      <c r="BK33" s="388">
        <f>SUMIFS(服务费底表!$AC:$AC,服务费底表!$K:$K,服务费明细!$B33,服务费底表!$H:$H,服务费明细!BK$3)</f>
        <v>0</v>
      </c>
      <c r="BL33" s="388">
        <f>SUMIFS(服务费底表!$AC:$AC,服务费底表!$K:$K,服务费明细!$B33,服务费底表!$H:$H,服务费明细!BL$3)</f>
        <v>0</v>
      </c>
      <c r="BM33" s="388">
        <f>SUMIFS(服务费底表!$AC:$AC,服务费底表!$K:$K,服务费明细!$B33,服务费底表!$H:$H,服务费明细!BM$3)</f>
        <v>0</v>
      </c>
      <c r="BN33" s="388">
        <f>SUMIFS(服务费底表!$AC:$AC,服务费底表!$K:$K,服务费明细!$B33,服务费底表!$H:$H,服务费明细!BN$3)</f>
        <v>0</v>
      </c>
      <c r="BO33" s="388">
        <f>SUMIFS(服务费底表!$AC:$AC,服务费底表!$K:$K,服务费明细!$B33,服务费底表!$H:$H,服务费明细!BO$3)</f>
        <v>0</v>
      </c>
      <c r="BQ33" s="389">
        <f>SUMIFS(服务费底表!$AD:$AD,服务费底表!$K:$K,服务费明细!$B33,服务费底表!$H:$H,服务费明细!BQ$3)</f>
        <v>0</v>
      </c>
      <c r="BR33" s="389">
        <f>SUMIFS(服务费底表!$AD:$AD,服务费底表!$K:$K,服务费明细!$B33,服务费底表!$H:$H,服务费明细!BR$3)</f>
        <v>0</v>
      </c>
      <c r="BS33" s="389">
        <f>SUMIFS(服务费底表!$AD:$AD,服务费底表!$K:$K,服务费明细!$B33,服务费底表!$H:$H,服务费明细!BS$3)</f>
        <v>0</v>
      </c>
      <c r="BT33" s="389">
        <f>SUMIFS(服务费底表!$AD:$AD,服务费底表!$K:$K,服务费明细!$B33,服务费底表!$H:$H,服务费明细!BT$3)</f>
        <v>0</v>
      </c>
      <c r="BU33" s="389">
        <f>SUMIFS(服务费底表!$AD:$AD,服务费底表!$K:$K,服务费明细!$B33,服务费底表!$H:$H,服务费明细!BU$3)</f>
        <v>0</v>
      </c>
      <c r="BV33" s="389">
        <f>SUMIFS(服务费底表!$AD:$AD,服务费底表!$K:$K,服务费明细!$B33,服务费底表!$H:$H,服务费明细!BV$3)</f>
        <v>0</v>
      </c>
      <c r="BW33" s="389">
        <f>SUMIFS(服务费底表!$AD:$AD,服务费底表!$K:$K,服务费明细!$B33,服务费底表!$H:$H,服务费明细!BW$3)</f>
        <v>0</v>
      </c>
    </row>
    <row r="34" ht="15.6" spans="2:75">
      <c r="B34" s="88" t="s">
        <v>918</v>
      </c>
      <c r="C34" s="88" t="str">
        <f>INDEX(二三级标准!$Q:$Q,MATCH(服务费明细!$B34,二三级标准!$O:$O,0))</f>
        <v>遗传办递交和跟进</v>
      </c>
      <c r="D34" s="376">
        <f>IF(AND(临床监查YN=1,遗传办递交和跟进&lt;&gt;"不适用"),1,0)</f>
        <v>1</v>
      </c>
      <c r="E34" s="377"/>
      <c r="F34" s="378"/>
      <c r="G34" s="429">
        <f>SUM(G35:G38)</f>
        <v>48</v>
      </c>
      <c r="H34" s="429">
        <f t="shared" ref="H34:AB34" si="78">SUM(H35:H38)</f>
        <v>5</v>
      </c>
      <c r="I34" s="429">
        <f t="shared" si="78"/>
        <v>24</v>
      </c>
      <c r="J34" s="429">
        <f t="shared" si="78"/>
        <v>0</v>
      </c>
      <c r="K34" s="429">
        <f t="shared" si="78"/>
        <v>0</v>
      </c>
      <c r="L34" s="429">
        <f t="shared" si="78"/>
        <v>0</v>
      </c>
      <c r="M34" s="429">
        <f t="shared" si="78"/>
        <v>0</v>
      </c>
      <c r="N34" s="429">
        <f t="shared" si="78"/>
        <v>0</v>
      </c>
      <c r="O34" s="429">
        <f t="shared" si="78"/>
        <v>0</v>
      </c>
      <c r="P34" s="429">
        <f t="shared" si="78"/>
        <v>0</v>
      </c>
      <c r="Q34" s="429">
        <f t="shared" si="78"/>
        <v>0</v>
      </c>
      <c r="R34" s="429">
        <f t="shared" si="78"/>
        <v>0</v>
      </c>
      <c r="S34" s="429">
        <f t="shared" si="78"/>
        <v>0</v>
      </c>
      <c r="T34" s="429">
        <f t="shared" si="78"/>
        <v>0</v>
      </c>
      <c r="U34" s="429">
        <f t="shared" si="78"/>
        <v>0</v>
      </c>
      <c r="V34" s="429">
        <f t="shared" si="78"/>
        <v>0</v>
      </c>
      <c r="W34" s="429">
        <f t="shared" si="78"/>
        <v>0</v>
      </c>
      <c r="X34" s="429">
        <f t="shared" si="78"/>
        <v>0</v>
      </c>
      <c r="Y34" s="429">
        <f t="shared" si="78"/>
        <v>0</v>
      </c>
      <c r="Z34" s="429">
        <f t="shared" si="78"/>
        <v>0</v>
      </c>
      <c r="AA34" s="429">
        <f t="shared" si="78"/>
        <v>0</v>
      </c>
      <c r="AB34" s="429">
        <f t="shared" si="78"/>
        <v>0</v>
      </c>
      <c r="AC34" s="378"/>
      <c r="AD34" s="378">
        <f>SUM(G34:AC34)</f>
        <v>77</v>
      </c>
      <c r="AE34" s="379"/>
      <c r="AF34" s="380">
        <f>SUM(AF35:AF38)</f>
        <v>33020</v>
      </c>
      <c r="AG34" s="380"/>
      <c r="AH34" s="380">
        <f>SUM(AH35:AH38)</f>
        <v>33020</v>
      </c>
      <c r="AI34" s="570"/>
      <c r="AJ34" s="566"/>
      <c r="AK34" s="559">
        <f>SUM(AK35:AK38)</f>
        <v>77</v>
      </c>
      <c r="AL34" s="571"/>
      <c r="AM34" s="572"/>
      <c r="AN34" s="572"/>
      <c r="AO34" s="572"/>
      <c r="AP34" s="572"/>
      <c r="AQ34" s="572"/>
      <c r="AR34" s="572"/>
      <c r="AS34" s="572"/>
      <c r="AT34" s="572"/>
      <c r="AU34" s="572"/>
      <c r="AV34" s="572"/>
      <c r="AW34" s="572"/>
      <c r="AX34" s="572"/>
      <c r="AY34" s="572"/>
      <c r="AZ34" s="572"/>
      <c r="BA34" s="572"/>
      <c r="BB34" s="572"/>
      <c r="BC34" s="572"/>
      <c r="BD34" s="572"/>
      <c r="BE34" s="572"/>
      <c r="BF34" s="572"/>
      <c r="BG34" s="572"/>
      <c r="BH34" s="572"/>
      <c r="BI34" s="568">
        <f t="shared" ref="BI34:BO34" si="79">SUM(BI35:BI38)</f>
        <v>0</v>
      </c>
      <c r="BJ34" s="568">
        <f t="shared" si="79"/>
        <v>77</v>
      </c>
      <c r="BK34" s="568">
        <f t="shared" si="79"/>
        <v>0</v>
      </c>
      <c r="BL34" s="568">
        <f t="shared" si="79"/>
        <v>0</v>
      </c>
      <c r="BM34" s="568">
        <f t="shared" si="79"/>
        <v>0</v>
      </c>
      <c r="BN34" s="568">
        <f t="shared" si="79"/>
        <v>0</v>
      </c>
      <c r="BO34" s="568">
        <f t="shared" si="79"/>
        <v>0</v>
      </c>
      <c r="BQ34" s="569">
        <f t="shared" ref="BQ34:BW34" si="80">SUM(BQ35:BQ38)</f>
        <v>0</v>
      </c>
      <c r="BR34" s="569">
        <f t="shared" si="80"/>
        <v>33020</v>
      </c>
      <c r="BS34" s="569">
        <f t="shared" si="80"/>
        <v>0</v>
      </c>
      <c r="BT34" s="569">
        <f t="shared" si="80"/>
        <v>0</v>
      </c>
      <c r="BU34" s="569">
        <f t="shared" si="80"/>
        <v>0</v>
      </c>
      <c r="BV34" s="569">
        <f t="shared" si="80"/>
        <v>0</v>
      </c>
      <c r="BW34" s="569">
        <f t="shared" si="80"/>
        <v>0</v>
      </c>
    </row>
    <row r="35" spans="2:75">
      <c r="B35" s="89" t="s">
        <v>998</v>
      </c>
      <c r="C35" s="89" t="str">
        <f>INDEX(二三级标准!$C:$C,MATCH(服务费明细!$B35,二三级标准!$B:$B,0))</f>
        <v>遗传办首次申报</v>
      </c>
      <c r="D35" s="166">
        <f>IF($D$34=1,1,0)</f>
        <v>1</v>
      </c>
      <c r="E35" s="166">
        <f>IF($D35=1,1,0)</f>
        <v>1</v>
      </c>
      <c r="F35" s="89" t="str">
        <f>INDEX(二三级标准!$G:$G,MATCH(服务费明细!$B35,二三级标准!$B:$B,0))</f>
        <v>次</v>
      </c>
      <c r="G35" s="166">
        <f t="shared" ref="G35:AB35" si="81">AL35</f>
        <v>0</v>
      </c>
      <c r="H35" s="166">
        <f t="shared" si="81"/>
        <v>3</v>
      </c>
      <c r="I35" s="166">
        <f t="shared" si="81"/>
        <v>15</v>
      </c>
      <c r="J35" s="166">
        <f t="shared" si="81"/>
        <v>0</v>
      </c>
      <c r="K35" s="166">
        <f t="shared" si="81"/>
        <v>0</v>
      </c>
      <c r="L35" s="166">
        <f t="shared" si="81"/>
        <v>0</v>
      </c>
      <c r="M35" s="166">
        <f t="shared" si="81"/>
        <v>0</v>
      </c>
      <c r="N35" s="166">
        <f t="shared" si="81"/>
        <v>0</v>
      </c>
      <c r="O35" s="166">
        <f t="shared" si="81"/>
        <v>0</v>
      </c>
      <c r="P35" s="166">
        <f t="shared" si="81"/>
        <v>0</v>
      </c>
      <c r="Q35" s="166">
        <f t="shared" si="81"/>
        <v>0</v>
      </c>
      <c r="R35" s="166">
        <f t="shared" si="81"/>
        <v>0</v>
      </c>
      <c r="S35" s="166">
        <f t="shared" si="81"/>
        <v>0</v>
      </c>
      <c r="T35" s="166">
        <f t="shared" si="81"/>
        <v>0</v>
      </c>
      <c r="U35" s="166">
        <f t="shared" si="81"/>
        <v>0</v>
      </c>
      <c r="V35" s="166">
        <f t="shared" si="81"/>
        <v>0</v>
      </c>
      <c r="W35" s="166">
        <f t="shared" si="81"/>
        <v>0</v>
      </c>
      <c r="X35" s="166">
        <f t="shared" si="81"/>
        <v>0</v>
      </c>
      <c r="Y35" s="166">
        <f t="shared" si="81"/>
        <v>0</v>
      </c>
      <c r="Z35" s="166">
        <f t="shared" si="81"/>
        <v>0</v>
      </c>
      <c r="AA35" s="166">
        <f t="shared" si="81"/>
        <v>0</v>
      </c>
      <c r="AB35" s="166">
        <f t="shared" si="81"/>
        <v>0</v>
      </c>
      <c r="AC35" s="166" cm="1">
        <f t="array" ref="AC35">SUMPRODUCT(G35:AB35,$G$4:$AB$4)</f>
        <v>10410</v>
      </c>
      <c r="AD35" s="89" t="b">
        <f>IF(AF35=AC35,TRUE,FALSE)</f>
        <v>1</v>
      </c>
      <c r="AE35" s="386">
        <f>IFERROR(SUMIF(服务费底表!$K:$K,服务费明细!$B35,服务费底表!$AD:$AD)/E35,0)</f>
        <v>10410</v>
      </c>
      <c r="AF35" s="386">
        <f t="shared" ref="AF35:AF38" si="82">E35*AE35</f>
        <v>10410</v>
      </c>
      <c r="AG35" s="386">
        <f>IFERROR(SUMIF(服务费底表!$K:$K,服务费明细!$B35,服务费底表!$AG:$AG)/E35,0)</f>
        <v>10410</v>
      </c>
      <c r="AH35" s="386">
        <f t="shared" ref="AH35:AH38" si="83">AG35*E35</f>
        <v>10410</v>
      </c>
      <c r="AI35" s="409"/>
      <c r="AJ35" s="563">
        <f>IF(D35=1,AK35/E35,0)</f>
        <v>18</v>
      </c>
      <c r="AK35" s="564">
        <f>SUMIF(服务费底表!$K:$K,服务费明细!$B35,服务费底表!$AC:$AC)</f>
        <v>18</v>
      </c>
      <c r="AL35" s="166">
        <f>SUMIFS(服务费底表!$AC:$AC,服务费底表!$K:$K,服务费明细!$B35,服务费底表!$T:$T,AL$3)</f>
        <v>0</v>
      </c>
      <c r="AM35" s="166">
        <f>SUMIFS(服务费底表!$AC:$AC,服务费底表!$K:$K,服务费明细!$B35,服务费底表!$T:$T,AM$3)</f>
        <v>3</v>
      </c>
      <c r="AN35" s="166">
        <f>SUMIFS(服务费底表!$AC:$AC,服务费底表!$K:$K,服务费明细!$B35,服务费底表!$T:$T,AN$3)</f>
        <v>15</v>
      </c>
      <c r="AO35" s="166">
        <f>SUMIFS(服务费底表!$AC:$AC,服务费底表!$K:$K,服务费明细!$B35,服务费底表!$T:$T,AO$3)</f>
        <v>0</v>
      </c>
      <c r="AP35" s="166">
        <f>SUMIFS(服务费底表!$AC:$AC,服务费底表!$K:$K,服务费明细!$B35,服务费底表!$T:$T,AP$3)</f>
        <v>0</v>
      </c>
      <c r="AQ35" s="166">
        <f>SUMIFS(服务费底表!$AC:$AC,服务费底表!$K:$K,服务费明细!$B35,服务费底表!$T:$T,AQ$3)</f>
        <v>0</v>
      </c>
      <c r="AR35" s="166">
        <f>SUMIFS(服务费底表!$AC:$AC,服务费底表!$K:$K,服务费明细!$B35,服务费底表!$T:$T,AR$3)</f>
        <v>0</v>
      </c>
      <c r="AS35" s="166">
        <f>SUMIFS(服务费底表!$AC:$AC,服务费底表!$K:$K,服务费明细!$B35,服务费底表!$T:$T,AS$3)</f>
        <v>0</v>
      </c>
      <c r="AT35" s="166">
        <f>SUMIFS(服务费底表!$AC:$AC,服务费底表!$K:$K,服务费明细!$B35,服务费底表!$T:$T,AT$3)</f>
        <v>0</v>
      </c>
      <c r="AU35" s="166">
        <f>SUMIFS(服务费底表!$AC:$AC,服务费底表!$K:$K,服务费明细!$B35,服务费底表!$T:$T,AU$3)</f>
        <v>0</v>
      </c>
      <c r="AV35" s="166">
        <f>SUMIFS(服务费底表!$AC:$AC,服务费底表!$K:$K,服务费明细!$B35,服务费底表!$T:$T,AV$3)</f>
        <v>0</v>
      </c>
      <c r="AW35" s="166">
        <f>SUMIFS(服务费底表!$AC:$AC,服务费底表!$K:$K,服务费明细!$B35,服务费底表!$T:$T,AW$3)</f>
        <v>0</v>
      </c>
      <c r="AX35" s="166">
        <f>SUMIFS(服务费底表!$AC:$AC,服务费底表!$K:$K,服务费明细!$B35,服务费底表!$T:$T,AX$3)</f>
        <v>0</v>
      </c>
      <c r="AY35" s="166">
        <f>SUMIFS(服务费底表!$AC:$AC,服务费底表!$K:$K,服务费明细!$B35,服务费底表!$T:$T,AY$3)</f>
        <v>0</v>
      </c>
      <c r="AZ35" s="166">
        <f>SUMIFS(服务费底表!$AC:$AC,服务费底表!$K:$K,服务费明细!$B35,服务费底表!$T:$T,AZ$3)</f>
        <v>0</v>
      </c>
      <c r="BA35" s="166">
        <f>SUMIFS(服务费底表!$AC:$AC,服务费底表!$K:$K,服务费明细!$B35,服务费底表!$T:$T,BA$3)</f>
        <v>0</v>
      </c>
      <c r="BB35" s="166">
        <f>SUMIFS(服务费底表!$AC:$AC,服务费底表!$K:$K,服务费明细!$B35,服务费底表!$T:$T,BB$3)</f>
        <v>0</v>
      </c>
      <c r="BC35" s="166">
        <f>SUMIFS(服务费底表!$AC:$AC,服务费底表!$K:$K,服务费明细!$B35,服务费底表!$T:$T,BC$3)</f>
        <v>0</v>
      </c>
      <c r="BD35" s="166">
        <f>SUMIFS(服务费底表!$AC:$AC,服务费底表!$K:$K,服务费明细!$B35,服务费底表!$T:$T,BD$3)</f>
        <v>0</v>
      </c>
      <c r="BE35" s="166">
        <f>SUMIFS(服务费底表!$AC:$AC,服务费底表!$K:$K,服务费明细!$B35,服务费底表!$T:$T,BE$3)</f>
        <v>0</v>
      </c>
      <c r="BF35" s="166">
        <f>SUMIFS(服务费底表!$AC:$AC,服务费底表!$K:$K,服务费明细!$B35,服务费底表!$T:$T,BF$3)</f>
        <v>0</v>
      </c>
      <c r="BG35" s="166">
        <f>SUMIFS(服务费底表!$AC:$AC,服务费底表!$K:$K,服务费明细!$B35,服务费底表!$T:$T,BG$3)</f>
        <v>0</v>
      </c>
      <c r="BI35" s="388">
        <f>SUMIFS(服务费底表!$AC:$AC,服务费底表!$K:$K,服务费明细!$B35,服务费底表!$H:$H,服务费明细!BI$3)</f>
        <v>0</v>
      </c>
      <c r="BJ35" s="388">
        <f>SUMIFS(服务费底表!$AC:$AC,服务费底表!$K:$K,服务费明细!$B35,服务费底表!$H:$H,服务费明细!BJ$3)</f>
        <v>18</v>
      </c>
      <c r="BK35" s="388">
        <f>SUMIFS(服务费底表!$AC:$AC,服务费底表!$K:$K,服务费明细!$B35,服务费底表!$H:$H,服务费明细!BK$3)</f>
        <v>0</v>
      </c>
      <c r="BL35" s="388">
        <f>SUMIFS(服务费底表!$AC:$AC,服务费底表!$K:$K,服务费明细!$B35,服务费底表!$H:$H,服务费明细!BL$3)</f>
        <v>0</v>
      </c>
      <c r="BM35" s="388">
        <f>SUMIFS(服务费底表!$AC:$AC,服务费底表!$K:$K,服务费明细!$B35,服务费底表!$H:$H,服务费明细!BM$3)</f>
        <v>0</v>
      </c>
      <c r="BN35" s="388">
        <f>SUMIFS(服务费底表!$AC:$AC,服务费底表!$K:$K,服务费明细!$B35,服务费底表!$H:$H,服务费明细!BN$3)</f>
        <v>0</v>
      </c>
      <c r="BO35" s="388">
        <f>SUMIFS(服务费底表!$AC:$AC,服务费底表!$K:$K,服务费明细!$B35,服务费底表!$H:$H,服务费明细!BO$3)</f>
        <v>0</v>
      </c>
      <c r="BQ35" s="389">
        <f>SUMIFS(服务费底表!$AD:$AD,服务费底表!$K:$K,服务费明细!$B35,服务费底表!$H:$H,服务费明细!BQ$3)</f>
        <v>0</v>
      </c>
      <c r="BR35" s="389">
        <f>SUMIFS(服务费底表!$AD:$AD,服务费底表!$K:$K,服务费明细!$B35,服务费底表!$H:$H,服务费明细!BR$3)</f>
        <v>10410</v>
      </c>
      <c r="BS35" s="389">
        <f>SUMIFS(服务费底表!$AD:$AD,服务费底表!$K:$K,服务费明细!$B35,服务费底表!$H:$H,服务费明细!BS$3)</f>
        <v>0</v>
      </c>
      <c r="BT35" s="389">
        <f>SUMIFS(服务费底表!$AD:$AD,服务费底表!$K:$K,服务费明细!$B35,服务费底表!$H:$H,服务费明细!BT$3)</f>
        <v>0</v>
      </c>
      <c r="BU35" s="389">
        <f>SUMIFS(服务费底表!$AD:$AD,服务费底表!$K:$K,服务费明细!$B35,服务费底表!$H:$H,服务费明细!BU$3)</f>
        <v>0</v>
      </c>
      <c r="BV35" s="389">
        <f>SUMIFS(服务费底表!$AD:$AD,服务费底表!$K:$K,服务费明细!$B35,服务费底表!$H:$H,服务费明细!BV$3)</f>
        <v>0</v>
      </c>
      <c r="BW35" s="389">
        <f>SUMIFS(服务费底表!$AD:$AD,服务费底表!$K:$K,服务费明细!$B35,服务费底表!$H:$H,服务费明细!BW$3)</f>
        <v>0</v>
      </c>
    </row>
    <row r="36" spans="2:75">
      <c r="B36" s="89" t="s">
        <v>999</v>
      </c>
      <c r="C36" s="89" t="str">
        <f>INDEX(二三级标准!$C:$C,MATCH(服务费明细!$B36,二三级标准!$B:$B,0))</f>
        <v>遗传办合作签章和承诺书的获取</v>
      </c>
      <c r="D36" s="166">
        <f>IF($D$34=1,1,0)</f>
        <v>1</v>
      </c>
      <c r="E36" s="166">
        <f>IF($D36=1,启动中心数,0)</f>
        <v>4</v>
      </c>
      <c r="F36" s="89" t="str">
        <f>INDEX(二三级标准!$G:$G,MATCH(服务费明细!$B36,二三级标准!$B:$B,0))</f>
        <v>中心</v>
      </c>
      <c r="G36" s="166">
        <f t="shared" ref="G36:G45" si="84">AL36</f>
        <v>48</v>
      </c>
      <c r="H36" s="166">
        <f t="shared" ref="H36:H45" si="85">AM36</f>
        <v>0</v>
      </c>
      <c r="I36" s="166">
        <f t="shared" ref="I36:I45" si="86">AN36</f>
        <v>0</v>
      </c>
      <c r="J36" s="166">
        <f t="shared" ref="J36:J45" si="87">AO36</f>
        <v>0</v>
      </c>
      <c r="K36" s="166">
        <f t="shared" ref="K36:K45" si="88">AP36</f>
        <v>0</v>
      </c>
      <c r="L36" s="166">
        <f t="shared" ref="L36:L45" si="89">AQ36</f>
        <v>0</v>
      </c>
      <c r="M36" s="166">
        <f t="shared" ref="M36:M45" si="90">AR36</f>
        <v>0</v>
      </c>
      <c r="N36" s="166">
        <f t="shared" ref="N36:N45" si="91">AS36</f>
        <v>0</v>
      </c>
      <c r="O36" s="166">
        <f t="shared" ref="O36:O45" si="92">AT36</f>
        <v>0</v>
      </c>
      <c r="P36" s="166">
        <f t="shared" ref="P36:P45" si="93">AU36</f>
        <v>0</v>
      </c>
      <c r="Q36" s="166">
        <f t="shared" ref="Q36:Q45" si="94">AV36</f>
        <v>0</v>
      </c>
      <c r="R36" s="166">
        <f t="shared" ref="R36:R45" si="95">AW36</f>
        <v>0</v>
      </c>
      <c r="S36" s="166">
        <f t="shared" ref="S36:S45" si="96">AX36</f>
        <v>0</v>
      </c>
      <c r="T36" s="166">
        <f t="shared" ref="T36:T45" si="97">AY36</f>
        <v>0</v>
      </c>
      <c r="U36" s="166">
        <f t="shared" ref="U36:U45" si="98">AZ36</f>
        <v>0</v>
      </c>
      <c r="V36" s="166">
        <f t="shared" ref="V36:V45" si="99">BA36</f>
        <v>0</v>
      </c>
      <c r="W36" s="166">
        <f t="shared" ref="W36:W45" si="100">BB36</f>
        <v>0</v>
      </c>
      <c r="X36" s="166">
        <f t="shared" ref="X36:X45" si="101">BC36</f>
        <v>0</v>
      </c>
      <c r="Y36" s="166">
        <f t="shared" ref="Y36:Y45" si="102">BD36</f>
        <v>0</v>
      </c>
      <c r="Z36" s="166">
        <f t="shared" ref="Z36:Z45" si="103">BE36</f>
        <v>0</v>
      </c>
      <c r="AA36" s="166">
        <f t="shared" ref="AA36:AA45" si="104">BF36</f>
        <v>0</v>
      </c>
      <c r="AB36" s="166">
        <f t="shared" ref="AB36:AB45" si="105">BG36</f>
        <v>0</v>
      </c>
      <c r="AC36" s="166" cm="1">
        <f t="array" ref="AC36">SUMPRODUCT(G36:AB36,$G$4:$AB$4)</f>
        <v>16320</v>
      </c>
      <c r="AD36" s="89" t="b">
        <f>IF(AF36=AC36,TRUE,FALSE)</f>
        <v>1</v>
      </c>
      <c r="AE36" s="386">
        <f>IFERROR(SUMIF(服务费底表!$K:$K,服务费明细!$B36,服务费底表!$AD:$AD)/E36,0)</f>
        <v>4080</v>
      </c>
      <c r="AF36" s="386">
        <f t="shared" si="82"/>
        <v>16320</v>
      </c>
      <c r="AG36" s="386">
        <f>IFERROR(SUMIF(服务费底表!$K:$K,服务费明细!$B36,服务费底表!$AG:$AG)/E36,0)</f>
        <v>4080</v>
      </c>
      <c r="AH36" s="386">
        <f t="shared" si="83"/>
        <v>16320</v>
      </c>
      <c r="AI36" s="409"/>
      <c r="AJ36" s="563">
        <f>IF(D36=1,AK36/E36,0)</f>
        <v>12</v>
      </c>
      <c r="AK36" s="564">
        <f>SUMIF(服务费底表!$K:$K,服务费明细!$B36,服务费底表!$AC:$AC)</f>
        <v>48</v>
      </c>
      <c r="AL36" s="166">
        <f>SUMIFS(服务费底表!$AC:$AC,服务费底表!$K:$K,服务费明细!$B36,服务费底表!$T:$T,AL$3)</f>
        <v>48</v>
      </c>
      <c r="AM36" s="166">
        <f>SUMIFS(服务费底表!$AC:$AC,服务费底表!$K:$K,服务费明细!$B36,服务费底表!$T:$T,AM$3)</f>
        <v>0</v>
      </c>
      <c r="AN36" s="166">
        <f>SUMIFS(服务费底表!$AC:$AC,服务费底表!$K:$K,服务费明细!$B36,服务费底表!$T:$T,AN$3)</f>
        <v>0</v>
      </c>
      <c r="AO36" s="166">
        <f>SUMIFS(服务费底表!$AC:$AC,服务费底表!$K:$K,服务费明细!$B36,服务费底表!$T:$T,AO$3)</f>
        <v>0</v>
      </c>
      <c r="AP36" s="166">
        <f>SUMIFS(服务费底表!$AC:$AC,服务费底表!$K:$K,服务费明细!$B36,服务费底表!$T:$T,AP$3)</f>
        <v>0</v>
      </c>
      <c r="AQ36" s="166">
        <f>SUMIFS(服务费底表!$AC:$AC,服务费底表!$K:$K,服务费明细!$B36,服务费底表!$T:$T,AQ$3)</f>
        <v>0</v>
      </c>
      <c r="AR36" s="166">
        <f>SUMIFS(服务费底表!$AC:$AC,服务费底表!$K:$K,服务费明细!$B36,服务费底表!$T:$T,AR$3)</f>
        <v>0</v>
      </c>
      <c r="AS36" s="166">
        <f>SUMIFS(服务费底表!$AC:$AC,服务费底表!$K:$K,服务费明细!$B36,服务费底表!$T:$T,AS$3)</f>
        <v>0</v>
      </c>
      <c r="AT36" s="166">
        <f>SUMIFS(服务费底表!$AC:$AC,服务费底表!$K:$K,服务费明细!$B36,服务费底表!$T:$T,AT$3)</f>
        <v>0</v>
      </c>
      <c r="AU36" s="166">
        <f>SUMIFS(服务费底表!$AC:$AC,服务费底表!$K:$K,服务费明细!$B36,服务费底表!$T:$T,AU$3)</f>
        <v>0</v>
      </c>
      <c r="AV36" s="166">
        <f>SUMIFS(服务费底表!$AC:$AC,服务费底表!$K:$K,服务费明细!$B36,服务费底表!$T:$T,AV$3)</f>
        <v>0</v>
      </c>
      <c r="AW36" s="166">
        <f>SUMIFS(服务费底表!$AC:$AC,服务费底表!$K:$K,服务费明细!$B36,服务费底表!$T:$T,AW$3)</f>
        <v>0</v>
      </c>
      <c r="AX36" s="166">
        <f>SUMIFS(服务费底表!$AC:$AC,服务费底表!$K:$K,服务费明细!$B36,服务费底表!$T:$T,AX$3)</f>
        <v>0</v>
      </c>
      <c r="AY36" s="166">
        <f>SUMIFS(服务费底表!$AC:$AC,服务费底表!$K:$K,服务费明细!$B36,服务费底表!$T:$T,AY$3)</f>
        <v>0</v>
      </c>
      <c r="AZ36" s="166">
        <f>SUMIFS(服务费底表!$AC:$AC,服务费底表!$K:$K,服务费明细!$B36,服务费底表!$T:$T,AZ$3)</f>
        <v>0</v>
      </c>
      <c r="BA36" s="166">
        <f>SUMIFS(服务费底表!$AC:$AC,服务费底表!$K:$K,服务费明细!$B36,服务费底表!$T:$T,BA$3)</f>
        <v>0</v>
      </c>
      <c r="BB36" s="166">
        <f>SUMIFS(服务费底表!$AC:$AC,服务费底表!$K:$K,服务费明细!$B36,服务费底表!$T:$T,BB$3)</f>
        <v>0</v>
      </c>
      <c r="BC36" s="166">
        <f>SUMIFS(服务费底表!$AC:$AC,服务费底表!$K:$K,服务费明细!$B36,服务费底表!$T:$T,BC$3)</f>
        <v>0</v>
      </c>
      <c r="BD36" s="166">
        <f>SUMIFS(服务费底表!$AC:$AC,服务费底表!$K:$K,服务费明细!$B36,服务费底表!$T:$T,BD$3)</f>
        <v>0</v>
      </c>
      <c r="BE36" s="166">
        <f>SUMIFS(服务费底表!$AC:$AC,服务费底表!$K:$K,服务费明细!$B36,服务费底表!$T:$T,BE$3)</f>
        <v>0</v>
      </c>
      <c r="BF36" s="166">
        <f>SUMIFS(服务费底表!$AC:$AC,服务费底表!$K:$K,服务费明细!$B36,服务费底表!$T:$T,BF$3)</f>
        <v>0</v>
      </c>
      <c r="BG36" s="166">
        <f>SUMIFS(服务费底表!$AC:$AC,服务费底表!$K:$K,服务费明细!$B36,服务费底表!$T:$T,BG$3)</f>
        <v>0</v>
      </c>
      <c r="BI36" s="388">
        <f>SUMIFS(服务费底表!$AC:$AC,服务费底表!$K:$K,服务费明细!$B36,服务费底表!$H:$H,服务费明细!BI$3)</f>
        <v>0</v>
      </c>
      <c r="BJ36" s="388">
        <f>SUMIFS(服务费底表!$AC:$AC,服务费底表!$K:$K,服务费明细!$B36,服务费底表!$H:$H,服务费明细!BJ$3)</f>
        <v>48</v>
      </c>
      <c r="BK36" s="388">
        <f>SUMIFS(服务费底表!$AC:$AC,服务费底表!$K:$K,服务费明细!$B36,服务费底表!$H:$H,服务费明细!BK$3)</f>
        <v>0</v>
      </c>
      <c r="BL36" s="388">
        <f>SUMIFS(服务费底表!$AC:$AC,服务费底表!$K:$K,服务费明细!$B36,服务费底表!$H:$H,服务费明细!BL$3)</f>
        <v>0</v>
      </c>
      <c r="BM36" s="388">
        <f>SUMIFS(服务费底表!$AC:$AC,服务费底表!$K:$K,服务费明细!$B36,服务费底表!$H:$H,服务费明细!BM$3)</f>
        <v>0</v>
      </c>
      <c r="BN36" s="388">
        <f>SUMIFS(服务费底表!$AC:$AC,服务费底表!$K:$K,服务费明细!$B36,服务费底表!$H:$H,服务费明细!BN$3)</f>
        <v>0</v>
      </c>
      <c r="BO36" s="388">
        <f>SUMIFS(服务费底表!$AC:$AC,服务费底表!$K:$K,服务费明细!$B36,服务费底表!$H:$H,服务费明细!BO$3)</f>
        <v>0</v>
      </c>
      <c r="BQ36" s="389">
        <f>SUMIFS(服务费底表!$AD:$AD,服务费底表!$K:$K,服务费明细!$B36,服务费底表!$H:$H,服务费明细!BQ$3)</f>
        <v>0</v>
      </c>
      <c r="BR36" s="389">
        <f>SUMIFS(服务费底表!$AD:$AD,服务费底表!$K:$K,服务费明细!$B36,服务费底表!$H:$H,服务费明细!BR$3)</f>
        <v>16320</v>
      </c>
      <c r="BS36" s="389">
        <f>SUMIFS(服务费底表!$AD:$AD,服务费底表!$K:$K,服务费明细!$B36,服务费底表!$H:$H,服务费明细!BS$3)</f>
        <v>0</v>
      </c>
      <c r="BT36" s="389">
        <f>SUMIFS(服务费底表!$AD:$AD,服务费底表!$K:$K,服务费明细!$B36,服务费底表!$H:$H,服务费明细!BT$3)</f>
        <v>0</v>
      </c>
      <c r="BU36" s="389">
        <f>SUMIFS(服务费底表!$AD:$AD,服务费底表!$K:$K,服务费明细!$B36,服务费底表!$H:$H,服务费明细!BU$3)</f>
        <v>0</v>
      </c>
      <c r="BV36" s="389">
        <f>SUMIFS(服务费底表!$AD:$AD,服务费底表!$K:$K,服务费明细!$B36,服务费底表!$H:$H,服务费明细!BV$3)</f>
        <v>0</v>
      </c>
      <c r="BW36" s="389">
        <f>SUMIFS(服务费底表!$AD:$AD,服务费底表!$K:$K,服务费明细!$B36,服务费底表!$H:$H,服务费明细!BW$3)</f>
        <v>0</v>
      </c>
    </row>
    <row r="37" spans="2:75">
      <c r="B37" s="89" t="s">
        <v>1000</v>
      </c>
      <c r="C37" s="89" t="str">
        <f>INDEX(二三级标准!$C:$C,MATCH(服务费明细!$B37,二三级标准!$B:$B,0))</f>
        <v>遗传办变更</v>
      </c>
      <c r="D37" s="166">
        <v>0</v>
      </c>
      <c r="E37" s="166">
        <f>IF($D37=1,项目参数!C57,0)</f>
        <v>0</v>
      </c>
      <c r="F37" s="89" t="str">
        <f>INDEX(二三级标准!$G:$G,MATCH(服务费明细!$B37,二三级标准!$B:$B,0))</f>
        <v>次</v>
      </c>
      <c r="G37" s="166">
        <f t="shared" si="84"/>
        <v>0</v>
      </c>
      <c r="H37" s="166">
        <f t="shared" si="85"/>
        <v>0</v>
      </c>
      <c r="I37" s="166">
        <f t="shared" si="86"/>
        <v>0</v>
      </c>
      <c r="J37" s="166">
        <f t="shared" si="87"/>
        <v>0</v>
      </c>
      <c r="K37" s="166">
        <f t="shared" si="88"/>
        <v>0</v>
      </c>
      <c r="L37" s="166">
        <f t="shared" si="89"/>
        <v>0</v>
      </c>
      <c r="M37" s="166">
        <f t="shared" si="90"/>
        <v>0</v>
      </c>
      <c r="N37" s="166">
        <f t="shared" si="91"/>
        <v>0</v>
      </c>
      <c r="O37" s="166">
        <f t="shared" si="92"/>
        <v>0</v>
      </c>
      <c r="P37" s="166">
        <f t="shared" si="93"/>
        <v>0</v>
      </c>
      <c r="Q37" s="166">
        <f t="shared" si="94"/>
        <v>0</v>
      </c>
      <c r="R37" s="166">
        <f t="shared" si="95"/>
        <v>0</v>
      </c>
      <c r="S37" s="166">
        <f t="shared" si="96"/>
        <v>0</v>
      </c>
      <c r="T37" s="166">
        <f t="shared" si="97"/>
        <v>0</v>
      </c>
      <c r="U37" s="166">
        <f t="shared" si="98"/>
        <v>0</v>
      </c>
      <c r="V37" s="166">
        <f t="shared" si="99"/>
        <v>0</v>
      </c>
      <c r="W37" s="166">
        <f t="shared" si="100"/>
        <v>0</v>
      </c>
      <c r="X37" s="166">
        <f t="shared" si="101"/>
        <v>0</v>
      </c>
      <c r="Y37" s="166">
        <f t="shared" si="102"/>
        <v>0</v>
      </c>
      <c r="Z37" s="166">
        <f t="shared" si="103"/>
        <v>0</v>
      </c>
      <c r="AA37" s="166">
        <f t="shared" si="104"/>
        <v>0</v>
      </c>
      <c r="AB37" s="166">
        <f t="shared" si="105"/>
        <v>0</v>
      </c>
      <c r="AC37" s="166" cm="1">
        <f t="array" ref="AC37">SUMPRODUCT(G37:AB37,$G$4:$AB$4)</f>
        <v>0</v>
      </c>
      <c r="AD37" s="89" t="b">
        <f>IF(AF37=AC37,TRUE,FALSE)</f>
        <v>1</v>
      </c>
      <c r="AE37" s="386">
        <f>IFERROR(SUMIF(服务费底表!$K:$K,服务费明细!$B37,服务费底表!$AD:$AD)/E37,0)</f>
        <v>0</v>
      </c>
      <c r="AF37" s="386">
        <f t="shared" si="82"/>
        <v>0</v>
      </c>
      <c r="AG37" s="386">
        <f>IFERROR(SUMIF(服务费底表!$K:$K,服务费明细!$B37,服务费底表!$AG:$AG)/E37,0)</f>
        <v>0</v>
      </c>
      <c r="AH37" s="386">
        <f t="shared" si="83"/>
        <v>0</v>
      </c>
      <c r="AI37" s="409"/>
      <c r="AJ37" s="563">
        <f>IF(D37=1,AK37/E37,0)</f>
        <v>0</v>
      </c>
      <c r="AK37" s="564">
        <f>SUMIF(服务费底表!$K:$K,服务费明细!$B37,服务费底表!$AC:$AC)</f>
        <v>0</v>
      </c>
      <c r="AL37" s="166">
        <f>SUMIFS(服务费底表!$AC:$AC,服务费底表!$K:$K,服务费明细!$B37,服务费底表!$T:$T,AL$3)</f>
        <v>0</v>
      </c>
      <c r="AM37" s="166">
        <f>SUMIFS(服务费底表!$AC:$AC,服务费底表!$K:$K,服务费明细!$B37,服务费底表!$T:$T,AM$3)</f>
        <v>0</v>
      </c>
      <c r="AN37" s="166">
        <f>SUMIFS(服务费底表!$AC:$AC,服务费底表!$K:$K,服务费明细!$B37,服务费底表!$T:$T,AN$3)</f>
        <v>0</v>
      </c>
      <c r="AO37" s="166">
        <f>SUMIFS(服务费底表!$AC:$AC,服务费底表!$K:$K,服务费明细!$B37,服务费底表!$T:$T,AO$3)</f>
        <v>0</v>
      </c>
      <c r="AP37" s="166">
        <f>SUMIFS(服务费底表!$AC:$AC,服务费底表!$K:$K,服务费明细!$B37,服务费底表!$T:$T,AP$3)</f>
        <v>0</v>
      </c>
      <c r="AQ37" s="166">
        <f>SUMIFS(服务费底表!$AC:$AC,服务费底表!$K:$K,服务费明细!$B37,服务费底表!$T:$T,AQ$3)</f>
        <v>0</v>
      </c>
      <c r="AR37" s="166">
        <f>SUMIFS(服务费底表!$AC:$AC,服务费底表!$K:$K,服务费明细!$B37,服务费底表!$T:$T,AR$3)</f>
        <v>0</v>
      </c>
      <c r="AS37" s="166">
        <f>SUMIFS(服务费底表!$AC:$AC,服务费底表!$K:$K,服务费明细!$B37,服务费底表!$T:$T,AS$3)</f>
        <v>0</v>
      </c>
      <c r="AT37" s="166">
        <f>SUMIFS(服务费底表!$AC:$AC,服务费底表!$K:$K,服务费明细!$B37,服务费底表!$T:$T,AT$3)</f>
        <v>0</v>
      </c>
      <c r="AU37" s="166">
        <f>SUMIFS(服务费底表!$AC:$AC,服务费底表!$K:$K,服务费明细!$B37,服务费底表!$T:$T,AU$3)</f>
        <v>0</v>
      </c>
      <c r="AV37" s="166">
        <f>SUMIFS(服务费底表!$AC:$AC,服务费底表!$K:$K,服务费明细!$B37,服务费底表!$T:$T,AV$3)</f>
        <v>0</v>
      </c>
      <c r="AW37" s="166">
        <f>SUMIFS(服务费底表!$AC:$AC,服务费底表!$K:$K,服务费明细!$B37,服务费底表!$T:$T,AW$3)</f>
        <v>0</v>
      </c>
      <c r="AX37" s="166">
        <f>SUMIFS(服务费底表!$AC:$AC,服务费底表!$K:$K,服务费明细!$B37,服务费底表!$T:$T,AX$3)</f>
        <v>0</v>
      </c>
      <c r="AY37" s="166">
        <f>SUMIFS(服务费底表!$AC:$AC,服务费底表!$K:$K,服务费明细!$B37,服务费底表!$T:$T,AY$3)</f>
        <v>0</v>
      </c>
      <c r="AZ37" s="166">
        <f>SUMIFS(服务费底表!$AC:$AC,服务费底表!$K:$K,服务费明细!$B37,服务费底表!$T:$T,AZ$3)</f>
        <v>0</v>
      </c>
      <c r="BA37" s="166">
        <f>SUMIFS(服务费底表!$AC:$AC,服务费底表!$K:$K,服务费明细!$B37,服务费底表!$T:$T,BA$3)</f>
        <v>0</v>
      </c>
      <c r="BB37" s="166">
        <f>SUMIFS(服务费底表!$AC:$AC,服务费底表!$K:$K,服务费明细!$B37,服务费底表!$T:$T,BB$3)</f>
        <v>0</v>
      </c>
      <c r="BC37" s="166">
        <f>SUMIFS(服务费底表!$AC:$AC,服务费底表!$K:$K,服务费明细!$B37,服务费底表!$T:$T,BC$3)</f>
        <v>0</v>
      </c>
      <c r="BD37" s="166">
        <f>SUMIFS(服务费底表!$AC:$AC,服务费底表!$K:$K,服务费明细!$B37,服务费底表!$T:$T,BD$3)</f>
        <v>0</v>
      </c>
      <c r="BE37" s="166">
        <f>SUMIFS(服务费底表!$AC:$AC,服务费底表!$K:$K,服务费明细!$B37,服务费底表!$T:$T,BE$3)</f>
        <v>0</v>
      </c>
      <c r="BF37" s="166">
        <f>SUMIFS(服务费底表!$AC:$AC,服务费底表!$K:$K,服务费明细!$B37,服务费底表!$T:$T,BF$3)</f>
        <v>0</v>
      </c>
      <c r="BG37" s="166">
        <f>SUMIFS(服务费底表!$AC:$AC,服务费底表!$K:$K,服务费明细!$B37,服务费底表!$T:$T,BG$3)</f>
        <v>0</v>
      </c>
      <c r="BI37" s="388">
        <f>SUMIFS(服务费底表!$AC:$AC,服务费底表!$K:$K,服务费明细!$B37,服务费底表!$H:$H,服务费明细!BI$3)</f>
        <v>0</v>
      </c>
      <c r="BJ37" s="388">
        <f>SUMIFS(服务费底表!$AC:$AC,服务费底表!$K:$K,服务费明细!$B37,服务费底表!$H:$H,服务费明细!BJ$3)</f>
        <v>0</v>
      </c>
      <c r="BK37" s="388">
        <f>SUMIFS(服务费底表!$AC:$AC,服务费底表!$K:$K,服务费明细!$B37,服务费底表!$H:$H,服务费明细!BK$3)</f>
        <v>0</v>
      </c>
      <c r="BL37" s="388">
        <f>SUMIFS(服务费底表!$AC:$AC,服务费底表!$K:$K,服务费明细!$B37,服务费底表!$H:$H,服务费明细!BL$3)</f>
        <v>0</v>
      </c>
      <c r="BM37" s="388">
        <f>SUMIFS(服务费底表!$AC:$AC,服务费底表!$K:$K,服务费明细!$B37,服务费底表!$H:$H,服务费明细!BM$3)</f>
        <v>0</v>
      </c>
      <c r="BN37" s="388">
        <f>SUMIFS(服务费底表!$AC:$AC,服务费底表!$K:$K,服务费明细!$B37,服务费底表!$H:$H,服务费明细!BN$3)</f>
        <v>0</v>
      </c>
      <c r="BO37" s="388">
        <f>SUMIFS(服务费底表!$AC:$AC,服务费底表!$K:$K,服务费明细!$B37,服务费底表!$H:$H,服务费明细!BO$3)</f>
        <v>0</v>
      </c>
      <c r="BQ37" s="389">
        <f>SUMIFS(服务费底表!$AD:$AD,服务费底表!$K:$K,服务费明细!$B37,服务费底表!$H:$H,服务费明细!BQ$3)</f>
        <v>0</v>
      </c>
      <c r="BR37" s="389">
        <f>SUMIFS(服务费底表!$AD:$AD,服务费底表!$K:$K,服务费明细!$B37,服务费底表!$H:$H,服务费明细!BR$3)</f>
        <v>0</v>
      </c>
      <c r="BS37" s="389">
        <f>SUMIFS(服务费底表!$AD:$AD,服务费底表!$K:$K,服务费明细!$B37,服务费底表!$H:$H,服务费明细!BS$3)</f>
        <v>0</v>
      </c>
      <c r="BT37" s="389">
        <f>SUMIFS(服务费底表!$AD:$AD,服务费底表!$K:$K,服务费明细!$B37,服务费底表!$H:$H,服务费明细!BT$3)</f>
        <v>0</v>
      </c>
      <c r="BU37" s="389">
        <f>SUMIFS(服务费底表!$AD:$AD,服务费底表!$K:$K,服务费明细!$B37,服务费底表!$H:$H,服务费明细!BU$3)</f>
        <v>0</v>
      </c>
      <c r="BV37" s="389">
        <f>SUMIFS(服务费底表!$AD:$AD,服务费底表!$K:$K,服务费明细!$B37,服务费底表!$H:$H,服务费明细!BV$3)</f>
        <v>0</v>
      </c>
      <c r="BW37" s="389">
        <f>SUMIFS(服务费底表!$AD:$AD,服务费底表!$K:$K,服务费明细!$B37,服务费底表!$H:$H,服务费明细!BW$3)</f>
        <v>0</v>
      </c>
    </row>
    <row r="38" spans="2:75">
      <c r="B38" s="89" t="s">
        <v>1001</v>
      </c>
      <c r="C38" s="89" t="str">
        <f>INDEX(二三级标准!$C:$C,MATCH(服务费明细!$B38,二三级标准!$B:$B,0))</f>
        <v>遗传办总结填报和跟踪</v>
      </c>
      <c r="D38" s="166">
        <f>IF($D$34=1,1,0)</f>
        <v>1</v>
      </c>
      <c r="E38" s="166">
        <f>IF($D38=1,1,0)</f>
        <v>1</v>
      </c>
      <c r="F38" s="89" t="str">
        <f>INDEX(二三级标准!$G:$G,MATCH(服务费明细!$B38,二三级标准!$B:$B,0))</f>
        <v>次</v>
      </c>
      <c r="G38" s="166">
        <f t="shared" si="84"/>
        <v>0</v>
      </c>
      <c r="H38" s="166">
        <f t="shared" si="85"/>
        <v>2</v>
      </c>
      <c r="I38" s="166">
        <f t="shared" si="86"/>
        <v>9</v>
      </c>
      <c r="J38" s="166">
        <f t="shared" si="87"/>
        <v>0</v>
      </c>
      <c r="K38" s="166">
        <f t="shared" si="88"/>
        <v>0</v>
      </c>
      <c r="L38" s="166">
        <f t="shared" si="89"/>
        <v>0</v>
      </c>
      <c r="M38" s="166">
        <f t="shared" si="90"/>
        <v>0</v>
      </c>
      <c r="N38" s="166">
        <f t="shared" si="91"/>
        <v>0</v>
      </c>
      <c r="O38" s="166">
        <f t="shared" si="92"/>
        <v>0</v>
      </c>
      <c r="P38" s="166">
        <f t="shared" si="93"/>
        <v>0</v>
      </c>
      <c r="Q38" s="166">
        <f t="shared" si="94"/>
        <v>0</v>
      </c>
      <c r="R38" s="166">
        <f t="shared" si="95"/>
        <v>0</v>
      </c>
      <c r="S38" s="166">
        <f t="shared" si="96"/>
        <v>0</v>
      </c>
      <c r="T38" s="166">
        <f t="shared" si="97"/>
        <v>0</v>
      </c>
      <c r="U38" s="166">
        <f t="shared" si="98"/>
        <v>0</v>
      </c>
      <c r="V38" s="166">
        <f t="shared" si="99"/>
        <v>0</v>
      </c>
      <c r="W38" s="166">
        <f t="shared" si="100"/>
        <v>0</v>
      </c>
      <c r="X38" s="166">
        <f t="shared" si="101"/>
        <v>0</v>
      </c>
      <c r="Y38" s="166">
        <f t="shared" si="102"/>
        <v>0</v>
      </c>
      <c r="Z38" s="166">
        <f t="shared" si="103"/>
        <v>0</v>
      </c>
      <c r="AA38" s="166">
        <f t="shared" si="104"/>
        <v>0</v>
      </c>
      <c r="AB38" s="166">
        <f t="shared" si="105"/>
        <v>0</v>
      </c>
      <c r="AC38" s="166" cm="1">
        <f t="array" ref="AC38">SUMPRODUCT(G38:AB38,$G$4:$AB$4)</f>
        <v>6290</v>
      </c>
      <c r="AD38" s="89" t="b">
        <f>IF(AF38=AC38,TRUE,FALSE)</f>
        <v>1</v>
      </c>
      <c r="AE38" s="386">
        <f>IFERROR(SUMIF(服务费底表!$K:$K,服务费明细!$B38,服务费底表!$AD:$AD)/E38,0)</f>
        <v>6290</v>
      </c>
      <c r="AF38" s="386">
        <f t="shared" si="82"/>
        <v>6290</v>
      </c>
      <c r="AG38" s="386">
        <f>IFERROR(SUMIF(服务费底表!$K:$K,服务费明细!$B38,服务费底表!$AG:$AG)/E38,0)</f>
        <v>6290</v>
      </c>
      <c r="AH38" s="386">
        <f t="shared" si="83"/>
        <v>6290</v>
      </c>
      <c r="AI38" s="573"/>
      <c r="AJ38" s="563">
        <f>IF(D38=1,AK38/E38,0)</f>
        <v>11</v>
      </c>
      <c r="AK38" s="564">
        <f>SUMIF(服务费底表!$K:$K,服务费明细!$B38,服务费底表!$AC:$AC)</f>
        <v>11</v>
      </c>
      <c r="AL38" s="166">
        <f>SUMIFS(服务费底表!$AC:$AC,服务费底表!$K:$K,服务费明细!$B38,服务费底表!$T:$T,AL$3)</f>
        <v>0</v>
      </c>
      <c r="AM38" s="166">
        <f>SUMIFS(服务费底表!$AC:$AC,服务费底表!$K:$K,服务费明细!$B38,服务费底表!$T:$T,AM$3)</f>
        <v>2</v>
      </c>
      <c r="AN38" s="166">
        <f>SUMIFS(服务费底表!$AC:$AC,服务费底表!$K:$K,服务费明细!$B38,服务费底表!$T:$T,AN$3)</f>
        <v>9</v>
      </c>
      <c r="AO38" s="166">
        <f>SUMIFS(服务费底表!$AC:$AC,服务费底表!$K:$K,服务费明细!$B38,服务费底表!$T:$T,AO$3)</f>
        <v>0</v>
      </c>
      <c r="AP38" s="166">
        <f>SUMIFS(服务费底表!$AC:$AC,服务费底表!$K:$K,服务费明细!$B38,服务费底表!$T:$T,AP$3)</f>
        <v>0</v>
      </c>
      <c r="AQ38" s="166">
        <f>SUMIFS(服务费底表!$AC:$AC,服务费底表!$K:$K,服务费明细!$B38,服务费底表!$T:$T,AQ$3)</f>
        <v>0</v>
      </c>
      <c r="AR38" s="166">
        <f>SUMIFS(服务费底表!$AC:$AC,服务费底表!$K:$K,服务费明细!$B38,服务费底表!$T:$T,AR$3)</f>
        <v>0</v>
      </c>
      <c r="AS38" s="166">
        <f>SUMIFS(服务费底表!$AC:$AC,服务费底表!$K:$K,服务费明细!$B38,服务费底表!$T:$T,AS$3)</f>
        <v>0</v>
      </c>
      <c r="AT38" s="166">
        <f>SUMIFS(服务费底表!$AC:$AC,服务费底表!$K:$K,服务费明细!$B38,服务费底表!$T:$T,AT$3)</f>
        <v>0</v>
      </c>
      <c r="AU38" s="166">
        <f>SUMIFS(服务费底表!$AC:$AC,服务费底表!$K:$K,服务费明细!$B38,服务费底表!$T:$T,AU$3)</f>
        <v>0</v>
      </c>
      <c r="AV38" s="166">
        <f>SUMIFS(服务费底表!$AC:$AC,服务费底表!$K:$K,服务费明细!$B38,服务费底表!$T:$T,AV$3)</f>
        <v>0</v>
      </c>
      <c r="AW38" s="166">
        <f>SUMIFS(服务费底表!$AC:$AC,服务费底表!$K:$K,服务费明细!$B38,服务费底表!$T:$T,AW$3)</f>
        <v>0</v>
      </c>
      <c r="AX38" s="166">
        <f>SUMIFS(服务费底表!$AC:$AC,服务费底表!$K:$K,服务费明细!$B38,服务费底表!$T:$T,AX$3)</f>
        <v>0</v>
      </c>
      <c r="AY38" s="166">
        <f>SUMIFS(服务费底表!$AC:$AC,服务费底表!$K:$K,服务费明细!$B38,服务费底表!$T:$T,AY$3)</f>
        <v>0</v>
      </c>
      <c r="AZ38" s="166">
        <f>SUMIFS(服务费底表!$AC:$AC,服务费底表!$K:$K,服务费明细!$B38,服务费底表!$T:$T,AZ$3)</f>
        <v>0</v>
      </c>
      <c r="BA38" s="166">
        <f>SUMIFS(服务费底表!$AC:$AC,服务费底表!$K:$K,服务费明细!$B38,服务费底表!$T:$T,BA$3)</f>
        <v>0</v>
      </c>
      <c r="BB38" s="166">
        <f>SUMIFS(服务费底表!$AC:$AC,服务费底表!$K:$K,服务费明细!$B38,服务费底表!$T:$T,BB$3)</f>
        <v>0</v>
      </c>
      <c r="BC38" s="166">
        <f>SUMIFS(服务费底表!$AC:$AC,服务费底表!$K:$K,服务费明细!$B38,服务费底表!$T:$T,BC$3)</f>
        <v>0</v>
      </c>
      <c r="BD38" s="166">
        <f>SUMIFS(服务费底表!$AC:$AC,服务费底表!$K:$K,服务费明细!$B38,服务费底表!$T:$T,BD$3)</f>
        <v>0</v>
      </c>
      <c r="BE38" s="166">
        <f>SUMIFS(服务费底表!$AC:$AC,服务费底表!$K:$K,服务费明细!$B38,服务费底表!$T:$T,BE$3)</f>
        <v>0</v>
      </c>
      <c r="BF38" s="166">
        <f>SUMIFS(服务费底表!$AC:$AC,服务费底表!$K:$K,服务费明细!$B38,服务费底表!$T:$T,BF$3)</f>
        <v>0</v>
      </c>
      <c r="BG38" s="166">
        <f>SUMIFS(服务费底表!$AC:$AC,服务费底表!$K:$K,服务费明细!$B38,服务费底表!$T:$T,BG$3)</f>
        <v>0</v>
      </c>
      <c r="BI38" s="388">
        <f>SUMIFS(服务费底表!$AC:$AC,服务费底表!$K:$K,服务费明细!$B38,服务费底表!$H:$H,服务费明细!BI$3)</f>
        <v>0</v>
      </c>
      <c r="BJ38" s="388">
        <f>SUMIFS(服务费底表!$AC:$AC,服务费底表!$K:$K,服务费明细!$B38,服务费底表!$H:$H,服务费明细!BJ$3)</f>
        <v>11</v>
      </c>
      <c r="BK38" s="388">
        <f>SUMIFS(服务费底表!$AC:$AC,服务费底表!$K:$K,服务费明细!$B38,服务费底表!$H:$H,服务费明细!BK$3)</f>
        <v>0</v>
      </c>
      <c r="BL38" s="388">
        <f>SUMIFS(服务费底表!$AC:$AC,服务费底表!$K:$K,服务费明细!$B38,服务费底表!$H:$H,服务费明细!BL$3)</f>
        <v>0</v>
      </c>
      <c r="BM38" s="388">
        <f>SUMIFS(服务费底表!$AC:$AC,服务费底表!$K:$K,服务费明细!$B38,服务费底表!$H:$H,服务费明细!BM$3)</f>
        <v>0</v>
      </c>
      <c r="BN38" s="388">
        <f>SUMIFS(服务费底表!$AC:$AC,服务费底表!$K:$K,服务费明细!$B38,服务费底表!$H:$H,服务费明细!BN$3)</f>
        <v>0</v>
      </c>
      <c r="BO38" s="388">
        <f>SUMIFS(服务费底表!$AC:$AC,服务费底表!$K:$K,服务费明细!$B38,服务费底表!$H:$H,服务费明细!BO$3)</f>
        <v>0</v>
      </c>
      <c r="BQ38" s="389">
        <f>SUMIFS(服务费底表!$AD:$AD,服务费底表!$K:$K,服务费明细!$B38,服务费底表!$H:$H,服务费明细!BQ$3)</f>
        <v>0</v>
      </c>
      <c r="BR38" s="389">
        <f>SUMIFS(服务费底表!$AD:$AD,服务费底表!$K:$K,服务费明细!$B38,服务费底表!$H:$H,服务费明细!BR$3)</f>
        <v>6290</v>
      </c>
      <c r="BS38" s="389">
        <f>SUMIFS(服务费底表!$AD:$AD,服务费底表!$K:$K,服务费明细!$B38,服务费底表!$H:$H,服务费明细!BS$3)</f>
        <v>0</v>
      </c>
      <c r="BT38" s="389">
        <f>SUMIFS(服务费底表!$AD:$AD,服务费底表!$K:$K,服务费明细!$B38,服务费底表!$H:$H,服务费明细!BT$3)</f>
        <v>0</v>
      </c>
      <c r="BU38" s="389">
        <f>SUMIFS(服务费底表!$AD:$AD,服务费底表!$K:$K,服务费明细!$B38,服务费底表!$H:$H,服务费明细!BU$3)</f>
        <v>0</v>
      </c>
      <c r="BV38" s="389">
        <f>SUMIFS(服务费底表!$AD:$AD,服务费底表!$K:$K,服务费明细!$B38,服务费底表!$H:$H,服务费明细!BV$3)</f>
        <v>0</v>
      </c>
      <c r="BW38" s="389">
        <f>SUMIFS(服务费底表!$AD:$AD,服务费底表!$K:$K,服务费明细!$B38,服务费底表!$H:$H,服务费明细!BW$3)</f>
        <v>0</v>
      </c>
    </row>
    <row r="39" ht="15.6" spans="2:75">
      <c r="B39" s="88" t="s">
        <v>919</v>
      </c>
      <c r="C39" s="88" t="str">
        <f>INDEX(二三级标准!$Q:$Q,MATCH(服务费明细!$B39,二三级标准!$O:$O,0))</f>
        <v>召开研究者会议</v>
      </c>
      <c r="D39" s="376">
        <f>IF(临床监查YN=1,1,0)</f>
        <v>1</v>
      </c>
      <c r="E39" s="377"/>
      <c r="F39" s="378"/>
      <c r="G39" s="429">
        <f>SUM(G40:G45)</f>
        <v>4</v>
      </c>
      <c r="H39" s="429">
        <f t="shared" ref="H39:AB39" si="106">SUM(H40:H45)</f>
        <v>3</v>
      </c>
      <c r="I39" s="429">
        <f t="shared" si="106"/>
        <v>10</v>
      </c>
      <c r="J39" s="429">
        <f t="shared" si="106"/>
        <v>0</v>
      </c>
      <c r="K39" s="429">
        <f t="shared" si="106"/>
        <v>0</v>
      </c>
      <c r="L39" s="429">
        <f t="shared" si="106"/>
        <v>5</v>
      </c>
      <c r="M39" s="429">
        <f t="shared" si="106"/>
        <v>68</v>
      </c>
      <c r="N39" s="429">
        <f t="shared" si="106"/>
        <v>0</v>
      </c>
      <c r="O39" s="429">
        <f t="shared" si="106"/>
        <v>0</v>
      </c>
      <c r="P39" s="429">
        <f t="shared" si="106"/>
        <v>0</v>
      </c>
      <c r="Q39" s="429">
        <f t="shared" si="106"/>
        <v>0</v>
      </c>
      <c r="R39" s="429">
        <f t="shared" si="106"/>
        <v>12</v>
      </c>
      <c r="S39" s="429">
        <f t="shared" si="106"/>
        <v>0</v>
      </c>
      <c r="T39" s="429">
        <f t="shared" si="106"/>
        <v>0</v>
      </c>
      <c r="U39" s="429">
        <f t="shared" si="106"/>
        <v>0</v>
      </c>
      <c r="V39" s="429">
        <f t="shared" si="106"/>
        <v>2</v>
      </c>
      <c r="W39" s="429">
        <f t="shared" si="106"/>
        <v>0</v>
      </c>
      <c r="X39" s="429">
        <f t="shared" si="106"/>
        <v>7</v>
      </c>
      <c r="Y39" s="429">
        <f t="shared" si="106"/>
        <v>12</v>
      </c>
      <c r="Z39" s="429">
        <f t="shared" si="106"/>
        <v>0</v>
      </c>
      <c r="AA39" s="429">
        <f t="shared" si="106"/>
        <v>0</v>
      </c>
      <c r="AB39" s="429">
        <f t="shared" si="106"/>
        <v>0</v>
      </c>
      <c r="AC39" s="378"/>
      <c r="AD39" s="378">
        <f>SUM(G39:AB39)</f>
        <v>123</v>
      </c>
      <c r="AE39" s="379"/>
      <c r="AF39" s="380">
        <f>SUM(AF40:AF45)</f>
        <v>73330</v>
      </c>
      <c r="AG39" s="380"/>
      <c r="AH39" s="380">
        <f>SUM(AH40:AH45)</f>
        <v>73330</v>
      </c>
      <c r="AI39" s="570"/>
      <c r="AJ39" s="566"/>
      <c r="AK39" s="559">
        <f>SUM(AK40:AK45)</f>
        <v>123</v>
      </c>
      <c r="AL39" s="166">
        <f>SUMIFS(服务费底表!$AC:$AC,服务费底表!$K:$K,服务费明细!$B39,服务费底表!$T:$T,AL$3)</f>
        <v>0</v>
      </c>
      <c r="AM39" s="166">
        <f>SUMIFS(服务费底表!$AC:$AC,服务费底表!$K:$K,服务费明细!$B39,服务费底表!$T:$T,AM$3)</f>
        <v>0</v>
      </c>
      <c r="AN39" s="166">
        <f>SUMIFS(服务费底表!$AC:$AC,服务费底表!$K:$K,服务费明细!$B39,服务费底表!$T:$T,AN$3)</f>
        <v>0</v>
      </c>
      <c r="AO39" s="166">
        <f>SUMIFS(服务费底表!$AC:$AC,服务费底表!$K:$K,服务费明细!$B39,服务费底表!$T:$T,AO$3)</f>
        <v>0</v>
      </c>
      <c r="AP39" s="166">
        <f>SUMIFS(服务费底表!$AC:$AC,服务费底表!$K:$K,服务费明细!$B39,服务费底表!$T:$T,AP$3)</f>
        <v>0</v>
      </c>
      <c r="AQ39" s="166">
        <f>SUMIFS(服务费底表!$AC:$AC,服务费底表!$K:$K,服务费明细!$B39,服务费底表!$T:$T,AQ$3)</f>
        <v>0</v>
      </c>
      <c r="AR39" s="166">
        <f>SUMIFS(服务费底表!$AC:$AC,服务费底表!$K:$K,服务费明细!$B39,服务费底表!$T:$T,AR$3)</f>
        <v>0</v>
      </c>
      <c r="AS39" s="166">
        <f>SUMIFS(服务费底表!$AC:$AC,服务费底表!$K:$K,服务费明细!$B39,服务费底表!$T:$T,AS$3)</f>
        <v>0</v>
      </c>
      <c r="AT39" s="166">
        <f>SUMIFS(服务费底表!$AC:$AC,服务费底表!$K:$K,服务费明细!$B39,服务费底表!$T:$T,AT$3)</f>
        <v>0</v>
      </c>
      <c r="AU39" s="166">
        <f>SUMIFS(服务费底表!$AC:$AC,服务费底表!$K:$K,服务费明细!$B39,服务费底表!$T:$T,AU$3)</f>
        <v>0</v>
      </c>
      <c r="AV39" s="166">
        <f>SUMIFS(服务费底表!$AC:$AC,服务费底表!$K:$K,服务费明细!$B39,服务费底表!$T:$T,AV$3)</f>
        <v>0</v>
      </c>
      <c r="AW39" s="166">
        <f>SUMIFS(服务费底表!$AC:$AC,服务费底表!$K:$K,服务费明细!$B39,服务费底表!$T:$T,AW$3)</f>
        <v>0</v>
      </c>
      <c r="AX39" s="166">
        <f>SUMIFS(服务费底表!$AC:$AC,服务费底表!$K:$K,服务费明细!$B39,服务费底表!$T:$T,AX$3)</f>
        <v>0</v>
      </c>
      <c r="AY39" s="166">
        <f>SUMIFS(服务费底表!$AC:$AC,服务费底表!$K:$K,服务费明细!$B39,服务费底表!$T:$T,AY$3)</f>
        <v>0</v>
      </c>
      <c r="AZ39" s="166">
        <f>SUMIFS(服务费底表!$AC:$AC,服务费底表!$K:$K,服务费明细!$B39,服务费底表!$T:$T,AZ$3)</f>
        <v>0</v>
      </c>
      <c r="BA39" s="166">
        <f>SUMIFS(服务费底表!$AC:$AC,服务费底表!$K:$K,服务费明细!$B39,服务费底表!$T:$T,BA$3)</f>
        <v>0</v>
      </c>
      <c r="BB39" s="166">
        <f>SUMIFS(服务费底表!$AC:$AC,服务费底表!$K:$K,服务费明细!$B39,服务费底表!$T:$T,BB$3)</f>
        <v>0</v>
      </c>
      <c r="BC39" s="166">
        <f>SUMIFS(服务费底表!$AC:$AC,服务费底表!$K:$K,服务费明细!$B39,服务费底表!$T:$T,BC$3)</f>
        <v>0</v>
      </c>
      <c r="BD39" s="166">
        <f>SUMIFS(服务费底表!$AC:$AC,服务费底表!$K:$K,服务费明细!$B39,服务费底表!$T:$T,BD$3)</f>
        <v>0</v>
      </c>
      <c r="BE39" s="166">
        <f>SUMIFS(服务费底表!$AC:$AC,服务费底表!$K:$K,服务费明细!$B39,服务费底表!$T:$T,BE$3)</f>
        <v>0</v>
      </c>
      <c r="BF39" s="166">
        <f>SUMIFS(服务费底表!$AC:$AC,服务费底表!$K:$K,服务费明细!$B39,服务费底表!$T:$T,BF$3)</f>
        <v>0</v>
      </c>
      <c r="BG39" s="166">
        <f>SUMIFS(服务费底表!$AC:$AC,服务费底表!$K:$K,服务费明细!$B39,服务费底表!$T:$T,BG$3)</f>
        <v>0</v>
      </c>
      <c r="BH39" s="572"/>
      <c r="BI39" s="568">
        <f t="shared" ref="BI39:BO39" si="107">SUM(BI40:BI45)</f>
        <v>73</v>
      </c>
      <c r="BJ39" s="568">
        <f t="shared" si="107"/>
        <v>17</v>
      </c>
      <c r="BK39" s="568">
        <f t="shared" si="107"/>
        <v>12</v>
      </c>
      <c r="BL39" s="568">
        <f t="shared" si="107"/>
        <v>2</v>
      </c>
      <c r="BM39" s="568">
        <f t="shared" si="107"/>
        <v>0</v>
      </c>
      <c r="BN39" s="568">
        <f t="shared" si="107"/>
        <v>19</v>
      </c>
      <c r="BO39" s="568">
        <f t="shared" si="107"/>
        <v>0</v>
      </c>
      <c r="BQ39" s="569">
        <f t="shared" ref="BQ39:BW39" si="108">SUM(BQ40:BQ45)</f>
        <v>49150</v>
      </c>
      <c r="BR39" s="569">
        <f t="shared" si="108"/>
        <v>8520</v>
      </c>
      <c r="BS39" s="569">
        <f t="shared" si="108"/>
        <v>2400</v>
      </c>
      <c r="BT39" s="569">
        <f t="shared" si="108"/>
        <v>800</v>
      </c>
      <c r="BU39" s="569">
        <f t="shared" si="108"/>
        <v>0</v>
      </c>
      <c r="BV39" s="569">
        <f t="shared" si="108"/>
        <v>12460</v>
      </c>
      <c r="BW39" s="569">
        <f t="shared" si="108"/>
        <v>0</v>
      </c>
    </row>
    <row r="40" spans="2:75">
      <c r="B40" s="89" t="s">
        <v>151</v>
      </c>
      <c r="C40" s="89" t="str">
        <f>INDEX(二三级标准!$C:$C,MATCH(服务费明细!$B40,二三级标准!$B:$B,0))</f>
        <v>召开方案讨论会</v>
      </c>
      <c r="D40" s="166">
        <f>IF($D$39=1,1,0)</f>
        <v>1</v>
      </c>
      <c r="E40" s="166">
        <f>IF($D40=1,1,0)</f>
        <v>1</v>
      </c>
      <c r="F40" s="89" t="str">
        <f>INDEX(二三级标准!$G:$G,MATCH(服务费明细!$B40,二三级标准!$B:$B,0))</f>
        <v>次</v>
      </c>
      <c r="G40" s="166">
        <f t="shared" si="84"/>
        <v>0</v>
      </c>
      <c r="H40" s="166">
        <f t="shared" si="85"/>
        <v>0</v>
      </c>
      <c r="I40" s="166">
        <f t="shared" si="86"/>
        <v>1</v>
      </c>
      <c r="J40" s="166">
        <f t="shared" si="87"/>
        <v>0</v>
      </c>
      <c r="K40" s="166">
        <f t="shared" si="88"/>
        <v>0</v>
      </c>
      <c r="L40" s="166">
        <f t="shared" si="89"/>
        <v>2</v>
      </c>
      <c r="M40" s="166">
        <f t="shared" si="90"/>
        <v>13</v>
      </c>
      <c r="N40" s="166">
        <f t="shared" si="91"/>
        <v>0</v>
      </c>
      <c r="O40" s="166">
        <f t="shared" si="92"/>
        <v>0</v>
      </c>
      <c r="P40" s="166">
        <f t="shared" si="93"/>
        <v>0</v>
      </c>
      <c r="Q40" s="166">
        <f t="shared" si="94"/>
        <v>0</v>
      </c>
      <c r="R40" s="166">
        <f t="shared" si="95"/>
        <v>0</v>
      </c>
      <c r="S40" s="166">
        <f t="shared" si="96"/>
        <v>0</v>
      </c>
      <c r="T40" s="166">
        <f t="shared" si="97"/>
        <v>0</v>
      </c>
      <c r="U40" s="166">
        <f t="shared" si="98"/>
        <v>0</v>
      </c>
      <c r="V40" s="166">
        <f t="shared" si="99"/>
        <v>1</v>
      </c>
      <c r="W40" s="166">
        <f t="shared" si="100"/>
        <v>0</v>
      </c>
      <c r="X40" s="166">
        <f t="shared" si="101"/>
        <v>1</v>
      </c>
      <c r="Y40" s="166">
        <f t="shared" si="102"/>
        <v>0</v>
      </c>
      <c r="Z40" s="166">
        <f t="shared" si="103"/>
        <v>0</v>
      </c>
      <c r="AA40" s="166">
        <f t="shared" si="104"/>
        <v>0</v>
      </c>
      <c r="AB40" s="166">
        <f t="shared" si="105"/>
        <v>0</v>
      </c>
      <c r="AC40" s="166" cm="1">
        <f t="array" ref="AC40">SUMPRODUCT(G40:AB40,$G$4:$AB$4)</f>
        <v>12060</v>
      </c>
      <c r="AD40" s="89" t="b">
        <f t="shared" ref="AD40:AD45" si="109">IF(AF40=AC40,TRUE,FALSE)</f>
        <v>1</v>
      </c>
      <c r="AE40" s="386">
        <f>IFERROR(SUMIF(服务费底表!$K:$K,服务费明细!$B40,服务费底表!$AD:$AD)/E40,0)</f>
        <v>12060</v>
      </c>
      <c r="AF40" s="386">
        <f t="shared" ref="AF40" si="110">E40*AE40</f>
        <v>12060</v>
      </c>
      <c r="AG40" s="386">
        <f>IFERROR(SUMIF(服务费底表!$K:$K,服务费明细!$B40,服务费底表!$AG:$AG)/E40,0)</f>
        <v>12060</v>
      </c>
      <c r="AH40" s="386">
        <f t="shared" ref="AH40" si="111">AG40*E40</f>
        <v>12060</v>
      </c>
      <c r="AI40" s="409" t="s">
        <v>1002</v>
      </c>
      <c r="AJ40" s="563">
        <f t="shared" ref="AJ40:AJ45" si="112">IF(D40=1,AK40/E40,0)</f>
        <v>18</v>
      </c>
      <c r="AK40" s="564">
        <f>SUMIF(服务费底表!$K:$K,服务费明细!$B40,服务费底表!$AC:$AC)</f>
        <v>18</v>
      </c>
      <c r="AL40" s="166">
        <f>SUMIFS(服务费底表!$AC:$AC,服务费底表!$K:$K,服务费明细!$B40,服务费底表!$T:$T,AL$3)</f>
        <v>0</v>
      </c>
      <c r="AM40" s="166">
        <f>SUMIFS(服务费底表!$AC:$AC,服务费底表!$K:$K,服务费明细!$B40,服务费底表!$T:$T,AM$3)</f>
        <v>0</v>
      </c>
      <c r="AN40" s="166">
        <f>SUMIFS(服务费底表!$AC:$AC,服务费底表!$K:$K,服务费明细!$B40,服务费底表!$T:$T,AN$3)</f>
        <v>1</v>
      </c>
      <c r="AO40" s="166">
        <f>SUMIFS(服务费底表!$AC:$AC,服务费底表!$K:$K,服务费明细!$B40,服务费底表!$T:$T,AO$3)</f>
        <v>0</v>
      </c>
      <c r="AP40" s="166">
        <f>SUMIFS(服务费底表!$AC:$AC,服务费底表!$K:$K,服务费明细!$B40,服务费底表!$T:$T,AP$3)</f>
        <v>0</v>
      </c>
      <c r="AQ40" s="166">
        <f>SUMIFS(服务费底表!$AC:$AC,服务费底表!$K:$K,服务费明细!$B40,服务费底表!$T:$T,AQ$3)</f>
        <v>2</v>
      </c>
      <c r="AR40" s="166">
        <f>SUMIFS(服务费底表!$AC:$AC,服务费底表!$K:$K,服务费明细!$B40,服务费底表!$T:$T,AR$3)</f>
        <v>13</v>
      </c>
      <c r="AS40" s="166">
        <f>SUMIFS(服务费底表!$AC:$AC,服务费底表!$K:$K,服务费明细!$B40,服务费底表!$T:$T,AS$3)</f>
        <v>0</v>
      </c>
      <c r="AT40" s="166">
        <f>SUMIFS(服务费底表!$AC:$AC,服务费底表!$K:$K,服务费明细!$B40,服务费底表!$T:$T,AT$3)</f>
        <v>0</v>
      </c>
      <c r="AU40" s="166">
        <f>SUMIFS(服务费底表!$AC:$AC,服务费底表!$K:$K,服务费明细!$B40,服务费底表!$T:$T,AU$3)</f>
        <v>0</v>
      </c>
      <c r="AV40" s="166">
        <f>SUMIFS(服务费底表!$AC:$AC,服务费底表!$K:$K,服务费明细!$B40,服务费底表!$T:$T,AV$3)</f>
        <v>0</v>
      </c>
      <c r="AW40" s="166">
        <f>SUMIFS(服务费底表!$AC:$AC,服务费底表!$K:$K,服务费明细!$B40,服务费底表!$T:$T,AW$3)</f>
        <v>0</v>
      </c>
      <c r="AX40" s="166">
        <f>SUMIFS(服务费底表!$AC:$AC,服务费底表!$K:$K,服务费明细!$B40,服务费底表!$T:$T,AX$3)</f>
        <v>0</v>
      </c>
      <c r="AY40" s="166">
        <f>SUMIFS(服务费底表!$AC:$AC,服务费底表!$K:$K,服务费明细!$B40,服务费底表!$T:$T,AY$3)</f>
        <v>0</v>
      </c>
      <c r="AZ40" s="166">
        <f>SUMIFS(服务费底表!$AC:$AC,服务费底表!$K:$K,服务费明细!$B40,服务费底表!$T:$T,AZ$3)</f>
        <v>0</v>
      </c>
      <c r="BA40" s="166">
        <f>SUMIFS(服务费底表!$AC:$AC,服务费底表!$K:$K,服务费明细!$B40,服务费底表!$T:$T,BA$3)</f>
        <v>1</v>
      </c>
      <c r="BB40" s="166">
        <f>SUMIFS(服务费底表!$AC:$AC,服务费底表!$K:$K,服务费明细!$B40,服务费底表!$T:$T,BB$3)</f>
        <v>0</v>
      </c>
      <c r="BC40" s="166">
        <f>SUMIFS(服务费底表!$AC:$AC,服务费底表!$K:$K,服务费明细!$B40,服务费底表!$T:$T,BC$3)</f>
        <v>1</v>
      </c>
      <c r="BD40" s="166">
        <f>SUMIFS(服务费底表!$AC:$AC,服务费底表!$K:$K,服务费明细!$B40,服务费底表!$T:$T,BD$3)</f>
        <v>0</v>
      </c>
      <c r="BE40" s="166">
        <f>SUMIFS(服务费底表!$AC:$AC,服务费底表!$K:$K,服务费明细!$B40,服务费底表!$T:$T,BE$3)</f>
        <v>0</v>
      </c>
      <c r="BF40" s="166">
        <f>SUMIFS(服务费底表!$AC:$AC,服务费底表!$K:$K,服务费明细!$B40,服务费底表!$T:$T,BF$3)</f>
        <v>0</v>
      </c>
      <c r="BG40" s="166">
        <f>SUMIFS(服务费底表!$AC:$AC,服务费底表!$K:$K,服务费明细!$B40,服务费底表!$T:$T,BG$3)</f>
        <v>0</v>
      </c>
      <c r="BI40" s="388">
        <f>SUMIFS(服务费底表!$AC:$AC,服务费底表!$K:$K,服务费明细!$B40,服务费底表!$H:$H,服务费明细!BI$3)</f>
        <v>15</v>
      </c>
      <c r="BJ40" s="388">
        <f>SUMIFS(服务费底表!$AC:$AC,服务费底表!$K:$K,服务费明细!$B40,服务费底表!$H:$H,服务费明细!BJ$3)</f>
        <v>1</v>
      </c>
      <c r="BK40" s="388">
        <f>SUMIFS(服务费底表!$AC:$AC,服务费底表!$K:$K,服务费明细!$B40,服务费底表!$H:$H,服务费明细!BK$3)</f>
        <v>0</v>
      </c>
      <c r="BL40" s="388">
        <f>SUMIFS(服务费底表!$AC:$AC,服务费底表!$K:$K,服务费明细!$B40,服务费底表!$H:$H,服务费明细!BL$3)</f>
        <v>1</v>
      </c>
      <c r="BM40" s="388">
        <f>SUMIFS(服务费底表!$AC:$AC,服务费底表!$K:$K,服务费明细!$B40,服务费底表!$H:$H,服务费明细!BM$3)</f>
        <v>0</v>
      </c>
      <c r="BN40" s="388">
        <f>SUMIFS(服务费底表!$AC:$AC,服务费底表!$K:$K,服务费明细!$B40,服务费底表!$H:$H,服务费明细!BN$3)</f>
        <v>1</v>
      </c>
      <c r="BO40" s="388">
        <f>SUMIFS(服务费底表!$AC:$AC,服务费底表!$K:$K,服务费明细!$B40,服务费底表!$H:$H,服务费明细!BO$3)</f>
        <v>0</v>
      </c>
      <c r="BQ40" s="389">
        <f>SUMIFS(服务费底表!$AD:$AD,服务费底表!$K:$K,服务费明细!$B40,服务费底表!$H:$H,服务费明细!BQ$3)</f>
        <v>10430</v>
      </c>
      <c r="BR40" s="389">
        <f>SUMIFS(服务费底表!$AD:$AD,服务费底表!$K:$K,服务费明细!$B40,服务费底表!$H:$H,服务费明细!BR$3)</f>
        <v>650</v>
      </c>
      <c r="BS40" s="389">
        <f>SUMIFS(服务费底表!$AD:$AD,服务费底表!$K:$K,服务费明细!$B40,服务费底表!$H:$H,服务费明细!BS$3)</f>
        <v>0</v>
      </c>
      <c r="BT40" s="389">
        <f>SUMIFS(服务费底表!$AD:$AD,服务费底表!$K:$K,服务费明细!$B40,服务费底表!$H:$H,服务费明细!BT$3)</f>
        <v>400</v>
      </c>
      <c r="BU40" s="389">
        <f>SUMIFS(服务费底表!$AD:$AD,服务费底表!$K:$K,服务费明细!$B40,服务费底表!$H:$H,服务费明细!BU$3)</f>
        <v>0</v>
      </c>
      <c r="BV40" s="389">
        <f>SUMIFS(服务费底表!$AD:$AD,服务费底表!$K:$K,服务费明细!$B40,服务费底表!$H:$H,服务费明细!BV$3)</f>
        <v>580</v>
      </c>
      <c r="BW40" s="389">
        <f>SUMIFS(服务费底表!$AD:$AD,服务费底表!$K:$K,服务费明细!$B40,服务费底表!$H:$H,服务费明细!BW$3)</f>
        <v>0</v>
      </c>
    </row>
    <row r="41" spans="2:75">
      <c r="B41" s="89" t="s">
        <v>154</v>
      </c>
      <c r="C41" s="89" t="str">
        <f>INDEX(二三级标准!$C:$C,MATCH(服务费明细!$B41,二三级标准!$B:$B,0))</f>
        <v>召开首次研究者会</v>
      </c>
      <c r="D41" s="166">
        <f>IF($D$39=1,1,0)</f>
        <v>1</v>
      </c>
      <c r="E41" s="166">
        <f>IF($D41=1,1,0)</f>
        <v>1</v>
      </c>
      <c r="F41" s="89" t="str">
        <f>INDEX(二三级标准!$G:$G,MATCH(服务费明细!$B41,二三级标准!$B:$B,0))</f>
        <v>次</v>
      </c>
      <c r="G41" s="166">
        <f t="shared" si="84"/>
        <v>4</v>
      </c>
      <c r="H41" s="166">
        <f t="shared" si="85"/>
        <v>3</v>
      </c>
      <c r="I41" s="166">
        <f t="shared" si="86"/>
        <v>3</v>
      </c>
      <c r="J41" s="166">
        <f t="shared" si="87"/>
        <v>0</v>
      </c>
      <c r="K41" s="166">
        <f t="shared" si="88"/>
        <v>0</v>
      </c>
      <c r="L41" s="166">
        <f t="shared" si="89"/>
        <v>1</v>
      </c>
      <c r="M41" s="166">
        <f t="shared" si="90"/>
        <v>5</v>
      </c>
      <c r="N41" s="166">
        <f t="shared" si="91"/>
        <v>0</v>
      </c>
      <c r="O41" s="166">
        <f t="shared" si="92"/>
        <v>0</v>
      </c>
      <c r="P41" s="166">
        <f t="shared" si="93"/>
        <v>0</v>
      </c>
      <c r="Q41" s="166">
        <f t="shared" si="94"/>
        <v>0</v>
      </c>
      <c r="R41" s="166">
        <f t="shared" si="95"/>
        <v>0</v>
      </c>
      <c r="S41" s="166">
        <f t="shared" si="96"/>
        <v>0</v>
      </c>
      <c r="T41" s="166">
        <f t="shared" si="97"/>
        <v>0</v>
      </c>
      <c r="U41" s="166">
        <f t="shared" si="98"/>
        <v>0</v>
      </c>
      <c r="V41" s="166">
        <f t="shared" si="99"/>
        <v>1</v>
      </c>
      <c r="W41" s="166">
        <f t="shared" si="100"/>
        <v>0</v>
      </c>
      <c r="X41" s="166">
        <f t="shared" si="101"/>
        <v>0</v>
      </c>
      <c r="Y41" s="166">
        <f t="shared" si="102"/>
        <v>0</v>
      </c>
      <c r="Z41" s="166">
        <f t="shared" si="103"/>
        <v>0</v>
      </c>
      <c r="AA41" s="166">
        <f t="shared" si="104"/>
        <v>0</v>
      </c>
      <c r="AB41" s="166">
        <f t="shared" si="105"/>
        <v>0</v>
      </c>
      <c r="AC41" s="166" cm="1">
        <f t="array" ref="AC41">SUMPRODUCT(G41:AB41,$G$4:$AB$4)</f>
        <v>8610</v>
      </c>
      <c r="AD41" s="89" t="b">
        <f t="shared" si="109"/>
        <v>1</v>
      </c>
      <c r="AE41" s="386">
        <f>IFERROR(SUMIF(服务费底表!$K:$K,服务费明细!$B41,服务费底表!$AD:$AD)/E41,0)</f>
        <v>8610</v>
      </c>
      <c r="AF41" s="386">
        <f t="shared" ref="AF41:AF45" si="113">E41*AE41</f>
        <v>8610</v>
      </c>
      <c r="AG41" s="386">
        <f>IFERROR(SUMIF(服务费底表!$K:$K,服务费明细!$B41,服务费底表!$AG:$AG)/E41,0)</f>
        <v>8610</v>
      </c>
      <c r="AH41" s="386">
        <f t="shared" ref="AH41:AH45" si="114">AG41*E41</f>
        <v>8610</v>
      </c>
      <c r="AI41" s="409" t="s">
        <v>1002</v>
      </c>
      <c r="AJ41" s="563">
        <f t="shared" si="112"/>
        <v>17</v>
      </c>
      <c r="AK41" s="564">
        <f>SUMIF(服务费底表!$K:$K,服务费明细!$B41,服务费底表!$AC:$AC)</f>
        <v>17</v>
      </c>
      <c r="AL41" s="166">
        <f>SUMIFS(服务费底表!$AC:$AC,服务费底表!$K:$K,服务费明细!$B41,服务费底表!$T:$T,AL$3)</f>
        <v>4</v>
      </c>
      <c r="AM41" s="166">
        <f>SUMIFS(服务费底表!$AC:$AC,服务费底表!$K:$K,服务费明细!$B41,服务费底表!$T:$T,AM$3)</f>
        <v>3</v>
      </c>
      <c r="AN41" s="166">
        <f>SUMIFS(服务费底表!$AC:$AC,服务费底表!$K:$K,服务费明细!$B41,服务费底表!$T:$T,AN$3)</f>
        <v>3</v>
      </c>
      <c r="AO41" s="166">
        <f>SUMIFS(服务费底表!$AC:$AC,服务费底表!$K:$K,服务费明细!$B41,服务费底表!$T:$T,AO$3)</f>
        <v>0</v>
      </c>
      <c r="AP41" s="166">
        <f>SUMIFS(服务费底表!$AC:$AC,服务费底表!$K:$K,服务费明细!$B41,服务费底表!$T:$T,AP$3)</f>
        <v>0</v>
      </c>
      <c r="AQ41" s="166">
        <f>SUMIFS(服务费底表!$AC:$AC,服务费底表!$K:$K,服务费明细!$B41,服务费底表!$T:$T,AQ$3)</f>
        <v>1</v>
      </c>
      <c r="AR41" s="166">
        <f>SUMIFS(服务费底表!$AC:$AC,服务费底表!$K:$K,服务费明细!$B41,服务费底表!$T:$T,AR$3)</f>
        <v>5</v>
      </c>
      <c r="AS41" s="166">
        <f>SUMIFS(服务费底表!$AC:$AC,服务费底表!$K:$K,服务费明细!$B41,服务费底表!$T:$T,AS$3)</f>
        <v>0</v>
      </c>
      <c r="AT41" s="166">
        <f>SUMIFS(服务费底表!$AC:$AC,服务费底表!$K:$K,服务费明细!$B41,服务费底表!$T:$T,AT$3)</f>
        <v>0</v>
      </c>
      <c r="AU41" s="166">
        <f>SUMIFS(服务费底表!$AC:$AC,服务费底表!$K:$K,服务费明细!$B41,服务费底表!$T:$T,AU$3)</f>
        <v>0</v>
      </c>
      <c r="AV41" s="166">
        <f>SUMIFS(服务费底表!$AC:$AC,服务费底表!$K:$K,服务费明细!$B41,服务费底表!$T:$T,AV$3)</f>
        <v>0</v>
      </c>
      <c r="AW41" s="166">
        <f>SUMIFS(服务费底表!$AC:$AC,服务费底表!$K:$K,服务费明细!$B41,服务费底表!$T:$T,AW$3)</f>
        <v>0</v>
      </c>
      <c r="AX41" s="166">
        <f>SUMIFS(服务费底表!$AC:$AC,服务费底表!$K:$K,服务费明细!$B41,服务费底表!$T:$T,AX$3)</f>
        <v>0</v>
      </c>
      <c r="AY41" s="166">
        <f>SUMIFS(服务费底表!$AC:$AC,服务费底表!$K:$K,服务费明细!$B41,服务费底表!$T:$T,AY$3)</f>
        <v>0</v>
      </c>
      <c r="AZ41" s="166">
        <f>SUMIFS(服务费底表!$AC:$AC,服务费底表!$K:$K,服务费明细!$B41,服务费底表!$T:$T,AZ$3)</f>
        <v>0</v>
      </c>
      <c r="BA41" s="166">
        <f>SUMIFS(服务费底表!$AC:$AC,服务费底表!$K:$K,服务费明细!$B41,服务费底表!$T:$T,BA$3)</f>
        <v>1</v>
      </c>
      <c r="BB41" s="166">
        <f>SUMIFS(服务费底表!$AC:$AC,服务费底表!$K:$K,服务费明细!$B41,服务费底表!$T:$T,BB$3)</f>
        <v>0</v>
      </c>
      <c r="BC41" s="166">
        <f>SUMIFS(服务费底表!$AC:$AC,服务费底表!$K:$K,服务费明细!$B41,服务费底表!$T:$T,BC$3)</f>
        <v>0</v>
      </c>
      <c r="BD41" s="166">
        <f>SUMIFS(服务费底表!$AC:$AC,服务费底表!$K:$K,服务费明细!$B41,服务费底表!$T:$T,BD$3)</f>
        <v>0</v>
      </c>
      <c r="BE41" s="166">
        <f>SUMIFS(服务费底表!$AC:$AC,服务费底表!$K:$K,服务费明细!$B41,服务费底表!$T:$T,BE$3)</f>
        <v>0</v>
      </c>
      <c r="BF41" s="166">
        <f>SUMIFS(服务费底表!$AC:$AC,服务费底表!$K:$K,服务费明细!$B41,服务费底表!$T:$T,BF$3)</f>
        <v>0</v>
      </c>
      <c r="BG41" s="166">
        <f>SUMIFS(服务费底表!$AC:$AC,服务费底表!$K:$K,服务费明细!$B41,服务费底表!$T:$T,BG$3)</f>
        <v>0</v>
      </c>
      <c r="BI41" s="388">
        <f>SUMIFS(服务费底表!$AC:$AC,服务费底表!$K:$K,服务费明细!$B41,服务费底表!$H:$H,服务费明细!BI$3)</f>
        <v>6</v>
      </c>
      <c r="BJ41" s="388">
        <f>SUMIFS(服务费底表!$AC:$AC,服务费底表!$K:$K,服务费明细!$B41,服务费底表!$H:$H,服务费明细!BJ$3)</f>
        <v>10</v>
      </c>
      <c r="BK41" s="388">
        <f>SUMIFS(服务费底表!$AC:$AC,服务费底表!$K:$K,服务费明细!$B41,服务费底表!$H:$H,服务费明细!BK$3)</f>
        <v>0</v>
      </c>
      <c r="BL41" s="388">
        <f>SUMIFS(服务费底表!$AC:$AC,服务费底表!$K:$K,服务费明细!$B41,服务费底表!$H:$H,服务费明细!BL$3)</f>
        <v>1</v>
      </c>
      <c r="BM41" s="388">
        <f>SUMIFS(服务费底表!$AC:$AC,服务费底表!$K:$K,服务费明细!$B41,服务费底表!$H:$H,服务费明细!BM$3)</f>
        <v>0</v>
      </c>
      <c r="BN41" s="388">
        <f>SUMIFS(服务费底表!$AC:$AC,服务费底表!$K:$K,服务费明细!$B41,服务费底表!$H:$H,服务费明细!BN$3)</f>
        <v>0</v>
      </c>
      <c r="BO41" s="388">
        <f>SUMIFS(服务费底表!$AC:$AC,服务费底表!$K:$K,服务费明细!$B41,服务费底表!$H:$H,服务费明细!BO$3)</f>
        <v>0</v>
      </c>
      <c r="BQ41" s="389">
        <f>SUMIFS(服务费底表!$AD:$AD,服务费底表!$K:$K,服务费明细!$B41,服务费底表!$H:$H,服务费明细!BQ$3)</f>
        <v>4240</v>
      </c>
      <c r="BR41" s="389">
        <f>SUMIFS(服务费底表!$AD:$AD,服务费底表!$K:$K,服务费明细!$B41,服务费底表!$H:$H,服务费明细!BR$3)</f>
        <v>3970</v>
      </c>
      <c r="BS41" s="389">
        <f>SUMIFS(服务费底表!$AD:$AD,服务费底表!$K:$K,服务费明细!$B41,服务费底表!$H:$H,服务费明细!BS$3)</f>
        <v>0</v>
      </c>
      <c r="BT41" s="389">
        <f>SUMIFS(服务费底表!$AD:$AD,服务费底表!$K:$K,服务费明细!$B41,服务费底表!$H:$H,服务费明细!BT$3)</f>
        <v>400</v>
      </c>
      <c r="BU41" s="389">
        <f>SUMIFS(服务费底表!$AD:$AD,服务费底表!$K:$K,服务费明细!$B41,服务费底表!$H:$H,服务费明细!BU$3)</f>
        <v>0</v>
      </c>
      <c r="BV41" s="389">
        <f>SUMIFS(服务费底表!$AD:$AD,服务费底表!$K:$K,服务费明细!$B41,服务费底表!$H:$H,服务费明细!BV$3)</f>
        <v>0</v>
      </c>
      <c r="BW41" s="389">
        <f>SUMIFS(服务费底表!$AD:$AD,服务费底表!$K:$K,服务费明细!$B41,服务费底表!$H:$H,服务费明细!BW$3)</f>
        <v>0</v>
      </c>
    </row>
    <row r="42" spans="2:75">
      <c r="B42" s="89" t="s">
        <v>157</v>
      </c>
      <c r="C42" s="89" t="str">
        <f>INDEX(二三级标准!$C:$C,MATCH(服务费明细!$B42,二三级标准!$B:$B,0))</f>
        <v>SRC/SMC章程撰写</v>
      </c>
      <c r="D42" s="166" cm="1">
        <f t="array" ref="D42">IF(AND($D$39=1,SRC会议次数&gt;0,试验参与者类型&lt;&gt;"健康人"),1,0)</f>
        <v>1</v>
      </c>
      <c r="E42" s="166">
        <f>IF($D42=1,1,0)</f>
        <v>1</v>
      </c>
      <c r="F42" s="89" t="str">
        <f>INDEX(二三级标准!$G:$G,MATCH(服务费明细!$B42,二三级标准!$B:$B,0))</f>
        <v>次</v>
      </c>
      <c r="G42" s="166">
        <f t="shared" si="84"/>
        <v>0</v>
      </c>
      <c r="H42" s="166">
        <f t="shared" si="85"/>
        <v>0</v>
      </c>
      <c r="I42" s="166">
        <f t="shared" si="86"/>
        <v>0</v>
      </c>
      <c r="J42" s="166">
        <f t="shared" si="87"/>
        <v>0</v>
      </c>
      <c r="K42" s="166">
        <f t="shared" si="88"/>
        <v>0</v>
      </c>
      <c r="L42" s="166">
        <f t="shared" si="89"/>
        <v>2</v>
      </c>
      <c r="M42" s="166">
        <f t="shared" si="90"/>
        <v>8</v>
      </c>
      <c r="N42" s="166">
        <f t="shared" si="91"/>
        <v>0</v>
      </c>
      <c r="O42" s="166">
        <f t="shared" si="92"/>
        <v>0</v>
      </c>
      <c r="P42" s="166">
        <f t="shared" si="93"/>
        <v>0</v>
      </c>
      <c r="Q42" s="166">
        <f t="shared" si="94"/>
        <v>0</v>
      </c>
      <c r="R42" s="166">
        <f t="shared" si="95"/>
        <v>0</v>
      </c>
      <c r="S42" s="166">
        <f t="shared" si="96"/>
        <v>0</v>
      </c>
      <c r="T42" s="166">
        <f t="shared" si="97"/>
        <v>0</v>
      </c>
      <c r="U42" s="166">
        <f t="shared" si="98"/>
        <v>0</v>
      </c>
      <c r="V42" s="166">
        <f t="shared" si="99"/>
        <v>0</v>
      </c>
      <c r="W42" s="166">
        <f t="shared" si="100"/>
        <v>0</v>
      </c>
      <c r="X42" s="166">
        <f t="shared" si="101"/>
        <v>0</v>
      </c>
      <c r="Y42" s="166">
        <f t="shared" si="102"/>
        <v>0</v>
      </c>
      <c r="Z42" s="166">
        <f t="shared" si="103"/>
        <v>0</v>
      </c>
      <c r="AA42" s="166">
        <f t="shared" si="104"/>
        <v>0</v>
      </c>
      <c r="AB42" s="166">
        <f t="shared" si="105"/>
        <v>0</v>
      </c>
      <c r="AC42" s="166" cm="1">
        <f t="array" ref="AC42">SUMPRODUCT(G42:AB42,$G$4:$AB$4)</f>
        <v>7180</v>
      </c>
      <c r="AD42" s="89" t="b">
        <f t="shared" si="109"/>
        <v>1</v>
      </c>
      <c r="AE42" s="386">
        <f>IFERROR(SUMIF(服务费底表!$K:$K,服务费明细!$B42,服务费底表!$AD:$AD)/E42,0)</f>
        <v>7180</v>
      </c>
      <c r="AF42" s="386">
        <f t="shared" si="113"/>
        <v>7180</v>
      </c>
      <c r="AG42" s="386">
        <f>IFERROR(SUMIF(服务费底表!$K:$K,服务费明细!$B42,服务费底表!$AG:$AG)/E42,0)</f>
        <v>7180</v>
      </c>
      <c r="AH42" s="386">
        <f t="shared" si="114"/>
        <v>7180</v>
      </c>
      <c r="AI42" s="409" t="s">
        <v>1003</v>
      </c>
      <c r="AJ42" s="563">
        <f t="shared" si="112"/>
        <v>10</v>
      </c>
      <c r="AK42" s="564">
        <f>SUMIF(服务费底表!$K:$K,服务费明细!$B42,服务费底表!$AC:$AC)</f>
        <v>10</v>
      </c>
      <c r="AL42" s="166">
        <f>SUMIFS(服务费底表!$AC:$AC,服务费底表!$K:$K,服务费明细!$B42,服务费底表!$T:$T,AL$3)</f>
        <v>0</v>
      </c>
      <c r="AM42" s="166">
        <f>SUMIFS(服务费底表!$AC:$AC,服务费底表!$K:$K,服务费明细!$B42,服务费底表!$T:$T,AM$3)</f>
        <v>0</v>
      </c>
      <c r="AN42" s="166">
        <f>SUMIFS(服务费底表!$AC:$AC,服务费底表!$K:$K,服务费明细!$B42,服务费底表!$T:$T,AN$3)</f>
        <v>0</v>
      </c>
      <c r="AO42" s="166">
        <f>SUMIFS(服务费底表!$AC:$AC,服务费底表!$K:$K,服务费明细!$B42,服务费底表!$T:$T,AO$3)</f>
        <v>0</v>
      </c>
      <c r="AP42" s="166">
        <f>SUMIFS(服务费底表!$AC:$AC,服务费底表!$K:$K,服务费明细!$B42,服务费底表!$T:$T,AP$3)</f>
        <v>0</v>
      </c>
      <c r="AQ42" s="166">
        <f>SUMIFS(服务费底表!$AC:$AC,服务费底表!$K:$K,服务费明细!$B42,服务费底表!$T:$T,AQ$3)</f>
        <v>2</v>
      </c>
      <c r="AR42" s="166">
        <f>SUMIFS(服务费底表!$AC:$AC,服务费底表!$K:$K,服务费明细!$B42,服务费底表!$T:$T,AR$3)</f>
        <v>8</v>
      </c>
      <c r="AS42" s="166">
        <f>SUMIFS(服务费底表!$AC:$AC,服务费底表!$K:$K,服务费明细!$B42,服务费底表!$T:$T,AS$3)</f>
        <v>0</v>
      </c>
      <c r="AT42" s="166">
        <f>SUMIFS(服务费底表!$AC:$AC,服务费底表!$K:$K,服务费明细!$B42,服务费底表!$T:$T,AT$3)</f>
        <v>0</v>
      </c>
      <c r="AU42" s="166">
        <f>SUMIFS(服务费底表!$AC:$AC,服务费底表!$K:$K,服务费明细!$B42,服务费底表!$T:$T,AU$3)</f>
        <v>0</v>
      </c>
      <c r="AV42" s="166">
        <f>SUMIFS(服务费底表!$AC:$AC,服务费底表!$K:$K,服务费明细!$B42,服务费底表!$T:$T,AV$3)</f>
        <v>0</v>
      </c>
      <c r="AW42" s="166">
        <f>SUMIFS(服务费底表!$AC:$AC,服务费底表!$K:$K,服务费明细!$B42,服务费底表!$T:$T,AW$3)</f>
        <v>0</v>
      </c>
      <c r="AX42" s="166">
        <f>SUMIFS(服务费底表!$AC:$AC,服务费底表!$K:$K,服务费明细!$B42,服务费底表!$T:$T,AX$3)</f>
        <v>0</v>
      </c>
      <c r="AY42" s="166">
        <f>SUMIFS(服务费底表!$AC:$AC,服务费底表!$K:$K,服务费明细!$B42,服务费底表!$T:$T,AY$3)</f>
        <v>0</v>
      </c>
      <c r="AZ42" s="166">
        <f>SUMIFS(服务费底表!$AC:$AC,服务费底表!$K:$K,服务费明细!$B42,服务费底表!$T:$T,AZ$3)</f>
        <v>0</v>
      </c>
      <c r="BA42" s="166">
        <f>SUMIFS(服务费底表!$AC:$AC,服务费底表!$K:$K,服务费明细!$B42,服务费底表!$T:$T,BA$3)</f>
        <v>0</v>
      </c>
      <c r="BB42" s="166">
        <f>SUMIFS(服务费底表!$AC:$AC,服务费底表!$K:$K,服务费明细!$B42,服务费底表!$T:$T,BB$3)</f>
        <v>0</v>
      </c>
      <c r="BC42" s="166">
        <f>SUMIFS(服务费底表!$AC:$AC,服务费底表!$K:$K,服务费明细!$B42,服务费底表!$T:$T,BC$3)</f>
        <v>0</v>
      </c>
      <c r="BD42" s="166">
        <f>SUMIFS(服务费底表!$AC:$AC,服务费底表!$K:$K,服务费明细!$B42,服务费底表!$T:$T,BD$3)</f>
        <v>0</v>
      </c>
      <c r="BE42" s="166">
        <f>SUMIFS(服务费底表!$AC:$AC,服务费底表!$K:$K,服务费明细!$B42,服务费底表!$T:$T,BE$3)</f>
        <v>0</v>
      </c>
      <c r="BF42" s="166">
        <f>SUMIFS(服务费底表!$AC:$AC,服务费底表!$K:$K,服务费明细!$B42,服务费底表!$T:$T,BF$3)</f>
        <v>0</v>
      </c>
      <c r="BG42" s="166">
        <f>SUMIFS(服务费底表!$AC:$AC,服务费底表!$K:$K,服务费明细!$B42,服务费底表!$T:$T,BG$3)</f>
        <v>0</v>
      </c>
      <c r="BI42" s="388">
        <f>SUMIFS(服务费底表!$AC:$AC,服务费底表!$K:$K,服务费明细!$B42,服务费底表!$H:$H,服务费明细!BI$3)</f>
        <v>10</v>
      </c>
      <c r="BJ42" s="388">
        <f>SUMIFS(服务费底表!$AC:$AC,服务费底表!$K:$K,服务费明细!$B42,服务费底表!$H:$H,服务费明细!BJ$3)</f>
        <v>0</v>
      </c>
      <c r="BK42" s="388">
        <f>SUMIFS(服务费底表!$AC:$AC,服务费底表!$K:$K,服务费明细!$B42,服务费底表!$H:$H,服务费明细!BK$3)</f>
        <v>0</v>
      </c>
      <c r="BL42" s="388">
        <f>SUMIFS(服务费底表!$AC:$AC,服务费底表!$K:$K,服务费明细!$B42,服务费底表!$H:$H,服务费明细!BL$3)</f>
        <v>0</v>
      </c>
      <c r="BM42" s="388">
        <f>SUMIFS(服务费底表!$AC:$AC,服务费底表!$K:$K,服务费明细!$B42,服务费底表!$H:$H,服务费明细!BM$3)</f>
        <v>0</v>
      </c>
      <c r="BN42" s="388">
        <f>SUMIFS(服务费底表!$AC:$AC,服务费底表!$K:$K,服务费明细!$B42,服务费底表!$H:$H,服务费明细!BN$3)</f>
        <v>0</v>
      </c>
      <c r="BO42" s="388">
        <f>SUMIFS(服务费底表!$AC:$AC,服务费底表!$K:$K,服务费明细!$B42,服务费底表!$H:$H,服务费明细!BO$3)</f>
        <v>0</v>
      </c>
      <c r="BQ42" s="389">
        <f>SUMIFS(服务费底表!$AD:$AD,服务费底表!$K:$K,服务费明细!$B42,服务费底表!$H:$H,服务费明细!BQ$3)</f>
        <v>7180</v>
      </c>
      <c r="BR42" s="389">
        <f>SUMIFS(服务费底表!$AD:$AD,服务费底表!$K:$K,服务费明细!$B42,服务费底表!$H:$H,服务费明细!BR$3)</f>
        <v>0</v>
      </c>
      <c r="BS42" s="389">
        <f>SUMIFS(服务费底表!$AD:$AD,服务费底表!$K:$K,服务费明细!$B42,服务费底表!$H:$H,服务费明细!BS$3)</f>
        <v>0</v>
      </c>
      <c r="BT42" s="389">
        <f>SUMIFS(服务费底表!$AD:$AD,服务费底表!$K:$K,服务费明细!$B42,服务费底表!$H:$H,服务费明细!BT$3)</f>
        <v>0</v>
      </c>
      <c r="BU42" s="389">
        <f>SUMIFS(服务费底表!$AD:$AD,服务费底表!$K:$K,服务费明细!$B42,服务费底表!$H:$H,服务费明细!BU$3)</f>
        <v>0</v>
      </c>
      <c r="BV42" s="389">
        <f>SUMIFS(服务费底表!$AD:$AD,服务费底表!$K:$K,服务费明细!$B42,服务费底表!$H:$H,服务费明细!BV$3)</f>
        <v>0</v>
      </c>
      <c r="BW42" s="389">
        <f>SUMIFS(服务费底表!$AD:$AD,服务费底表!$K:$K,服务费明细!$B42,服务费底表!$H:$H,服务费明细!BW$3)</f>
        <v>0</v>
      </c>
    </row>
    <row r="43" spans="2:75">
      <c r="B43" s="89" t="s">
        <v>159</v>
      </c>
      <c r="C43" s="89" t="str">
        <f>INDEX(二三级标准!$C:$C,MATCH(服务费明细!$B43,二三级标准!$B:$B,0))</f>
        <v>召开SRC/SMC会</v>
      </c>
      <c r="D43" s="166">
        <f>IF(AND($D$39=1,SRC会议次数&gt;0),1,0)</f>
        <v>1</v>
      </c>
      <c r="E43" s="166">
        <f>IF($D43=1,SRC会议次数,0)</f>
        <v>6</v>
      </c>
      <c r="F43" s="89" t="str">
        <f>INDEX(二三级标准!$G:$G,MATCH(服务费明细!$B43,二三级标准!$B:$B,0))</f>
        <v>次</v>
      </c>
      <c r="G43" s="166">
        <f t="shared" si="84"/>
        <v>0</v>
      </c>
      <c r="H43" s="166">
        <f t="shared" si="85"/>
        <v>0</v>
      </c>
      <c r="I43" s="166">
        <f t="shared" si="86"/>
        <v>6</v>
      </c>
      <c r="J43" s="166">
        <f t="shared" si="87"/>
        <v>0</v>
      </c>
      <c r="K43" s="166">
        <f t="shared" si="88"/>
        <v>0</v>
      </c>
      <c r="L43" s="166">
        <f t="shared" si="89"/>
        <v>0</v>
      </c>
      <c r="M43" s="166">
        <f t="shared" si="90"/>
        <v>42</v>
      </c>
      <c r="N43" s="166">
        <f t="shared" si="91"/>
        <v>0</v>
      </c>
      <c r="O43" s="166">
        <f t="shared" si="92"/>
        <v>0</v>
      </c>
      <c r="P43" s="166">
        <f t="shared" si="93"/>
        <v>0</v>
      </c>
      <c r="Q43" s="166">
        <f t="shared" si="94"/>
        <v>0</v>
      </c>
      <c r="R43" s="166">
        <f t="shared" si="95"/>
        <v>12</v>
      </c>
      <c r="S43" s="166">
        <f t="shared" si="96"/>
        <v>0</v>
      </c>
      <c r="T43" s="166">
        <f t="shared" si="97"/>
        <v>0</v>
      </c>
      <c r="U43" s="166">
        <f t="shared" si="98"/>
        <v>0</v>
      </c>
      <c r="V43" s="166">
        <f t="shared" si="99"/>
        <v>0</v>
      </c>
      <c r="W43" s="166">
        <f t="shared" si="100"/>
        <v>0</v>
      </c>
      <c r="X43" s="166">
        <f t="shared" si="101"/>
        <v>6</v>
      </c>
      <c r="Y43" s="166">
        <f t="shared" si="102"/>
        <v>12</v>
      </c>
      <c r="Z43" s="166">
        <f t="shared" si="103"/>
        <v>0</v>
      </c>
      <c r="AA43" s="166">
        <f t="shared" si="104"/>
        <v>0</v>
      </c>
      <c r="AB43" s="166">
        <f t="shared" si="105"/>
        <v>0</v>
      </c>
      <c r="AC43" s="166" cm="1">
        <f t="array" ref="AC43">SUMPRODUCT(G43:AB43,$G$4:$AB$4)</f>
        <v>45480</v>
      </c>
      <c r="AD43" s="89" t="b">
        <f t="shared" si="109"/>
        <v>1</v>
      </c>
      <c r="AE43" s="386">
        <f>IFERROR(SUMIF(服务费底表!$K:$K,服务费明细!$B43,服务费底表!$AD:$AD)/E43,0)</f>
        <v>7580</v>
      </c>
      <c r="AF43" s="386">
        <f t="shared" si="113"/>
        <v>45480</v>
      </c>
      <c r="AG43" s="386">
        <f>IFERROR(SUMIF(服务费底表!$K:$K,服务费明细!$B43,服务费底表!$AG:$AG)/E43,0)</f>
        <v>7580</v>
      </c>
      <c r="AH43" s="386">
        <f t="shared" si="114"/>
        <v>45480</v>
      </c>
      <c r="AI43" s="409" t="s">
        <v>1002</v>
      </c>
      <c r="AJ43" s="563">
        <f t="shared" si="112"/>
        <v>13</v>
      </c>
      <c r="AK43" s="564">
        <f>SUMIF(服务费底表!$K:$K,服务费明细!$B43,服务费底表!$AC:$AC)</f>
        <v>78</v>
      </c>
      <c r="AL43" s="166">
        <f>SUMIFS(服务费底表!$AC:$AC,服务费底表!$K:$K,服务费明细!$B43,服务费底表!$T:$T,AL$3)</f>
        <v>0</v>
      </c>
      <c r="AM43" s="166">
        <f>SUMIFS(服务费底表!$AC:$AC,服务费底表!$K:$K,服务费明细!$B43,服务费底表!$T:$T,AM$3)</f>
        <v>0</v>
      </c>
      <c r="AN43" s="166">
        <f>SUMIFS(服务费底表!$AC:$AC,服务费底表!$K:$K,服务费明细!$B43,服务费底表!$T:$T,AN$3)</f>
        <v>6</v>
      </c>
      <c r="AO43" s="166">
        <f>SUMIFS(服务费底表!$AC:$AC,服务费底表!$K:$K,服务费明细!$B43,服务费底表!$T:$T,AO$3)</f>
        <v>0</v>
      </c>
      <c r="AP43" s="166">
        <f>SUMIFS(服务费底表!$AC:$AC,服务费底表!$K:$K,服务费明细!$B43,服务费底表!$T:$T,AP$3)</f>
        <v>0</v>
      </c>
      <c r="AQ43" s="166">
        <f>SUMIFS(服务费底表!$AC:$AC,服务费底表!$K:$K,服务费明细!$B43,服务费底表!$T:$T,AQ$3)</f>
        <v>0</v>
      </c>
      <c r="AR43" s="166">
        <f>SUMIFS(服务费底表!$AC:$AC,服务费底表!$K:$K,服务费明细!$B43,服务费底表!$T:$T,AR$3)</f>
        <v>42</v>
      </c>
      <c r="AS43" s="166">
        <f>SUMIFS(服务费底表!$AC:$AC,服务费底表!$K:$K,服务费明细!$B43,服务费底表!$T:$T,AS$3)</f>
        <v>0</v>
      </c>
      <c r="AT43" s="166">
        <f>SUMIFS(服务费底表!$AC:$AC,服务费底表!$K:$K,服务费明细!$B43,服务费底表!$T:$T,AT$3)</f>
        <v>0</v>
      </c>
      <c r="AU43" s="166">
        <f>SUMIFS(服务费底表!$AC:$AC,服务费底表!$K:$K,服务费明细!$B43,服务费底表!$T:$T,AU$3)</f>
        <v>0</v>
      </c>
      <c r="AV43" s="166">
        <f>SUMIFS(服务费底表!$AC:$AC,服务费底表!$K:$K,服务费明细!$B43,服务费底表!$T:$T,AV$3)</f>
        <v>0</v>
      </c>
      <c r="AW43" s="166">
        <f>SUMIFS(服务费底表!$AC:$AC,服务费底表!$K:$K,服务费明细!$B43,服务费底表!$T:$T,AW$3)</f>
        <v>12</v>
      </c>
      <c r="AX43" s="166">
        <f>SUMIFS(服务费底表!$AC:$AC,服务费底表!$K:$K,服务费明细!$B43,服务费底表!$T:$T,AX$3)</f>
        <v>0</v>
      </c>
      <c r="AY43" s="166">
        <f>SUMIFS(服务费底表!$AC:$AC,服务费底表!$K:$K,服务费明细!$B43,服务费底表!$T:$T,AY$3)</f>
        <v>0</v>
      </c>
      <c r="AZ43" s="166">
        <f>SUMIFS(服务费底表!$AC:$AC,服务费底表!$K:$K,服务费明细!$B43,服务费底表!$T:$T,AZ$3)</f>
        <v>0</v>
      </c>
      <c r="BA43" s="166">
        <f>SUMIFS(服务费底表!$AC:$AC,服务费底表!$K:$K,服务费明细!$B43,服务费底表!$T:$T,BA$3)</f>
        <v>0</v>
      </c>
      <c r="BB43" s="166">
        <f>SUMIFS(服务费底表!$AC:$AC,服务费底表!$K:$K,服务费明细!$B43,服务费底表!$T:$T,BB$3)</f>
        <v>0</v>
      </c>
      <c r="BC43" s="166">
        <f>SUMIFS(服务费底表!$AC:$AC,服务费底表!$K:$K,服务费明细!$B43,服务费底表!$T:$T,BC$3)</f>
        <v>6</v>
      </c>
      <c r="BD43" s="166">
        <f>SUMIFS(服务费底表!$AC:$AC,服务费底表!$K:$K,服务费明细!$B43,服务费底表!$T:$T,BD$3)</f>
        <v>12</v>
      </c>
      <c r="BE43" s="166">
        <f>SUMIFS(服务费底表!$AC:$AC,服务费底表!$K:$K,服务费明细!$B43,服务费底表!$T:$T,BE$3)</f>
        <v>0</v>
      </c>
      <c r="BF43" s="166">
        <f>SUMIFS(服务费底表!$AC:$AC,服务费底表!$K:$K,服务费明细!$B43,服务费底表!$T:$T,BF$3)</f>
        <v>0</v>
      </c>
      <c r="BG43" s="166">
        <f>SUMIFS(服务费底表!$AC:$AC,服务费底表!$K:$K,服务费明细!$B43,服务费底表!$T:$T,BG$3)</f>
        <v>0</v>
      </c>
      <c r="BI43" s="388">
        <f>SUMIFS(服务费底表!$AC:$AC,服务费底表!$K:$K,服务费明细!$B43,服务费底表!$H:$H,服务费明细!BI$3)</f>
        <v>42</v>
      </c>
      <c r="BJ43" s="388">
        <f>SUMIFS(服务费底表!$AC:$AC,服务费底表!$K:$K,服务费明细!$B43,服务费底表!$H:$H,服务费明细!BJ$3)</f>
        <v>6</v>
      </c>
      <c r="BK43" s="388">
        <f>SUMIFS(服务费底表!$AC:$AC,服务费底表!$K:$K,服务费明细!$B43,服务费底表!$H:$H,服务费明细!BK$3)</f>
        <v>12</v>
      </c>
      <c r="BL43" s="574">
        <f>SUMIFS(服务费底表!$AC:$AC,服务费底表!$K:$K,服务费明细!$B43,服务费底表!$H:$H,服务费明细!BL$3)</f>
        <v>0</v>
      </c>
      <c r="BM43" s="388">
        <f>SUMIFS(服务费底表!$AC:$AC,服务费底表!$K:$K,服务费明细!$B43,服务费底表!$H:$H,服务费明细!BM$3)</f>
        <v>0</v>
      </c>
      <c r="BN43" s="388">
        <f>SUMIFS(服务费底表!$AC:$AC,服务费底表!$K:$K,服务费明细!$B43,服务费底表!$H:$H,服务费明细!BN$3)</f>
        <v>18</v>
      </c>
      <c r="BO43" s="388">
        <f>SUMIFS(服务费底表!$AC:$AC,服务费底表!$K:$K,服务费明细!$B43,服务费底表!$H:$H,服务费明细!BO$3)</f>
        <v>0</v>
      </c>
      <c r="BQ43" s="389">
        <f>SUMIFS(服务费底表!$AD:$AD,服务费底表!$K:$K,服务费明细!$B43,服务费底表!$H:$H,服务费明细!BQ$3)</f>
        <v>27300</v>
      </c>
      <c r="BR43" s="389">
        <f>SUMIFS(服务费底表!$AD:$AD,服务费底表!$K:$K,服务费明细!$B43,服务费底表!$H:$H,服务费明细!BR$3)</f>
        <v>3900</v>
      </c>
      <c r="BS43" s="389">
        <f>SUMIFS(服务费底表!$AD:$AD,服务费底表!$K:$K,服务费明细!$B43,服务费底表!$H:$H,服务费明细!BS$3)</f>
        <v>2400</v>
      </c>
      <c r="BT43" s="389">
        <f>SUMIFS(服务费底表!$AD:$AD,服务费底表!$K:$K,服务费明细!$B43,服务费底表!$H:$H,服务费明细!BT$3)</f>
        <v>0</v>
      </c>
      <c r="BU43" s="389">
        <f>SUMIFS(服务费底表!$AD:$AD,服务费底表!$K:$K,服务费明细!$B43,服务费底表!$H:$H,服务费明细!BU$3)</f>
        <v>0</v>
      </c>
      <c r="BV43" s="389">
        <f>SUMIFS(服务费底表!$AD:$AD,服务费底表!$K:$K,服务费明细!$B43,服务费底表!$H:$H,服务费明细!BV$3)</f>
        <v>11880</v>
      </c>
      <c r="BW43" s="389">
        <f>SUMIFS(服务费底表!$AD:$AD,服务费底表!$K:$K,服务费明细!$B43,服务费底表!$H:$H,服务费明细!BW$3)</f>
        <v>0</v>
      </c>
    </row>
    <row r="44" spans="2:75">
      <c r="B44" s="89" t="s">
        <v>161</v>
      </c>
      <c r="C44" s="89" t="str">
        <f>INDEX(二三级标准!$C:$C,MATCH(服务费明细!$B44,二三级标准!$B:$B,0))</f>
        <v>召开中期研究者会</v>
      </c>
      <c r="D44" s="166">
        <v>0</v>
      </c>
      <c r="E44" s="166">
        <f>IF($D44=1,1,0)</f>
        <v>0</v>
      </c>
      <c r="F44" s="89" t="str">
        <f>INDEX(二三级标准!$G:$G,MATCH(服务费明细!$B44,二三级标准!$B:$B,0))</f>
        <v>次</v>
      </c>
      <c r="G44" s="166">
        <f t="shared" si="84"/>
        <v>0</v>
      </c>
      <c r="H44" s="166">
        <f t="shared" si="85"/>
        <v>0</v>
      </c>
      <c r="I44" s="166">
        <f t="shared" si="86"/>
        <v>0</v>
      </c>
      <c r="J44" s="166">
        <f t="shared" si="87"/>
        <v>0</v>
      </c>
      <c r="K44" s="166">
        <f t="shared" si="88"/>
        <v>0</v>
      </c>
      <c r="L44" s="166">
        <f t="shared" si="89"/>
        <v>0</v>
      </c>
      <c r="M44" s="166">
        <f t="shared" si="90"/>
        <v>0</v>
      </c>
      <c r="N44" s="166">
        <f t="shared" si="91"/>
        <v>0</v>
      </c>
      <c r="O44" s="166">
        <f t="shared" si="92"/>
        <v>0</v>
      </c>
      <c r="P44" s="166">
        <f t="shared" si="93"/>
        <v>0</v>
      </c>
      <c r="Q44" s="166">
        <f t="shared" si="94"/>
        <v>0</v>
      </c>
      <c r="R44" s="166">
        <f t="shared" si="95"/>
        <v>0</v>
      </c>
      <c r="S44" s="166">
        <f t="shared" si="96"/>
        <v>0</v>
      </c>
      <c r="T44" s="166">
        <f t="shared" si="97"/>
        <v>0</v>
      </c>
      <c r="U44" s="166">
        <f t="shared" si="98"/>
        <v>0</v>
      </c>
      <c r="V44" s="166">
        <f t="shared" si="99"/>
        <v>0</v>
      </c>
      <c r="W44" s="166">
        <f t="shared" si="100"/>
        <v>0</v>
      </c>
      <c r="X44" s="166">
        <f t="shared" si="101"/>
        <v>0</v>
      </c>
      <c r="Y44" s="166">
        <f t="shared" si="102"/>
        <v>0</v>
      </c>
      <c r="Z44" s="166">
        <f t="shared" si="103"/>
        <v>0</v>
      </c>
      <c r="AA44" s="166">
        <f t="shared" si="104"/>
        <v>0</v>
      </c>
      <c r="AB44" s="166">
        <f t="shared" si="105"/>
        <v>0</v>
      </c>
      <c r="AC44" s="166" cm="1">
        <f t="array" ref="AC44">SUMPRODUCT(G44:AB44,$G$4:$AB$4)</f>
        <v>0</v>
      </c>
      <c r="AD44" s="89" t="b">
        <f t="shared" si="109"/>
        <v>1</v>
      </c>
      <c r="AE44" s="386">
        <f>IFERROR(SUMIF(服务费底表!$K:$K,服务费明细!$B44,服务费底表!$AD:$AD)/E44,0)</f>
        <v>0</v>
      </c>
      <c r="AF44" s="386">
        <f t="shared" si="113"/>
        <v>0</v>
      </c>
      <c r="AG44" s="386">
        <f>IFERROR(SUMIF(服务费底表!$K:$K,服务费明细!$B44,服务费底表!$AG:$AG)/E44,0)</f>
        <v>0</v>
      </c>
      <c r="AH44" s="386">
        <f t="shared" si="114"/>
        <v>0</v>
      </c>
      <c r="AI44" s="409" t="s">
        <v>1004</v>
      </c>
      <c r="AJ44" s="563">
        <f t="shared" si="112"/>
        <v>0</v>
      </c>
      <c r="AK44" s="564">
        <f>SUMIF(服务费底表!$K:$K,服务费明细!$B44,服务费底表!$AC:$AC)</f>
        <v>0</v>
      </c>
      <c r="AL44" s="166">
        <f>SUMIFS(服务费底表!$AC:$AC,服务费底表!$K:$K,服务费明细!$B44,服务费底表!$T:$T,AL$3)</f>
        <v>0</v>
      </c>
      <c r="AM44" s="166">
        <f>SUMIFS(服务费底表!$AC:$AC,服务费底表!$K:$K,服务费明细!$B44,服务费底表!$T:$T,AM$3)</f>
        <v>0</v>
      </c>
      <c r="AN44" s="166">
        <f>SUMIFS(服务费底表!$AC:$AC,服务费底表!$K:$K,服务费明细!$B44,服务费底表!$T:$T,AN$3)</f>
        <v>0</v>
      </c>
      <c r="AO44" s="166">
        <f>SUMIFS(服务费底表!$AC:$AC,服务费底表!$K:$K,服务费明细!$B44,服务费底表!$T:$T,AO$3)</f>
        <v>0</v>
      </c>
      <c r="AP44" s="166">
        <f>SUMIFS(服务费底表!$AC:$AC,服务费底表!$K:$K,服务费明细!$B44,服务费底表!$T:$T,AP$3)</f>
        <v>0</v>
      </c>
      <c r="AQ44" s="166">
        <f>SUMIFS(服务费底表!$AC:$AC,服务费底表!$K:$K,服务费明细!$B44,服务费底表!$T:$T,AQ$3)</f>
        <v>0</v>
      </c>
      <c r="AR44" s="166">
        <f>SUMIFS(服务费底表!$AC:$AC,服务费底表!$K:$K,服务费明细!$B44,服务费底表!$T:$T,AR$3)</f>
        <v>0</v>
      </c>
      <c r="AS44" s="166">
        <f>SUMIFS(服务费底表!$AC:$AC,服务费底表!$K:$K,服务费明细!$B44,服务费底表!$T:$T,AS$3)</f>
        <v>0</v>
      </c>
      <c r="AT44" s="166">
        <f>SUMIFS(服务费底表!$AC:$AC,服务费底表!$K:$K,服务费明细!$B44,服务费底表!$T:$T,AT$3)</f>
        <v>0</v>
      </c>
      <c r="AU44" s="166">
        <f>SUMIFS(服务费底表!$AC:$AC,服务费底表!$K:$K,服务费明细!$B44,服务费底表!$T:$T,AU$3)</f>
        <v>0</v>
      </c>
      <c r="AV44" s="166">
        <f>SUMIFS(服务费底表!$AC:$AC,服务费底表!$K:$K,服务费明细!$B44,服务费底表!$T:$T,AV$3)</f>
        <v>0</v>
      </c>
      <c r="AW44" s="166">
        <f>SUMIFS(服务费底表!$AC:$AC,服务费底表!$K:$K,服务费明细!$B44,服务费底表!$T:$T,AW$3)</f>
        <v>0</v>
      </c>
      <c r="AX44" s="166">
        <f>SUMIFS(服务费底表!$AC:$AC,服务费底表!$K:$K,服务费明细!$B44,服务费底表!$T:$T,AX$3)</f>
        <v>0</v>
      </c>
      <c r="AY44" s="166">
        <f>SUMIFS(服务费底表!$AC:$AC,服务费底表!$K:$K,服务费明细!$B44,服务费底表!$T:$T,AY$3)</f>
        <v>0</v>
      </c>
      <c r="AZ44" s="166">
        <f>SUMIFS(服务费底表!$AC:$AC,服务费底表!$K:$K,服务费明细!$B44,服务费底表!$T:$T,AZ$3)</f>
        <v>0</v>
      </c>
      <c r="BA44" s="166">
        <f>SUMIFS(服务费底表!$AC:$AC,服务费底表!$K:$K,服务费明细!$B44,服务费底表!$T:$T,BA$3)</f>
        <v>0</v>
      </c>
      <c r="BB44" s="166">
        <f>SUMIFS(服务费底表!$AC:$AC,服务费底表!$K:$K,服务费明细!$B44,服务费底表!$T:$T,BB$3)</f>
        <v>0</v>
      </c>
      <c r="BC44" s="166">
        <f>SUMIFS(服务费底表!$AC:$AC,服务费底表!$K:$K,服务费明细!$B44,服务费底表!$T:$T,BC$3)</f>
        <v>0</v>
      </c>
      <c r="BD44" s="166">
        <f>SUMIFS(服务费底表!$AC:$AC,服务费底表!$K:$K,服务费明细!$B44,服务费底表!$T:$T,BD$3)</f>
        <v>0</v>
      </c>
      <c r="BE44" s="166">
        <f>SUMIFS(服务费底表!$AC:$AC,服务费底表!$K:$K,服务费明细!$B44,服务费底表!$T:$T,BE$3)</f>
        <v>0</v>
      </c>
      <c r="BF44" s="166">
        <f>SUMIFS(服务费底表!$AC:$AC,服务费底表!$K:$K,服务费明细!$B44,服务费底表!$T:$T,BF$3)</f>
        <v>0</v>
      </c>
      <c r="BG44" s="166">
        <f>SUMIFS(服务费底表!$AC:$AC,服务费底表!$K:$K,服务费明细!$B44,服务费底表!$T:$T,BG$3)</f>
        <v>0</v>
      </c>
      <c r="BI44" s="388">
        <f>SUMIFS(服务费底表!$AC:$AC,服务费底表!$K:$K,服务费明细!$B44,服务费底表!$H:$H,服务费明细!BI$3)</f>
        <v>0</v>
      </c>
      <c r="BJ44" s="388">
        <f>SUMIFS(服务费底表!$AC:$AC,服务费底表!$K:$K,服务费明细!$B44,服务费底表!$H:$H,服务费明细!BJ$3)</f>
        <v>0</v>
      </c>
      <c r="BK44" s="388">
        <f>SUMIFS(服务费底表!$AC:$AC,服务费底表!$K:$K,服务费明细!$B44,服务费底表!$H:$H,服务费明细!BK$3)</f>
        <v>0</v>
      </c>
      <c r="BL44" s="388">
        <f>SUMIFS(服务费底表!$AC:$AC,服务费底表!$K:$K,服务费明细!$B44,服务费底表!$H:$H,服务费明细!BL$3)</f>
        <v>0</v>
      </c>
      <c r="BM44" s="388">
        <f>SUMIFS(服务费底表!$AC:$AC,服务费底表!$K:$K,服务费明细!$B44,服务费底表!$H:$H,服务费明细!BM$3)</f>
        <v>0</v>
      </c>
      <c r="BN44" s="388">
        <f>SUMIFS(服务费底表!$AC:$AC,服务费底表!$K:$K,服务费明细!$B44,服务费底表!$H:$H,服务费明细!BN$3)</f>
        <v>0</v>
      </c>
      <c r="BO44" s="388">
        <f>SUMIFS(服务费底表!$AC:$AC,服务费底表!$K:$K,服务费明细!$B44,服务费底表!$H:$H,服务费明细!BO$3)</f>
        <v>0</v>
      </c>
      <c r="BQ44" s="389">
        <f>SUMIFS(服务费底表!$AD:$AD,服务费底表!$K:$K,服务费明细!$B44,服务费底表!$H:$H,服务费明细!BQ$3)</f>
        <v>0</v>
      </c>
      <c r="BR44" s="389">
        <f>SUMIFS(服务费底表!$AD:$AD,服务费底表!$K:$K,服务费明细!$B44,服务费底表!$H:$H,服务费明细!BR$3)</f>
        <v>0</v>
      </c>
      <c r="BS44" s="389">
        <f>SUMIFS(服务费底表!$AD:$AD,服务费底表!$K:$K,服务费明细!$B44,服务费底表!$H:$H,服务费明细!BS$3)</f>
        <v>0</v>
      </c>
      <c r="BT44" s="389">
        <f>SUMIFS(服务费底表!$AD:$AD,服务费底表!$K:$K,服务费明细!$B44,服务费底表!$H:$H,服务费明细!BT$3)</f>
        <v>0</v>
      </c>
      <c r="BU44" s="389">
        <f>SUMIFS(服务费底表!$AD:$AD,服务费底表!$K:$K,服务费明细!$B44,服务费底表!$H:$H,服务费明细!BU$3)</f>
        <v>0</v>
      </c>
      <c r="BV44" s="389">
        <f>SUMIFS(服务费底表!$AD:$AD,服务费底表!$K:$K,服务费明细!$B44,服务费底表!$H:$H,服务费明细!BV$3)</f>
        <v>0</v>
      </c>
      <c r="BW44" s="389">
        <f>SUMIFS(服务费底表!$AD:$AD,服务费底表!$K:$K,服务费明细!$B44,服务费底表!$H:$H,服务费明细!BW$3)</f>
        <v>0</v>
      </c>
    </row>
    <row r="45" spans="2:75">
      <c r="B45" s="89" t="s">
        <v>163</v>
      </c>
      <c r="C45" s="89" t="str">
        <f>INDEX(二三级标准!$C:$C,MATCH(服务费明细!$B45,二三级标准!$B:$B,0))</f>
        <v>召开研究总结会</v>
      </c>
      <c r="D45" s="166">
        <v>0</v>
      </c>
      <c r="E45" s="166">
        <f>IF($D45=1,1,0)</f>
        <v>0</v>
      </c>
      <c r="F45" s="89" t="str">
        <f>INDEX(二三级标准!$G:$G,MATCH(服务费明细!$B45,二三级标准!$B:$B,0))</f>
        <v>次</v>
      </c>
      <c r="G45" s="166">
        <f t="shared" si="84"/>
        <v>0</v>
      </c>
      <c r="H45" s="166">
        <f t="shared" si="85"/>
        <v>0</v>
      </c>
      <c r="I45" s="166">
        <f t="shared" si="86"/>
        <v>0</v>
      </c>
      <c r="J45" s="166">
        <f t="shared" si="87"/>
        <v>0</v>
      </c>
      <c r="K45" s="166">
        <f t="shared" si="88"/>
        <v>0</v>
      </c>
      <c r="L45" s="166">
        <f t="shared" si="89"/>
        <v>0</v>
      </c>
      <c r="M45" s="166">
        <f t="shared" si="90"/>
        <v>0</v>
      </c>
      <c r="N45" s="166">
        <f t="shared" si="91"/>
        <v>0</v>
      </c>
      <c r="O45" s="166">
        <f t="shared" si="92"/>
        <v>0</v>
      </c>
      <c r="P45" s="166">
        <f t="shared" si="93"/>
        <v>0</v>
      </c>
      <c r="Q45" s="166">
        <f t="shared" si="94"/>
        <v>0</v>
      </c>
      <c r="R45" s="166">
        <f t="shared" si="95"/>
        <v>0</v>
      </c>
      <c r="S45" s="166">
        <f t="shared" si="96"/>
        <v>0</v>
      </c>
      <c r="T45" s="166">
        <f t="shared" si="97"/>
        <v>0</v>
      </c>
      <c r="U45" s="166">
        <f t="shared" si="98"/>
        <v>0</v>
      </c>
      <c r="V45" s="166">
        <f t="shared" si="99"/>
        <v>0</v>
      </c>
      <c r="W45" s="166">
        <f t="shared" si="100"/>
        <v>0</v>
      </c>
      <c r="X45" s="166">
        <f t="shared" si="101"/>
        <v>0</v>
      </c>
      <c r="Y45" s="166">
        <f t="shared" si="102"/>
        <v>0</v>
      </c>
      <c r="Z45" s="166">
        <f t="shared" si="103"/>
        <v>0</v>
      </c>
      <c r="AA45" s="166">
        <f t="shared" si="104"/>
        <v>0</v>
      </c>
      <c r="AB45" s="166">
        <f t="shared" si="105"/>
        <v>0</v>
      </c>
      <c r="AC45" s="166" cm="1">
        <f t="array" ref="AC45">SUMPRODUCT(G45:AB45,$G$4:$AB$4)</f>
        <v>0</v>
      </c>
      <c r="AD45" s="89" t="b">
        <f t="shared" si="109"/>
        <v>1</v>
      </c>
      <c r="AE45" s="386">
        <f>IFERROR(SUMIF(服务费底表!$K:$K,服务费明细!$B45,服务费底表!$AD:$AD)/E45,0)</f>
        <v>0</v>
      </c>
      <c r="AF45" s="386">
        <f t="shared" si="113"/>
        <v>0</v>
      </c>
      <c r="AG45" s="386">
        <f>IFERROR(SUMIF(服务费底表!$K:$K,服务费明细!$B45,服务费底表!$AG:$AG)/E45,0)</f>
        <v>0</v>
      </c>
      <c r="AH45" s="386">
        <f t="shared" si="114"/>
        <v>0</v>
      </c>
      <c r="AI45" s="409" t="s">
        <v>1004</v>
      </c>
      <c r="AJ45" s="563">
        <f t="shared" si="112"/>
        <v>0</v>
      </c>
      <c r="AK45" s="564">
        <f>SUMIF(服务费底表!$K:$K,服务费明细!$B45,服务费底表!$AC:$AC)</f>
        <v>0</v>
      </c>
      <c r="AL45" s="166">
        <f>SUMIFS(服务费底表!$AC:$AC,服务费底表!$K:$K,服务费明细!$B45,服务费底表!$T:$T,AL$3)</f>
        <v>0</v>
      </c>
      <c r="AM45" s="166">
        <f>SUMIFS(服务费底表!$AC:$AC,服务费底表!$K:$K,服务费明细!$B45,服务费底表!$T:$T,AM$3)</f>
        <v>0</v>
      </c>
      <c r="AN45" s="166">
        <f>SUMIFS(服务费底表!$AC:$AC,服务费底表!$K:$K,服务费明细!$B45,服务费底表!$T:$T,AN$3)</f>
        <v>0</v>
      </c>
      <c r="AO45" s="166">
        <f>SUMIFS(服务费底表!$AC:$AC,服务费底表!$K:$K,服务费明细!$B45,服务费底表!$T:$T,AO$3)</f>
        <v>0</v>
      </c>
      <c r="AP45" s="166">
        <f>SUMIFS(服务费底表!$AC:$AC,服务费底表!$K:$K,服务费明细!$B45,服务费底表!$T:$T,AP$3)</f>
        <v>0</v>
      </c>
      <c r="AQ45" s="166">
        <f>SUMIFS(服务费底表!$AC:$AC,服务费底表!$K:$K,服务费明细!$B45,服务费底表!$T:$T,AQ$3)</f>
        <v>0</v>
      </c>
      <c r="AR45" s="166">
        <f>SUMIFS(服务费底表!$AC:$AC,服务费底表!$K:$K,服务费明细!$B45,服务费底表!$T:$T,AR$3)</f>
        <v>0</v>
      </c>
      <c r="AS45" s="166">
        <f>SUMIFS(服务费底表!$AC:$AC,服务费底表!$K:$K,服务费明细!$B45,服务费底表!$T:$T,AS$3)</f>
        <v>0</v>
      </c>
      <c r="AT45" s="166">
        <f>SUMIFS(服务费底表!$AC:$AC,服务费底表!$K:$K,服务费明细!$B45,服务费底表!$T:$T,AT$3)</f>
        <v>0</v>
      </c>
      <c r="AU45" s="166">
        <f>SUMIFS(服务费底表!$AC:$AC,服务费底表!$K:$K,服务费明细!$B45,服务费底表!$T:$T,AU$3)</f>
        <v>0</v>
      </c>
      <c r="AV45" s="166">
        <f>SUMIFS(服务费底表!$AC:$AC,服务费底表!$K:$K,服务费明细!$B45,服务费底表!$T:$T,AV$3)</f>
        <v>0</v>
      </c>
      <c r="AW45" s="166">
        <f>SUMIFS(服务费底表!$AC:$AC,服务费底表!$K:$K,服务费明细!$B45,服务费底表!$T:$T,AW$3)</f>
        <v>0</v>
      </c>
      <c r="AX45" s="166">
        <f>SUMIFS(服务费底表!$AC:$AC,服务费底表!$K:$K,服务费明细!$B45,服务费底表!$T:$T,AX$3)</f>
        <v>0</v>
      </c>
      <c r="AY45" s="166">
        <f>SUMIFS(服务费底表!$AC:$AC,服务费底表!$K:$K,服务费明细!$B45,服务费底表!$T:$T,AY$3)</f>
        <v>0</v>
      </c>
      <c r="AZ45" s="166">
        <f>SUMIFS(服务费底表!$AC:$AC,服务费底表!$K:$K,服务费明细!$B45,服务费底表!$T:$T,AZ$3)</f>
        <v>0</v>
      </c>
      <c r="BA45" s="166">
        <f>SUMIFS(服务费底表!$AC:$AC,服务费底表!$K:$K,服务费明细!$B45,服务费底表!$T:$T,BA$3)</f>
        <v>0</v>
      </c>
      <c r="BB45" s="166">
        <f>SUMIFS(服务费底表!$AC:$AC,服务费底表!$K:$K,服务费明细!$B45,服务费底表!$T:$T,BB$3)</f>
        <v>0</v>
      </c>
      <c r="BC45" s="166">
        <f>SUMIFS(服务费底表!$AC:$AC,服务费底表!$K:$K,服务费明细!$B45,服务费底表!$T:$T,BC$3)</f>
        <v>0</v>
      </c>
      <c r="BD45" s="166">
        <f>SUMIFS(服务费底表!$AC:$AC,服务费底表!$K:$K,服务费明细!$B45,服务费底表!$T:$T,BD$3)</f>
        <v>0</v>
      </c>
      <c r="BE45" s="166">
        <f>SUMIFS(服务费底表!$AC:$AC,服务费底表!$K:$K,服务费明细!$B45,服务费底表!$T:$T,BE$3)</f>
        <v>0</v>
      </c>
      <c r="BF45" s="166">
        <f>SUMIFS(服务费底表!$AC:$AC,服务费底表!$K:$K,服务费明细!$B45,服务费底表!$T:$T,BF$3)</f>
        <v>0</v>
      </c>
      <c r="BG45" s="166">
        <f>SUMIFS(服务费底表!$AC:$AC,服务费底表!$K:$K,服务费明细!$B45,服务费底表!$T:$T,BG$3)</f>
        <v>0</v>
      </c>
      <c r="BI45" s="388">
        <f>SUMIFS(服务费底表!$AC:$AC,服务费底表!$K:$K,服务费明细!$B45,服务费底表!$H:$H,服务费明细!BI$3)</f>
        <v>0</v>
      </c>
      <c r="BJ45" s="388">
        <f>SUMIFS(服务费底表!$AC:$AC,服务费底表!$K:$K,服务费明细!$B45,服务费底表!$H:$H,服务费明细!BJ$3)</f>
        <v>0</v>
      </c>
      <c r="BK45" s="388">
        <f>SUMIFS(服务费底表!$AC:$AC,服务费底表!$K:$K,服务费明细!$B45,服务费底表!$H:$H,服务费明细!BK$3)</f>
        <v>0</v>
      </c>
      <c r="BL45" s="388">
        <f>SUMIFS(服务费底表!$AC:$AC,服务费底表!$K:$K,服务费明细!$B45,服务费底表!$H:$H,服务费明细!BL$3)</f>
        <v>0</v>
      </c>
      <c r="BM45" s="388">
        <f>SUMIFS(服务费底表!$AC:$AC,服务费底表!$K:$K,服务费明细!$B45,服务费底表!$H:$H,服务费明细!BM$3)</f>
        <v>0</v>
      </c>
      <c r="BN45" s="388">
        <f>SUMIFS(服务费底表!$AC:$AC,服务费底表!$K:$K,服务费明细!$B45,服务费底表!$H:$H,服务费明细!BN$3)</f>
        <v>0</v>
      </c>
      <c r="BO45" s="388">
        <f>SUMIFS(服务费底表!$AC:$AC,服务费底表!$K:$K,服务费明细!$B45,服务费底表!$H:$H,服务费明细!BO$3)</f>
        <v>0</v>
      </c>
      <c r="BQ45" s="389">
        <f>SUMIFS(服务费底表!$AD:$AD,服务费底表!$K:$K,服务费明细!$B45,服务费底表!$H:$H,服务费明细!BQ$3)</f>
        <v>0</v>
      </c>
      <c r="BR45" s="389">
        <f>SUMIFS(服务费底表!$AD:$AD,服务费底表!$K:$K,服务费明细!$B45,服务费底表!$H:$H,服务费明细!BR$3)</f>
        <v>0</v>
      </c>
      <c r="BS45" s="389">
        <f>SUMIFS(服务费底表!$AD:$AD,服务费底表!$K:$K,服务费明细!$B45,服务费底表!$H:$H,服务费明细!BS$3)</f>
        <v>0</v>
      </c>
      <c r="BT45" s="389">
        <f>SUMIFS(服务费底表!$AD:$AD,服务费底表!$K:$K,服务费明细!$B45,服务费底表!$H:$H,服务费明细!BT$3)</f>
        <v>0</v>
      </c>
      <c r="BU45" s="389">
        <f>SUMIFS(服务费底表!$AD:$AD,服务费底表!$K:$K,服务费明细!$B45,服务费底表!$H:$H,服务费明细!BU$3)</f>
        <v>0</v>
      </c>
      <c r="BV45" s="389">
        <f>SUMIFS(服务费底表!$AD:$AD,服务费底表!$K:$K,服务费明细!$B45,服务费底表!$H:$H,服务费明细!BV$3)</f>
        <v>0</v>
      </c>
      <c r="BW45" s="389">
        <f>SUMIFS(服务费底表!$AD:$AD,服务费底表!$K:$K,服务费明细!$B45,服务费底表!$H:$H,服务费明细!BW$3)</f>
        <v>0</v>
      </c>
    </row>
    <row r="46" ht="15.6" spans="2:75">
      <c r="B46" s="88" t="s">
        <v>920</v>
      </c>
      <c r="C46" s="88" t="str">
        <f>INDEX(二三级标准!$Q:$Q,MATCH(服务费明细!$B46,二三级标准!$O:$O,0))</f>
        <v>临床监查和中心管理</v>
      </c>
      <c r="D46" s="376">
        <f>IF(临床监查YN=1,1,0)</f>
        <v>1</v>
      </c>
      <c r="E46" s="377"/>
      <c r="F46" s="378"/>
      <c r="G46" s="429">
        <f>SUM(G47:G69)</f>
        <v>2201</v>
      </c>
      <c r="H46" s="429">
        <f t="shared" ref="H46:AB46" si="115">SUM(H47:H69)</f>
        <v>32</v>
      </c>
      <c r="I46" s="429">
        <f t="shared" si="115"/>
        <v>267.5</v>
      </c>
      <c r="J46" s="429">
        <f t="shared" si="115"/>
        <v>8</v>
      </c>
      <c r="K46" s="429">
        <f t="shared" si="115"/>
        <v>46</v>
      </c>
      <c r="L46" s="429">
        <f t="shared" si="115"/>
        <v>0</v>
      </c>
      <c r="M46" s="429">
        <f t="shared" si="115"/>
        <v>12</v>
      </c>
      <c r="N46" s="429">
        <f t="shared" si="115"/>
        <v>0</v>
      </c>
      <c r="O46" s="429">
        <f t="shared" si="115"/>
        <v>0</v>
      </c>
      <c r="P46" s="429">
        <f t="shared" si="115"/>
        <v>0</v>
      </c>
      <c r="Q46" s="429">
        <f t="shared" si="115"/>
        <v>0</v>
      </c>
      <c r="R46" s="429">
        <f t="shared" si="115"/>
        <v>0</v>
      </c>
      <c r="S46" s="429">
        <f t="shared" si="115"/>
        <v>0</v>
      </c>
      <c r="T46" s="429">
        <f t="shared" si="115"/>
        <v>0</v>
      </c>
      <c r="U46" s="429">
        <f t="shared" si="115"/>
        <v>0</v>
      </c>
      <c r="V46" s="429">
        <f t="shared" si="115"/>
        <v>0</v>
      </c>
      <c r="W46" s="429">
        <f t="shared" si="115"/>
        <v>0</v>
      </c>
      <c r="X46" s="429">
        <f t="shared" si="115"/>
        <v>0</v>
      </c>
      <c r="Y46" s="429">
        <f t="shared" si="115"/>
        <v>0</v>
      </c>
      <c r="Z46" s="429">
        <f t="shared" si="115"/>
        <v>0</v>
      </c>
      <c r="AA46" s="429">
        <f t="shared" si="115"/>
        <v>0</v>
      </c>
      <c r="AB46" s="429">
        <f t="shared" si="115"/>
        <v>0</v>
      </c>
      <c r="AC46" s="378"/>
      <c r="AD46" s="378">
        <f>SUM(G46:AB46)</f>
        <v>2566.5</v>
      </c>
      <c r="AE46" s="379"/>
      <c r="AF46" s="380">
        <f>SUM(AF47:AF69)</f>
        <v>971055</v>
      </c>
      <c r="AG46" s="380"/>
      <c r="AH46" s="380">
        <f>SUM(AH47:AH69)</f>
        <v>971055</v>
      </c>
      <c r="AI46" s="570"/>
      <c r="AJ46" s="566"/>
      <c r="AK46" s="559">
        <f>SUM(AK47:AK69)</f>
        <v>2566.5</v>
      </c>
      <c r="AL46" s="571"/>
      <c r="AM46" s="572"/>
      <c r="AN46" s="572"/>
      <c r="AO46" s="572"/>
      <c r="AP46" s="572"/>
      <c r="AQ46" s="572"/>
      <c r="AR46" s="572"/>
      <c r="AS46" s="572"/>
      <c r="AT46" s="572"/>
      <c r="AU46" s="572"/>
      <c r="AV46" s="572"/>
      <c r="AW46" s="572"/>
      <c r="AX46" s="572"/>
      <c r="AY46" s="572"/>
      <c r="AZ46" s="572"/>
      <c r="BA46" s="572"/>
      <c r="BB46" s="572"/>
      <c r="BC46" s="572"/>
      <c r="BD46" s="572"/>
      <c r="BE46" s="572"/>
      <c r="BF46" s="572"/>
      <c r="BG46" s="572"/>
      <c r="BH46" s="572"/>
      <c r="BI46" s="568">
        <f t="shared" ref="BI46:BO46" si="116">SUM(BI47:BI69)</f>
        <v>12</v>
      </c>
      <c r="BJ46" s="568">
        <f t="shared" si="116"/>
        <v>2554.5</v>
      </c>
      <c r="BK46" s="568">
        <f t="shared" si="116"/>
        <v>0</v>
      </c>
      <c r="BL46" s="568">
        <f t="shared" si="116"/>
        <v>0</v>
      </c>
      <c r="BM46" s="568">
        <f t="shared" si="116"/>
        <v>0</v>
      </c>
      <c r="BN46" s="568">
        <f t="shared" si="116"/>
        <v>0</v>
      </c>
      <c r="BO46" s="568">
        <f t="shared" si="116"/>
        <v>0</v>
      </c>
      <c r="BQ46" s="569">
        <f t="shared" ref="BQ46:BW46" si="117">SUM(BQ47:BQ69)</f>
        <v>7800</v>
      </c>
      <c r="BR46" s="569">
        <f t="shared" si="117"/>
        <v>963255</v>
      </c>
      <c r="BS46" s="569">
        <f t="shared" si="117"/>
        <v>0</v>
      </c>
      <c r="BT46" s="569">
        <f t="shared" si="117"/>
        <v>0</v>
      </c>
      <c r="BU46" s="569">
        <f t="shared" si="117"/>
        <v>0</v>
      </c>
      <c r="BV46" s="569">
        <f t="shared" si="117"/>
        <v>0</v>
      </c>
      <c r="BW46" s="569">
        <f t="shared" si="117"/>
        <v>0</v>
      </c>
    </row>
    <row r="47" spans="2:75">
      <c r="B47" s="89" t="s">
        <v>165</v>
      </c>
      <c r="C47" s="89" t="str">
        <f>INDEX(二三级标准!$C:$C,MATCH(服务费明细!$B47,二三级标准!$B:$B,0))</f>
        <v>准备或签署研究中心合同</v>
      </c>
      <c r="D47" s="166">
        <f t="shared" ref="D47:D48" si="118">IF($D$46=1,1,0)</f>
        <v>1</v>
      </c>
      <c r="E47" s="166">
        <f>IF($D47=1,启动中心数,0)</f>
        <v>4</v>
      </c>
      <c r="F47" s="89" t="str">
        <f>INDEX(二三级标准!$G:$G,MATCH(服务费明细!$B47,二三级标准!$B:$B,0))</f>
        <v>份</v>
      </c>
      <c r="G47" s="166">
        <f t="shared" ref="G47:AB47" si="119">AL47</f>
        <v>128</v>
      </c>
      <c r="H47" s="166">
        <f t="shared" si="119"/>
        <v>0</v>
      </c>
      <c r="I47" s="166">
        <f t="shared" si="119"/>
        <v>8</v>
      </c>
      <c r="J47" s="166">
        <f t="shared" si="119"/>
        <v>0</v>
      </c>
      <c r="K47" s="166">
        <f t="shared" si="119"/>
        <v>0</v>
      </c>
      <c r="L47" s="166">
        <f t="shared" si="119"/>
        <v>0</v>
      </c>
      <c r="M47" s="166">
        <f t="shared" si="119"/>
        <v>0</v>
      </c>
      <c r="N47" s="166">
        <f t="shared" si="119"/>
        <v>0</v>
      </c>
      <c r="O47" s="166">
        <f t="shared" si="119"/>
        <v>0</v>
      </c>
      <c r="P47" s="166">
        <f t="shared" si="119"/>
        <v>0</v>
      </c>
      <c r="Q47" s="166">
        <f t="shared" si="119"/>
        <v>0</v>
      </c>
      <c r="R47" s="166">
        <f t="shared" si="119"/>
        <v>0</v>
      </c>
      <c r="S47" s="166">
        <f t="shared" si="119"/>
        <v>0</v>
      </c>
      <c r="T47" s="166">
        <f t="shared" si="119"/>
        <v>0</v>
      </c>
      <c r="U47" s="166">
        <f t="shared" si="119"/>
        <v>0</v>
      </c>
      <c r="V47" s="166">
        <f t="shared" si="119"/>
        <v>0</v>
      </c>
      <c r="W47" s="166">
        <f t="shared" si="119"/>
        <v>0</v>
      </c>
      <c r="X47" s="166">
        <f t="shared" si="119"/>
        <v>0</v>
      </c>
      <c r="Y47" s="166">
        <f t="shared" si="119"/>
        <v>0</v>
      </c>
      <c r="Z47" s="166">
        <f t="shared" si="119"/>
        <v>0</v>
      </c>
      <c r="AA47" s="166">
        <f t="shared" si="119"/>
        <v>0</v>
      </c>
      <c r="AB47" s="166">
        <f t="shared" si="119"/>
        <v>0</v>
      </c>
      <c r="AC47" s="166" cm="1">
        <f t="array" ref="AC47">SUMPRODUCT(G47:AB47,$G$4:$AB$4)</f>
        <v>48720</v>
      </c>
      <c r="AD47" s="89" t="b">
        <f>IF(AF47=AC47,TRUE,FALSE)</f>
        <v>1</v>
      </c>
      <c r="AE47" s="386">
        <f>IFERROR(SUMIF(服务费底表!$K:$K,服务费明细!$B47,服务费底表!$AD:$AD)/E47,0)</f>
        <v>12180</v>
      </c>
      <c r="AF47" s="386">
        <f>E47*AE47</f>
        <v>48720</v>
      </c>
      <c r="AG47" s="386">
        <f>IFERROR(SUMIF(服务费底表!$K:$K,服务费明细!$B47,服务费底表!$AG:$AG)/E47,0)</f>
        <v>12180</v>
      </c>
      <c r="AH47" s="386">
        <f>AG47*E47</f>
        <v>48720</v>
      </c>
      <c r="AI47" s="409" t="str">
        <f>"有临负责"&amp;E47&amp;"份中心合同的协商和签署。默认每中心一份。"</f>
        <v>有临负责4份中心合同的协商和签署。默认每中心一份。</v>
      </c>
      <c r="AJ47" s="563">
        <f>IF(D47=1,AK47/E47,0)</f>
        <v>34</v>
      </c>
      <c r="AK47" s="564">
        <f>SUMIF(服务费底表!$K:$K,服务费明细!$B47,服务费底表!$AC:$AC)</f>
        <v>136</v>
      </c>
      <c r="AL47" s="166">
        <f>SUMIFS(服务费底表!$AC:$AC,服务费底表!$K:$K,服务费明细!$B47,服务费底表!$T:$T,AL$3)</f>
        <v>128</v>
      </c>
      <c r="AM47" s="166">
        <f>SUMIFS(服务费底表!$AC:$AC,服务费底表!$K:$K,服务费明细!$B47,服务费底表!$T:$T,AM$3)</f>
        <v>0</v>
      </c>
      <c r="AN47" s="166">
        <f>SUMIFS(服务费底表!$AC:$AC,服务费底表!$K:$K,服务费明细!$B47,服务费底表!$T:$T,AN$3)</f>
        <v>8</v>
      </c>
      <c r="AO47" s="166">
        <f>SUMIFS(服务费底表!$AC:$AC,服务费底表!$K:$K,服务费明细!$B47,服务费底表!$T:$T,AO$3)</f>
        <v>0</v>
      </c>
      <c r="AP47" s="166">
        <f>SUMIFS(服务费底表!$AC:$AC,服务费底表!$K:$K,服务费明细!$B47,服务费底表!$T:$T,AP$3)</f>
        <v>0</v>
      </c>
      <c r="AQ47" s="166">
        <f>SUMIFS(服务费底表!$AC:$AC,服务费底表!$K:$K,服务费明细!$B47,服务费底表!$T:$T,AQ$3)</f>
        <v>0</v>
      </c>
      <c r="AR47" s="166">
        <f>SUMIFS(服务费底表!$AC:$AC,服务费底表!$K:$K,服务费明细!$B47,服务费底表!$T:$T,AR$3)</f>
        <v>0</v>
      </c>
      <c r="AS47" s="166">
        <f>SUMIFS(服务费底表!$AC:$AC,服务费底表!$K:$K,服务费明细!$B47,服务费底表!$T:$T,AS$3)</f>
        <v>0</v>
      </c>
      <c r="AT47" s="166">
        <f>SUMIFS(服务费底表!$AC:$AC,服务费底表!$K:$K,服务费明细!$B47,服务费底表!$T:$T,AT$3)</f>
        <v>0</v>
      </c>
      <c r="AU47" s="166">
        <f>SUMIFS(服务费底表!$AC:$AC,服务费底表!$K:$K,服务费明细!$B47,服务费底表!$T:$T,AU$3)</f>
        <v>0</v>
      </c>
      <c r="AV47" s="166">
        <f>SUMIFS(服务费底表!$AC:$AC,服务费底表!$K:$K,服务费明细!$B47,服务费底表!$T:$T,AV$3)</f>
        <v>0</v>
      </c>
      <c r="AW47" s="166">
        <f>SUMIFS(服务费底表!$AC:$AC,服务费底表!$K:$K,服务费明细!$B47,服务费底表!$T:$T,AW$3)</f>
        <v>0</v>
      </c>
      <c r="AX47" s="166">
        <f>SUMIFS(服务费底表!$AC:$AC,服务费底表!$K:$K,服务费明细!$B47,服务费底表!$T:$T,AX$3)</f>
        <v>0</v>
      </c>
      <c r="AY47" s="166">
        <f>SUMIFS(服务费底表!$AC:$AC,服务费底表!$K:$K,服务费明细!$B47,服务费底表!$T:$T,AY$3)</f>
        <v>0</v>
      </c>
      <c r="AZ47" s="166">
        <f>SUMIFS(服务费底表!$AC:$AC,服务费底表!$K:$K,服务费明细!$B47,服务费底表!$T:$T,AZ$3)</f>
        <v>0</v>
      </c>
      <c r="BA47" s="166">
        <f>SUMIFS(服务费底表!$AC:$AC,服务费底表!$K:$K,服务费明细!$B47,服务费底表!$T:$T,BA$3)</f>
        <v>0</v>
      </c>
      <c r="BB47" s="166">
        <f>SUMIFS(服务费底表!$AC:$AC,服务费底表!$K:$K,服务费明细!$B47,服务费底表!$T:$T,BB$3)</f>
        <v>0</v>
      </c>
      <c r="BC47" s="166">
        <f>SUMIFS(服务费底表!$AC:$AC,服务费底表!$K:$K,服务费明细!$B47,服务费底表!$T:$T,BC$3)</f>
        <v>0</v>
      </c>
      <c r="BD47" s="166">
        <f>SUMIFS(服务费底表!$AC:$AC,服务费底表!$K:$K,服务费明细!$B47,服务费底表!$T:$T,BD$3)</f>
        <v>0</v>
      </c>
      <c r="BE47" s="166">
        <f>SUMIFS(服务费底表!$AC:$AC,服务费底表!$K:$K,服务费明细!$B47,服务费底表!$T:$T,BE$3)</f>
        <v>0</v>
      </c>
      <c r="BF47" s="166">
        <f>SUMIFS(服务费底表!$AC:$AC,服务费底表!$K:$K,服务费明细!$B47,服务费底表!$T:$T,BF$3)</f>
        <v>0</v>
      </c>
      <c r="BG47" s="166">
        <f>SUMIFS(服务费底表!$AC:$AC,服务费底表!$K:$K,服务费明细!$B47,服务费底表!$T:$T,BG$3)</f>
        <v>0</v>
      </c>
      <c r="BI47" s="388">
        <f>SUMIFS(服务费底表!$AC:$AC,服务费底表!$K:$K,服务费明细!$B47,服务费底表!$H:$H,服务费明细!BI$3)</f>
        <v>0</v>
      </c>
      <c r="BJ47" s="388">
        <f>SUMIFS(服务费底表!$AC:$AC,服务费底表!$K:$K,服务费明细!$B47,服务费底表!$H:$H,服务费明细!BJ$3)</f>
        <v>136</v>
      </c>
      <c r="BK47" s="388">
        <f>SUMIFS(服务费底表!$AC:$AC,服务费底表!$K:$K,服务费明细!$B47,服务费底表!$H:$H,服务费明细!BK$3)</f>
        <v>0</v>
      </c>
      <c r="BL47" s="388">
        <f>SUMIFS(服务费底表!$AC:$AC,服务费底表!$K:$K,服务费明细!$B47,服务费底表!$H:$H,服务费明细!BL$3)</f>
        <v>0</v>
      </c>
      <c r="BM47" s="388">
        <f>SUMIFS(服务费底表!$AC:$AC,服务费底表!$K:$K,服务费明细!$B47,服务费底表!$H:$H,服务费明细!BM$3)</f>
        <v>0</v>
      </c>
      <c r="BN47" s="388">
        <f>SUMIFS(服务费底表!$AC:$AC,服务费底表!$K:$K,服务费明细!$B47,服务费底表!$H:$H,服务费明细!BN$3)</f>
        <v>0</v>
      </c>
      <c r="BO47" s="388">
        <f>SUMIFS(服务费底表!$AC:$AC,服务费底表!$K:$K,服务费明细!$B47,服务费底表!$H:$H,服务费明细!BO$3)</f>
        <v>0</v>
      </c>
      <c r="BQ47" s="389">
        <f>SUMIFS(服务费底表!$AD:$AD,服务费底表!$K:$K,服务费明细!$B47,服务费底表!$H:$H,服务费明细!BQ$3)</f>
        <v>0</v>
      </c>
      <c r="BR47" s="389">
        <f>SUMIFS(服务费底表!$AD:$AD,服务费底表!$K:$K,服务费明细!$B47,服务费底表!$H:$H,服务费明细!BR$3)</f>
        <v>48720</v>
      </c>
      <c r="BS47" s="389">
        <f>SUMIFS(服务费底表!$AD:$AD,服务费底表!$K:$K,服务费明细!$B47,服务费底表!$H:$H,服务费明细!BS$3)</f>
        <v>0</v>
      </c>
      <c r="BT47" s="389">
        <f>SUMIFS(服务费底表!$AD:$AD,服务费底表!$K:$K,服务费明细!$B47,服务费底表!$H:$H,服务费明细!BT$3)</f>
        <v>0</v>
      </c>
      <c r="BU47" s="389">
        <f>SUMIFS(服务费底表!$AD:$AD,服务费底表!$K:$K,服务费明细!$B47,服务费底表!$H:$H,服务费明细!BU$3)</f>
        <v>0</v>
      </c>
      <c r="BV47" s="389">
        <f>SUMIFS(服务费底表!$AD:$AD,服务费底表!$K:$K,服务费明细!$B47,服务费底表!$H:$H,服务费明细!BV$3)</f>
        <v>0</v>
      </c>
      <c r="BW47" s="389">
        <f>SUMIFS(服务费底表!$AD:$AD,服务费底表!$K:$K,服务费明细!$B47,服务费底表!$H:$H,服务费明细!BW$3)</f>
        <v>0</v>
      </c>
    </row>
    <row r="48" spans="2:75">
      <c r="B48" s="89" t="s">
        <v>167</v>
      </c>
      <c r="C48" s="89" t="str">
        <f>INDEX(二三级标准!$C:$C,MATCH(服务费明细!$B48,二三级标准!$B:$B,0))</f>
        <v>启动访视</v>
      </c>
      <c r="D48" s="166">
        <f t="shared" si="118"/>
        <v>1</v>
      </c>
      <c r="E48" s="166">
        <f>IF($D48=1,启动访视次数,0)</f>
        <v>4</v>
      </c>
      <c r="F48" s="89" t="str">
        <f>INDEX(二三级标准!$G:$G,MATCH(服务费明细!$B48,二三级标准!$B:$B,0))</f>
        <v>次</v>
      </c>
      <c r="G48" s="166">
        <f t="shared" ref="G48:AB48" si="120">AL48</f>
        <v>68</v>
      </c>
      <c r="H48" s="166">
        <f t="shared" si="120"/>
        <v>0</v>
      </c>
      <c r="I48" s="166">
        <f t="shared" si="120"/>
        <v>8</v>
      </c>
      <c r="J48" s="166">
        <f t="shared" si="120"/>
        <v>0</v>
      </c>
      <c r="K48" s="166">
        <f t="shared" si="120"/>
        <v>0</v>
      </c>
      <c r="L48" s="166">
        <f t="shared" si="120"/>
        <v>0</v>
      </c>
      <c r="M48" s="166">
        <f t="shared" si="120"/>
        <v>0</v>
      </c>
      <c r="N48" s="166">
        <f t="shared" si="120"/>
        <v>0</v>
      </c>
      <c r="O48" s="166">
        <f t="shared" si="120"/>
        <v>0</v>
      </c>
      <c r="P48" s="166">
        <f t="shared" si="120"/>
        <v>0</v>
      </c>
      <c r="Q48" s="166">
        <f t="shared" si="120"/>
        <v>0</v>
      </c>
      <c r="R48" s="166">
        <f t="shared" si="120"/>
        <v>0</v>
      </c>
      <c r="S48" s="166">
        <f t="shared" si="120"/>
        <v>0</v>
      </c>
      <c r="T48" s="166">
        <f t="shared" si="120"/>
        <v>0</v>
      </c>
      <c r="U48" s="166">
        <f t="shared" si="120"/>
        <v>0</v>
      </c>
      <c r="V48" s="166">
        <f t="shared" si="120"/>
        <v>0</v>
      </c>
      <c r="W48" s="166">
        <f t="shared" si="120"/>
        <v>0</v>
      </c>
      <c r="X48" s="166">
        <f t="shared" si="120"/>
        <v>0</v>
      </c>
      <c r="Y48" s="166">
        <f t="shared" si="120"/>
        <v>0</v>
      </c>
      <c r="Z48" s="166">
        <f t="shared" si="120"/>
        <v>0</v>
      </c>
      <c r="AA48" s="166">
        <f t="shared" si="120"/>
        <v>0</v>
      </c>
      <c r="AB48" s="166">
        <f t="shared" si="120"/>
        <v>0</v>
      </c>
      <c r="AC48" s="166" cm="1">
        <f t="array" ref="AC48">SUMPRODUCT(G48:AB48,$G$4:$AB$4)</f>
        <v>28320</v>
      </c>
      <c r="AD48" s="89" t="b">
        <f>IF(AF48=AC48,TRUE,FALSE)</f>
        <v>1</v>
      </c>
      <c r="AE48" s="386">
        <f>IFERROR(SUMIF(服务费底表!$K:$K,服务费明细!$B48,服务费底表!$AD:$AD)/E48,0)</f>
        <v>7080</v>
      </c>
      <c r="AF48" s="386">
        <f>E48*AE48</f>
        <v>28320</v>
      </c>
      <c r="AG48" s="386">
        <f>IFERROR(SUMIF(服务费底表!$K:$K,服务费明细!$B48,服务费底表!$AG:$AG)/E48,0)</f>
        <v>7080</v>
      </c>
      <c r="AH48" s="386">
        <f>AG48*E48</f>
        <v>28320</v>
      </c>
      <c r="AI48" s="409" t="s">
        <v>1005</v>
      </c>
      <c r="AJ48" s="563">
        <f>IF(D48=1,AK48/E48,0)</f>
        <v>19</v>
      </c>
      <c r="AK48" s="564">
        <f>SUMIF(服务费底表!$K:$K,服务费明细!$B48,服务费底表!$AC:$AC)</f>
        <v>76</v>
      </c>
      <c r="AL48" s="166">
        <f>SUMIFS(服务费底表!$AC:$AC,服务费底表!$K:$K,服务费明细!$B48,服务费底表!$T:$T,AL$3)</f>
        <v>68</v>
      </c>
      <c r="AM48" s="166">
        <f>SUMIFS(服务费底表!$AC:$AC,服务费底表!$K:$K,服务费明细!$B48,服务费底表!$T:$T,AM$3)</f>
        <v>0</v>
      </c>
      <c r="AN48" s="166">
        <f>SUMIFS(服务费底表!$AC:$AC,服务费底表!$K:$K,服务费明细!$B48,服务费底表!$T:$T,AN$3)</f>
        <v>8</v>
      </c>
      <c r="AO48" s="166">
        <f>SUMIFS(服务费底表!$AC:$AC,服务费底表!$K:$K,服务费明细!$B48,服务费底表!$T:$T,AO$3)</f>
        <v>0</v>
      </c>
      <c r="AP48" s="166">
        <f>SUMIFS(服务费底表!$AC:$AC,服务费底表!$K:$K,服务费明细!$B48,服务费底表!$T:$T,AP$3)</f>
        <v>0</v>
      </c>
      <c r="AQ48" s="166">
        <f>SUMIFS(服务费底表!$AC:$AC,服务费底表!$K:$K,服务费明细!$B48,服务费底表!$T:$T,AQ$3)</f>
        <v>0</v>
      </c>
      <c r="AR48" s="166">
        <f>SUMIFS(服务费底表!$AC:$AC,服务费底表!$K:$K,服务费明细!$B48,服务费底表!$T:$T,AR$3)</f>
        <v>0</v>
      </c>
      <c r="AS48" s="166">
        <f>SUMIFS(服务费底表!$AC:$AC,服务费底表!$K:$K,服务费明细!$B48,服务费底表!$T:$T,AS$3)</f>
        <v>0</v>
      </c>
      <c r="AT48" s="166">
        <f>SUMIFS(服务费底表!$AC:$AC,服务费底表!$K:$K,服务费明细!$B48,服务费底表!$T:$T,AT$3)</f>
        <v>0</v>
      </c>
      <c r="AU48" s="166">
        <f>SUMIFS(服务费底表!$AC:$AC,服务费底表!$K:$K,服务费明细!$B48,服务费底表!$T:$T,AU$3)</f>
        <v>0</v>
      </c>
      <c r="AV48" s="166">
        <f>SUMIFS(服务费底表!$AC:$AC,服务费底表!$K:$K,服务费明细!$B48,服务费底表!$T:$T,AV$3)</f>
        <v>0</v>
      </c>
      <c r="AW48" s="166">
        <f>SUMIFS(服务费底表!$AC:$AC,服务费底表!$K:$K,服务费明细!$B48,服务费底表!$T:$T,AW$3)</f>
        <v>0</v>
      </c>
      <c r="AX48" s="166">
        <f>SUMIFS(服务费底表!$AC:$AC,服务费底表!$K:$K,服务费明细!$B48,服务费底表!$T:$T,AX$3)</f>
        <v>0</v>
      </c>
      <c r="AY48" s="166">
        <f>SUMIFS(服务费底表!$AC:$AC,服务费底表!$K:$K,服务费明细!$B48,服务费底表!$T:$T,AY$3)</f>
        <v>0</v>
      </c>
      <c r="AZ48" s="166">
        <f>SUMIFS(服务费底表!$AC:$AC,服务费底表!$K:$K,服务费明细!$B48,服务费底表!$T:$T,AZ$3)</f>
        <v>0</v>
      </c>
      <c r="BA48" s="166">
        <f>SUMIFS(服务费底表!$AC:$AC,服务费底表!$K:$K,服务费明细!$B48,服务费底表!$T:$T,BA$3)</f>
        <v>0</v>
      </c>
      <c r="BB48" s="166">
        <f>SUMIFS(服务费底表!$AC:$AC,服务费底表!$K:$K,服务费明细!$B48,服务费底表!$T:$T,BB$3)</f>
        <v>0</v>
      </c>
      <c r="BC48" s="166">
        <f>SUMIFS(服务费底表!$AC:$AC,服务费底表!$K:$K,服务费明细!$B48,服务费底表!$T:$T,BC$3)</f>
        <v>0</v>
      </c>
      <c r="BD48" s="166">
        <f>SUMIFS(服务费底表!$AC:$AC,服务费底表!$K:$K,服务费明细!$B48,服务费底表!$T:$T,BD$3)</f>
        <v>0</v>
      </c>
      <c r="BE48" s="166">
        <f>SUMIFS(服务费底表!$AC:$AC,服务费底表!$K:$K,服务费明细!$B48,服务费底表!$T:$T,BE$3)</f>
        <v>0</v>
      </c>
      <c r="BF48" s="166">
        <f>SUMIFS(服务费底表!$AC:$AC,服务费底表!$K:$K,服务费明细!$B48,服务费底表!$T:$T,BF$3)</f>
        <v>0</v>
      </c>
      <c r="BG48" s="166">
        <f>SUMIFS(服务费底表!$AC:$AC,服务费底表!$K:$K,服务费明细!$B48,服务费底表!$T:$T,BG$3)</f>
        <v>0</v>
      </c>
      <c r="BI48" s="388">
        <f>SUMIFS(服务费底表!$AC:$AC,服务费底表!$K:$K,服务费明细!$B48,服务费底表!$H:$H,服务费明细!BI$3)</f>
        <v>0</v>
      </c>
      <c r="BJ48" s="388">
        <f>SUMIFS(服务费底表!$AC:$AC,服务费底表!$K:$K,服务费明细!$B48,服务费底表!$H:$H,服务费明细!BJ$3)</f>
        <v>76</v>
      </c>
      <c r="BK48" s="388">
        <f>SUMIFS(服务费底表!$AC:$AC,服务费底表!$K:$K,服务费明细!$B48,服务费底表!$H:$H,服务费明细!BK$3)</f>
        <v>0</v>
      </c>
      <c r="BL48" s="388">
        <f>SUMIFS(服务费底表!$AC:$AC,服务费底表!$K:$K,服务费明细!$B48,服务费底表!$H:$H,服务费明细!BL$3)</f>
        <v>0</v>
      </c>
      <c r="BM48" s="388">
        <f>SUMIFS(服务费底表!$AC:$AC,服务费底表!$K:$K,服务费明细!$B48,服务费底表!$H:$H,服务费明细!BM$3)</f>
        <v>0</v>
      </c>
      <c r="BN48" s="388">
        <f>SUMIFS(服务费底表!$AC:$AC,服务费底表!$K:$K,服务费明细!$B48,服务费底表!$H:$H,服务费明细!BN$3)</f>
        <v>0</v>
      </c>
      <c r="BO48" s="388">
        <f>SUMIFS(服务费底表!$AC:$AC,服务费底表!$K:$K,服务费明细!$B48,服务费底表!$H:$H,服务费明细!BO$3)</f>
        <v>0</v>
      </c>
      <c r="BQ48" s="389">
        <f>SUMIFS(服务费底表!$AD:$AD,服务费底表!$K:$K,服务费明细!$B48,服务费底表!$H:$H,服务费明细!BQ$3)</f>
        <v>0</v>
      </c>
      <c r="BR48" s="389">
        <f>SUMIFS(服务费底表!$AD:$AD,服务费底表!$K:$K,服务费明细!$B48,服务费底表!$H:$H,服务费明细!BR$3)</f>
        <v>28320</v>
      </c>
      <c r="BS48" s="389">
        <f>SUMIFS(服务费底表!$AD:$AD,服务费底表!$K:$K,服务费明细!$B48,服务费底表!$H:$H,服务费明细!BS$3)</f>
        <v>0</v>
      </c>
      <c r="BT48" s="389">
        <f>SUMIFS(服务费底表!$AD:$AD,服务费底表!$K:$K,服务费明细!$B48,服务费底表!$H:$H,服务费明细!BT$3)</f>
        <v>0</v>
      </c>
      <c r="BU48" s="389">
        <f>SUMIFS(服务费底表!$AD:$AD,服务费底表!$K:$K,服务费明细!$B48,服务费底表!$H:$H,服务费明细!BU$3)</f>
        <v>0</v>
      </c>
      <c r="BV48" s="389">
        <f>SUMIFS(服务费底表!$AD:$AD,服务费底表!$K:$K,服务费明细!$B48,服务费底表!$H:$H,服务费明细!BV$3)</f>
        <v>0</v>
      </c>
      <c r="BW48" s="389">
        <f>SUMIFS(服务费底表!$AD:$AD,服务费底表!$K:$K,服务费明细!$B48,服务费底表!$H:$H,服务费明细!BW$3)</f>
        <v>0</v>
      </c>
    </row>
    <row r="49" spans="2:75">
      <c r="B49" s="89" t="s">
        <v>1006</v>
      </c>
      <c r="C49" s="89" t="str">
        <f>INDEX(二三级标准!$C:$C,MATCH(服务费明细!$B49,二三级标准!$B:$B,0))</f>
        <v>启动拜访</v>
      </c>
      <c r="D49" s="166">
        <v>0</v>
      </c>
      <c r="E49" s="166">
        <f>IF($D49=1,_xlfn.IFS(AND(启动中心数&gt;1,试验分期="Ia"),2,OR(试验分期="Ib",试验分期="I期",试验分期="II期",试验分期="III期"),ROUND(启动中心数*20%,0),启动中心数=0,0),0)</f>
        <v>0</v>
      </c>
      <c r="F49" s="89" t="str">
        <f>INDEX(二三级标准!$G:$G,MATCH(服务费明细!$B49,二三级标准!$B:$B,0))</f>
        <v>次</v>
      </c>
      <c r="G49" s="166">
        <f t="shared" ref="G49:AB49" si="121">AL49</f>
        <v>0</v>
      </c>
      <c r="H49" s="166">
        <f t="shared" si="121"/>
        <v>0</v>
      </c>
      <c r="I49" s="166">
        <f t="shared" si="121"/>
        <v>0</v>
      </c>
      <c r="J49" s="166">
        <f t="shared" si="121"/>
        <v>0</v>
      </c>
      <c r="K49" s="166">
        <f t="shared" si="121"/>
        <v>0</v>
      </c>
      <c r="L49" s="166">
        <f t="shared" si="121"/>
        <v>0</v>
      </c>
      <c r="M49" s="166">
        <f t="shared" si="121"/>
        <v>0</v>
      </c>
      <c r="N49" s="166">
        <f t="shared" si="121"/>
        <v>0</v>
      </c>
      <c r="O49" s="166">
        <f t="shared" si="121"/>
        <v>0</v>
      </c>
      <c r="P49" s="166">
        <f t="shared" si="121"/>
        <v>0</v>
      </c>
      <c r="Q49" s="166">
        <f t="shared" si="121"/>
        <v>0</v>
      </c>
      <c r="R49" s="166">
        <f t="shared" si="121"/>
        <v>0</v>
      </c>
      <c r="S49" s="166">
        <f t="shared" si="121"/>
        <v>0</v>
      </c>
      <c r="T49" s="166">
        <f t="shared" si="121"/>
        <v>0</v>
      </c>
      <c r="U49" s="166">
        <f t="shared" si="121"/>
        <v>0</v>
      </c>
      <c r="V49" s="166">
        <f t="shared" si="121"/>
        <v>0</v>
      </c>
      <c r="W49" s="166">
        <f t="shared" si="121"/>
        <v>0</v>
      </c>
      <c r="X49" s="166">
        <f t="shared" si="121"/>
        <v>0</v>
      </c>
      <c r="Y49" s="166">
        <f t="shared" si="121"/>
        <v>0</v>
      </c>
      <c r="Z49" s="166">
        <f t="shared" si="121"/>
        <v>0</v>
      </c>
      <c r="AA49" s="166">
        <f t="shared" si="121"/>
        <v>0</v>
      </c>
      <c r="AB49" s="166">
        <f t="shared" si="121"/>
        <v>0</v>
      </c>
      <c r="AC49" s="166" cm="1">
        <f t="array" ref="AC49">SUMPRODUCT(G49:AB49,$G$4:$AB$4)</f>
        <v>0</v>
      </c>
      <c r="AD49" s="89" t="b">
        <f>IF(AF49=AC49,TRUE,FALSE)</f>
        <v>1</v>
      </c>
      <c r="AE49" s="386">
        <f>IFERROR(SUMIF(服务费底表!$K:$K,服务费明细!$B49,服务费底表!$AD:$AD)/E49,0)</f>
        <v>0</v>
      </c>
      <c r="AF49" s="386">
        <f>E49*AE49</f>
        <v>0</v>
      </c>
      <c r="AG49" s="386">
        <f>IFERROR(SUMIF(服务费底表!$K:$K,服务费明细!$B49,服务费底表!$AG:$AG)/E49,0)</f>
        <v>0</v>
      </c>
      <c r="AH49" s="386">
        <f>AG49*E49</f>
        <v>0</v>
      </c>
      <c r="AI49" s="575" t="s">
        <v>1007</v>
      </c>
      <c r="AJ49" s="563">
        <f>IF(D49=1,AK49/E49,0)</f>
        <v>0</v>
      </c>
      <c r="AK49" s="564">
        <f>SUMIF(服务费底表!$K:$K,服务费明细!$B49,服务费底表!$AC:$AC)</f>
        <v>0</v>
      </c>
      <c r="AL49" s="166">
        <f>SUMIFS(服务费底表!$AC:$AC,服务费底表!$K:$K,服务费明细!$B49,服务费底表!$T:$T,AL$3)</f>
        <v>0</v>
      </c>
      <c r="AM49" s="166">
        <f>SUMIFS(服务费底表!$AC:$AC,服务费底表!$K:$K,服务费明细!$B49,服务费底表!$T:$T,AM$3)</f>
        <v>0</v>
      </c>
      <c r="AN49" s="166">
        <f>SUMIFS(服务费底表!$AC:$AC,服务费底表!$K:$K,服务费明细!$B49,服务费底表!$T:$T,AN$3)</f>
        <v>0</v>
      </c>
      <c r="AO49" s="166">
        <f>SUMIFS(服务费底表!$AC:$AC,服务费底表!$K:$K,服务费明细!$B49,服务费底表!$T:$T,AO$3)</f>
        <v>0</v>
      </c>
      <c r="AP49" s="166">
        <f>SUMIFS(服务费底表!$AC:$AC,服务费底表!$K:$K,服务费明细!$B49,服务费底表!$T:$T,AP$3)</f>
        <v>0</v>
      </c>
      <c r="AQ49" s="166">
        <f>SUMIFS(服务费底表!$AC:$AC,服务费底表!$K:$K,服务费明细!$B49,服务费底表!$T:$T,AQ$3)</f>
        <v>0</v>
      </c>
      <c r="AR49" s="166">
        <f>SUMIFS(服务费底表!$AC:$AC,服务费底表!$K:$K,服务费明细!$B49,服务费底表!$T:$T,AR$3)</f>
        <v>0</v>
      </c>
      <c r="AS49" s="166">
        <f>SUMIFS(服务费底表!$AC:$AC,服务费底表!$K:$K,服务费明细!$B49,服务费底表!$T:$T,AS$3)</f>
        <v>0</v>
      </c>
      <c r="AT49" s="166">
        <f>SUMIFS(服务费底表!$AC:$AC,服务费底表!$K:$K,服务费明细!$B49,服务费底表!$T:$T,AT$3)</f>
        <v>0</v>
      </c>
      <c r="AU49" s="166">
        <f>SUMIFS(服务费底表!$AC:$AC,服务费底表!$K:$K,服务费明细!$B49,服务费底表!$T:$T,AU$3)</f>
        <v>0</v>
      </c>
      <c r="AV49" s="166">
        <f>SUMIFS(服务费底表!$AC:$AC,服务费底表!$K:$K,服务费明细!$B49,服务费底表!$T:$T,AV$3)</f>
        <v>0</v>
      </c>
      <c r="AW49" s="166">
        <f>SUMIFS(服务费底表!$AC:$AC,服务费底表!$K:$K,服务费明细!$B49,服务费底表!$T:$T,AW$3)</f>
        <v>0</v>
      </c>
      <c r="AX49" s="166">
        <f>SUMIFS(服务费底表!$AC:$AC,服务费底表!$K:$K,服务费明细!$B49,服务费底表!$T:$T,AX$3)</f>
        <v>0</v>
      </c>
      <c r="AY49" s="166">
        <f>SUMIFS(服务费底表!$AC:$AC,服务费底表!$K:$K,服务费明细!$B49,服务费底表!$T:$T,AY$3)</f>
        <v>0</v>
      </c>
      <c r="AZ49" s="166">
        <f>SUMIFS(服务费底表!$AC:$AC,服务费底表!$K:$K,服务费明细!$B49,服务费底表!$T:$T,AZ$3)</f>
        <v>0</v>
      </c>
      <c r="BA49" s="166">
        <f>SUMIFS(服务费底表!$AC:$AC,服务费底表!$K:$K,服务费明细!$B49,服务费底表!$T:$T,BA$3)</f>
        <v>0</v>
      </c>
      <c r="BB49" s="166">
        <f>SUMIFS(服务费底表!$AC:$AC,服务费底表!$K:$K,服务费明细!$B49,服务费底表!$T:$T,BB$3)</f>
        <v>0</v>
      </c>
      <c r="BC49" s="166">
        <f>SUMIFS(服务费底表!$AC:$AC,服务费底表!$K:$K,服务费明细!$B49,服务费底表!$T:$T,BC$3)</f>
        <v>0</v>
      </c>
      <c r="BD49" s="166">
        <f>SUMIFS(服务费底表!$AC:$AC,服务费底表!$K:$K,服务费明细!$B49,服务费底表!$T:$T,BD$3)</f>
        <v>0</v>
      </c>
      <c r="BE49" s="166">
        <f>SUMIFS(服务费底表!$AC:$AC,服务费底表!$K:$K,服务费明细!$B49,服务费底表!$T:$T,BE$3)</f>
        <v>0</v>
      </c>
      <c r="BF49" s="166">
        <f>SUMIFS(服务费底表!$AC:$AC,服务费底表!$K:$K,服务费明细!$B49,服务费底表!$T:$T,BF$3)</f>
        <v>0</v>
      </c>
      <c r="BG49" s="166">
        <f>SUMIFS(服务费底表!$AC:$AC,服务费底表!$K:$K,服务费明细!$B49,服务费底表!$T:$T,BG$3)</f>
        <v>0</v>
      </c>
      <c r="BI49" s="388">
        <f>SUMIFS(服务费底表!$AC:$AC,服务费底表!$K:$K,服务费明细!$B49,服务费底表!$H:$H,服务费明细!BI$3)</f>
        <v>0</v>
      </c>
      <c r="BJ49" s="388">
        <f>SUMIFS(服务费底表!$AC:$AC,服务费底表!$K:$K,服务费明细!$B49,服务费底表!$H:$H,服务费明细!BJ$3)</f>
        <v>0</v>
      </c>
      <c r="BK49" s="388">
        <f>SUMIFS(服务费底表!$AC:$AC,服务费底表!$K:$K,服务费明细!$B49,服务费底表!$H:$H,服务费明细!BK$3)</f>
        <v>0</v>
      </c>
      <c r="BL49" s="388">
        <f>SUMIFS(服务费底表!$AC:$AC,服务费底表!$K:$K,服务费明细!$B49,服务费底表!$H:$H,服务费明细!BL$3)</f>
        <v>0</v>
      </c>
      <c r="BM49" s="388">
        <f>SUMIFS(服务费底表!$AC:$AC,服务费底表!$K:$K,服务费明细!$B49,服务费底表!$H:$H,服务费明细!BM$3)</f>
        <v>0</v>
      </c>
      <c r="BN49" s="388">
        <f>SUMIFS(服务费底表!$AC:$AC,服务费底表!$K:$K,服务费明细!$B49,服务费底表!$H:$H,服务费明细!BN$3)</f>
        <v>0</v>
      </c>
      <c r="BO49" s="388">
        <f>SUMIFS(服务费底表!$AC:$AC,服务费底表!$K:$K,服务费明细!$B49,服务费底表!$H:$H,服务费明细!BO$3)</f>
        <v>0</v>
      </c>
      <c r="BQ49" s="389">
        <f>SUMIFS(服务费底表!$AD:$AD,服务费底表!$K:$K,服务费明细!$B49,服务费底表!$H:$H,服务费明细!BQ$3)</f>
        <v>0</v>
      </c>
      <c r="BR49" s="389">
        <f>SUMIFS(服务费底表!$AD:$AD,服务费底表!$K:$K,服务费明细!$B49,服务费底表!$H:$H,服务费明细!BR$3)</f>
        <v>0</v>
      </c>
      <c r="BS49" s="389">
        <f>SUMIFS(服务费底表!$AD:$AD,服务费底表!$K:$K,服务费明细!$B49,服务费底表!$H:$H,服务费明细!BS$3)</f>
        <v>0</v>
      </c>
      <c r="BT49" s="389">
        <f>SUMIFS(服务费底表!$AD:$AD,服务费底表!$K:$K,服务费明细!$B49,服务费底表!$H:$H,服务费明细!BT$3)</f>
        <v>0</v>
      </c>
      <c r="BU49" s="389">
        <f>SUMIFS(服务费底表!$AD:$AD,服务费底表!$K:$K,服务费明细!$B49,服务费底表!$H:$H,服务费明细!BU$3)</f>
        <v>0</v>
      </c>
      <c r="BV49" s="389">
        <f>SUMIFS(服务费底表!$AD:$AD,服务费底表!$K:$K,服务费明细!$B49,服务费底表!$H:$H,服务费明细!BV$3)</f>
        <v>0</v>
      </c>
      <c r="BW49" s="389">
        <f>SUMIFS(服务费底表!$AD:$AD,服务费底表!$K:$K,服务费明细!$B49,服务费底表!$H:$H,服务费明细!BW$3)</f>
        <v>0</v>
      </c>
    </row>
    <row r="50" spans="2:75">
      <c r="B50" s="89" t="s">
        <v>169</v>
      </c>
      <c r="C50" s="89" t="str">
        <f>INDEX(二三级标准!$C:$C,MATCH(服务费明细!$B50,二三级标准!$B:$B,0))</f>
        <v>启动访视_启动会的医学远程支持</v>
      </c>
      <c r="D50" s="166">
        <f>IF(AND($D$46=1,OR(医学撰写YN=1,医学监查YN=1)),1,0)</f>
        <v>1</v>
      </c>
      <c r="E50" s="166">
        <f>IF($D50=1,启动中心数,0)</f>
        <v>4</v>
      </c>
      <c r="F50" s="89" t="str">
        <f>INDEX(二三级标准!$G:$G,MATCH(服务费明细!$B50,二三级标准!$B:$B,0))</f>
        <v>次</v>
      </c>
      <c r="G50" s="166">
        <f t="shared" ref="G50:AB50" si="122">AL50</f>
        <v>0</v>
      </c>
      <c r="H50" s="166">
        <f t="shared" si="122"/>
        <v>0</v>
      </c>
      <c r="I50" s="166">
        <f t="shared" si="122"/>
        <v>0</v>
      </c>
      <c r="J50" s="166">
        <f t="shared" si="122"/>
        <v>0</v>
      </c>
      <c r="K50" s="166">
        <f t="shared" si="122"/>
        <v>0</v>
      </c>
      <c r="L50" s="166">
        <f t="shared" si="122"/>
        <v>0</v>
      </c>
      <c r="M50" s="166">
        <f t="shared" si="122"/>
        <v>12</v>
      </c>
      <c r="N50" s="166">
        <f t="shared" si="122"/>
        <v>0</v>
      </c>
      <c r="O50" s="166">
        <f t="shared" si="122"/>
        <v>0</v>
      </c>
      <c r="P50" s="166">
        <f t="shared" si="122"/>
        <v>0</v>
      </c>
      <c r="Q50" s="166">
        <f t="shared" si="122"/>
        <v>0</v>
      </c>
      <c r="R50" s="166">
        <f t="shared" si="122"/>
        <v>0</v>
      </c>
      <c r="S50" s="166">
        <f t="shared" si="122"/>
        <v>0</v>
      </c>
      <c r="T50" s="166">
        <f t="shared" si="122"/>
        <v>0</v>
      </c>
      <c r="U50" s="166">
        <f t="shared" si="122"/>
        <v>0</v>
      </c>
      <c r="V50" s="166">
        <f t="shared" si="122"/>
        <v>0</v>
      </c>
      <c r="W50" s="166">
        <f t="shared" si="122"/>
        <v>0</v>
      </c>
      <c r="X50" s="166">
        <f t="shared" si="122"/>
        <v>0</v>
      </c>
      <c r="Y50" s="166">
        <f t="shared" si="122"/>
        <v>0</v>
      </c>
      <c r="Z50" s="166">
        <f t="shared" si="122"/>
        <v>0</v>
      </c>
      <c r="AA50" s="166">
        <f t="shared" si="122"/>
        <v>0</v>
      </c>
      <c r="AB50" s="166">
        <f t="shared" si="122"/>
        <v>0</v>
      </c>
      <c r="AC50" s="166" cm="1">
        <f t="array" ref="AC50">SUMPRODUCT(G50:AB50,$G$4:$AB$4)</f>
        <v>7800</v>
      </c>
      <c r="AD50" s="89" t="b">
        <f>IF(AF50=AC50,TRUE,FALSE)</f>
        <v>1</v>
      </c>
      <c r="AE50" s="386">
        <f>IFERROR(SUMIF(服务费底表!$K:$K,服务费明细!$B50,服务费底表!$AD:$AD)/E50,0)</f>
        <v>1950</v>
      </c>
      <c r="AF50" s="386">
        <f>E50*AE50</f>
        <v>7800</v>
      </c>
      <c r="AG50" s="386">
        <f>IFERROR(SUMIF(服务费底表!$K:$K,服务费明细!$B50,服务费底表!$AG:$AG)/E50,0)</f>
        <v>1950</v>
      </c>
      <c r="AH50" s="386">
        <f>AG50*E50</f>
        <v>7800</v>
      </c>
      <c r="AI50" s="409" t="s">
        <v>1008</v>
      </c>
      <c r="AJ50" s="563">
        <f>IF(D50=1,AK50/E50,0)</f>
        <v>3</v>
      </c>
      <c r="AK50" s="564">
        <f>SUMIF(服务费底表!$K:$K,服务费明细!$B50,服务费底表!$AC:$AC)</f>
        <v>12</v>
      </c>
      <c r="AL50" s="166">
        <f>SUMIFS(服务费底表!$AC:$AC,服务费底表!$K:$K,服务费明细!$B50,服务费底表!$T:$T,AL$3)</f>
        <v>0</v>
      </c>
      <c r="AM50" s="166">
        <f>SUMIFS(服务费底表!$AC:$AC,服务费底表!$K:$K,服务费明细!$B50,服务费底表!$T:$T,AM$3)</f>
        <v>0</v>
      </c>
      <c r="AN50" s="166">
        <f>SUMIFS(服务费底表!$AC:$AC,服务费底表!$K:$K,服务费明细!$B50,服务费底表!$T:$T,AN$3)</f>
        <v>0</v>
      </c>
      <c r="AO50" s="166">
        <f>SUMIFS(服务费底表!$AC:$AC,服务费底表!$K:$K,服务费明细!$B50,服务费底表!$T:$T,AO$3)</f>
        <v>0</v>
      </c>
      <c r="AP50" s="166">
        <f>SUMIFS(服务费底表!$AC:$AC,服务费底表!$K:$K,服务费明细!$B50,服务费底表!$T:$T,AP$3)</f>
        <v>0</v>
      </c>
      <c r="AQ50" s="166">
        <f>SUMIFS(服务费底表!$AC:$AC,服务费底表!$K:$K,服务费明细!$B50,服务费底表!$T:$T,AQ$3)</f>
        <v>0</v>
      </c>
      <c r="AR50" s="166">
        <f>SUMIFS(服务费底表!$AC:$AC,服务费底表!$K:$K,服务费明细!$B50,服务费底表!$T:$T,AR$3)</f>
        <v>12</v>
      </c>
      <c r="AS50" s="166">
        <f>SUMIFS(服务费底表!$AC:$AC,服务费底表!$K:$K,服务费明细!$B50,服务费底表!$T:$T,AS$3)</f>
        <v>0</v>
      </c>
      <c r="AT50" s="166">
        <f>SUMIFS(服务费底表!$AC:$AC,服务费底表!$K:$K,服务费明细!$B50,服务费底表!$T:$T,AT$3)</f>
        <v>0</v>
      </c>
      <c r="AU50" s="166">
        <f>SUMIFS(服务费底表!$AC:$AC,服务费底表!$K:$K,服务费明细!$B50,服务费底表!$T:$T,AU$3)</f>
        <v>0</v>
      </c>
      <c r="AV50" s="166">
        <f>SUMIFS(服务费底表!$AC:$AC,服务费底表!$K:$K,服务费明细!$B50,服务费底表!$T:$T,AV$3)</f>
        <v>0</v>
      </c>
      <c r="AW50" s="166">
        <f>SUMIFS(服务费底表!$AC:$AC,服务费底表!$K:$K,服务费明细!$B50,服务费底表!$T:$T,AW$3)</f>
        <v>0</v>
      </c>
      <c r="AX50" s="166">
        <f>SUMIFS(服务费底表!$AC:$AC,服务费底表!$K:$K,服务费明细!$B50,服务费底表!$T:$T,AX$3)</f>
        <v>0</v>
      </c>
      <c r="AY50" s="166">
        <f>SUMIFS(服务费底表!$AC:$AC,服务费底表!$K:$K,服务费明细!$B50,服务费底表!$T:$T,AY$3)</f>
        <v>0</v>
      </c>
      <c r="AZ50" s="166">
        <f>SUMIFS(服务费底表!$AC:$AC,服务费底表!$K:$K,服务费明细!$B50,服务费底表!$T:$T,AZ$3)</f>
        <v>0</v>
      </c>
      <c r="BA50" s="166">
        <f>SUMIFS(服务费底表!$AC:$AC,服务费底表!$K:$K,服务费明细!$B50,服务费底表!$T:$T,BA$3)</f>
        <v>0</v>
      </c>
      <c r="BB50" s="166">
        <f>SUMIFS(服务费底表!$AC:$AC,服务费底表!$K:$K,服务费明细!$B50,服务费底表!$T:$T,BB$3)</f>
        <v>0</v>
      </c>
      <c r="BC50" s="166">
        <f>SUMIFS(服务费底表!$AC:$AC,服务费底表!$K:$K,服务费明细!$B50,服务费底表!$T:$T,BC$3)</f>
        <v>0</v>
      </c>
      <c r="BD50" s="166">
        <f>SUMIFS(服务费底表!$AC:$AC,服务费底表!$K:$K,服务费明细!$B50,服务费底表!$T:$T,BD$3)</f>
        <v>0</v>
      </c>
      <c r="BE50" s="166">
        <f>SUMIFS(服务费底表!$AC:$AC,服务费底表!$K:$K,服务费明细!$B50,服务费底表!$T:$T,BE$3)</f>
        <v>0</v>
      </c>
      <c r="BF50" s="166">
        <f>SUMIFS(服务费底表!$AC:$AC,服务费底表!$K:$K,服务费明细!$B50,服务费底表!$T:$T,BF$3)</f>
        <v>0</v>
      </c>
      <c r="BG50" s="166">
        <f>SUMIFS(服务费底表!$AC:$AC,服务费底表!$K:$K,服务费明细!$B50,服务费底表!$T:$T,BG$3)</f>
        <v>0</v>
      </c>
      <c r="BI50" s="388">
        <f>SUMIFS(服务费底表!$AC:$AC,服务费底表!$K:$K,服务费明细!$B50,服务费底表!$H:$H,服务费明细!BI$3)</f>
        <v>12</v>
      </c>
      <c r="BJ50" s="388">
        <f>SUMIFS(服务费底表!$AC:$AC,服务费底表!$K:$K,服务费明细!$B50,服务费底表!$H:$H,服务费明细!BJ$3)</f>
        <v>0</v>
      </c>
      <c r="BK50" s="388">
        <f>SUMIFS(服务费底表!$AC:$AC,服务费底表!$K:$K,服务费明细!$B50,服务费底表!$H:$H,服务费明细!BK$3)</f>
        <v>0</v>
      </c>
      <c r="BL50" s="388">
        <f>SUMIFS(服务费底表!$AC:$AC,服务费底表!$K:$K,服务费明细!$B50,服务费底表!$H:$H,服务费明细!BL$3)</f>
        <v>0</v>
      </c>
      <c r="BM50" s="388">
        <f>SUMIFS(服务费底表!$AC:$AC,服务费底表!$K:$K,服务费明细!$B50,服务费底表!$H:$H,服务费明细!BM$3)</f>
        <v>0</v>
      </c>
      <c r="BN50" s="388">
        <f>SUMIFS(服务费底表!$AC:$AC,服务费底表!$K:$K,服务费明细!$B50,服务费底表!$H:$H,服务费明细!BN$3)</f>
        <v>0</v>
      </c>
      <c r="BO50" s="388">
        <f>SUMIFS(服务费底表!$AC:$AC,服务费底表!$K:$K,服务费明细!$B50,服务费底表!$H:$H,服务费明细!BO$3)</f>
        <v>0</v>
      </c>
      <c r="BQ50" s="389">
        <f>SUMIFS(服务费底表!$AD:$AD,服务费底表!$K:$K,服务费明细!$B50,服务费底表!$H:$H,服务费明细!BQ$3)</f>
        <v>7800</v>
      </c>
      <c r="BR50" s="389">
        <f>SUMIFS(服务费底表!$AD:$AD,服务费底表!$K:$K,服务费明细!$B50,服务费底表!$H:$H,服务费明细!BR$3)</f>
        <v>0</v>
      </c>
      <c r="BS50" s="389">
        <f>SUMIFS(服务费底表!$AD:$AD,服务费底表!$K:$K,服务费明细!$B50,服务费底表!$H:$H,服务费明细!BS$3)</f>
        <v>0</v>
      </c>
      <c r="BT50" s="389">
        <f>SUMIFS(服务费底表!$AD:$AD,服务费底表!$K:$K,服务费明细!$B50,服务费底表!$H:$H,服务费明细!BT$3)</f>
        <v>0</v>
      </c>
      <c r="BU50" s="389">
        <f>SUMIFS(服务费底表!$AD:$AD,服务费底表!$K:$K,服务费明细!$B50,服务费底表!$H:$H,服务费明细!BU$3)</f>
        <v>0</v>
      </c>
      <c r="BV50" s="389">
        <f>SUMIFS(服务费底表!$AD:$AD,服务费底表!$K:$K,服务费明细!$B50,服务费底表!$H:$H,服务费明细!BV$3)</f>
        <v>0</v>
      </c>
      <c r="BW50" s="389">
        <f>SUMIFS(服务费底表!$AD:$AD,服务费底表!$K:$K,服务费明细!$B50,服务费底表!$H:$H,服务费明细!BW$3)</f>
        <v>0</v>
      </c>
    </row>
    <row r="51" spans="2:75">
      <c r="B51" s="202" t="s">
        <v>1009</v>
      </c>
      <c r="C51" s="89" t="str">
        <f>INDEX(二三级标准!$C:$C,MATCH(服务费明细!$B51,二三级标准!$B:$B,0))</f>
        <v>协助试验参与者招募审核</v>
      </c>
      <c r="D51" s="166">
        <v>0</v>
      </c>
      <c r="E51" s="166" cm="1">
        <f t="array" ref="E51">IF($D51=1,试验参与者预筛,0)</f>
        <v>0</v>
      </c>
      <c r="F51" s="89" t="str">
        <f>INDEX(二三级标准!$G:$G,MATCH(服务费明细!$B51,二三级标准!$B:$B,0))</f>
        <v>例</v>
      </c>
      <c r="G51" s="166">
        <f t="shared" ref="G51:AB51" si="123">AL51</f>
        <v>0</v>
      </c>
      <c r="H51" s="166">
        <f t="shared" si="123"/>
        <v>0</v>
      </c>
      <c r="I51" s="166">
        <f t="shared" si="123"/>
        <v>0</v>
      </c>
      <c r="J51" s="166">
        <f t="shared" si="123"/>
        <v>0</v>
      </c>
      <c r="K51" s="166">
        <f t="shared" si="123"/>
        <v>0</v>
      </c>
      <c r="L51" s="166">
        <f t="shared" si="123"/>
        <v>0</v>
      </c>
      <c r="M51" s="166">
        <f t="shared" si="123"/>
        <v>0</v>
      </c>
      <c r="N51" s="166">
        <f t="shared" si="123"/>
        <v>0</v>
      </c>
      <c r="O51" s="166">
        <f t="shared" si="123"/>
        <v>0</v>
      </c>
      <c r="P51" s="166">
        <f t="shared" si="123"/>
        <v>0</v>
      </c>
      <c r="Q51" s="166">
        <f t="shared" si="123"/>
        <v>0</v>
      </c>
      <c r="R51" s="166">
        <f t="shared" si="123"/>
        <v>0</v>
      </c>
      <c r="S51" s="166">
        <f t="shared" si="123"/>
        <v>0</v>
      </c>
      <c r="T51" s="166">
        <f t="shared" si="123"/>
        <v>0</v>
      </c>
      <c r="U51" s="166">
        <f t="shared" si="123"/>
        <v>0</v>
      </c>
      <c r="V51" s="166">
        <f t="shared" si="123"/>
        <v>0</v>
      </c>
      <c r="W51" s="166">
        <f t="shared" si="123"/>
        <v>0</v>
      </c>
      <c r="X51" s="166">
        <f t="shared" si="123"/>
        <v>0</v>
      </c>
      <c r="Y51" s="166">
        <f t="shared" si="123"/>
        <v>0</v>
      </c>
      <c r="Z51" s="166">
        <f t="shared" si="123"/>
        <v>0</v>
      </c>
      <c r="AA51" s="166">
        <f t="shared" si="123"/>
        <v>0</v>
      </c>
      <c r="AB51" s="166">
        <f t="shared" si="123"/>
        <v>0</v>
      </c>
      <c r="AC51" s="166" cm="1">
        <f t="array" ref="AC51">SUMPRODUCT(G51:AB51,$G$4:$AB$4)</f>
        <v>0</v>
      </c>
      <c r="AD51" s="89" t="b">
        <f>IF(AF51=AC51,TRUE,FALSE)</f>
        <v>1</v>
      </c>
      <c r="AE51" s="386">
        <f>IFERROR(SUMIF(服务费底表!$K:$K,服务费明细!$B51,服务费底表!$AD:$AD)/E51,0)</f>
        <v>0</v>
      </c>
      <c r="AF51" s="386">
        <f>E51*AE51</f>
        <v>0</v>
      </c>
      <c r="AG51" s="386">
        <f>IFERROR(SUMIF(服务费底表!$K:$K,服务费明细!$B51,服务费底表!$AG:$AG)/E51,0)</f>
        <v>0</v>
      </c>
      <c r="AH51" s="386">
        <f>AG51*E51</f>
        <v>0</v>
      </c>
      <c r="AI51" s="409"/>
      <c r="AJ51" s="563">
        <f>IF(D51=1,AK51/E51,0)</f>
        <v>0</v>
      </c>
      <c r="AK51" s="564">
        <f>SUMIF(服务费底表!$K:$K,服务费明细!$B51,服务费底表!$AC:$AC)</f>
        <v>0</v>
      </c>
      <c r="AL51" s="166">
        <f>SUMIFS(服务费底表!$AC:$AC,服务费底表!$K:$K,服务费明细!$B51,服务费底表!$T:$T,AL$3)</f>
        <v>0</v>
      </c>
      <c r="AM51" s="166">
        <f>SUMIFS(服务费底表!$AC:$AC,服务费底表!$K:$K,服务费明细!$B51,服务费底表!$T:$T,AM$3)</f>
        <v>0</v>
      </c>
      <c r="AN51" s="166">
        <f>SUMIFS(服务费底表!$AC:$AC,服务费底表!$K:$K,服务费明细!$B51,服务费底表!$T:$T,AN$3)</f>
        <v>0</v>
      </c>
      <c r="AO51" s="166">
        <f>SUMIFS(服务费底表!$AC:$AC,服务费底表!$K:$K,服务费明细!$B51,服务费底表!$T:$T,AO$3)</f>
        <v>0</v>
      </c>
      <c r="AP51" s="166">
        <f>SUMIFS(服务费底表!$AC:$AC,服务费底表!$K:$K,服务费明细!$B51,服务费底表!$T:$T,AP$3)</f>
        <v>0</v>
      </c>
      <c r="AQ51" s="166">
        <f>SUMIFS(服务费底表!$AC:$AC,服务费底表!$K:$K,服务费明细!$B51,服务费底表!$T:$T,AQ$3)</f>
        <v>0</v>
      </c>
      <c r="AR51" s="166">
        <f>SUMIFS(服务费底表!$AC:$AC,服务费底表!$K:$K,服务费明细!$B51,服务费底表!$T:$T,AR$3)</f>
        <v>0</v>
      </c>
      <c r="AS51" s="166">
        <f>SUMIFS(服务费底表!$AC:$AC,服务费底表!$K:$K,服务费明细!$B51,服务费底表!$T:$T,AS$3)</f>
        <v>0</v>
      </c>
      <c r="AT51" s="166">
        <f>SUMIFS(服务费底表!$AC:$AC,服务费底表!$K:$K,服务费明细!$B51,服务费底表!$T:$T,AT$3)</f>
        <v>0</v>
      </c>
      <c r="AU51" s="166">
        <f>SUMIFS(服务费底表!$AC:$AC,服务费底表!$K:$K,服务费明细!$B51,服务费底表!$T:$T,AU$3)</f>
        <v>0</v>
      </c>
      <c r="AV51" s="166">
        <f>SUMIFS(服务费底表!$AC:$AC,服务费底表!$K:$K,服务费明细!$B51,服务费底表!$T:$T,AV$3)</f>
        <v>0</v>
      </c>
      <c r="AW51" s="166">
        <f>SUMIFS(服务费底表!$AC:$AC,服务费底表!$K:$K,服务费明细!$B51,服务费底表!$T:$T,AW$3)</f>
        <v>0</v>
      </c>
      <c r="AX51" s="166">
        <f>SUMIFS(服务费底表!$AC:$AC,服务费底表!$K:$K,服务费明细!$B51,服务费底表!$T:$T,AX$3)</f>
        <v>0</v>
      </c>
      <c r="AY51" s="166">
        <f>SUMIFS(服务费底表!$AC:$AC,服务费底表!$K:$K,服务费明细!$B51,服务费底表!$T:$T,AY$3)</f>
        <v>0</v>
      </c>
      <c r="AZ51" s="166">
        <f>SUMIFS(服务费底表!$AC:$AC,服务费底表!$K:$K,服务费明细!$B51,服务费底表!$T:$T,AZ$3)</f>
        <v>0</v>
      </c>
      <c r="BA51" s="166">
        <f>SUMIFS(服务费底表!$AC:$AC,服务费底表!$K:$K,服务费明细!$B51,服务费底表!$T:$T,BA$3)</f>
        <v>0</v>
      </c>
      <c r="BB51" s="166">
        <f>SUMIFS(服务费底表!$AC:$AC,服务费底表!$K:$K,服务费明细!$B51,服务费底表!$T:$T,BB$3)</f>
        <v>0</v>
      </c>
      <c r="BC51" s="166">
        <f>SUMIFS(服务费底表!$AC:$AC,服务费底表!$K:$K,服务费明细!$B51,服务费底表!$T:$T,BC$3)</f>
        <v>0</v>
      </c>
      <c r="BD51" s="166">
        <f>SUMIFS(服务费底表!$AC:$AC,服务费底表!$K:$K,服务费明细!$B51,服务费底表!$T:$T,BD$3)</f>
        <v>0</v>
      </c>
      <c r="BE51" s="166">
        <f>SUMIFS(服务费底表!$AC:$AC,服务费底表!$K:$K,服务费明细!$B51,服务费底表!$T:$T,BE$3)</f>
        <v>0</v>
      </c>
      <c r="BF51" s="166">
        <f>SUMIFS(服务费底表!$AC:$AC,服务费底表!$K:$K,服务费明细!$B51,服务费底表!$T:$T,BF$3)</f>
        <v>0</v>
      </c>
      <c r="BG51" s="166">
        <f>SUMIFS(服务费底表!$AC:$AC,服务费底表!$K:$K,服务费明细!$B51,服务费底表!$T:$T,BG$3)</f>
        <v>0</v>
      </c>
      <c r="BI51" s="388"/>
      <c r="BJ51" s="388"/>
      <c r="BK51" s="388"/>
      <c r="BL51" s="388"/>
      <c r="BM51" s="388"/>
      <c r="BN51" s="388"/>
      <c r="BO51" s="388"/>
      <c r="BQ51" s="389"/>
      <c r="BR51" s="389"/>
      <c r="BS51" s="389"/>
      <c r="BT51" s="389"/>
      <c r="BU51" s="389"/>
      <c r="BV51" s="389"/>
      <c r="BW51" s="389"/>
    </row>
    <row r="52" spans="2:75">
      <c r="B52" s="89" t="s">
        <v>171</v>
      </c>
      <c r="C52" s="89" t="str">
        <f>INDEX(二三级标准!$C:$C,MATCH(服务费明细!$B52,二三级标准!$B:$B,0))</f>
        <v>常规监查访视</v>
      </c>
      <c r="D52" s="166">
        <f>IF($D$46=1,1,0)</f>
        <v>1</v>
      </c>
      <c r="E52" s="166">
        <f>IF($D52=1,入组期IMV次数+治疗期IMV次数+随访期IMV次数+长随访期IMV次数,0)</f>
        <v>52</v>
      </c>
      <c r="F52" s="89" t="str">
        <f>INDEX(二三级标准!$G:$G,MATCH(服务费明细!$B52,二三级标准!$B:$B,0))</f>
        <v>次</v>
      </c>
      <c r="G52" s="166">
        <f t="shared" ref="G52:G69" si="124">AL52</f>
        <v>988</v>
      </c>
      <c r="H52" s="166">
        <f t="shared" ref="H52:H69" si="125">AM52</f>
        <v>0</v>
      </c>
      <c r="I52" s="166">
        <f t="shared" ref="I52:I69" si="126">AN52</f>
        <v>104</v>
      </c>
      <c r="J52" s="166">
        <f t="shared" ref="J52:J69" si="127">AO52</f>
        <v>0</v>
      </c>
      <c r="K52" s="166">
        <f t="shared" ref="K52:K69" si="128">AP52</f>
        <v>0</v>
      </c>
      <c r="L52" s="166">
        <f t="shared" ref="L52:L69" si="129">AQ52</f>
        <v>0</v>
      </c>
      <c r="M52" s="166">
        <f t="shared" ref="M52:M69" si="130">AR52</f>
        <v>0</v>
      </c>
      <c r="N52" s="166">
        <f t="shared" ref="N52:N69" si="131">AS52</f>
        <v>0</v>
      </c>
      <c r="O52" s="166">
        <f t="shared" ref="O52:O69" si="132">AT52</f>
        <v>0</v>
      </c>
      <c r="P52" s="166">
        <f t="shared" ref="P52:P69" si="133">AU52</f>
        <v>0</v>
      </c>
      <c r="Q52" s="166">
        <f t="shared" ref="Q52:Q69" si="134">AV52</f>
        <v>0</v>
      </c>
      <c r="R52" s="166">
        <f t="shared" ref="R52:R69" si="135">AW52</f>
        <v>0</v>
      </c>
      <c r="S52" s="166">
        <f t="shared" ref="S52:S69" si="136">AX52</f>
        <v>0</v>
      </c>
      <c r="T52" s="166">
        <f t="shared" ref="T52:T69" si="137">AY52</f>
        <v>0</v>
      </c>
      <c r="U52" s="166">
        <f t="shared" ref="U52:U69" si="138">AZ52</f>
        <v>0</v>
      </c>
      <c r="V52" s="166">
        <f t="shared" ref="V52:V69" si="139">BA52</f>
        <v>0</v>
      </c>
      <c r="W52" s="166">
        <f t="shared" ref="W52:W69" si="140">BB52</f>
        <v>0</v>
      </c>
      <c r="X52" s="166">
        <f t="shared" ref="X52:X69" si="141">BC52</f>
        <v>0</v>
      </c>
      <c r="Y52" s="166">
        <f t="shared" ref="Y52:Y69" si="142">BD52</f>
        <v>0</v>
      </c>
      <c r="Z52" s="166">
        <f t="shared" ref="Z52:Z69" si="143">BE52</f>
        <v>0</v>
      </c>
      <c r="AA52" s="166">
        <f t="shared" ref="AA52:AA69" si="144">BF52</f>
        <v>0</v>
      </c>
      <c r="AB52" s="166">
        <f t="shared" ref="AB52:AB69" si="145">BG52</f>
        <v>0</v>
      </c>
      <c r="AC52" s="166" cm="1">
        <f t="array" ref="AC52">SUMPRODUCT(G52:AB52,$G$4:$AB$4)</f>
        <v>403520</v>
      </c>
      <c r="AD52" s="89" t="b">
        <f t="shared" ref="AD52:AD72" si="146">IF(AF52=AC52,TRUE,FALSE)</f>
        <v>1</v>
      </c>
      <c r="AE52" s="386">
        <f>IFERROR(SUMIF(服务费底表!$K:$K,服务费明细!$B52,服务费底表!$AD:$AD)/E52,0)</f>
        <v>7760</v>
      </c>
      <c r="AF52" s="386">
        <f t="shared" ref="AF52:AF72" si="147">E52*AE52</f>
        <v>403520</v>
      </c>
      <c r="AG52" s="386">
        <f>IFERROR(SUMIF(服务费底表!$K:$K,服务费明细!$B52,服务费底表!$AG:$AG)/E52,0)</f>
        <v>7760</v>
      </c>
      <c r="AH52" s="386">
        <f t="shared" ref="AH52:AH72" si="148">AG52*E52</f>
        <v>403520</v>
      </c>
      <c r="AI52" s="409" t="s">
        <v>1005</v>
      </c>
      <c r="AJ52" s="563">
        <f t="shared" ref="AJ52:AJ72" si="149">IF(D52=1,AK52/E52,0)</f>
        <v>21</v>
      </c>
      <c r="AK52" s="564">
        <f>SUMIF(服务费底表!$K:$K,服务费明细!$B52,服务费底表!$AC:$AC)</f>
        <v>1092</v>
      </c>
      <c r="AL52" s="166">
        <f>SUMIFS(服务费底表!$AC:$AC,服务费底表!$K:$K,服务费明细!$B52,服务费底表!$T:$T,AL$3)</f>
        <v>988</v>
      </c>
      <c r="AM52" s="166">
        <f>SUMIFS(服务费底表!$AC:$AC,服务费底表!$K:$K,服务费明细!$B52,服务费底表!$T:$T,AM$3)</f>
        <v>0</v>
      </c>
      <c r="AN52" s="166">
        <f>SUMIFS(服务费底表!$AC:$AC,服务费底表!$K:$K,服务费明细!$B52,服务费底表!$T:$T,AN$3)</f>
        <v>104</v>
      </c>
      <c r="AO52" s="166">
        <f>SUMIFS(服务费底表!$AC:$AC,服务费底表!$K:$K,服务费明细!$B52,服务费底表!$T:$T,AO$3)</f>
        <v>0</v>
      </c>
      <c r="AP52" s="166">
        <f>SUMIFS(服务费底表!$AC:$AC,服务费底表!$K:$K,服务费明细!$B52,服务费底表!$T:$T,AP$3)</f>
        <v>0</v>
      </c>
      <c r="AQ52" s="166">
        <f>SUMIFS(服务费底表!$AC:$AC,服务费底表!$K:$K,服务费明细!$B52,服务费底表!$T:$T,AQ$3)</f>
        <v>0</v>
      </c>
      <c r="AR52" s="166">
        <f>SUMIFS(服务费底表!$AC:$AC,服务费底表!$K:$K,服务费明细!$B52,服务费底表!$T:$T,AR$3)</f>
        <v>0</v>
      </c>
      <c r="AS52" s="166">
        <f>SUMIFS(服务费底表!$AC:$AC,服务费底表!$K:$K,服务费明细!$B52,服务费底表!$T:$T,AS$3)</f>
        <v>0</v>
      </c>
      <c r="AT52" s="166">
        <f>SUMIFS(服务费底表!$AC:$AC,服务费底表!$K:$K,服务费明细!$B52,服务费底表!$T:$T,AT$3)</f>
        <v>0</v>
      </c>
      <c r="AU52" s="166">
        <f>SUMIFS(服务费底表!$AC:$AC,服务费底表!$K:$K,服务费明细!$B52,服务费底表!$T:$T,AU$3)</f>
        <v>0</v>
      </c>
      <c r="AV52" s="166">
        <f>SUMIFS(服务费底表!$AC:$AC,服务费底表!$K:$K,服务费明细!$B52,服务费底表!$T:$T,AV$3)</f>
        <v>0</v>
      </c>
      <c r="AW52" s="166">
        <f>SUMIFS(服务费底表!$AC:$AC,服务费底表!$K:$K,服务费明细!$B52,服务费底表!$T:$T,AW$3)</f>
        <v>0</v>
      </c>
      <c r="AX52" s="166">
        <f>SUMIFS(服务费底表!$AC:$AC,服务费底表!$K:$K,服务费明细!$B52,服务费底表!$T:$T,AX$3)</f>
        <v>0</v>
      </c>
      <c r="AY52" s="166">
        <f>SUMIFS(服务费底表!$AC:$AC,服务费底表!$K:$K,服务费明细!$B52,服务费底表!$T:$T,AY$3)</f>
        <v>0</v>
      </c>
      <c r="AZ52" s="166">
        <f>SUMIFS(服务费底表!$AC:$AC,服务费底表!$K:$K,服务费明细!$B52,服务费底表!$T:$T,AZ$3)</f>
        <v>0</v>
      </c>
      <c r="BA52" s="166">
        <f>SUMIFS(服务费底表!$AC:$AC,服务费底表!$K:$K,服务费明细!$B52,服务费底表!$T:$T,BA$3)</f>
        <v>0</v>
      </c>
      <c r="BB52" s="166">
        <f>SUMIFS(服务费底表!$AC:$AC,服务费底表!$K:$K,服务费明细!$B52,服务费底表!$T:$T,BB$3)</f>
        <v>0</v>
      </c>
      <c r="BC52" s="166">
        <f>SUMIFS(服务费底表!$AC:$AC,服务费底表!$K:$K,服务费明细!$B52,服务费底表!$T:$T,BC$3)</f>
        <v>0</v>
      </c>
      <c r="BD52" s="166">
        <f>SUMIFS(服务费底表!$AC:$AC,服务费底表!$K:$K,服务费明细!$B52,服务费底表!$T:$T,BD$3)</f>
        <v>0</v>
      </c>
      <c r="BE52" s="166">
        <f>SUMIFS(服务费底表!$AC:$AC,服务费底表!$K:$K,服务费明细!$B52,服务费底表!$T:$T,BE$3)</f>
        <v>0</v>
      </c>
      <c r="BF52" s="166">
        <f>SUMIFS(服务费底表!$AC:$AC,服务费底表!$K:$K,服务费明细!$B52,服务费底表!$T:$T,BF$3)</f>
        <v>0</v>
      </c>
      <c r="BG52" s="166">
        <f>SUMIFS(服务费底表!$AC:$AC,服务费底表!$K:$K,服务费明细!$B52,服务费底表!$T:$T,BG$3)</f>
        <v>0</v>
      </c>
      <c r="BI52" s="388">
        <f>SUMIFS(服务费底表!$AC:$AC,服务费底表!$K:$K,服务费明细!$B52,服务费底表!$H:$H,服务费明细!BI$3)</f>
        <v>0</v>
      </c>
      <c r="BJ52" s="388">
        <f>SUMIFS(服务费底表!$AC:$AC,服务费底表!$K:$K,服务费明细!$B52,服务费底表!$H:$H,服务费明细!BJ$3)</f>
        <v>1092</v>
      </c>
      <c r="BK52" s="388">
        <f>SUMIFS(服务费底表!$AC:$AC,服务费底表!$K:$K,服务费明细!$B52,服务费底表!$H:$H,服务费明细!BK$3)</f>
        <v>0</v>
      </c>
      <c r="BL52" s="388">
        <f>SUMIFS(服务费底表!$AC:$AC,服务费底表!$K:$K,服务费明细!$B52,服务费底表!$H:$H,服务费明细!BL$3)</f>
        <v>0</v>
      </c>
      <c r="BM52" s="388">
        <f>SUMIFS(服务费底表!$AC:$AC,服务费底表!$K:$K,服务费明细!$B52,服务费底表!$H:$H,服务费明细!BM$3)</f>
        <v>0</v>
      </c>
      <c r="BN52" s="388">
        <f>SUMIFS(服务费底表!$AC:$AC,服务费底表!$K:$K,服务费明细!$B52,服务费底表!$H:$H,服务费明细!BN$3)</f>
        <v>0</v>
      </c>
      <c r="BO52" s="388">
        <f>SUMIFS(服务费底表!$AC:$AC,服务费底表!$K:$K,服务费明细!$B52,服务费底表!$H:$H,服务费明细!BO$3)</f>
        <v>0</v>
      </c>
      <c r="BQ52" s="389">
        <f>SUMIFS(服务费底表!$AD:$AD,服务费底表!$K:$K,服务费明细!$B52,服务费底表!$H:$H,服务费明细!BQ$3)</f>
        <v>0</v>
      </c>
      <c r="BR52" s="389">
        <f>SUMIFS(服务费底表!$AD:$AD,服务费底表!$K:$K,服务费明细!$B52,服务费底表!$H:$H,服务费明细!BR$3)</f>
        <v>403520</v>
      </c>
      <c r="BS52" s="389">
        <f>SUMIFS(服务费底表!$AD:$AD,服务费底表!$K:$K,服务费明细!$B52,服务费底表!$H:$H,服务费明细!BS$3)</f>
        <v>0</v>
      </c>
      <c r="BT52" s="389">
        <f>SUMIFS(服务费底表!$AD:$AD,服务费底表!$K:$K,服务费明细!$B52,服务费底表!$H:$H,服务费明细!BT$3)</f>
        <v>0</v>
      </c>
      <c r="BU52" s="389">
        <f>SUMIFS(服务费底表!$AD:$AD,服务费底表!$K:$K,服务费明细!$B52,服务费底表!$H:$H,服务费明细!BU$3)</f>
        <v>0</v>
      </c>
      <c r="BV52" s="389">
        <f>SUMIFS(服务费底表!$AD:$AD,服务费底表!$K:$K,服务费明细!$B52,服务费底表!$H:$H,服务费明细!BV$3)</f>
        <v>0</v>
      </c>
      <c r="BW52" s="389">
        <f>SUMIFS(服务费底表!$AD:$AD,服务费底表!$K:$K,服务费明细!$B52,服务费底表!$H:$H,服务费明细!BW$3)</f>
        <v>0</v>
      </c>
    </row>
    <row r="53" spans="2:75">
      <c r="B53" s="89" t="s">
        <v>173</v>
      </c>
      <c r="C53" s="89" t="str">
        <f>INDEX(二三级标准!$C:$C,MATCH(服务费明细!$B53,二三级标准!$B:$B,0))</f>
        <v>计划外访视</v>
      </c>
      <c r="D53" s="166">
        <f>IF($D$46=1,1,0)</f>
        <v>1</v>
      </c>
      <c r="E53" s="166">
        <f>IF($D53=1,计划外访视次数,0)</f>
        <v>4</v>
      </c>
      <c r="F53" s="89" t="str">
        <f>INDEX(二三级标准!$G:$G,MATCH(服务费明细!$B53,二三级标准!$B:$B,0))</f>
        <v>次</v>
      </c>
      <c r="G53" s="166">
        <f t="shared" si="124"/>
        <v>60</v>
      </c>
      <c r="H53" s="166">
        <f t="shared" si="125"/>
        <v>0</v>
      </c>
      <c r="I53" s="166">
        <f t="shared" si="126"/>
        <v>8</v>
      </c>
      <c r="J53" s="166">
        <f t="shared" si="127"/>
        <v>0</v>
      </c>
      <c r="K53" s="166">
        <f t="shared" si="128"/>
        <v>0</v>
      </c>
      <c r="L53" s="166">
        <f t="shared" si="129"/>
        <v>0</v>
      </c>
      <c r="M53" s="166">
        <f t="shared" si="130"/>
        <v>0</v>
      </c>
      <c r="N53" s="166">
        <f t="shared" si="131"/>
        <v>0</v>
      </c>
      <c r="O53" s="166">
        <f t="shared" si="132"/>
        <v>0</v>
      </c>
      <c r="P53" s="166">
        <f t="shared" si="133"/>
        <v>0</v>
      </c>
      <c r="Q53" s="166">
        <f t="shared" si="134"/>
        <v>0</v>
      </c>
      <c r="R53" s="166">
        <f t="shared" si="135"/>
        <v>0</v>
      </c>
      <c r="S53" s="166">
        <f t="shared" si="136"/>
        <v>0</v>
      </c>
      <c r="T53" s="166">
        <f t="shared" si="137"/>
        <v>0</v>
      </c>
      <c r="U53" s="166">
        <f t="shared" si="138"/>
        <v>0</v>
      </c>
      <c r="V53" s="166">
        <f t="shared" si="139"/>
        <v>0</v>
      </c>
      <c r="W53" s="166">
        <f t="shared" si="140"/>
        <v>0</v>
      </c>
      <c r="X53" s="166">
        <f t="shared" si="141"/>
        <v>0</v>
      </c>
      <c r="Y53" s="166">
        <f t="shared" si="142"/>
        <v>0</v>
      </c>
      <c r="Z53" s="166">
        <f t="shared" si="143"/>
        <v>0</v>
      </c>
      <c r="AA53" s="166">
        <f t="shared" si="144"/>
        <v>0</v>
      </c>
      <c r="AB53" s="166">
        <f t="shared" si="145"/>
        <v>0</v>
      </c>
      <c r="AC53" s="166" cm="1">
        <f t="array" ref="AC53">SUMPRODUCT(G53:AB53,$G$4:$AB$4)</f>
        <v>25600</v>
      </c>
      <c r="AD53" s="89" t="b">
        <f t="shared" si="146"/>
        <v>1</v>
      </c>
      <c r="AE53" s="386">
        <f>IFERROR(SUMIF(服务费底表!$K:$K,服务费明细!$B53,服务费底表!$AD:$AD)/E53,0)</f>
        <v>6400</v>
      </c>
      <c r="AF53" s="386">
        <f t="shared" si="147"/>
        <v>25600</v>
      </c>
      <c r="AG53" s="386">
        <f>IFERROR(SUMIF(服务费底表!$K:$K,服务费明细!$B53,服务费底表!$AG:$AG)/E53,0)</f>
        <v>6400</v>
      </c>
      <c r="AH53" s="386">
        <f t="shared" si="148"/>
        <v>25600</v>
      </c>
      <c r="AI53" s="409" t="s">
        <v>1005</v>
      </c>
      <c r="AJ53" s="563">
        <f t="shared" si="149"/>
        <v>17</v>
      </c>
      <c r="AK53" s="564">
        <f>SUMIF(服务费底表!$K:$K,服务费明细!$B53,服务费底表!$AC:$AC)</f>
        <v>68</v>
      </c>
      <c r="AL53" s="166">
        <f>SUMIFS(服务费底表!$AC:$AC,服务费底表!$K:$K,服务费明细!$B53,服务费底表!$T:$T,AL$3)</f>
        <v>60</v>
      </c>
      <c r="AM53" s="166">
        <f>SUMIFS(服务费底表!$AC:$AC,服务费底表!$K:$K,服务费明细!$B53,服务费底表!$T:$T,AM$3)</f>
        <v>0</v>
      </c>
      <c r="AN53" s="166">
        <f>SUMIFS(服务费底表!$AC:$AC,服务费底表!$K:$K,服务费明细!$B53,服务费底表!$T:$T,AN$3)</f>
        <v>8</v>
      </c>
      <c r="AO53" s="166">
        <f>SUMIFS(服务费底表!$AC:$AC,服务费底表!$K:$K,服务费明细!$B53,服务费底表!$T:$T,AO$3)</f>
        <v>0</v>
      </c>
      <c r="AP53" s="166">
        <f>SUMIFS(服务费底表!$AC:$AC,服务费底表!$K:$K,服务费明细!$B53,服务费底表!$T:$T,AP$3)</f>
        <v>0</v>
      </c>
      <c r="AQ53" s="166">
        <f>SUMIFS(服务费底表!$AC:$AC,服务费底表!$K:$K,服务费明细!$B53,服务费底表!$T:$T,AQ$3)</f>
        <v>0</v>
      </c>
      <c r="AR53" s="166">
        <f>SUMIFS(服务费底表!$AC:$AC,服务费底表!$K:$K,服务费明细!$B53,服务费底表!$T:$T,AR$3)</f>
        <v>0</v>
      </c>
      <c r="AS53" s="166">
        <f>SUMIFS(服务费底表!$AC:$AC,服务费底表!$K:$K,服务费明细!$B53,服务费底表!$T:$T,AS$3)</f>
        <v>0</v>
      </c>
      <c r="AT53" s="166">
        <f>SUMIFS(服务费底表!$AC:$AC,服务费底表!$K:$K,服务费明细!$B53,服务费底表!$T:$T,AT$3)</f>
        <v>0</v>
      </c>
      <c r="AU53" s="166">
        <f>SUMIFS(服务费底表!$AC:$AC,服务费底表!$K:$K,服务费明细!$B53,服务费底表!$T:$T,AU$3)</f>
        <v>0</v>
      </c>
      <c r="AV53" s="166">
        <f>SUMIFS(服务费底表!$AC:$AC,服务费底表!$K:$K,服务费明细!$B53,服务费底表!$T:$T,AV$3)</f>
        <v>0</v>
      </c>
      <c r="AW53" s="166">
        <f>SUMIFS(服务费底表!$AC:$AC,服务费底表!$K:$K,服务费明细!$B53,服务费底表!$T:$T,AW$3)</f>
        <v>0</v>
      </c>
      <c r="AX53" s="166">
        <f>SUMIFS(服务费底表!$AC:$AC,服务费底表!$K:$K,服务费明细!$B53,服务费底表!$T:$T,AX$3)</f>
        <v>0</v>
      </c>
      <c r="AY53" s="166">
        <f>SUMIFS(服务费底表!$AC:$AC,服务费底表!$K:$K,服务费明细!$B53,服务费底表!$T:$T,AY$3)</f>
        <v>0</v>
      </c>
      <c r="AZ53" s="166">
        <f>SUMIFS(服务费底表!$AC:$AC,服务费底表!$K:$K,服务费明细!$B53,服务费底表!$T:$T,AZ$3)</f>
        <v>0</v>
      </c>
      <c r="BA53" s="166">
        <f>SUMIFS(服务费底表!$AC:$AC,服务费底表!$K:$K,服务费明细!$B53,服务费底表!$T:$T,BA$3)</f>
        <v>0</v>
      </c>
      <c r="BB53" s="166">
        <f>SUMIFS(服务费底表!$AC:$AC,服务费底表!$K:$K,服务费明细!$B53,服务费底表!$T:$T,BB$3)</f>
        <v>0</v>
      </c>
      <c r="BC53" s="166">
        <f>SUMIFS(服务费底表!$AC:$AC,服务费底表!$K:$K,服务费明细!$B53,服务费底表!$T:$T,BC$3)</f>
        <v>0</v>
      </c>
      <c r="BD53" s="166">
        <f>SUMIFS(服务费底表!$AC:$AC,服务费底表!$K:$K,服务费明细!$B53,服务费底表!$T:$T,BD$3)</f>
        <v>0</v>
      </c>
      <c r="BE53" s="166">
        <f>SUMIFS(服务费底表!$AC:$AC,服务费底表!$K:$K,服务费明细!$B53,服务费底表!$T:$T,BE$3)</f>
        <v>0</v>
      </c>
      <c r="BF53" s="166">
        <f>SUMIFS(服务费底表!$AC:$AC,服务费底表!$K:$K,服务费明细!$B53,服务费底表!$T:$T,BF$3)</f>
        <v>0</v>
      </c>
      <c r="BG53" s="166">
        <f>SUMIFS(服务费底表!$AC:$AC,服务费底表!$K:$K,服务费明细!$B53,服务费底表!$T:$T,BG$3)</f>
        <v>0</v>
      </c>
      <c r="BI53" s="388">
        <f>SUMIFS(服务费底表!$AC:$AC,服务费底表!$K:$K,服务费明细!$B53,服务费底表!$H:$H,服务费明细!BI$3)</f>
        <v>0</v>
      </c>
      <c r="BJ53" s="388">
        <f>SUMIFS(服务费底表!$AC:$AC,服务费底表!$K:$K,服务费明细!$B53,服务费底表!$H:$H,服务费明细!BJ$3)</f>
        <v>68</v>
      </c>
      <c r="BK53" s="388">
        <f>SUMIFS(服务费底表!$AC:$AC,服务费底表!$K:$K,服务费明细!$B53,服务费底表!$H:$H,服务费明细!BK$3)</f>
        <v>0</v>
      </c>
      <c r="BL53" s="388">
        <f>SUMIFS(服务费底表!$AC:$AC,服务费底表!$K:$K,服务费明细!$B53,服务费底表!$H:$H,服务费明细!BL$3)</f>
        <v>0</v>
      </c>
      <c r="BM53" s="388">
        <f>SUMIFS(服务费底表!$AC:$AC,服务费底表!$K:$K,服务费明细!$B53,服务费底表!$H:$H,服务费明细!BM$3)</f>
        <v>0</v>
      </c>
      <c r="BN53" s="388">
        <f>SUMIFS(服务费底表!$AC:$AC,服务费底表!$K:$K,服务费明细!$B53,服务费底表!$H:$H,服务费明细!BN$3)</f>
        <v>0</v>
      </c>
      <c r="BO53" s="388">
        <f>SUMIFS(服务费底表!$AC:$AC,服务费底表!$K:$K,服务费明细!$B53,服务费底表!$H:$H,服务费明细!BO$3)</f>
        <v>0</v>
      </c>
      <c r="BQ53" s="389">
        <f>SUMIFS(服务费底表!$AD:$AD,服务费底表!$K:$K,服务费明细!$B53,服务费底表!$H:$H,服务费明细!BQ$3)</f>
        <v>0</v>
      </c>
      <c r="BR53" s="389">
        <f>SUMIFS(服务费底表!$AD:$AD,服务费底表!$K:$K,服务费明细!$B53,服务费底表!$H:$H,服务费明细!BR$3)</f>
        <v>25600</v>
      </c>
      <c r="BS53" s="389">
        <f>SUMIFS(服务费底表!$AD:$AD,服务费底表!$K:$K,服务费明细!$B53,服务费底表!$H:$H,服务费明细!BS$3)</f>
        <v>0</v>
      </c>
      <c r="BT53" s="389">
        <f>SUMIFS(服务费底表!$AD:$AD,服务费底表!$K:$K,服务费明细!$B53,服务费底表!$H:$H,服务费明细!BT$3)</f>
        <v>0</v>
      </c>
      <c r="BU53" s="389">
        <f>SUMIFS(服务费底表!$AD:$AD,服务费底表!$K:$K,服务费明细!$B53,服务费底表!$H:$H,服务费明细!BU$3)</f>
        <v>0</v>
      </c>
      <c r="BV53" s="389">
        <f>SUMIFS(服务费底表!$AD:$AD,服务费底表!$K:$K,服务费明细!$B53,服务费底表!$H:$H,服务费明细!BV$3)</f>
        <v>0</v>
      </c>
      <c r="BW53" s="389">
        <f>SUMIFS(服务费底表!$AD:$AD,服务费底表!$K:$K,服务费明细!$B53,服务费底表!$H:$H,服务费明细!BW$3)</f>
        <v>0</v>
      </c>
    </row>
    <row r="54" spans="2:75">
      <c r="B54" s="89" t="s">
        <v>175</v>
      </c>
      <c r="C54" s="89" t="str">
        <f>INDEX(二三级标准!$C:$C,MATCH(服务费明细!$B54,二三级标准!$B:$B,0))</f>
        <v>协同访视</v>
      </c>
      <c r="D54" s="166">
        <f>IF($D$46=1,1,0)</f>
        <v>1</v>
      </c>
      <c r="E54" s="166">
        <f>IF($D54=1,协同访视次数,0)</f>
        <v>2</v>
      </c>
      <c r="F54" s="89" t="str">
        <f>INDEX(二三级标准!$G:$G,MATCH(服务费明细!$B54,二三级标准!$B:$B,0))</f>
        <v>次</v>
      </c>
      <c r="G54" s="166">
        <f t="shared" si="124"/>
        <v>0</v>
      </c>
      <c r="H54" s="166">
        <f t="shared" si="125"/>
        <v>0</v>
      </c>
      <c r="I54" s="166">
        <f t="shared" si="126"/>
        <v>30</v>
      </c>
      <c r="J54" s="166">
        <f t="shared" si="127"/>
        <v>4</v>
      </c>
      <c r="K54" s="166">
        <f t="shared" si="128"/>
        <v>0</v>
      </c>
      <c r="L54" s="166">
        <f t="shared" si="129"/>
        <v>0</v>
      </c>
      <c r="M54" s="166">
        <f t="shared" si="130"/>
        <v>0</v>
      </c>
      <c r="N54" s="166">
        <f t="shared" si="131"/>
        <v>0</v>
      </c>
      <c r="O54" s="166">
        <f t="shared" si="132"/>
        <v>0</v>
      </c>
      <c r="P54" s="166">
        <f t="shared" si="133"/>
        <v>0</v>
      </c>
      <c r="Q54" s="166">
        <f t="shared" si="134"/>
        <v>0</v>
      </c>
      <c r="R54" s="166">
        <f t="shared" si="135"/>
        <v>0</v>
      </c>
      <c r="S54" s="166">
        <f t="shared" si="136"/>
        <v>0</v>
      </c>
      <c r="T54" s="166">
        <f t="shared" si="137"/>
        <v>0</v>
      </c>
      <c r="U54" s="166">
        <f t="shared" si="138"/>
        <v>0</v>
      </c>
      <c r="V54" s="166">
        <f t="shared" si="139"/>
        <v>0</v>
      </c>
      <c r="W54" s="166">
        <f t="shared" si="140"/>
        <v>0</v>
      </c>
      <c r="X54" s="166">
        <f t="shared" si="141"/>
        <v>0</v>
      </c>
      <c r="Y54" s="166">
        <f t="shared" si="142"/>
        <v>0</v>
      </c>
      <c r="Z54" s="166">
        <f t="shared" si="143"/>
        <v>0</v>
      </c>
      <c r="AA54" s="166">
        <f t="shared" si="144"/>
        <v>0</v>
      </c>
      <c r="AB54" s="166">
        <f t="shared" si="145"/>
        <v>0</v>
      </c>
      <c r="AC54" s="166" cm="1">
        <f t="array" ref="AC54">SUMPRODUCT(G54:AB54,$G$4:$AB$4)</f>
        <v>22700</v>
      </c>
      <c r="AD54" s="89" t="b">
        <f t="shared" si="146"/>
        <v>1</v>
      </c>
      <c r="AE54" s="386">
        <f>IFERROR(SUMIF(服务费底表!$K:$K,服务费明细!$B54,服务费底表!$AD:$AD)/E54,0)</f>
        <v>11350</v>
      </c>
      <c r="AF54" s="386">
        <f t="shared" si="147"/>
        <v>22700</v>
      </c>
      <c r="AG54" s="386">
        <f>IFERROR(SUMIF(服务费底表!$K:$K,服务费明细!$B54,服务费底表!$AG:$AG)/E54,0)</f>
        <v>11350</v>
      </c>
      <c r="AH54" s="386">
        <f t="shared" si="148"/>
        <v>22700</v>
      </c>
      <c r="AI54" s="409" t="s">
        <v>1005</v>
      </c>
      <c r="AJ54" s="563">
        <f t="shared" si="149"/>
        <v>17</v>
      </c>
      <c r="AK54" s="564">
        <f>SUMIF(服务费底表!$K:$K,服务费明细!$B54,服务费底表!$AC:$AC)</f>
        <v>34</v>
      </c>
      <c r="AL54" s="166">
        <f>SUMIFS(服务费底表!$AC:$AC,服务费底表!$K:$K,服务费明细!$B54,服务费底表!$T:$T,AL$3)</f>
        <v>0</v>
      </c>
      <c r="AM54" s="166">
        <f>SUMIFS(服务费底表!$AC:$AC,服务费底表!$K:$K,服务费明细!$B54,服务费底表!$T:$T,AM$3)</f>
        <v>0</v>
      </c>
      <c r="AN54" s="166">
        <f>SUMIFS(服务费底表!$AC:$AC,服务费底表!$K:$K,服务费明细!$B54,服务费底表!$T:$T,AN$3)</f>
        <v>30</v>
      </c>
      <c r="AO54" s="166">
        <f>SUMIFS(服务费底表!$AC:$AC,服务费底表!$K:$K,服务费明细!$B54,服务费底表!$T:$T,AO$3)</f>
        <v>4</v>
      </c>
      <c r="AP54" s="166">
        <f>SUMIFS(服务费底表!$AC:$AC,服务费底表!$K:$K,服务费明细!$B54,服务费底表!$T:$T,AP$3)</f>
        <v>0</v>
      </c>
      <c r="AQ54" s="166">
        <f>SUMIFS(服务费底表!$AC:$AC,服务费底表!$K:$K,服务费明细!$B54,服务费底表!$T:$T,AQ$3)</f>
        <v>0</v>
      </c>
      <c r="AR54" s="166">
        <f>SUMIFS(服务费底表!$AC:$AC,服务费底表!$K:$K,服务费明细!$B54,服务费底表!$T:$T,AR$3)</f>
        <v>0</v>
      </c>
      <c r="AS54" s="166">
        <f>SUMIFS(服务费底表!$AC:$AC,服务费底表!$K:$K,服务费明细!$B54,服务费底表!$T:$T,AS$3)</f>
        <v>0</v>
      </c>
      <c r="AT54" s="166">
        <f>SUMIFS(服务费底表!$AC:$AC,服务费底表!$K:$K,服务费明细!$B54,服务费底表!$T:$T,AT$3)</f>
        <v>0</v>
      </c>
      <c r="AU54" s="166">
        <f>SUMIFS(服务费底表!$AC:$AC,服务费底表!$K:$K,服务费明细!$B54,服务费底表!$T:$T,AU$3)</f>
        <v>0</v>
      </c>
      <c r="AV54" s="166">
        <f>SUMIFS(服务费底表!$AC:$AC,服务费底表!$K:$K,服务费明细!$B54,服务费底表!$T:$T,AV$3)</f>
        <v>0</v>
      </c>
      <c r="AW54" s="166">
        <f>SUMIFS(服务费底表!$AC:$AC,服务费底表!$K:$K,服务费明细!$B54,服务费底表!$T:$T,AW$3)</f>
        <v>0</v>
      </c>
      <c r="AX54" s="166">
        <f>SUMIFS(服务费底表!$AC:$AC,服务费底表!$K:$K,服务费明细!$B54,服务费底表!$T:$T,AX$3)</f>
        <v>0</v>
      </c>
      <c r="AY54" s="166">
        <f>SUMIFS(服务费底表!$AC:$AC,服务费底表!$K:$K,服务费明细!$B54,服务费底表!$T:$T,AY$3)</f>
        <v>0</v>
      </c>
      <c r="AZ54" s="166">
        <f>SUMIFS(服务费底表!$AC:$AC,服务费底表!$K:$K,服务费明细!$B54,服务费底表!$T:$T,AZ$3)</f>
        <v>0</v>
      </c>
      <c r="BA54" s="166">
        <f>SUMIFS(服务费底表!$AC:$AC,服务费底表!$K:$K,服务费明细!$B54,服务费底表!$T:$T,BA$3)</f>
        <v>0</v>
      </c>
      <c r="BB54" s="166">
        <f>SUMIFS(服务费底表!$AC:$AC,服务费底表!$K:$K,服务费明细!$B54,服务费底表!$T:$T,BB$3)</f>
        <v>0</v>
      </c>
      <c r="BC54" s="166">
        <f>SUMIFS(服务费底表!$AC:$AC,服务费底表!$K:$K,服务费明细!$B54,服务费底表!$T:$T,BC$3)</f>
        <v>0</v>
      </c>
      <c r="BD54" s="166">
        <f>SUMIFS(服务费底表!$AC:$AC,服务费底表!$K:$K,服务费明细!$B54,服务费底表!$T:$T,BD$3)</f>
        <v>0</v>
      </c>
      <c r="BE54" s="166">
        <f>SUMIFS(服务费底表!$AC:$AC,服务费底表!$K:$K,服务费明细!$B54,服务费底表!$T:$T,BE$3)</f>
        <v>0</v>
      </c>
      <c r="BF54" s="166">
        <f>SUMIFS(服务费底表!$AC:$AC,服务费底表!$K:$K,服务费明细!$B54,服务费底表!$T:$T,BF$3)</f>
        <v>0</v>
      </c>
      <c r="BG54" s="166">
        <f>SUMIFS(服务费底表!$AC:$AC,服务费底表!$K:$K,服务费明细!$B54,服务费底表!$T:$T,BG$3)</f>
        <v>0</v>
      </c>
      <c r="BI54" s="388">
        <f>SUMIFS(服务费底表!$AC:$AC,服务费底表!$K:$K,服务费明细!$B54,服务费底表!$H:$H,服务费明细!BI$3)</f>
        <v>0</v>
      </c>
      <c r="BJ54" s="388">
        <f>SUMIFS(服务费底表!$AC:$AC,服务费底表!$K:$K,服务费明细!$B54,服务费底表!$H:$H,服务费明细!BJ$3)</f>
        <v>34</v>
      </c>
      <c r="BK54" s="388">
        <f>SUMIFS(服务费底表!$AC:$AC,服务费底表!$K:$K,服务费明细!$B54,服务费底表!$H:$H,服务费明细!BK$3)</f>
        <v>0</v>
      </c>
      <c r="BL54" s="388">
        <f>SUMIFS(服务费底表!$AC:$AC,服务费底表!$K:$K,服务费明细!$B54,服务费底表!$H:$H,服务费明细!BL$3)</f>
        <v>0</v>
      </c>
      <c r="BM54" s="388">
        <f>SUMIFS(服务费底表!$AC:$AC,服务费底表!$K:$K,服务费明细!$B54,服务费底表!$H:$H,服务费明细!BM$3)</f>
        <v>0</v>
      </c>
      <c r="BN54" s="388">
        <f>SUMIFS(服务费底表!$AC:$AC,服务费底表!$K:$K,服务费明细!$B54,服务费底表!$H:$H,服务费明细!BN$3)</f>
        <v>0</v>
      </c>
      <c r="BO54" s="388">
        <f>SUMIFS(服务费底表!$AC:$AC,服务费底表!$K:$K,服务费明细!$B54,服务费底表!$H:$H,服务费明细!BO$3)</f>
        <v>0</v>
      </c>
      <c r="BQ54" s="389">
        <f>SUMIFS(服务费底表!$AD:$AD,服务费底表!$K:$K,服务费明细!$B54,服务费底表!$H:$H,服务费明细!BQ$3)</f>
        <v>0</v>
      </c>
      <c r="BR54" s="389">
        <f>SUMIFS(服务费底表!$AD:$AD,服务费底表!$K:$K,服务费明细!$B54,服务费底表!$H:$H,服务费明细!BR$3)</f>
        <v>22700</v>
      </c>
      <c r="BS54" s="389">
        <f>SUMIFS(服务费底表!$AD:$AD,服务费底表!$K:$K,服务费明细!$B54,服务费底表!$H:$H,服务费明细!BS$3)</f>
        <v>0</v>
      </c>
      <c r="BT54" s="389">
        <f>SUMIFS(服务费底表!$AD:$AD,服务费底表!$K:$K,服务费明细!$B54,服务费底表!$H:$H,服务费明细!BT$3)</f>
        <v>0</v>
      </c>
      <c r="BU54" s="389">
        <f>SUMIFS(服务费底表!$AD:$AD,服务费底表!$K:$K,服务费明细!$B54,服务费底表!$H:$H,服务费明细!BU$3)</f>
        <v>0</v>
      </c>
      <c r="BV54" s="389">
        <f>SUMIFS(服务费底表!$AD:$AD,服务费底表!$K:$K,服务费明细!$B54,服务费底表!$H:$H,服务费明细!BV$3)</f>
        <v>0</v>
      </c>
      <c r="BW54" s="389">
        <f>SUMIFS(服务费底表!$AD:$AD,服务费底表!$K:$K,服务费明细!$B54,服务费底表!$H:$H,服务费明细!BW$3)</f>
        <v>0</v>
      </c>
    </row>
    <row r="55" spans="2:75">
      <c r="B55" s="89" t="s">
        <v>177</v>
      </c>
      <c r="C55" s="89" t="str">
        <f>INDEX(二三级标准!$C:$C,MATCH(服务费明细!$B55,二三级标准!$B:$B,0))</f>
        <v>远程访视/电话访视</v>
      </c>
      <c r="D55" s="166">
        <v>0</v>
      </c>
      <c r="E55" s="166">
        <f>IF($D55=1,电话访视次数,0)</f>
        <v>0</v>
      </c>
      <c r="F55" s="89" t="str">
        <f>INDEX(二三级标准!$G:$G,MATCH(服务费明细!$B55,二三级标准!$B:$B,0))</f>
        <v>次</v>
      </c>
      <c r="G55" s="166">
        <f t="shared" si="124"/>
        <v>0</v>
      </c>
      <c r="H55" s="166">
        <f t="shared" si="125"/>
        <v>0</v>
      </c>
      <c r="I55" s="166">
        <f t="shared" si="126"/>
        <v>0</v>
      </c>
      <c r="J55" s="166">
        <f t="shared" si="127"/>
        <v>0</v>
      </c>
      <c r="K55" s="166">
        <f t="shared" si="128"/>
        <v>0</v>
      </c>
      <c r="L55" s="166">
        <f t="shared" si="129"/>
        <v>0</v>
      </c>
      <c r="M55" s="166">
        <f t="shared" si="130"/>
        <v>0</v>
      </c>
      <c r="N55" s="166">
        <f t="shared" si="131"/>
        <v>0</v>
      </c>
      <c r="O55" s="166">
        <f t="shared" si="132"/>
        <v>0</v>
      </c>
      <c r="P55" s="166">
        <f t="shared" si="133"/>
        <v>0</v>
      </c>
      <c r="Q55" s="166">
        <f t="shared" si="134"/>
        <v>0</v>
      </c>
      <c r="R55" s="166">
        <f t="shared" si="135"/>
        <v>0</v>
      </c>
      <c r="S55" s="166">
        <f t="shared" si="136"/>
        <v>0</v>
      </c>
      <c r="T55" s="166">
        <f t="shared" si="137"/>
        <v>0</v>
      </c>
      <c r="U55" s="166">
        <f t="shared" si="138"/>
        <v>0</v>
      </c>
      <c r="V55" s="166">
        <f t="shared" si="139"/>
        <v>0</v>
      </c>
      <c r="W55" s="166">
        <f t="shared" si="140"/>
        <v>0</v>
      </c>
      <c r="X55" s="166">
        <f t="shared" si="141"/>
        <v>0</v>
      </c>
      <c r="Y55" s="166">
        <f t="shared" si="142"/>
        <v>0</v>
      </c>
      <c r="Z55" s="166">
        <f t="shared" si="143"/>
        <v>0</v>
      </c>
      <c r="AA55" s="166">
        <f t="shared" si="144"/>
        <v>0</v>
      </c>
      <c r="AB55" s="166">
        <f t="shared" si="145"/>
        <v>0</v>
      </c>
      <c r="AC55" s="166" cm="1">
        <f t="array" ref="AC55">SUMPRODUCT(G55:AB55,$G$4:$AB$4)</f>
        <v>0</v>
      </c>
      <c r="AD55" s="89" t="b">
        <f t="shared" si="146"/>
        <v>1</v>
      </c>
      <c r="AE55" s="386">
        <f>IFERROR(SUMIF(服务费底表!$K:$K,服务费明细!$B55,服务费底表!$AD:$AD)/E55,0)</f>
        <v>0</v>
      </c>
      <c r="AF55" s="386">
        <f t="shared" si="147"/>
        <v>0</v>
      </c>
      <c r="AG55" s="386">
        <f>IFERROR(SUMIF(服务费底表!$K:$K,服务费明细!$B55,服务费底表!$AG:$AG)/E55,0)</f>
        <v>0</v>
      </c>
      <c r="AH55" s="386">
        <f t="shared" si="148"/>
        <v>0</v>
      </c>
      <c r="AI55" s="409" t="s">
        <v>1010</v>
      </c>
      <c r="AJ55" s="563">
        <f t="shared" si="149"/>
        <v>0</v>
      </c>
      <c r="AK55" s="564">
        <f>SUMIF(服务费底表!$K:$K,服务费明细!$B55,服务费底表!$AC:$AC)</f>
        <v>0</v>
      </c>
      <c r="AL55" s="166">
        <f>SUMIFS(服务费底表!$AC:$AC,服务费底表!$K:$K,服务费明细!$B55,服务费底表!$T:$T,AL$3)</f>
        <v>0</v>
      </c>
      <c r="AM55" s="166">
        <f>SUMIFS(服务费底表!$AC:$AC,服务费底表!$K:$K,服务费明细!$B55,服务费底表!$T:$T,AM$3)</f>
        <v>0</v>
      </c>
      <c r="AN55" s="166">
        <f>SUMIFS(服务费底表!$AC:$AC,服务费底表!$K:$K,服务费明细!$B55,服务费底表!$T:$T,AN$3)</f>
        <v>0</v>
      </c>
      <c r="AO55" s="166">
        <f>SUMIFS(服务费底表!$AC:$AC,服务费底表!$K:$K,服务费明细!$B55,服务费底表!$T:$T,AO$3)</f>
        <v>0</v>
      </c>
      <c r="AP55" s="166">
        <f>SUMIFS(服务费底表!$AC:$AC,服务费底表!$K:$K,服务费明细!$B55,服务费底表!$T:$T,AP$3)</f>
        <v>0</v>
      </c>
      <c r="AQ55" s="166">
        <f>SUMIFS(服务费底表!$AC:$AC,服务费底表!$K:$K,服务费明细!$B55,服务费底表!$T:$T,AQ$3)</f>
        <v>0</v>
      </c>
      <c r="AR55" s="166">
        <f>SUMIFS(服务费底表!$AC:$AC,服务费底表!$K:$K,服务费明细!$B55,服务费底表!$T:$T,AR$3)</f>
        <v>0</v>
      </c>
      <c r="AS55" s="166">
        <f>SUMIFS(服务费底表!$AC:$AC,服务费底表!$K:$K,服务费明细!$B55,服务费底表!$T:$T,AS$3)</f>
        <v>0</v>
      </c>
      <c r="AT55" s="166">
        <f>SUMIFS(服务费底表!$AC:$AC,服务费底表!$K:$K,服务费明细!$B55,服务费底表!$T:$T,AT$3)</f>
        <v>0</v>
      </c>
      <c r="AU55" s="166">
        <f>SUMIFS(服务费底表!$AC:$AC,服务费底表!$K:$K,服务费明细!$B55,服务费底表!$T:$T,AU$3)</f>
        <v>0</v>
      </c>
      <c r="AV55" s="166">
        <f>SUMIFS(服务费底表!$AC:$AC,服务费底表!$K:$K,服务费明细!$B55,服务费底表!$T:$T,AV$3)</f>
        <v>0</v>
      </c>
      <c r="AW55" s="166">
        <f>SUMIFS(服务费底表!$AC:$AC,服务费底表!$K:$K,服务费明细!$B55,服务费底表!$T:$T,AW$3)</f>
        <v>0</v>
      </c>
      <c r="AX55" s="166">
        <f>SUMIFS(服务费底表!$AC:$AC,服务费底表!$K:$K,服务费明细!$B55,服务费底表!$T:$T,AX$3)</f>
        <v>0</v>
      </c>
      <c r="AY55" s="166">
        <f>SUMIFS(服务费底表!$AC:$AC,服务费底表!$K:$K,服务费明细!$B55,服务费底表!$T:$T,AY$3)</f>
        <v>0</v>
      </c>
      <c r="AZ55" s="166">
        <f>SUMIFS(服务费底表!$AC:$AC,服务费底表!$K:$K,服务费明细!$B55,服务费底表!$T:$T,AZ$3)</f>
        <v>0</v>
      </c>
      <c r="BA55" s="166">
        <f>SUMIFS(服务费底表!$AC:$AC,服务费底表!$K:$K,服务费明细!$B55,服务费底表!$T:$T,BA$3)</f>
        <v>0</v>
      </c>
      <c r="BB55" s="166">
        <f>SUMIFS(服务费底表!$AC:$AC,服务费底表!$K:$K,服务费明细!$B55,服务费底表!$T:$T,BB$3)</f>
        <v>0</v>
      </c>
      <c r="BC55" s="166">
        <f>SUMIFS(服务费底表!$AC:$AC,服务费底表!$K:$K,服务费明细!$B55,服务费底表!$T:$T,BC$3)</f>
        <v>0</v>
      </c>
      <c r="BD55" s="166">
        <f>SUMIFS(服务费底表!$AC:$AC,服务费底表!$K:$K,服务费明细!$B55,服务费底表!$T:$T,BD$3)</f>
        <v>0</v>
      </c>
      <c r="BE55" s="166">
        <f>SUMIFS(服务费底表!$AC:$AC,服务费底表!$K:$K,服务费明细!$B55,服务费底表!$T:$T,BE$3)</f>
        <v>0</v>
      </c>
      <c r="BF55" s="166">
        <f>SUMIFS(服务费底表!$AC:$AC,服务费底表!$K:$K,服务费明细!$B55,服务费底表!$T:$T,BF$3)</f>
        <v>0</v>
      </c>
      <c r="BG55" s="166">
        <f>SUMIFS(服务费底表!$AC:$AC,服务费底表!$K:$K,服务费明细!$B55,服务费底表!$T:$T,BG$3)</f>
        <v>0</v>
      </c>
      <c r="BI55" s="388">
        <f>SUMIFS(服务费底表!$AC:$AC,服务费底表!$K:$K,服务费明细!$B55,服务费底表!$H:$H,服务费明细!BI$3)</f>
        <v>0</v>
      </c>
      <c r="BJ55" s="388">
        <f>SUMIFS(服务费底表!$AC:$AC,服务费底表!$K:$K,服务费明细!$B55,服务费底表!$H:$H,服务费明细!BJ$3)</f>
        <v>0</v>
      </c>
      <c r="BK55" s="388">
        <f>SUMIFS(服务费底表!$AC:$AC,服务费底表!$K:$K,服务费明细!$B55,服务费底表!$H:$H,服务费明细!BK$3)</f>
        <v>0</v>
      </c>
      <c r="BL55" s="388">
        <f>SUMIFS(服务费底表!$AC:$AC,服务费底表!$K:$K,服务费明细!$B55,服务费底表!$H:$H,服务费明细!BL$3)</f>
        <v>0</v>
      </c>
      <c r="BM55" s="388">
        <f>SUMIFS(服务费底表!$AC:$AC,服务费底表!$K:$K,服务费明细!$B55,服务费底表!$H:$H,服务费明细!BM$3)</f>
        <v>0</v>
      </c>
      <c r="BN55" s="388">
        <f>SUMIFS(服务费底表!$AC:$AC,服务费底表!$K:$K,服务费明细!$B55,服务费底表!$H:$H,服务费明细!BN$3)</f>
        <v>0</v>
      </c>
      <c r="BO55" s="388">
        <f>SUMIFS(服务费底表!$AC:$AC,服务费底表!$K:$K,服务费明细!$B55,服务费底表!$H:$H,服务费明细!BO$3)</f>
        <v>0</v>
      </c>
      <c r="BQ55" s="389">
        <f>SUMIFS(服务费底表!$AD:$AD,服务费底表!$K:$K,服务费明细!$B55,服务费底表!$H:$H,服务费明细!BQ$3)</f>
        <v>0</v>
      </c>
      <c r="BR55" s="389">
        <f>SUMIFS(服务费底表!$AD:$AD,服务费底表!$K:$K,服务费明细!$B55,服务费底表!$H:$H,服务费明细!BR$3)</f>
        <v>0</v>
      </c>
      <c r="BS55" s="389">
        <f>SUMIFS(服务费底表!$AD:$AD,服务费底表!$K:$K,服务费明细!$B55,服务费底表!$H:$H,服务费明细!BS$3)</f>
        <v>0</v>
      </c>
      <c r="BT55" s="389">
        <f>SUMIFS(服务费底表!$AD:$AD,服务费底表!$K:$K,服务费明细!$B55,服务费底表!$H:$H,服务费明细!BT$3)</f>
        <v>0</v>
      </c>
      <c r="BU55" s="389">
        <f>SUMIFS(服务费底表!$AD:$AD,服务费底表!$K:$K,服务费明细!$B55,服务费底表!$H:$H,服务费明细!BU$3)</f>
        <v>0</v>
      </c>
      <c r="BV55" s="389">
        <f>SUMIFS(服务费底表!$AD:$AD,服务费底表!$K:$K,服务费明细!$B55,服务费底表!$H:$H,服务费明细!BV$3)</f>
        <v>0</v>
      </c>
      <c r="BW55" s="389">
        <f>SUMIFS(服务费底表!$AD:$AD,服务费底表!$K:$K,服务费明细!$B55,服务费底表!$H:$H,服务费明细!BW$3)</f>
        <v>0</v>
      </c>
    </row>
    <row r="56" spans="2:75">
      <c r="B56" s="89" t="s">
        <v>179</v>
      </c>
      <c r="C56" s="89" t="str">
        <f>INDEX(二三级标准!$C:$C,MATCH(服务费明细!$B56,二三级标准!$B:$B,0))</f>
        <v>质控访视</v>
      </c>
      <c r="D56" s="166">
        <f>IF($D$46=1,1,0)</f>
        <v>1</v>
      </c>
      <c r="E56" s="166">
        <f>IF($D56=1,质控访视次数,0)</f>
        <v>2</v>
      </c>
      <c r="F56" s="89" t="str">
        <f>INDEX(二三级标准!$G:$G,MATCH(服务费明细!$B56,二三级标准!$B:$B,0))</f>
        <v>次</v>
      </c>
      <c r="G56" s="166">
        <f t="shared" si="124"/>
        <v>0</v>
      </c>
      <c r="H56" s="166">
        <f t="shared" si="125"/>
        <v>0</v>
      </c>
      <c r="I56" s="166">
        <f t="shared" si="126"/>
        <v>0</v>
      </c>
      <c r="J56" s="166">
        <f t="shared" si="127"/>
        <v>4</v>
      </c>
      <c r="K56" s="166">
        <f t="shared" si="128"/>
        <v>46</v>
      </c>
      <c r="L56" s="166">
        <f t="shared" si="129"/>
        <v>0</v>
      </c>
      <c r="M56" s="166">
        <f t="shared" si="130"/>
        <v>0</v>
      </c>
      <c r="N56" s="166">
        <f t="shared" si="131"/>
        <v>0</v>
      </c>
      <c r="O56" s="166">
        <f t="shared" si="132"/>
        <v>0</v>
      </c>
      <c r="P56" s="166">
        <f t="shared" si="133"/>
        <v>0</v>
      </c>
      <c r="Q56" s="166">
        <f t="shared" si="134"/>
        <v>0</v>
      </c>
      <c r="R56" s="166">
        <f t="shared" si="135"/>
        <v>0</v>
      </c>
      <c r="S56" s="166">
        <f t="shared" si="136"/>
        <v>0</v>
      </c>
      <c r="T56" s="166">
        <f t="shared" si="137"/>
        <v>0</v>
      </c>
      <c r="U56" s="166">
        <f t="shared" si="138"/>
        <v>0</v>
      </c>
      <c r="V56" s="166">
        <f t="shared" si="139"/>
        <v>0</v>
      </c>
      <c r="W56" s="166">
        <f t="shared" si="140"/>
        <v>0</v>
      </c>
      <c r="X56" s="166">
        <f t="shared" si="141"/>
        <v>0</v>
      </c>
      <c r="Y56" s="166">
        <f t="shared" si="142"/>
        <v>0</v>
      </c>
      <c r="Z56" s="166">
        <f t="shared" si="143"/>
        <v>0</v>
      </c>
      <c r="AA56" s="166">
        <f t="shared" si="144"/>
        <v>0</v>
      </c>
      <c r="AB56" s="166">
        <f t="shared" si="145"/>
        <v>0</v>
      </c>
      <c r="AC56" s="166" cm="1">
        <f t="array" ref="AC56">SUMPRODUCT(G56:AB56,$G$4:$AB$4)</f>
        <v>30800</v>
      </c>
      <c r="AD56" s="89" t="b">
        <f t="shared" si="146"/>
        <v>1</v>
      </c>
      <c r="AE56" s="386">
        <f>IFERROR(SUMIF(服务费底表!$K:$K,服务费明细!$B56,服务费底表!$AD:$AD)/E56,0)</f>
        <v>15400</v>
      </c>
      <c r="AF56" s="386">
        <f t="shared" si="147"/>
        <v>30800</v>
      </c>
      <c r="AG56" s="386">
        <f>IFERROR(SUMIF(服务费底表!$K:$K,服务费明细!$B56,服务费底表!$AG:$AG)/E56,0)</f>
        <v>15400</v>
      </c>
      <c r="AH56" s="386">
        <f t="shared" si="148"/>
        <v>30800</v>
      </c>
      <c r="AI56" s="409" t="s">
        <v>1005</v>
      </c>
      <c r="AJ56" s="563">
        <f t="shared" si="149"/>
        <v>25</v>
      </c>
      <c r="AK56" s="564">
        <f>SUMIF(服务费底表!$K:$K,服务费明细!$B56,服务费底表!$AC:$AC)</f>
        <v>50</v>
      </c>
      <c r="AL56" s="166">
        <f>SUMIFS(服务费底表!$AC:$AC,服务费底表!$K:$K,服务费明细!$B56,服务费底表!$T:$T,AL$3)</f>
        <v>0</v>
      </c>
      <c r="AM56" s="166">
        <f>SUMIFS(服务费底表!$AC:$AC,服务费底表!$K:$K,服务费明细!$B56,服务费底表!$T:$T,AM$3)</f>
        <v>0</v>
      </c>
      <c r="AN56" s="166">
        <f>SUMIFS(服务费底表!$AC:$AC,服务费底表!$K:$K,服务费明细!$B56,服务费底表!$T:$T,AN$3)</f>
        <v>0</v>
      </c>
      <c r="AO56" s="166">
        <f>SUMIFS(服务费底表!$AC:$AC,服务费底表!$K:$K,服务费明细!$B56,服务费底表!$T:$T,AO$3)</f>
        <v>4</v>
      </c>
      <c r="AP56" s="166">
        <f>SUMIFS(服务费底表!$AC:$AC,服务费底表!$K:$K,服务费明细!$B56,服务费底表!$T:$T,AP$3)</f>
        <v>46</v>
      </c>
      <c r="AQ56" s="166">
        <f>SUMIFS(服务费底表!$AC:$AC,服务费底表!$K:$K,服务费明细!$B56,服务费底表!$T:$T,AQ$3)</f>
        <v>0</v>
      </c>
      <c r="AR56" s="166">
        <f>SUMIFS(服务费底表!$AC:$AC,服务费底表!$K:$K,服务费明细!$B56,服务费底表!$T:$T,AR$3)</f>
        <v>0</v>
      </c>
      <c r="AS56" s="166">
        <f>SUMIFS(服务费底表!$AC:$AC,服务费底表!$K:$K,服务费明细!$B56,服务费底表!$T:$T,AS$3)</f>
        <v>0</v>
      </c>
      <c r="AT56" s="166">
        <f>SUMIFS(服务费底表!$AC:$AC,服务费底表!$K:$K,服务费明细!$B56,服务费底表!$T:$T,AT$3)</f>
        <v>0</v>
      </c>
      <c r="AU56" s="166">
        <f>SUMIFS(服务费底表!$AC:$AC,服务费底表!$K:$K,服务费明细!$B56,服务费底表!$T:$T,AU$3)</f>
        <v>0</v>
      </c>
      <c r="AV56" s="166">
        <f>SUMIFS(服务费底表!$AC:$AC,服务费底表!$K:$K,服务费明细!$B56,服务费底表!$T:$T,AV$3)</f>
        <v>0</v>
      </c>
      <c r="AW56" s="166">
        <f>SUMIFS(服务费底表!$AC:$AC,服务费底表!$K:$K,服务费明细!$B56,服务费底表!$T:$T,AW$3)</f>
        <v>0</v>
      </c>
      <c r="AX56" s="166">
        <f>SUMIFS(服务费底表!$AC:$AC,服务费底表!$K:$K,服务费明细!$B56,服务费底表!$T:$T,AX$3)</f>
        <v>0</v>
      </c>
      <c r="AY56" s="166">
        <f>SUMIFS(服务费底表!$AC:$AC,服务费底表!$K:$K,服务费明细!$B56,服务费底表!$T:$T,AY$3)</f>
        <v>0</v>
      </c>
      <c r="AZ56" s="166">
        <f>SUMIFS(服务费底表!$AC:$AC,服务费底表!$K:$K,服务费明细!$B56,服务费底表!$T:$T,AZ$3)</f>
        <v>0</v>
      </c>
      <c r="BA56" s="166">
        <f>SUMIFS(服务费底表!$AC:$AC,服务费底表!$K:$K,服务费明细!$B56,服务费底表!$T:$T,BA$3)</f>
        <v>0</v>
      </c>
      <c r="BB56" s="166">
        <f>SUMIFS(服务费底表!$AC:$AC,服务费底表!$K:$K,服务费明细!$B56,服务费底表!$T:$T,BB$3)</f>
        <v>0</v>
      </c>
      <c r="BC56" s="166">
        <f>SUMIFS(服务费底表!$AC:$AC,服务费底表!$K:$K,服务费明细!$B56,服务费底表!$T:$T,BC$3)</f>
        <v>0</v>
      </c>
      <c r="BD56" s="166">
        <f>SUMIFS(服务费底表!$AC:$AC,服务费底表!$K:$K,服务费明细!$B56,服务费底表!$T:$T,BD$3)</f>
        <v>0</v>
      </c>
      <c r="BE56" s="166">
        <f>SUMIFS(服务费底表!$AC:$AC,服务费底表!$K:$K,服务费明细!$B56,服务费底表!$T:$T,BE$3)</f>
        <v>0</v>
      </c>
      <c r="BF56" s="166">
        <f>SUMIFS(服务费底表!$AC:$AC,服务费底表!$K:$K,服务费明细!$B56,服务费底表!$T:$T,BF$3)</f>
        <v>0</v>
      </c>
      <c r="BG56" s="166">
        <f>SUMIFS(服务费底表!$AC:$AC,服务费底表!$K:$K,服务费明细!$B56,服务费底表!$T:$T,BG$3)</f>
        <v>0</v>
      </c>
      <c r="BI56" s="388">
        <f>SUMIFS(服务费底表!$AC:$AC,服务费底表!$K:$K,服务费明细!$B56,服务费底表!$H:$H,服务费明细!BI$3)</f>
        <v>0</v>
      </c>
      <c r="BJ56" s="388">
        <f>SUMIFS(服务费底表!$AC:$AC,服务费底表!$K:$K,服务费明细!$B56,服务费底表!$H:$H,服务费明细!BJ$3)</f>
        <v>50</v>
      </c>
      <c r="BK56" s="388">
        <f>SUMIFS(服务费底表!$AC:$AC,服务费底表!$K:$K,服务费明细!$B56,服务费底表!$H:$H,服务费明细!BK$3)</f>
        <v>0</v>
      </c>
      <c r="BL56" s="388">
        <f>SUMIFS(服务费底表!$AC:$AC,服务费底表!$K:$K,服务费明细!$B56,服务费底表!$H:$H,服务费明细!BL$3)</f>
        <v>0</v>
      </c>
      <c r="BM56" s="388">
        <f>SUMIFS(服务费底表!$AC:$AC,服务费底表!$K:$K,服务费明细!$B56,服务费底表!$H:$H,服务费明细!BM$3)</f>
        <v>0</v>
      </c>
      <c r="BN56" s="388">
        <f>SUMIFS(服务费底表!$AC:$AC,服务费底表!$K:$K,服务费明细!$B56,服务费底表!$H:$H,服务费明细!BN$3)</f>
        <v>0</v>
      </c>
      <c r="BO56" s="388">
        <f>SUMIFS(服务费底表!$AC:$AC,服务费底表!$K:$K,服务费明细!$B56,服务费底表!$H:$H,服务费明细!BO$3)</f>
        <v>0</v>
      </c>
      <c r="BQ56" s="389">
        <f>SUMIFS(服务费底表!$AD:$AD,服务费底表!$K:$K,服务费明细!$B56,服务费底表!$H:$H,服务费明细!BQ$3)</f>
        <v>0</v>
      </c>
      <c r="BR56" s="389">
        <f>SUMIFS(服务费底表!$AD:$AD,服务费底表!$K:$K,服务费明细!$B56,服务费底表!$H:$H,服务费明细!BR$3)</f>
        <v>30800</v>
      </c>
      <c r="BS56" s="389">
        <f>SUMIFS(服务费底表!$AD:$AD,服务费底表!$K:$K,服务费明细!$B56,服务费底表!$H:$H,服务费明细!BS$3)</f>
        <v>0</v>
      </c>
      <c r="BT56" s="389">
        <f>SUMIFS(服务费底表!$AD:$AD,服务费底表!$K:$K,服务费明细!$B56,服务费底表!$H:$H,服务费明细!BT$3)</f>
        <v>0</v>
      </c>
      <c r="BU56" s="389">
        <f>SUMIFS(服务费底表!$AD:$AD,服务费底表!$K:$K,服务费明细!$B56,服务费底表!$H:$H,服务费明细!BU$3)</f>
        <v>0</v>
      </c>
      <c r="BV56" s="389">
        <f>SUMIFS(服务费底表!$AD:$AD,服务费底表!$K:$K,服务费明细!$B56,服务费底表!$H:$H,服务费明细!BV$3)</f>
        <v>0</v>
      </c>
      <c r="BW56" s="389">
        <f>SUMIFS(服务费底表!$AD:$AD,服务费底表!$K:$K,服务费明细!$B56,服务费底表!$H:$H,服务费明细!BW$3)</f>
        <v>0</v>
      </c>
    </row>
    <row r="57" spans="2:75">
      <c r="B57" s="89" t="s">
        <v>181</v>
      </c>
      <c r="C57" s="89" t="str">
        <f>INDEX(二三级标准!$C:$C,MATCH(服务费明细!$B57,二三级标准!$B:$B,0))</f>
        <v>稽查陪同</v>
      </c>
      <c r="D57" s="166">
        <v>0</v>
      </c>
      <c r="E57" s="166">
        <f>IF($D57=1,ROUNDUP(启动中心数*20%,0),0)</f>
        <v>0</v>
      </c>
      <c r="F57" s="89" t="str">
        <f>INDEX(二三级标准!$G:$G,MATCH(服务费明细!$B57,二三级标准!$B:$B,0))</f>
        <v>次</v>
      </c>
      <c r="G57" s="166">
        <f t="shared" si="124"/>
        <v>0</v>
      </c>
      <c r="H57" s="166">
        <f t="shared" si="125"/>
        <v>0</v>
      </c>
      <c r="I57" s="166">
        <f t="shared" si="126"/>
        <v>0</v>
      </c>
      <c r="J57" s="166">
        <f t="shared" si="127"/>
        <v>0</v>
      </c>
      <c r="K57" s="166">
        <f t="shared" si="128"/>
        <v>0</v>
      </c>
      <c r="L57" s="166">
        <f t="shared" si="129"/>
        <v>0</v>
      </c>
      <c r="M57" s="166">
        <f t="shared" si="130"/>
        <v>0</v>
      </c>
      <c r="N57" s="166">
        <f t="shared" si="131"/>
        <v>0</v>
      </c>
      <c r="O57" s="166">
        <f t="shared" si="132"/>
        <v>0</v>
      </c>
      <c r="P57" s="166">
        <f t="shared" si="133"/>
        <v>0</v>
      </c>
      <c r="Q57" s="166">
        <f t="shared" si="134"/>
        <v>0</v>
      </c>
      <c r="R57" s="166">
        <f t="shared" si="135"/>
        <v>0</v>
      </c>
      <c r="S57" s="166">
        <f t="shared" si="136"/>
        <v>0</v>
      </c>
      <c r="T57" s="166">
        <f t="shared" si="137"/>
        <v>0</v>
      </c>
      <c r="U57" s="166">
        <f t="shared" si="138"/>
        <v>0</v>
      </c>
      <c r="V57" s="166">
        <f t="shared" si="139"/>
        <v>0</v>
      </c>
      <c r="W57" s="166">
        <f t="shared" si="140"/>
        <v>0</v>
      </c>
      <c r="X57" s="166">
        <f t="shared" si="141"/>
        <v>0</v>
      </c>
      <c r="Y57" s="166">
        <f t="shared" si="142"/>
        <v>0</v>
      </c>
      <c r="Z57" s="166">
        <f t="shared" si="143"/>
        <v>0</v>
      </c>
      <c r="AA57" s="166">
        <f t="shared" si="144"/>
        <v>0</v>
      </c>
      <c r="AB57" s="166">
        <f t="shared" si="145"/>
        <v>0</v>
      </c>
      <c r="AC57" s="166" cm="1">
        <f t="array" ref="AC57">SUMPRODUCT(G57:AB57,$G$4:$AB$4)</f>
        <v>0</v>
      </c>
      <c r="AD57" s="89" t="b">
        <f t="shared" si="146"/>
        <v>1</v>
      </c>
      <c r="AE57" s="386">
        <f>IFERROR(SUMIF(服务费底表!$K:$K,服务费明细!$B57,服务费底表!$AD:$AD)/E57,0)</f>
        <v>0</v>
      </c>
      <c r="AF57" s="386">
        <f t="shared" si="147"/>
        <v>0</v>
      </c>
      <c r="AG57" s="386">
        <f>IFERROR(SUMIF(服务费底表!$K:$K,服务费明细!$B57,服务费底表!$AG:$AG)/E57,0)</f>
        <v>0</v>
      </c>
      <c r="AH57" s="386">
        <f t="shared" si="148"/>
        <v>0</v>
      </c>
      <c r="AI57" s="409"/>
      <c r="AJ57" s="563">
        <f t="shared" si="149"/>
        <v>0</v>
      </c>
      <c r="AK57" s="564">
        <f>SUMIF(服务费底表!$K:$K,服务费明细!$B57,服务费底表!$AC:$AC)</f>
        <v>0</v>
      </c>
      <c r="AL57" s="166">
        <f>SUMIFS(服务费底表!$AC:$AC,服务费底表!$K:$K,服务费明细!$B57,服务费底表!$T:$T,AL$3)</f>
        <v>0</v>
      </c>
      <c r="AM57" s="166">
        <f>SUMIFS(服务费底表!$AC:$AC,服务费底表!$K:$K,服务费明细!$B57,服务费底表!$T:$T,AM$3)</f>
        <v>0</v>
      </c>
      <c r="AN57" s="166">
        <f>SUMIFS(服务费底表!$AC:$AC,服务费底表!$K:$K,服务费明细!$B57,服务费底表!$T:$T,AN$3)</f>
        <v>0</v>
      </c>
      <c r="AO57" s="166">
        <f>SUMIFS(服务费底表!$AC:$AC,服务费底表!$K:$K,服务费明细!$B57,服务费底表!$T:$T,AO$3)</f>
        <v>0</v>
      </c>
      <c r="AP57" s="166">
        <f>SUMIFS(服务费底表!$AC:$AC,服务费底表!$K:$K,服务费明细!$B57,服务费底表!$T:$T,AP$3)</f>
        <v>0</v>
      </c>
      <c r="AQ57" s="166">
        <f>SUMIFS(服务费底表!$AC:$AC,服务费底表!$K:$K,服务费明细!$B57,服务费底表!$T:$T,AQ$3)</f>
        <v>0</v>
      </c>
      <c r="AR57" s="166">
        <f>SUMIFS(服务费底表!$AC:$AC,服务费底表!$K:$K,服务费明细!$B57,服务费底表!$T:$T,AR$3)</f>
        <v>0</v>
      </c>
      <c r="AS57" s="166">
        <f>SUMIFS(服务费底表!$AC:$AC,服务费底表!$K:$K,服务费明细!$B57,服务费底表!$T:$T,AS$3)</f>
        <v>0</v>
      </c>
      <c r="AT57" s="166">
        <f>SUMIFS(服务费底表!$AC:$AC,服务费底表!$K:$K,服务费明细!$B57,服务费底表!$T:$T,AT$3)</f>
        <v>0</v>
      </c>
      <c r="AU57" s="166">
        <f>SUMIFS(服务费底表!$AC:$AC,服务费底表!$K:$K,服务费明细!$B57,服务费底表!$T:$T,AU$3)</f>
        <v>0</v>
      </c>
      <c r="AV57" s="166">
        <f>SUMIFS(服务费底表!$AC:$AC,服务费底表!$K:$K,服务费明细!$B57,服务费底表!$T:$T,AV$3)</f>
        <v>0</v>
      </c>
      <c r="AW57" s="166">
        <f>SUMIFS(服务费底表!$AC:$AC,服务费底表!$K:$K,服务费明细!$B57,服务费底表!$T:$T,AW$3)</f>
        <v>0</v>
      </c>
      <c r="AX57" s="166">
        <f>SUMIFS(服务费底表!$AC:$AC,服务费底表!$K:$K,服务费明细!$B57,服务费底表!$T:$T,AX$3)</f>
        <v>0</v>
      </c>
      <c r="AY57" s="166">
        <f>SUMIFS(服务费底表!$AC:$AC,服务费底表!$K:$K,服务费明细!$B57,服务费底表!$T:$T,AY$3)</f>
        <v>0</v>
      </c>
      <c r="AZ57" s="166">
        <f>SUMIFS(服务费底表!$AC:$AC,服务费底表!$K:$K,服务费明细!$B57,服务费底表!$T:$T,AZ$3)</f>
        <v>0</v>
      </c>
      <c r="BA57" s="166">
        <f>SUMIFS(服务费底表!$AC:$AC,服务费底表!$K:$K,服务费明细!$B57,服务费底表!$T:$T,BA$3)</f>
        <v>0</v>
      </c>
      <c r="BB57" s="166">
        <f>SUMIFS(服务费底表!$AC:$AC,服务费底表!$K:$K,服务费明细!$B57,服务费底表!$T:$T,BB$3)</f>
        <v>0</v>
      </c>
      <c r="BC57" s="166">
        <f>SUMIFS(服务费底表!$AC:$AC,服务费底表!$K:$K,服务费明细!$B57,服务费底表!$T:$T,BC$3)</f>
        <v>0</v>
      </c>
      <c r="BD57" s="166">
        <f>SUMIFS(服务费底表!$AC:$AC,服务费底表!$K:$K,服务费明细!$B57,服务费底表!$T:$T,BD$3)</f>
        <v>0</v>
      </c>
      <c r="BE57" s="166">
        <f>SUMIFS(服务费底表!$AC:$AC,服务费底表!$K:$K,服务费明细!$B57,服务费底表!$T:$T,BE$3)</f>
        <v>0</v>
      </c>
      <c r="BF57" s="166">
        <f>SUMIFS(服务费底表!$AC:$AC,服务费底表!$K:$K,服务费明细!$B57,服务费底表!$T:$T,BF$3)</f>
        <v>0</v>
      </c>
      <c r="BG57" s="166">
        <f>SUMIFS(服务费底表!$AC:$AC,服务费底表!$K:$K,服务费明细!$B57,服务费底表!$T:$T,BG$3)</f>
        <v>0</v>
      </c>
      <c r="BI57" s="388">
        <f>SUMIFS(服务费底表!$AC:$AC,服务费底表!$K:$K,服务费明细!$B57,服务费底表!$H:$H,服务费明细!BI$3)</f>
        <v>0</v>
      </c>
      <c r="BJ57" s="388">
        <f>SUMIFS(服务费底表!$AC:$AC,服务费底表!$K:$K,服务费明细!$B57,服务费底表!$H:$H,服务费明细!BJ$3)</f>
        <v>0</v>
      </c>
      <c r="BK57" s="388">
        <f>SUMIFS(服务费底表!$AC:$AC,服务费底表!$K:$K,服务费明细!$B57,服务费底表!$H:$H,服务费明细!BK$3)</f>
        <v>0</v>
      </c>
      <c r="BL57" s="388">
        <f>SUMIFS(服务费底表!$AC:$AC,服务费底表!$K:$K,服务费明细!$B57,服务费底表!$H:$H,服务费明细!BL$3)</f>
        <v>0</v>
      </c>
      <c r="BM57" s="388">
        <f>SUMIFS(服务费底表!$AC:$AC,服务费底表!$K:$K,服务费明细!$B57,服务费底表!$H:$H,服务费明细!BM$3)</f>
        <v>0</v>
      </c>
      <c r="BN57" s="388">
        <f>SUMIFS(服务费底表!$AC:$AC,服务费底表!$K:$K,服务费明细!$B57,服务费底表!$H:$H,服务费明细!BN$3)</f>
        <v>0</v>
      </c>
      <c r="BO57" s="388">
        <f>SUMIFS(服务费底表!$AC:$AC,服务费底表!$K:$K,服务费明细!$B57,服务费底表!$H:$H,服务费明细!BO$3)</f>
        <v>0</v>
      </c>
      <c r="BQ57" s="389">
        <f>SUMIFS(服务费底表!$AD:$AD,服务费底表!$K:$K,服务费明细!$B57,服务费底表!$H:$H,服务费明细!BQ$3)</f>
        <v>0</v>
      </c>
      <c r="BR57" s="389">
        <f>SUMIFS(服务费底表!$AD:$AD,服务费底表!$K:$K,服务费明细!$B57,服务费底表!$H:$H,服务费明细!BR$3)</f>
        <v>0</v>
      </c>
      <c r="BS57" s="389">
        <f>SUMIFS(服务费底表!$AD:$AD,服务费底表!$K:$K,服务费明细!$B57,服务费底表!$H:$H,服务费明细!BS$3)</f>
        <v>0</v>
      </c>
      <c r="BT57" s="389">
        <f>SUMIFS(服务费底表!$AD:$AD,服务费底表!$K:$K,服务费明细!$B57,服务费底表!$H:$H,服务费明细!BT$3)</f>
        <v>0</v>
      </c>
      <c r="BU57" s="389">
        <f>SUMIFS(服务费底表!$AD:$AD,服务费底表!$K:$K,服务费明细!$B57,服务费底表!$H:$H,服务费明细!BU$3)</f>
        <v>0</v>
      </c>
      <c r="BV57" s="389">
        <f>SUMIFS(服务费底表!$AD:$AD,服务费底表!$K:$K,服务费明细!$B57,服务费底表!$H:$H,服务费明细!BV$3)</f>
        <v>0</v>
      </c>
      <c r="BW57" s="389">
        <f>SUMIFS(服务费底表!$AD:$AD,服务费底表!$K:$K,服务费明细!$B57,服务费底表!$H:$H,服务费明细!BW$3)</f>
        <v>0</v>
      </c>
    </row>
    <row r="58" spans="2:75">
      <c r="B58" s="89" t="s">
        <v>183</v>
      </c>
      <c r="C58" s="89" t="str">
        <f>INDEX(二三级标准!$C:$C,MATCH(服务费明细!$B58,二三级标准!$B:$B,0))</f>
        <v>中心安全性报告管理</v>
      </c>
      <c r="D58" s="166">
        <f>IF($D$46=1,1,0)</f>
        <v>1</v>
      </c>
      <c r="E58" s="166">
        <f>IF($D58=1,ROUNDUP(入组试验参与者数*SAE发生率,0),0)</f>
        <v>9</v>
      </c>
      <c r="F58" s="89" t="str">
        <f>INDEX(二三级标准!$G:$G,MATCH(服务费明细!$B58,二三级标准!$B:$B,0))</f>
        <v>个</v>
      </c>
      <c r="G58" s="166">
        <f t="shared" si="124"/>
        <v>36</v>
      </c>
      <c r="H58" s="166">
        <f t="shared" si="125"/>
        <v>0</v>
      </c>
      <c r="I58" s="166">
        <f t="shared" si="126"/>
        <v>9</v>
      </c>
      <c r="J58" s="166">
        <f t="shared" si="127"/>
        <v>0</v>
      </c>
      <c r="K58" s="166">
        <f t="shared" si="128"/>
        <v>0</v>
      </c>
      <c r="L58" s="166">
        <f t="shared" si="129"/>
        <v>0</v>
      </c>
      <c r="M58" s="166">
        <f t="shared" si="130"/>
        <v>0</v>
      </c>
      <c r="N58" s="166">
        <f t="shared" si="131"/>
        <v>0</v>
      </c>
      <c r="O58" s="166">
        <f t="shared" si="132"/>
        <v>0</v>
      </c>
      <c r="P58" s="166">
        <f t="shared" si="133"/>
        <v>0</v>
      </c>
      <c r="Q58" s="166">
        <f t="shared" si="134"/>
        <v>0</v>
      </c>
      <c r="R58" s="166">
        <f t="shared" si="135"/>
        <v>0</v>
      </c>
      <c r="S58" s="166">
        <f t="shared" si="136"/>
        <v>0</v>
      </c>
      <c r="T58" s="166">
        <f t="shared" si="137"/>
        <v>0</v>
      </c>
      <c r="U58" s="166">
        <f t="shared" si="138"/>
        <v>0</v>
      </c>
      <c r="V58" s="166">
        <f t="shared" si="139"/>
        <v>0</v>
      </c>
      <c r="W58" s="166">
        <f t="shared" si="140"/>
        <v>0</v>
      </c>
      <c r="X58" s="166">
        <f t="shared" si="141"/>
        <v>0</v>
      </c>
      <c r="Y58" s="166">
        <f t="shared" si="142"/>
        <v>0</v>
      </c>
      <c r="Z58" s="166">
        <f t="shared" si="143"/>
        <v>0</v>
      </c>
      <c r="AA58" s="166">
        <f t="shared" si="144"/>
        <v>0</v>
      </c>
      <c r="AB58" s="166">
        <f t="shared" si="145"/>
        <v>0</v>
      </c>
      <c r="AC58" s="166" cm="1">
        <f t="array" ref="AC58">SUMPRODUCT(G58:AB58,$G$4:$AB$4)</f>
        <v>18090</v>
      </c>
      <c r="AD58" s="89" t="b">
        <f t="shared" si="146"/>
        <v>1</v>
      </c>
      <c r="AE58" s="386">
        <f>IFERROR(SUMIF(服务费底表!$K:$K,服务费明细!$B58,服务费底表!$AD:$AD)/E58,0)</f>
        <v>2010</v>
      </c>
      <c r="AF58" s="386">
        <f t="shared" si="147"/>
        <v>18090</v>
      </c>
      <c r="AG58" s="386">
        <f>IFERROR(SUMIF(服务费底表!$K:$K,服务费明细!$B58,服务费底表!$AG:$AG)/E58,0)</f>
        <v>2010</v>
      </c>
      <c r="AH58" s="386">
        <f t="shared" si="148"/>
        <v>18090</v>
      </c>
      <c r="AI58" s="409" t="s">
        <v>1011</v>
      </c>
      <c r="AJ58" s="563">
        <f t="shared" si="149"/>
        <v>5</v>
      </c>
      <c r="AK58" s="564">
        <f>SUMIF(服务费底表!$K:$K,服务费明细!$B58,服务费底表!$AC:$AC)</f>
        <v>45</v>
      </c>
      <c r="AL58" s="166">
        <f>SUMIFS(服务费底表!$AC:$AC,服务费底表!$K:$K,服务费明细!$B58,服务费底表!$T:$T,AL$3)</f>
        <v>36</v>
      </c>
      <c r="AM58" s="166">
        <f>SUMIFS(服务费底表!$AC:$AC,服务费底表!$K:$K,服务费明细!$B58,服务费底表!$T:$T,AM$3)</f>
        <v>0</v>
      </c>
      <c r="AN58" s="166">
        <f>SUMIFS(服务费底表!$AC:$AC,服务费底表!$K:$K,服务费明细!$B58,服务费底表!$T:$T,AN$3)</f>
        <v>9</v>
      </c>
      <c r="AO58" s="166">
        <f>SUMIFS(服务费底表!$AC:$AC,服务费底表!$K:$K,服务费明细!$B58,服务费底表!$T:$T,AO$3)</f>
        <v>0</v>
      </c>
      <c r="AP58" s="166">
        <f>SUMIFS(服务费底表!$AC:$AC,服务费底表!$K:$K,服务费明细!$B58,服务费底表!$T:$T,AP$3)</f>
        <v>0</v>
      </c>
      <c r="AQ58" s="166">
        <f>SUMIFS(服务费底表!$AC:$AC,服务费底表!$K:$K,服务费明细!$B58,服务费底表!$T:$T,AQ$3)</f>
        <v>0</v>
      </c>
      <c r="AR58" s="166">
        <f>SUMIFS(服务费底表!$AC:$AC,服务费底表!$K:$K,服务费明细!$B58,服务费底表!$T:$T,AR$3)</f>
        <v>0</v>
      </c>
      <c r="AS58" s="166">
        <f>SUMIFS(服务费底表!$AC:$AC,服务费底表!$K:$K,服务费明细!$B58,服务费底表!$T:$T,AS$3)</f>
        <v>0</v>
      </c>
      <c r="AT58" s="166">
        <f>SUMIFS(服务费底表!$AC:$AC,服务费底表!$K:$K,服务费明细!$B58,服务费底表!$T:$T,AT$3)</f>
        <v>0</v>
      </c>
      <c r="AU58" s="166">
        <f>SUMIFS(服务费底表!$AC:$AC,服务费底表!$K:$K,服务费明细!$B58,服务费底表!$T:$T,AU$3)</f>
        <v>0</v>
      </c>
      <c r="AV58" s="166">
        <f>SUMIFS(服务费底表!$AC:$AC,服务费底表!$K:$K,服务费明细!$B58,服务费底表!$T:$T,AV$3)</f>
        <v>0</v>
      </c>
      <c r="AW58" s="166">
        <f>SUMIFS(服务费底表!$AC:$AC,服务费底表!$K:$K,服务费明细!$B58,服务费底表!$T:$T,AW$3)</f>
        <v>0</v>
      </c>
      <c r="AX58" s="166">
        <f>SUMIFS(服务费底表!$AC:$AC,服务费底表!$K:$K,服务费明细!$B58,服务费底表!$T:$T,AX$3)</f>
        <v>0</v>
      </c>
      <c r="AY58" s="166">
        <f>SUMIFS(服务费底表!$AC:$AC,服务费底表!$K:$K,服务费明细!$B58,服务费底表!$T:$T,AY$3)</f>
        <v>0</v>
      </c>
      <c r="AZ58" s="166">
        <f>SUMIFS(服务费底表!$AC:$AC,服务费底表!$K:$K,服务费明细!$B58,服务费底表!$T:$T,AZ$3)</f>
        <v>0</v>
      </c>
      <c r="BA58" s="166">
        <f>SUMIFS(服务费底表!$AC:$AC,服务费底表!$K:$K,服务费明细!$B58,服务费底表!$T:$T,BA$3)</f>
        <v>0</v>
      </c>
      <c r="BB58" s="166">
        <f>SUMIFS(服务费底表!$AC:$AC,服务费底表!$K:$K,服务费明细!$B58,服务费底表!$T:$T,BB$3)</f>
        <v>0</v>
      </c>
      <c r="BC58" s="166">
        <f>SUMIFS(服务费底表!$AC:$AC,服务费底表!$K:$K,服务费明细!$B58,服务费底表!$T:$T,BC$3)</f>
        <v>0</v>
      </c>
      <c r="BD58" s="166">
        <f>SUMIFS(服务费底表!$AC:$AC,服务费底表!$K:$K,服务费明细!$B58,服务费底表!$T:$T,BD$3)</f>
        <v>0</v>
      </c>
      <c r="BE58" s="166">
        <f>SUMIFS(服务费底表!$AC:$AC,服务费底表!$K:$K,服务费明细!$B58,服务费底表!$T:$T,BE$3)</f>
        <v>0</v>
      </c>
      <c r="BF58" s="166">
        <f>SUMIFS(服务费底表!$AC:$AC,服务费底表!$K:$K,服务费明细!$B58,服务费底表!$T:$T,BF$3)</f>
        <v>0</v>
      </c>
      <c r="BG58" s="166">
        <f>SUMIFS(服务费底表!$AC:$AC,服务费底表!$K:$K,服务费明细!$B58,服务费底表!$T:$T,BG$3)</f>
        <v>0</v>
      </c>
      <c r="BI58" s="388">
        <f>SUMIFS(服务费底表!$AC:$AC,服务费底表!$K:$K,服务费明细!$B58,服务费底表!$H:$H,服务费明细!BI$3)</f>
        <v>0</v>
      </c>
      <c r="BJ58" s="388">
        <f>SUMIFS(服务费底表!$AC:$AC,服务费底表!$K:$K,服务费明细!$B58,服务费底表!$H:$H,服务费明细!BJ$3)</f>
        <v>45</v>
      </c>
      <c r="BK58" s="388">
        <f>SUMIFS(服务费底表!$AC:$AC,服务费底表!$K:$K,服务费明细!$B58,服务费底表!$H:$H,服务费明细!BK$3)</f>
        <v>0</v>
      </c>
      <c r="BL58" s="388">
        <f>SUMIFS(服务费底表!$AC:$AC,服务费底表!$K:$K,服务费明细!$B58,服务费底表!$H:$H,服务费明细!BL$3)</f>
        <v>0</v>
      </c>
      <c r="BM58" s="388">
        <f>SUMIFS(服务费底表!$AC:$AC,服务费底表!$K:$K,服务费明细!$B58,服务费底表!$H:$H,服务费明细!BM$3)</f>
        <v>0</v>
      </c>
      <c r="BN58" s="388">
        <f>SUMIFS(服务费底表!$AC:$AC,服务费底表!$K:$K,服务费明细!$B58,服务费底表!$H:$H,服务费明细!BN$3)</f>
        <v>0</v>
      </c>
      <c r="BO58" s="388">
        <f>SUMIFS(服务费底表!$AC:$AC,服务费底表!$K:$K,服务费明细!$B58,服务费底表!$H:$H,服务费明细!BO$3)</f>
        <v>0</v>
      </c>
      <c r="BQ58" s="389">
        <f>SUMIFS(服务费底表!$AD:$AD,服务费底表!$K:$K,服务费明细!$B58,服务费底表!$H:$H,服务费明细!BQ$3)</f>
        <v>0</v>
      </c>
      <c r="BR58" s="389">
        <f>SUMIFS(服务费底表!$AD:$AD,服务费底表!$K:$K,服务费明细!$B58,服务费底表!$H:$H,服务费明细!BR$3)</f>
        <v>18090</v>
      </c>
      <c r="BS58" s="389">
        <f>SUMIFS(服务费底表!$AD:$AD,服务费底表!$K:$K,服务费明细!$B58,服务费底表!$H:$H,服务费明细!BS$3)</f>
        <v>0</v>
      </c>
      <c r="BT58" s="389">
        <f>SUMIFS(服务费底表!$AD:$AD,服务费底表!$K:$K,服务费明细!$B58,服务费底表!$H:$H,服务费明细!BT$3)</f>
        <v>0</v>
      </c>
      <c r="BU58" s="389">
        <f>SUMIFS(服务费底表!$AD:$AD,服务费底表!$K:$K,服务费明细!$B58,服务费底表!$H:$H,服务费明细!BU$3)</f>
        <v>0</v>
      </c>
      <c r="BV58" s="389">
        <f>SUMIFS(服务费底表!$AD:$AD,服务费底表!$K:$K,服务费明细!$B58,服务费底表!$H:$H,服务费明细!BV$3)</f>
        <v>0</v>
      </c>
      <c r="BW58" s="389">
        <f>SUMIFS(服务费底表!$AD:$AD,服务费底表!$K:$K,服务费明细!$B58,服务费底表!$H:$H,服务费明细!BW$3)</f>
        <v>0</v>
      </c>
    </row>
    <row r="59" ht="24.6" customHeight="1" spans="2:75">
      <c r="B59" s="89" t="s">
        <v>185</v>
      </c>
      <c r="C59" s="89" t="str">
        <f>INDEX(二三级标准!$C:$C,MATCH(服务费明细!$B59,二三级标准!$B:$B,0))</f>
        <v>中心费用支付支持</v>
      </c>
      <c r="D59" s="166">
        <f>IF($D$46=1,1,0)</f>
        <v>1</v>
      </c>
      <c r="E59" s="166" cm="1">
        <f t="array" ref="E59">IF($D59=1,IF(试验参与者类型="健康人",3,4)*启动中心数,0)</f>
        <v>16</v>
      </c>
      <c r="F59" s="89" t="str">
        <f>INDEX(二三级标准!$G:$G,MATCH(服务费明细!$B59,二三级标准!$B:$B,0))</f>
        <v>次</v>
      </c>
      <c r="G59" s="166">
        <f t="shared" si="124"/>
        <v>32</v>
      </c>
      <c r="H59" s="166">
        <f t="shared" si="125"/>
        <v>32</v>
      </c>
      <c r="I59" s="166">
        <f t="shared" si="126"/>
        <v>16</v>
      </c>
      <c r="J59" s="166">
        <f t="shared" si="127"/>
        <v>0</v>
      </c>
      <c r="K59" s="166">
        <f t="shared" si="128"/>
        <v>0</v>
      </c>
      <c r="L59" s="166">
        <f t="shared" si="129"/>
        <v>0</v>
      </c>
      <c r="M59" s="166">
        <f t="shared" si="130"/>
        <v>0</v>
      </c>
      <c r="N59" s="166">
        <f t="shared" si="131"/>
        <v>0</v>
      </c>
      <c r="O59" s="166">
        <f t="shared" si="132"/>
        <v>0</v>
      </c>
      <c r="P59" s="166">
        <f t="shared" si="133"/>
        <v>0</v>
      </c>
      <c r="Q59" s="166">
        <f t="shared" si="134"/>
        <v>0</v>
      </c>
      <c r="R59" s="166">
        <f t="shared" si="135"/>
        <v>0</v>
      </c>
      <c r="S59" s="166">
        <f t="shared" si="136"/>
        <v>0</v>
      </c>
      <c r="T59" s="166">
        <f t="shared" si="137"/>
        <v>0</v>
      </c>
      <c r="U59" s="166">
        <f t="shared" si="138"/>
        <v>0</v>
      </c>
      <c r="V59" s="166">
        <f t="shared" si="139"/>
        <v>0</v>
      </c>
      <c r="W59" s="166">
        <f t="shared" si="140"/>
        <v>0</v>
      </c>
      <c r="X59" s="166">
        <f t="shared" si="141"/>
        <v>0</v>
      </c>
      <c r="Y59" s="166">
        <f t="shared" si="142"/>
        <v>0</v>
      </c>
      <c r="Z59" s="166">
        <f t="shared" si="143"/>
        <v>0</v>
      </c>
      <c r="AA59" s="166">
        <f t="shared" si="144"/>
        <v>0</v>
      </c>
      <c r="AB59" s="166">
        <f t="shared" si="145"/>
        <v>0</v>
      </c>
      <c r="AC59" s="166" cm="1">
        <f t="array" ref="AC59">SUMPRODUCT(G59:AB59,$G$4:$AB$4)</f>
        <v>28320</v>
      </c>
      <c r="AD59" s="89" t="b">
        <f t="shared" si="146"/>
        <v>1</v>
      </c>
      <c r="AE59" s="386">
        <f>IFERROR(SUMIF(服务费底表!$K:$K,服务费明细!$B59,服务费底表!$AD:$AD)/E59,0)</f>
        <v>1770</v>
      </c>
      <c r="AF59" s="386">
        <f t="shared" si="147"/>
        <v>28320</v>
      </c>
      <c r="AG59" s="386">
        <f>IFERROR(SUMIF(服务费底表!$K:$K,服务费明细!$B59,服务费底表!$AG:$AG)/E59,0)</f>
        <v>1770</v>
      </c>
      <c r="AH59" s="386">
        <f t="shared" si="148"/>
        <v>28320</v>
      </c>
      <c r="AI59" s="576" t="str">
        <f>"有临将根据签署的研究者合同，负责管理"&amp;启动中心数&amp;"家研究中心的费用。"</f>
        <v>有临将根据签署的研究者合同，负责管理4家研究中心的费用。</v>
      </c>
      <c r="AJ59" s="563">
        <f t="shared" si="149"/>
        <v>5</v>
      </c>
      <c r="AK59" s="564">
        <f>SUMIF(服务费底表!$K:$K,服务费明细!$B59,服务费底表!$AC:$AC)</f>
        <v>80</v>
      </c>
      <c r="AL59" s="166">
        <f>SUMIFS(服务费底表!$AC:$AC,服务费底表!$K:$K,服务费明细!$B59,服务费底表!$T:$T,AL$3)</f>
        <v>32</v>
      </c>
      <c r="AM59" s="166">
        <f>SUMIFS(服务费底表!$AC:$AC,服务费底表!$K:$K,服务费明细!$B59,服务费底表!$T:$T,AM$3)</f>
        <v>32</v>
      </c>
      <c r="AN59" s="166">
        <f>SUMIFS(服务费底表!$AC:$AC,服务费底表!$K:$K,服务费明细!$B59,服务费底表!$T:$T,AN$3)</f>
        <v>16</v>
      </c>
      <c r="AO59" s="166">
        <f>SUMIFS(服务费底表!$AC:$AC,服务费底表!$K:$K,服务费明细!$B59,服务费底表!$T:$T,AO$3)</f>
        <v>0</v>
      </c>
      <c r="AP59" s="166">
        <f>SUMIFS(服务费底表!$AC:$AC,服务费底表!$K:$K,服务费明细!$B59,服务费底表!$T:$T,AP$3)</f>
        <v>0</v>
      </c>
      <c r="AQ59" s="166">
        <f>SUMIFS(服务费底表!$AC:$AC,服务费底表!$K:$K,服务费明细!$B59,服务费底表!$T:$T,AQ$3)</f>
        <v>0</v>
      </c>
      <c r="AR59" s="166">
        <f>SUMIFS(服务费底表!$AC:$AC,服务费底表!$K:$K,服务费明细!$B59,服务费底表!$T:$T,AR$3)</f>
        <v>0</v>
      </c>
      <c r="AS59" s="166">
        <f>SUMIFS(服务费底表!$AC:$AC,服务费底表!$K:$K,服务费明细!$B59,服务费底表!$T:$T,AS$3)</f>
        <v>0</v>
      </c>
      <c r="AT59" s="166">
        <f>SUMIFS(服务费底表!$AC:$AC,服务费底表!$K:$K,服务费明细!$B59,服务费底表!$T:$T,AT$3)</f>
        <v>0</v>
      </c>
      <c r="AU59" s="166">
        <f>SUMIFS(服务费底表!$AC:$AC,服务费底表!$K:$K,服务费明细!$B59,服务费底表!$T:$T,AU$3)</f>
        <v>0</v>
      </c>
      <c r="AV59" s="166">
        <f>SUMIFS(服务费底表!$AC:$AC,服务费底表!$K:$K,服务费明细!$B59,服务费底表!$T:$T,AV$3)</f>
        <v>0</v>
      </c>
      <c r="AW59" s="166">
        <f>SUMIFS(服务费底表!$AC:$AC,服务费底表!$K:$K,服务费明细!$B59,服务费底表!$T:$T,AW$3)</f>
        <v>0</v>
      </c>
      <c r="AX59" s="166">
        <f>SUMIFS(服务费底表!$AC:$AC,服务费底表!$K:$K,服务费明细!$B59,服务费底表!$T:$T,AX$3)</f>
        <v>0</v>
      </c>
      <c r="AY59" s="166">
        <f>SUMIFS(服务费底表!$AC:$AC,服务费底表!$K:$K,服务费明细!$B59,服务费底表!$T:$T,AY$3)</f>
        <v>0</v>
      </c>
      <c r="AZ59" s="166">
        <f>SUMIFS(服务费底表!$AC:$AC,服务费底表!$K:$K,服务费明细!$B59,服务费底表!$T:$T,AZ$3)</f>
        <v>0</v>
      </c>
      <c r="BA59" s="166">
        <f>SUMIFS(服务费底表!$AC:$AC,服务费底表!$K:$K,服务费明细!$B59,服务费底表!$T:$T,BA$3)</f>
        <v>0</v>
      </c>
      <c r="BB59" s="166">
        <f>SUMIFS(服务费底表!$AC:$AC,服务费底表!$K:$K,服务费明细!$B59,服务费底表!$T:$T,BB$3)</f>
        <v>0</v>
      </c>
      <c r="BC59" s="166">
        <f>SUMIFS(服务费底表!$AC:$AC,服务费底表!$K:$K,服务费明细!$B59,服务费底表!$T:$T,BC$3)</f>
        <v>0</v>
      </c>
      <c r="BD59" s="166">
        <f>SUMIFS(服务费底表!$AC:$AC,服务费底表!$K:$K,服务费明细!$B59,服务费底表!$T:$T,BD$3)</f>
        <v>0</v>
      </c>
      <c r="BE59" s="166">
        <f>SUMIFS(服务费底表!$AC:$AC,服务费底表!$K:$K,服务费明细!$B59,服务费底表!$T:$T,BE$3)</f>
        <v>0</v>
      </c>
      <c r="BF59" s="166">
        <f>SUMIFS(服务费底表!$AC:$AC,服务费底表!$K:$K,服务费明细!$B59,服务费底表!$T:$T,BF$3)</f>
        <v>0</v>
      </c>
      <c r="BG59" s="166">
        <f>SUMIFS(服务费底表!$AC:$AC,服务费底表!$K:$K,服务费明细!$B59,服务费底表!$T:$T,BG$3)</f>
        <v>0</v>
      </c>
      <c r="BI59" s="388">
        <f>SUMIFS(服务费底表!$AC:$AC,服务费底表!$K:$K,服务费明细!$B59,服务费底表!$H:$H,服务费明细!BI$3)</f>
        <v>0</v>
      </c>
      <c r="BJ59" s="388">
        <f>SUMIFS(服务费底表!$AC:$AC,服务费底表!$K:$K,服务费明细!$B59,服务费底表!$H:$H,服务费明细!BJ$3)</f>
        <v>80</v>
      </c>
      <c r="BK59" s="388">
        <f>SUMIFS(服务费底表!$AC:$AC,服务费底表!$K:$K,服务费明细!$B59,服务费底表!$H:$H,服务费明细!BK$3)</f>
        <v>0</v>
      </c>
      <c r="BL59" s="388">
        <f>SUMIFS(服务费底表!$AC:$AC,服务费底表!$K:$K,服务费明细!$B59,服务费底表!$H:$H,服务费明细!BL$3)</f>
        <v>0</v>
      </c>
      <c r="BM59" s="388">
        <f>SUMIFS(服务费底表!$AC:$AC,服务费底表!$K:$K,服务费明细!$B59,服务费底表!$H:$H,服务费明细!BM$3)</f>
        <v>0</v>
      </c>
      <c r="BN59" s="388">
        <f>SUMIFS(服务费底表!$AC:$AC,服务费底表!$K:$K,服务费明细!$B59,服务费底表!$H:$H,服务费明细!BN$3)</f>
        <v>0</v>
      </c>
      <c r="BO59" s="388">
        <f>SUMIFS(服务费底表!$AC:$AC,服务费底表!$K:$K,服务费明细!$B59,服务费底表!$H:$H,服务费明细!BO$3)</f>
        <v>0</v>
      </c>
      <c r="BQ59" s="389">
        <f>SUMIFS(服务费底表!$AD:$AD,服务费底表!$K:$K,服务费明细!$B59,服务费底表!$H:$H,服务费明细!BQ$3)</f>
        <v>0</v>
      </c>
      <c r="BR59" s="389">
        <f>SUMIFS(服务费底表!$AD:$AD,服务费底表!$K:$K,服务费明细!$B59,服务费底表!$H:$H,服务费明细!BR$3)</f>
        <v>28320</v>
      </c>
      <c r="BS59" s="389">
        <f>SUMIFS(服务费底表!$AD:$AD,服务费底表!$K:$K,服务费明细!$B59,服务费底表!$H:$H,服务费明细!BS$3)</f>
        <v>0</v>
      </c>
      <c r="BT59" s="389">
        <f>SUMIFS(服务费底表!$AD:$AD,服务费底表!$K:$K,服务费明细!$B59,服务费底表!$H:$H,服务费明细!BT$3)</f>
        <v>0</v>
      </c>
      <c r="BU59" s="389">
        <f>SUMIFS(服务费底表!$AD:$AD,服务费底表!$K:$K,服务费明细!$B59,服务费底表!$H:$H,服务费明细!BU$3)</f>
        <v>0</v>
      </c>
      <c r="BV59" s="389">
        <f>SUMIFS(服务费底表!$AD:$AD,服务费底表!$K:$K,服务费明细!$B59,服务费底表!$H:$H,服务费明细!BV$3)</f>
        <v>0</v>
      </c>
      <c r="BW59" s="389">
        <f>SUMIFS(服务费底表!$AD:$AD,服务费底表!$K:$K,服务费明细!$B59,服务费底表!$H:$H,服务费明细!BW$3)</f>
        <v>0</v>
      </c>
    </row>
    <row r="60" spans="2:75">
      <c r="B60" s="89" t="s">
        <v>188</v>
      </c>
      <c r="C60" s="89" t="str">
        <f>INDEX(二三级标准!$C:$C,MATCH(服务费明细!$B60,二三级标准!$B:$B,0))</f>
        <v>研究简报撰写</v>
      </c>
      <c r="D60" s="166">
        <f>IF(AND($D$46=1,启动中心数&gt;1),1,0)</f>
        <v>1</v>
      </c>
      <c r="E60" s="166">
        <f>IF($D60=1,ROUND(入组月+治疗月/2,0),0)</f>
        <v>10</v>
      </c>
      <c r="F60" s="89" t="str">
        <f>INDEX(二三级标准!$G:$G,MATCH(服务费明细!$B60,二三级标准!$B:$B,0))</f>
        <v>份</v>
      </c>
      <c r="G60" s="166">
        <f t="shared" si="124"/>
        <v>20</v>
      </c>
      <c r="H60" s="166">
        <f t="shared" si="125"/>
        <v>0</v>
      </c>
      <c r="I60" s="166">
        <f t="shared" si="126"/>
        <v>40</v>
      </c>
      <c r="J60" s="166">
        <f t="shared" si="127"/>
        <v>0</v>
      </c>
      <c r="K60" s="166">
        <f t="shared" si="128"/>
        <v>0</v>
      </c>
      <c r="L60" s="166">
        <f t="shared" si="129"/>
        <v>0</v>
      </c>
      <c r="M60" s="166">
        <f t="shared" si="130"/>
        <v>0</v>
      </c>
      <c r="N60" s="166">
        <f t="shared" si="131"/>
        <v>0</v>
      </c>
      <c r="O60" s="166">
        <f t="shared" si="132"/>
        <v>0</v>
      </c>
      <c r="P60" s="166">
        <f t="shared" si="133"/>
        <v>0</v>
      </c>
      <c r="Q60" s="166">
        <f t="shared" si="134"/>
        <v>0</v>
      </c>
      <c r="R60" s="166">
        <f t="shared" si="135"/>
        <v>0</v>
      </c>
      <c r="S60" s="166">
        <f t="shared" si="136"/>
        <v>0</v>
      </c>
      <c r="T60" s="166">
        <f t="shared" si="137"/>
        <v>0</v>
      </c>
      <c r="U60" s="166">
        <f t="shared" si="138"/>
        <v>0</v>
      </c>
      <c r="V60" s="166">
        <f t="shared" si="139"/>
        <v>0</v>
      </c>
      <c r="W60" s="166">
        <f t="shared" si="140"/>
        <v>0</v>
      </c>
      <c r="X60" s="166">
        <f t="shared" si="141"/>
        <v>0</v>
      </c>
      <c r="Y60" s="166">
        <f t="shared" si="142"/>
        <v>0</v>
      </c>
      <c r="Z60" s="166">
        <f t="shared" si="143"/>
        <v>0</v>
      </c>
      <c r="AA60" s="166">
        <f t="shared" si="144"/>
        <v>0</v>
      </c>
      <c r="AB60" s="166">
        <f t="shared" si="145"/>
        <v>0</v>
      </c>
      <c r="AC60" s="166" cm="1">
        <f t="array" ref="AC60">SUMPRODUCT(G60:AB60,$G$4:$AB$4)</f>
        <v>32800</v>
      </c>
      <c r="AD60" s="89" t="b">
        <f t="shared" si="146"/>
        <v>1</v>
      </c>
      <c r="AE60" s="386">
        <f>IFERROR(SUMIF(服务费底表!$K:$K,服务费明细!$B60,服务费底表!$AD:$AD)/E60,0)</f>
        <v>3280</v>
      </c>
      <c r="AF60" s="386">
        <f t="shared" si="147"/>
        <v>32800</v>
      </c>
      <c r="AG60" s="386">
        <f>IFERROR(SUMIF(服务费底表!$K:$K,服务费明细!$B60,服务费底表!$AG:$AG)/E60,0)</f>
        <v>3280</v>
      </c>
      <c r="AH60" s="386">
        <f t="shared" si="148"/>
        <v>32800</v>
      </c>
      <c r="AI60" s="409" t="s">
        <v>1012</v>
      </c>
      <c r="AJ60" s="563">
        <f t="shared" si="149"/>
        <v>6</v>
      </c>
      <c r="AK60" s="564">
        <f>SUMIF(服务费底表!$K:$K,服务费明细!$B60,服务费底表!$AC:$AC)</f>
        <v>60</v>
      </c>
      <c r="AL60" s="166">
        <f>SUMIFS(服务费底表!$AC:$AC,服务费底表!$K:$K,服务费明细!$B60,服务费底表!$T:$T,AL$3)</f>
        <v>20</v>
      </c>
      <c r="AM60" s="166">
        <f>SUMIFS(服务费底表!$AC:$AC,服务费底表!$K:$K,服务费明细!$B60,服务费底表!$T:$T,AM$3)</f>
        <v>0</v>
      </c>
      <c r="AN60" s="166">
        <f>SUMIFS(服务费底表!$AC:$AC,服务费底表!$K:$K,服务费明细!$B60,服务费底表!$T:$T,AN$3)</f>
        <v>40</v>
      </c>
      <c r="AO60" s="166">
        <f>SUMIFS(服务费底表!$AC:$AC,服务费底表!$K:$K,服务费明细!$B60,服务费底表!$T:$T,AO$3)</f>
        <v>0</v>
      </c>
      <c r="AP60" s="166">
        <f>SUMIFS(服务费底表!$AC:$AC,服务费底表!$K:$K,服务费明细!$B60,服务费底表!$T:$T,AP$3)</f>
        <v>0</v>
      </c>
      <c r="AQ60" s="166">
        <f>SUMIFS(服务费底表!$AC:$AC,服务费底表!$K:$K,服务费明细!$B60,服务费底表!$T:$T,AQ$3)</f>
        <v>0</v>
      </c>
      <c r="AR60" s="166">
        <f>SUMIFS(服务费底表!$AC:$AC,服务费底表!$K:$K,服务费明细!$B60,服务费底表!$T:$T,AR$3)</f>
        <v>0</v>
      </c>
      <c r="AS60" s="166">
        <f>SUMIFS(服务费底表!$AC:$AC,服务费底表!$K:$K,服务费明细!$B60,服务费底表!$T:$T,AS$3)</f>
        <v>0</v>
      </c>
      <c r="AT60" s="166">
        <f>SUMIFS(服务费底表!$AC:$AC,服务费底表!$K:$K,服务费明细!$B60,服务费底表!$T:$T,AT$3)</f>
        <v>0</v>
      </c>
      <c r="AU60" s="166">
        <f>SUMIFS(服务费底表!$AC:$AC,服务费底表!$K:$K,服务费明细!$B60,服务费底表!$T:$T,AU$3)</f>
        <v>0</v>
      </c>
      <c r="AV60" s="166">
        <f>SUMIFS(服务费底表!$AC:$AC,服务费底表!$K:$K,服务费明细!$B60,服务费底表!$T:$T,AV$3)</f>
        <v>0</v>
      </c>
      <c r="AW60" s="166">
        <f>SUMIFS(服务费底表!$AC:$AC,服务费底表!$K:$K,服务费明细!$B60,服务费底表!$T:$T,AW$3)</f>
        <v>0</v>
      </c>
      <c r="AX60" s="166">
        <f>SUMIFS(服务费底表!$AC:$AC,服务费底表!$K:$K,服务费明细!$B60,服务费底表!$T:$T,AX$3)</f>
        <v>0</v>
      </c>
      <c r="AY60" s="166">
        <f>SUMIFS(服务费底表!$AC:$AC,服务费底表!$K:$K,服务费明细!$B60,服务费底表!$T:$T,AY$3)</f>
        <v>0</v>
      </c>
      <c r="AZ60" s="166">
        <f>SUMIFS(服务费底表!$AC:$AC,服务费底表!$K:$K,服务费明细!$B60,服务费底表!$T:$T,AZ$3)</f>
        <v>0</v>
      </c>
      <c r="BA60" s="166">
        <f>SUMIFS(服务费底表!$AC:$AC,服务费底表!$K:$K,服务费明细!$B60,服务费底表!$T:$T,BA$3)</f>
        <v>0</v>
      </c>
      <c r="BB60" s="166">
        <f>SUMIFS(服务费底表!$AC:$AC,服务费底表!$K:$K,服务费明细!$B60,服务费底表!$T:$T,BB$3)</f>
        <v>0</v>
      </c>
      <c r="BC60" s="166">
        <f>SUMIFS(服务费底表!$AC:$AC,服务费底表!$K:$K,服务费明细!$B60,服务费底表!$T:$T,BC$3)</f>
        <v>0</v>
      </c>
      <c r="BD60" s="166">
        <f>SUMIFS(服务费底表!$AC:$AC,服务费底表!$K:$K,服务费明细!$B60,服务费底表!$T:$T,BD$3)</f>
        <v>0</v>
      </c>
      <c r="BE60" s="166">
        <f>SUMIFS(服务费底表!$AC:$AC,服务费底表!$K:$K,服务费明细!$B60,服务费底表!$T:$T,BE$3)</f>
        <v>0</v>
      </c>
      <c r="BF60" s="166">
        <f>SUMIFS(服务费底表!$AC:$AC,服务费底表!$K:$K,服务费明细!$B60,服务费底表!$T:$T,BF$3)</f>
        <v>0</v>
      </c>
      <c r="BG60" s="166">
        <f>SUMIFS(服务费底表!$AC:$AC,服务费底表!$K:$K,服务费明细!$B60,服务费底表!$T:$T,BG$3)</f>
        <v>0</v>
      </c>
      <c r="BI60" s="388">
        <f>SUMIFS(服务费底表!$AC:$AC,服务费底表!$K:$K,服务费明细!$B60,服务费底表!$H:$H,服务费明细!BI$3)</f>
        <v>0</v>
      </c>
      <c r="BJ60" s="388">
        <f>SUMIFS(服务费底表!$AC:$AC,服务费底表!$K:$K,服务费明细!$B60,服务费底表!$H:$H,服务费明细!BJ$3)</f>
        <v>60</v>
      </c>
      <c r="BK60" s="388">
        <f>SUMIFS(服务费底表!$AC:$AC,服务费底表!$K:$K,服务费明细!$B60,服务费底表!$H:$H,服务费明细!BK$3)</f>
        <v>0</v>
      </c>
      <c r="BL60" s="388">
        <f>SUMIFS(服务费底表!$AC:$AC,服务费底表!$K:$K,服务费明细!$B60,服务费底表!$H:$H,服务费明细!BL$3)</f>
        <v>0</v>
      </c>
      <c r="BM60" s="388">
        <f>SUMIFS(服务费底表!$AC:$AC,服务费底表!$K:$K,服务费明细!$B60,服务费底表!$H:$H,服务费明细!BM$3)</f>
        <v>0</v>
      </c>
      <c r="BN60" s="388">
        <f>SUMIFS(服务费底表!$AC:$AC,服务费底表!$K:$K,服务费明细!$B60,服务费底表!$H:$H,服务费明细!BN$3)</f>
        <v>0</v>
      </c>
      <c r="BO60" s="388">
        <f>SUMIFS(服务费底表!$AC:$AC,服务费底表!$K:$K,服务费明细!$B60,服务费底表!$H:$H,服务费明细!BO$3)</f>
        <v>0</v>
      </c>
      <c r="BQ60" s="389">
        <f>SUMIFS(服务费底表!$AD:$AD,服务费底表!$K:$K,服务费明细!$B60,服务费底表!$H:$H,服务费明细!BQ$3)</f>
        <v>0</v>
      </c>
      <c r="BR60" s="389">
        <f>SUMIFS(服务费底表!$AD:$AD,服务费底表!$K:$K,服务费明细!$B60,服务费底表!$H:$H,服务费明细!BR$3)</f>
        <v>32800</v>
      </c>
      <c r="BS60" s="389">
        <f>SUMIFS(服务费底表!$AD:$AD,服务费底表!$K:$K,服务费明细!$B60,服务费底表!$H:$H,服务费明细!BS$3)</f>
        <v>0</v>
      </c>
      <c r="BT60" s="389">
        <f>SUMIFS(服务费底表!$AD:$AD,服务费底表!$K:$K,服务费明细!$B60,服务费底表!$H:$H,服务费明细!BT$3)</f>
        <v>0</v>
      </c>
      <c r="BU60" s="389">
        <f>SUMIFS(服务费底表!$AD:$AD,服务费底表!$K:$K,服务费明细!$B60,服务费底表!$H:$H,服务费明细!BU$3)</f>
        <v>0</v>
      </c>
      <c r="BV60" s="389">
        <f>SUMIFS(服务费底表!$AD:$AD,服务费底表!$K:$K,服务费明细!$B60,服务费底表!$H:$H,服务费明细!BV$3)</f>
        <v>0</v>
      </c>
      <c r="BW60" s="389">
        <f>SUMIFS(服务费底表!$AD:$AD,服务费底表!$K:$K,服务费明细!$B60,服务费底表!$H:$H,服务费明细!BW$3)</f>
        <v>0</v>
      </c>
    </row>
    <row r="61" spans="2:75">
      <c r="B61" s="89" t="s">
        <v>190</v>
      </c>
      <c r="C61" s="89" t="str">
        <f>INDEX(二三级标准!$C:$C,MATCH(服务费明细!$B61,二三级标准!$B:$B,0))</f>
        <v>研究药品申请管理</v>
      </c>
      <c r="D61" s="166">
        <f>IF($D$46=1,1,0)</f>
        <v>1</v>
      </c>
      <c r="E61" s="166">
        <f>IF($D61=1,ROUND((中心激活月-(随访月+长随访月)*启动中心数)/2,0),0)</f>
        <v>28</v>
      </c>
      <c r="F61" s="89" t="str">
        <f>INDEX(二三级标准!$G:$G,MATCH(服务费明细!$B61,二三级标准!$B:$B,0))</f>
        <v>次</v>
      </c>
      <c r="G61" s="166">
        <f t="shared" si="124"/>
        <v>28</v>
      </c>
      <c r="H61" s="166">
        <f t="shared" si="125"/>
        <v>0</v>
      </c>
      <c r="I61" s="166">
        <f t="shared" si="126"/>
        <v>14</v>
      </c>
      <c r="J61" s="166">
        <f t="shared" si="127"/>
        <v>0</v>
      </c>
      <c r="K61" s="166">
        <f t="shared" si="128"/>
        <v>0</v>
      </c>
      <c r="L61" s="166">
        <f t="shared" si="129"/>
        <v>0</v>
      </c>
      <c r="M61" s="166">
        <f t="shared" si="130"/>
        <v>0</v>
      </c>
      <c r="N61" s="166">
        <f t="shared" si="131"/>
        <v>0</v>
      </c>
      <c r="O61" s="166">
        <f t="shared" si="132"/>
        <v>0</v>
      </c>
      <c r="P61" s="166">
        <f t="shared" si="133"/>
        <v>0</v>
      </c>
      <c r="Q61" s="166">
        <f t="shared" si="134"/>
        <v>0</v>
      </c>
      <c r="R61" s="166">
        <f t="shared" si="135"/>
        <v>0</v>
      </c>
      <c r="S61" s="166">
        <f t="shared" si="136"/>
        <v>0</v>
      </c>
      <c r="T61" s="166">
        <f t="shared" si="137"/>
        <v>0</v>
      </c>
      <c r="U61" s="166">
        <f t="shared" si="138"/>
        <v>0</v>
      </c>
      <c r="V61" s="166">
        <f t="shared" si="139"/>
        <v>0</v>
      </c>
      <c r="W61" s="166">
        <f t="shared" si="140"/>
        <v>0</v>
      </c>
      <c r="X61" s="166">
        <f t="shared" si="141"/>
        <v>0</v>
      </c>
      <c r="Y61" s="166">
        <f t="shared" si="142"/>
        <v>0</v>
      </c>
      <c r="Z61" s="166">
        <f t="shared" si="143"/>
        <v>0</v>
      </c>
      <c r="AA61" s="166">
        <f t="shared" si="144"/>
        <v>0</v>
      </c>
      <c r="AB61" s="166">
        <f t="shared" si="145"/>
        <v>0</v>
      </c>
      <c r="AC61" s="166" cm="1">
        <f t="array" ref="AC61">SUMPRODUCT(G61:AB61,$G$4:$AB$4)</f>
        <v>18620</v>
      </c>
      <c r="AD61" s="89" t="b">
        <f t="shared" si="146"/>
        <v>1</v>
      </c>
      <c r="AE61" s="386">
        <f>IFERROR(SUMIF(服务费底表!$K:$K,服务费明细!$B61,服务费底表!$AD:$AD)/E61,0)</f>
        <v>665</v>
      </c>
      <c r="AF61" s="386">
        <f t="shared" si="147"/>
        <v>18620</v>
      </c>
      <c r="AG61" s="386">
        <f>IFERROR(SUMIF(服务费底表!$K:$K,服务费明细!$B61,服务费底表!$AG:$AG)/E61,0)</f>
        <v>665</v>
      </c>
      <c r="AH61" s="386">
        <f t="shared" si="148"/>
        <v>18620</v>
      </c>
      <c r="AI61" s="409" t="s">
        <v>1013</v>
      </c>
      <c r="AJ61" s="563">
        <f t="shared" si="149"/>
        <v>1.5</v>
      </c>
      <c r="AK61" s="564">
        <f>SUMIF(服务费底表!$K:$K,服务费明细!$B61,服务费底表!$AC:$AC)</f>
        <v>42</v>
      </c>
      <c r="AL61" s="166">
        <f>SUMIFS(服务费底表!$AC:$AC,服务费底表!$K:$K,服务费明细!$B61,服务费底表!$T:$T,AL$3)</f>
        <v>28</v>
      </c>
      <c r="AM61" s="166">
        <f>SUMIFS(服务费底表!$AC:$AC,服务费底表!$K:$K,服务费明细!$B61,服务费底表!$T:$T,AM$3)</f>
        <v>0</v>
      </c>
      <c r="AN61" s="166">
        <f>SUMIFS(服务费底表!$AC:$AC,服务费底表!$K:$K,服务费明细!$B61,服务费底表!$T:$T,AN$3)</f>
        <v>14</v>
      </c>
      <c r="AO61" s="166">
        <f>SUMIFS(服务费底表!$AC:$AC,服务费底表!$K:$K,服务费明细!$B61,服务费底表!$T:$T,AO$3)</f>
        <v>0</v>
      </c>
      <c r="AP61" s="166">
        <f>SUMIFS(服务费底表!$AC:$AC,服务费底表!$K:$K,服务费明细!$B61,服务费底表!$T:$T,AP$3)</f>
        <v>0</v>
      </c>
      <c r="AQ61" s="166">
        <f>SUMIFS(服务费底表!$AC:$AC,服务费底表!$K:$K,服务费明细!$B61,服务费底表!$T:$T,AQ$3)</f>
        <v>0</v>
      </c>
      <c r="AR61" s="166">
        <f>SUMIFS(服务费底表!$AC:$AC,服务费底表!$K:$K,服务费明细!$B61,服务费底表!$T:$T,AR$3)</f>
        <v>0</v>
      </c>
      <c r="AS61" s="166">
        <f>SUMIFS(服务费底表!$AC:$AC,服务费底表!$K:$K,服务费明细!$B61,服务费底表!$T:$T,AS$3)</f>
        <v>0</v>
      </c>
      <c r="AT61" s="166">
        <f>SUMIFS(服务费底表!$AC:$AC,服务费底表!$K:$K,服务费明细!$B61,服务费底表!$T:$T,AT$3)</f>
        <v>0</v>
      </c>
      <c r="AU61" s="166">
        <f>SUMIFS(服务费底表!$AC:$AC,服务费底表!$K:$K,服务费明细!$B61,服务费底表!$T:$T,AU$3)</f>
        <v>0</v>
      </c>
      <c r="AV61" s="166">
        <f>SUMIFS(服务费底表!$AC:$AC,服务费底表!$K:$K,服务费明细!$B61,服务费底表!$T:$T,AV$3)</f>
        <v>0</v>
      </c>
      <c r="AW61" s="166">
        <f>SUMIFS(服务费底表!$AC:$AC,服务费底表!$K:$K,服务费明细!$B61,服务费底表!$T:$T,AW$3)</f>
        <v>0</v>
      </c>
      <c r="AX61" s="166">
        <f>SUMIFS(服务费底表!$AC:$AC,服务费底表!$K:$K,服务费明细!$B61,服务费底表!$T:$T,AX$3)</f>
        <v>0</v>
      </c>
      <c r="AY61" s="166">
        <f>SUMIFS(服务费底表!$AC:$AC,服务费底表!$K:$K,服务费明细!$B61,服务费底表!$T:$T,AY$3)</f>
        <v>0</v>
      </c>
      <c r="AZ61" s="166">
        <f>SUMIFS(服务费底表!$AC:$AC,服务费底表!$K:$K,服务费明细!$B61,服务费底表!$T:$T,AZ$3)</f>
        <v>0</v>
      </c>
      <c r="BA61" s="166">
        <f>SUMIFS(服务费底表!$AC:$AC,服务费底表!$K:$K,服务费明细!$B61,服务费底表!$T:$T,BA$3)</f>
        <v>0</v>
      </c>
      <c r="BB61" s="166">
        <f>SUMIFS(服务费底表!$AC:$AC,服务费底表!$K:$K,服务费明细!$B61,服务费底表!$T:$T,BB$3)</f>
        <v>0</v>
      </c>
      <c r="BC61" s="166">
        <f>SUMIFS(服务费底表!$AC:$AC,服务费底表!$K:$K,服务费明细!$B61,服务费底表!$T:$T,BC$3)</f>
        <v>0</v>
      </c>
      <c r="BD61" s="166">
        <f>SUMIFS(服务费底表!$AC:$AC,服务费底表!$K:$K,服务费明细!$B61,服务费底表!$T:$T,BD$3)</f>
        <v>0</v>
      </c>
      <c r="BE61" s="166">
        <f>SUMIFS(服务费底表!$AC:$AC,服务费底表!$K:$K,服务费明细!$B61,服务费底表!$T:$T,BE$3)</f>
        <v>0</v>
      </c>
      <c r="BF61" s="166">
        <f>SUMIFS(服务费底表!$AC:$AC,服务费底表!$K:$K,服务费明细!$B61,服务费底表!$T:$T,BF$3)</f>
        <v>0</v>
      </c>
      <c r="BG61" s="166">
        <f>SUMIFS(服务费底表!$AC:$AC,服务费底表!$K:$K,服务费明细!$B61,服务费底表!$T:$T,BG$3)</f>
        <v>0</v>
      </c>
      <c r="BI61" s="388">
        <f>SUMIFS(服务费底表!$AC:$AC,服务费底表!$K:$K,服务费明细!$B61,服务费底表!$H:$H,服务费明细!BI$3)</f>
        <v>0</v>
      </c>
      <c r="BJ61" s="388">
        <f>SUMIFS(服务费底表!$AC:$AC,服务费底表!$K:$K,服务费明细!$B61,服务费底表!$H:$H,服务费明细!BJ$3)</f>
        <v>42</v>
      </c>
      <c r="BK61" s="388">
        <f>SUMIFS(服务费底表!$AC:$AC,服务费底表!$K:$K,服务费明细!$B61,服务费底表!$H:$H,服务费明细!BK$3)</f>
        <v>0</v>
      </c>
      <c r="BL61" s="388">
        <f>SUMIFS(服务费底表!$AC:$AC,服务费底表!$K:$K,服务费明细!$B61,服务费底表!$H:$H,服务费明细!BL$3)</f>
        <v>0</v>
      </c>
      <c r="BM61" s="388">
        <f>SUMIFS(服务费底表!$AC:$AC,服务费底表!$K:$K,服务费明细!$B61,服务费底表!$H:$H,服务费明细!BM$3)</f>
        <v>0</v>
      </c>
      <c r="BN61" s="388">
        <f>SUMIFS(服务费底表!$AC:$AC,服务费底表!$K:$K,服务费明细!$B61,服务费底表!$H:$H,服务费明细!BN$3)</f>
        <v>0</v>
      </c>
      <c r="BO61" s="388">
        <f>SUMIFS(服务费底表!$AC:$AC,服务费底表!$K:$K,服务费明细!$B61,服务费底表!$H:$H,服务费明细!BO$3)</f>
        <v>0</v>
      </c>
      <c r="BQ61" s="389">
        <f>SUMIFS(服务费底表!$AD:$AD,服务费底表!$K:$K,服务费明细!$B61,服务费底表!$H:$H,服务费明细!BQ$3)</f>
        <v>0</v>
      </c>
      <c r="BR61" s="389">
        <f>SUMIFS(服务费底表!$AD:$AD,服务费底表!$K:$K,服务费明细!$B61,服务费底表!$H:$H,服务费明细!BR$3)</f>
        <v>18620</v>
      </c>
      <c r="BS61" s="389">
        <f>SUMIFS(服务费底表!$AD:$AD,服务费底表!$K:$K,服务费明细!$B61,服务费底表!$H:$H,服务费明细!BS$3)</f>
        <v>0</v>
      </c>
      <c r="BT61" s="389">
        <f>SUMIFS(服务费底表!$AD:$AD,服务费底表!$K:$K,服务费明细!$B61,服务费底表!$H:$H,服务费明细!BT$3)</f>
        <v>0</v>
      </c>
      <c r="BU61" s="389">
        <f>SUMIFS(服务费底表!$AD:$AD,服务费底表!$K:$K,服务费明细!$B61,服务费底表!$H:$H,服务费明细!BU$3)</f>
        <v>0</v>
      </c>
      <c r="BV61" s="389">
        <f>SUMIFS(服务费底表!$AD:$AD,服务费底表!$K:$K,服务费明细!$B61,服务费底表!$H:$H,服务费明细!BV$3)</f>
        <v>0</v>
      </c>
      <c r="BW61" s="389">
        <f>SUMIFS(服务费底表!$AD:$AD,服务费底表!$K:$K,服务费明细!$B61,服务费底表!$H:$H,服务费明细!BW$3)</f>
        <v>0</v>
      </c>
    </row>
    <row r="62" spans="2:75">
      <c r="B62" s="89" t="s">
        <v>192</v>
      </c>
      <c r="C62" s="89" t="str">
        <f>INDEX(二三级标准!$C:$C,MATCH(服务费明细!$B62,二三级标准!$B:$B,0))</f>
        <v>研究物资申请和采购管理</v>
      </c>
      <c r="D62" s="166">
        <f>IF($D$46=1,1,0)</f>
        <v>1</v>
      </c>
      <c r="E62" s="166">
        <f>IF($D62=1,ROUND(中心激活月/6,0),0)</f>
        <v>9</v>
      </c>
      <c r="F62" s="89" t="str">
        <f>INDEX(二三级标准!$G:$G,MATCH(服务费明细!$B62,二三级标准!$B:$B,0))</f>
        <v>次 </v>
      </c>
      <c r="G62" s="166">
        <f t="shared" si="124"/>
        <v>9</v>
      </c>
      <c r="H62" s="166">
        <f t="shared" si="125"/>
        <v>0</v>
      </c>
      <c r="I62" s="166">
        <f t="shared" si="126"/>
        <v>4.5</v>
      </c>
      <c r="J62" s="166">
        <f t="shared" si="127"/>
        <v>0</v>
      </c>
      <c r="K62" s="166">
        <f t="shared" si="128"/>
        <v>0</v>
      </c>
      <c r="L62" s="166">
        <f t="shared" si="129"/>
        <v>0</v>
      </c>
      <c r="M62" s="166">
        <f t="shared" si="130"/>
        <v>0</v>
      </c>
      <c r="N62" s="166">
        <f t="shared" si="131"/>
        <v>0</v>
      </c>
      <c r="O62" s="166">
        <f t="shared" si="132"/>
        <v>0</v>
      </c>
      <c r="P62" s="166">
        <f t="shared" si="133"/>
        <v>0</v>
      </c>
      <c r="Q62" s="166">
        <f t="shared" si="134"/>
        <v>0</v>
      </c>
      <c r="R62" s="166">
        <f t="shared" si="135"/>
        <v>0</v>
      </c>
      <c r="S62" s="166">
        <f t="shared" si="136"/>
        <v>0</v>
      </c>
      <c r="T62" s="166">
        <f t="shared" si="137"/>
        <v>0</v>
      </c>
      <c r="U62" s="166">
        <f t="shared" si="138"/>
        <v>0</v>
      </c>
      <c r="V62" s="166">
        <f t="shared" si="139"/>
        <v>0</v>
      </c>
      <c r="W62" s="166">
        <f t="shared" si="140"/>
        <v>0</v>
      </c>
      <c r="X62" s="166">
        <f t="shared" si="141"/>
        <v>0</v>
      </c>
      <c r="Y62" s="166">
        <f t="shared" si="142"/>
        <v>0</v>
      </c>
      <c r="Z62" s="166">
        <f t="shared" si="143"/>
        <v>0</v>
      </c>
      <c r="AA62" s="166">
        <f t="shared" si="144"/>
        <v>0</v>
      </c>
      <c r="AB62" s="166">
        <f t="shared" si="145"/>
        <v>0</v>
      </c>
      <c r="AC62" s="166" cm="1">
        <f t="array" ref="AC62">SUMPRODUCT(G62:AB62,$G$4:$AB$4)</f>
        <v>5985</v>
      </c>
      <c r="AD62" s="89" t="b">
        <f t="shared" si="146"/>
        <v>1</v>
      </c>
      <c r="AE62" s="386">
        <f>IFERROR(SUMIF(服务费底表!$K:$K,服务费明细!$B62,服务费底表!$AD:$AD)/E62,0)</f>
        <v>665</v>
      </c>
      <c r="AF62" s="386">
        <f t="shared" si="147"/>
        <v>5985</v>
      </c>
      <c r="AG62" s="386">
        <f>IFERROR(SUMIF(服务费底表!$K:$K,服务费明细!$B62,服务费底表!$AG:$AG)/E62,0)</f>
        <v>665</v>
      </c>
      <c r="AH62" s="386">
        <f t="shared" si="148"/>
        <v>5985</v>
      </c>
      <c r="AI62" s="409" t="s">
        <v>1014</v>
      </c>
      <c r="AJ62" s="563">
        <f t="shared" si="149"/>
        <v>1.5</v>
      </c>
      <c r="AK62" s="564">
        <f>SUMIF(服务费底表!$K:$K,服务费明细!$B62,服务费底表!$AC:$AC)</f>
        <v>13.5</v>
      </c>
      <c r="AL62" s="166">
        <f>SUMIFS(服务费底表!$AC:$AC,服务费底表!$K:$K,服务费明细!$B62,服务费底表!$T:$T,AL$3)</f>
        <v>9</v>
      </c>
      <c r="AM62" s="166">
        <f>SUMIFS(服务费底表!$AC:$AC,服务费底表!$K:$K,服务费明细!$B62,服务费底表!$T:$T,AM$3)</f>
        <v>0</v>
      </c>
      <c r="AN62" s="166">
        <f>SUMIFS(服务费底表!$AC:$AC,服务费底表!$K:$K,服务费明细!$B62,服务费底表!$T:$T,AN$3)</f>
        <v>4.5</v>
      </c>
      <c r="AO62" s="166">
        <f>SUMIFS(服务费底表!$AC:$AC,服务费底表!$K:$K,服务费明细!$B62,服务费底表!$T:$T,AO$3)</f>
        <v>0</v>
      </c>
      <c r="AP62" s="166">
        <f>SUMIFS(服务费底表!$AC:$AC,服务费底表!$K:$K,服务费明细!$B62,服务费底表!$T:$T,AP$3)</f>
        <v>0</v>
      </c>
      <c r="AQ62" s="166">
        <f>SUMIFS(服务费底表!$AC:$AC,服务费底表!$K:$K,服务费明细!$B62,服务费底表!$T:$T,AQ$3)</f>
        <v>0</v>
      </c>
      <c r="AR62" s="166">
        <f>SUMIFS(服务费底表!$AC:$AC,服务费底表!$K:$K,服务费明细!$B62,服务费底表!$T:$T,AR$3)</f>
        <v>0</v>
      </c>
      <c r="AS62" s="166">
        <f>SUMIFS(服务费底表!$AC:$AC,服务费底表!$K:$K,服务费明细!$B62,服务费底表!$T:$T,AS$3)</f>
        <v>0</v>
      </c>
      <c r="AT62" s="166">
        <f>SUMIFS(服务费底表!$AC:$AC,服务费底表!$K:$K,服务费明细!$B62,服务费底表!$T:$T,AT$3)</f>
        <v>0</v>
      </c>
      <c r="AU62" s="166">
        <f>SUMIFS(服务费底表!$AC:$AC,服务费底表!$K:$K,服务费明细!$B62,服务费底表!$T:$T,AU$3)</f>
        <v>0</v>
      </c>
      <c r="AV62" s="166">
        <f>SUMIFS(服务费底表!$AC:$AC,服务费底表!$K:$K,服务费明细!$B62,服务费底表!$T:$T,AV$3)</f>
        <v>0</v>
      </c>
      <c r="AW62" s="166">
        <f>SUMIFS(服务费底表!$AC:$AC,服务费底表!$K:$K,服务费明细!$B62,服务费底表!$T:$T,AW$3)</f>
        <v>0</v>
      </c>
      <c r="AX62" s="166">
        <f>SUMIFS(服务费底表!$AC:$AC,服务费底表!$K:$K,服务费明细!$B62,服务费底表!$T:$T,AX$3)</f>
        <v>0</v>
      </c>
      <c r="AY62" s="166">
        <f>SUMIFS(服务费底表!$AC:$AC,服务费底表!$K:$K,服务费明细!$B62,服务费底表!$T:$T,AY$3)</f>
        <v>0</v>
      </c>
      <c r="AZ62" s="166">
        <f>SUMIFS(服务费底表!$AC:$AC,服务费底表!$K:$K,服务费明细!$B62,服务费底表!$T:$T,AZ$3)</f>
        <v>0</v>
      </c>
      <c r="BA62" s="166">
        <f>SUMIFS(服务费底表!$AC:$AC,服务费底表!$K:$K,服务费明细!$B62,服务费底表!$T:$T,BA$3)</f>
        <v>0</v>
      </c>
      <c r="BB62" s="166">
        <f>SUMIFS(服务费底表!$AC:$AC,服务费底表!$K:$K,服务费明细!$B62,服务费底表!$T:$T,BB$3)</f>
        <v>0</v>
      </c>
      <c r="BC62" s="166">
        <f>SUMIFS(服务费底表!$AC:$AC,服务费底表!$K:$K,服务费明细!$B62,服务费底表!$T:$T,BC$3)</f>
        <v>0</v>
      </c>
      <c r="BD62" s="166">
        <f>SUMIFS(服务费底表!$AC:$AC,服务费底表!$K:$K,服务费明细!$B62,服务费底表!$T:$T,BD$3)</f>
        <v>0</v>
      </c>
      <c r="BE62" s="166">
        <f>SUMIFS(服务费底表!$AC:$AC,服务费底表!$K:$K,服务费明细!$B62,服务费底表!$T:$T,BE$3)</f>
        <v>0</v>
      </c>
      <c r="BF62" s="166">
        <f>SUMIFS(服务费底表!$AC:$AC,服务费底表!$K:$K,服务费明细!$B62,服务费底表!$T:$T,BF$3)</f>
        <v>0</v>
      </c>
      <c r="BG62" s="166">
        <f>SUMIFS(服务费底表!$AC:$AC,服务费底表!$K:$K,服务费明细!$B62,服务费底表!$T:$T,BG$3)</f>
        <v>0</v>
      </c>
      <c r="BI62" s="388">
        <f>SUMIFS(服务费底表!$AC:$AC,服务费底表!$K:$K,服务费明细!$B62,服务费底表!$H:$H,服务费明细!BI$3)</f>
        <v>0</v>
      </c>
      <c r="BJ62" s="388">
        <f>SUMIFS(服务费底表!$AC:$AC,服务费底表!$K:$K,服务费明细!$B62,服务费底表!$H:$H,服务费明细!BJ$3)</f>
        <v>13.5</v>
      </c>
      <c r="BK62" s="388">
        <f>SUMIFS(服务费底表!$AC:$AC,服务费底表!$K:$K,服务费明细!$B62,服务费底表!$H:$H,服务费明细!BK$3)</f>
        <v>0</v>
      </c>
      <c r="BL62" s="388">
        <f>SUMIFS(服务费底表!$AC:$AC,服务费底表!$K:$K,服务费明细!$B62,服务费底表!$H:$H,服务费明细!BL$3)</f>
        <v>0</v>
      </c>
      <c r="BM62" s="388">
        <f>SUMIFS(服务费底表!$AC:$AC,服务费底表!$K:$K,服务费明细!$B62,服务费底表!$H:$H,服务费明细!BM$3)</f>
        <v>0</v>
      </c>
      <c r="BN62" s="388">
        <f>SUMIFS(服务费底表!$AC:$AC,服务费底表!$K:$K,服务费明细!$B62,服务费底表!$H:$H,服务费明细!BN$3)</f>
        <v>0</v>
      </c>
      <c r="BO62" s="388">
        <f>SUMIFS(服务费底表!$AC:$AC,服务费底表!$K:$K,服务费明细!$B62,服务费底表!$H:$H,服务费明细!BO$3)</f>
        <v>0</v>
      </c>
      <c r="BQ62" s="389">
        <f>SUMIFS(服务费底表!$AD:$AD,服务费底表!$K:$K,服务费明细!$B62,服务费底表!$H:$H,服务费明细!BQ$3)</f>
        <v>0</v>
      </c>
      <c r="BR62" s="389">
        <f>SUMIFS(服务费底表!$AD:$AD,服务费底表!$K:$K,服务费明细!$B62,服务费底表!$H:$H,服务费明细!BR$3)</f>
        <v>5985</v>
      </c>
      <c r="BS62" s="389">
        <f>SUMIFS(服务费底表!$AD:$AD,服务费底表!$K:$K,服务费明细!$B62,服务费底表!$H:$H,服务费明细!BS$3)</f>
        <v>0</v>
      </c>
      <c r="BT62" s="389">
        <f>SUMIFS(服务费底表!$AD:$AD,服务费底表!$K:$K,服务费明细!$B62,服务费底表!$H:$H,服务费明细!BT$3)</f>
        <v>0</v>
      </c>
      <c r="BU62" s="389">
        <f>SUMIFS(服务费底表!$AD:$AD,服务费底表!$K:$K,服务费明细!$B62,服务费底表!$H:$H,服务费明细!BU$3)</f>
        <v>0</v>
      </c>
      <c r="BV62" s="389">
        <f>SUMIFS(服务费底表!$AD:$AD,服务费底表!$K:$K,服务费明细!$B62,服务费底表!$H:$H,服务费明细!BV$3)</f>
        <v>0</v>
      </c>
      <c r="BW62" s="389">
        <f>SUMIFS(服务费底表!$AD:$AD,服务费底表!$K:$K,服务费明细!$B62,服务费底表!$H:$H,服务费明细!BW$3)</f>
        <v>0</v>
      </c>
    </row>
    <row r="63" spans="2:75">
      <c r="B63" s="89" t="s">
        <v>194</v>
      </c>
      <c r="C63" s="89" t="str">
        <f>INDEX(二三级标准!$C:$C,MATCH(服务费明细!$B63,二三级标准!$B:$B,0))</f>
        <v>后续伦理文件准备和递交</v>
      </c>
      <c r="D63" s="166">
        <v>0</v>
      </c>
      <c r="E63" s="166">
        <f>IF($D63=1,1*启动中心数,0)</f>
        <v>0</v>
      </c>
      <c r="F63" s="89" t="str">
        <f>INDEX(二三级标准!$G:$G,MATCH(服务费明细!$B63,二三级标准!$B:$B,0))</f>
        <v>次</v>
      </c>
      <c r="G63" s="166">
        <f t="shared" si="124"/>
        <v>0</v>
      </c>
      <c r="H63" s="166">
        <f t="shared" si="125"/>
        <v>0</v>
      </c>
      <c r="I63" s="166">
        <f t="shared" si="126"/>
        <v>0</v>
      </c>
      <c r="J63" s="166">
        <f t="shared" si="127"/>
        <v>0</v>
      </c>
      <c r="K63" s="166">
        <f t="shared" si="128"/>
        <v>0</v>
      </c>
      <c r="L63" s="166">
        <f t="shared" si="129"/>
        <v>0</v>
      </c>
      <c r="M63" s="166">
        <f t="shared" si="130"/>
        <v>0</v>
      </c>
      <c r="N63" s="166">
        <f t="shared" si="131"/>
        <v>0</v>
      </c>
      <c r="O63" s="166">
        <f t="shared" si="132"/>
        <v>0</v>
      </c>
      <c r="P63" s="166">
        <f t="shared" si="133"/>
        <v>0</v>
      </c>
      <c r="Q63" s="166">
        <f t="shared" si="134"/>
        <v>0</v>
      </c>
      <c r="R63" s="166">
        <f t="shared" si="135"/>
        <v>0</v>
      </c>
      <c r="S63" s="166">
        <f t="shared" si="136"/>
        <v>0</v>
      </c>
      <c r="T63" s="166">
        <f t="shared" si="137"/>
        <v>0</v>
      </c>
      <c r="U63" s="166">
        <f t="shared" si="138"/>
        <v>0</v>
      </c>
      <c r="V63" s="166">
        <f t="shared" si="139"/>
        <v>0</v>
      </c>
      <c r="W63" s="166">
        <f t="shared" si="140"/>
        <v>0</v>
      </c>
      <c r="X63" s="166">
        <f t="shared" si="141"/>
        <v>0</v>
      </c>
      <c r="Y63" s="166">
        <f t="shared" si="142"/>
        <v>0</v>
      </c>
      <c r="Z63" s="166">
        <f t="shared" si="143"/>
        <v>0</v>
      </c>
      <c r="AA63" s="166">
        <f t="shared" si="144"/>
        <v>0</v>
      </c>
      <c r="AB63" s="166">
        <f t="shared" si="145"/>
        <v>0</v>
      </c>
      <c r="AC63" s="166" cm="1">
        <f t="array" ref="AC63">SUMPRODUCT(G63:AB63,$G$4:$AB$4)</f>
        <v>0</v>
      </c>
      <c r="AD63" s="89" t="b">
        <f t="shared" si="146"/>
        <v>1</v>
      </c>
      <c r="AE63" s="386">
        <f>IFERROR(SUMIF(服务费底表!$K:$K,服务费明细!$B63,服务费底表!$AD:$AD)/E63,0)</f>
        <v>0</v>
      </c>
      <c r="AF63" s="386">
        <f t="shared" si="147"/>
        <v>0</v>
      </c>
      <c r="AG63" s="386">
        <f>IFERROR(SUMIF(服务费底表!$K:$K,服务费明细!$B63,服务费底表!$AG:$AG)/E63,0)</f>
        <v>0</v>
      </c>
      <c r="AH63" s="386">
        <f t="shared" si="148"/>
        <v>0</v>
      </c>
      <c r="AI63" s="409"/>
      <c r="AJ63" s="563">
        <f t="shared" si="149"/>
        <v>0</v>
      </c>
      <c r="AK63" s="564">
        <f>SUMIF(服务费底表!$K:$K,服务费明细!$B63,服务费底表!$AC:$AC)</f>
        <v>0</v>
      </c>
      <c r="AL63" s="166">
        <f>SUMIFS(服务费底表!$AC:$AC,服务费底表!$K:$K,服务费明细!$B63,服务费底表!$T:$T,AL$3)</f>
        <v>0</v>
      </c>
      <c r="AM63" s="166">
        <f>SUMIFS(服务费底表!$AC:$AC,服务费底表!$K:$K,服务费明细!$B63,服务费底表!$T:$T,AM$3)</f>
        <v>0</v>
      </c>
      <c r="AN63" s="166">
        <f>SUMIFS(服务费底表!$AC:$AC,服务费底表!$K:$K,服务费明细!$B63,服务费底表!$T:$T,AN$3)</f>
        <v>0</v>
      </c>
      <c r="AO63" s="166">
        <f>SUMIFS(服务费底表!$AC:$AC,服务费底表!$K:$K,服务费明细!$B63,服务费底表!$T:$T,AO$3)</f>
        <v>0</v>
      </c>
      <c r="AP63" s="166">
        <f>SUMIFS(服务费底表!$AC:$AC,服务费底表!$K:$K,服务费明细!$B63,服务费底表!$T:$T,AP$3)</f>
        <v>0</v>
      </c>
      <c r="AQ63" s="166">
        <f>SUMIFS(服务费底表!$AC:$AC,服务费底表!$K:$K,服务费明细!$B63,服务费底表!$T:$T,AQ$3)</f>
        <v>0</v>
      </c>
      <c r="AR63" s="166">
        <f>SUMIFS(服务费底表!$AC:$AC,服务费底表!$K:$K,服务费明细!$B63,服务费底表!$T:$T,AR$3)</f>
        <v>0</v>
      </c>
      <c r="AS63" s="166">
        <f>SUMIFS(服务费底表!$AC:$AC,服务费底表!$K:$K,服务费明细!$B63,服务费底表!$T:$T,AS$3)</f>
        <v>0</v>
      </c>
      <c r="AT63" s="166">
        <f>SUMIFS(服务费底表!$AC:$AC,服务费底表!$K:$K,服务费明细!$B63,服务费底表!$T:$T,AT$3)</f>
        <v>0</v>
      </c>
      <c r="AU63" s="166">
        <f>SUMIFS(服务费底表!$AC:$AC,服务费底表!$K:$K,服务费明细!$B63,服务费底表!$T:$T,AU$3)</f>
        <v>0</v>
      </c>
      <c r="AV63" s="166">
        <f>SUMIFS(服务费底表!$AC:$AC,服务费底表!$K:$K,服务费明细!$B63,服务费底表!$T:$T,AV$3)</f>
        <v>0</v>
      </c>
      <c r="AW63" s="166">
        <f>SUMIFS(服务费底表!$AC:$AC,服务费底表!$K:$K,服务费明细!$B63,服务费底表!$T:$T,AW$3)</f>
        <v>0</v>
      </c>
      <c r="AX63" s="166">
        <f>SUMIFS(服务费底表!$AC:$AC,服务费底表!$K:$K,服务费明细!$B63,服务费底表!$T:$T,AX$3)</f>
        <v>0</v>
      </c>
      <c r="AY63" s="166">
        <f>SUMIFS(服务费底表!$AC:$AC,服务费底表!$K:$K,服务费明细!$B63,服务费底表!$T:$T,AY$3)</f>
        <v>0</v>
      </c>
      <c r="AZ63" s="166">
        <f>SUMIFS(服务费底表!$AC:$AC,服务费底表!$K:$K,服务费明细!$B63,服务费底表!$T:$T,AZ$3)</f>
        <v>0</v>
      </c>
      <c r="BA63" s="166">
        <f>SUMIFS(服务费底表!$AC:$AC,服务费底表!$K:$K,服务费明细!$B63,服务费底表!$T:$T,BA$3)</f>
        <v>0</v>
      </c>
      <c r="BB63" s="166">
        <f>SUMIFS(服务费底表!$AC:$AC,服务费底表!$K:$K,服务费明细!$B63,服务费底表!$T:$T,BB$3)</f>
        <v>0</v>
      </c>
      <c r="BC63" s="166">
        <f>SUMIFS(服务费底表!$AC:$AC,服务费底表!$K:$K,服务费明细!$B63,服务费底表!$T:$T,BC$3)</f>
        <v>0</v>
      </c>
      <c r="BD63" s="166">
        <f>SUMIFS(服务费底表!$AC:$AC,服务费底表!$K:$K,服务费明细!$B63,服务费底表!$T:$T,BD$3)</f>
        <v>0</v>
      </c>
      <c r="BE63" s="166">
        <f>SUMIFS(服务费底表!$AC:$AC,服务费底表!$K:$K,服务费明细!$B63,服务费底表!$T:$T,BE$3)</f>
        <v>0</v>
      </c>
      <c r="BF63" s="166">
        <f>SUMIFS(服务费底表!$AC:$AC,服务费底表!$K:$K,服务费明细!$B63,服务费底表!$T:$T,BF$3)</f>
        <v>0</v>
      </c>
      <c r="BG63" s="166">
        <f>SUMIFS(服务费底表!$AC:$AC,服务费底表!$K:$K,服务费明细!$B63,服务费底表!$T:$T,BG$3)</f>
        <v>0</v>
      </c>
      <c r="BI63" s="388">
        <f>SUMIFS(服务费底表!$AC:$AC,服务费底表!$K:$K,服务费明细!$B63,服务费底表!$H:$H,服务费明细!BI$3)</f>
        <v>0</v>
      </c>
      <c r="BJ63" s="388">
        <f>SUMIFS(服务费底表!$AC:$AC,服务费底表!$K:$K,服务费明细!$B63,服务费底表!$H:$H,服务费明细!BJ$3)</f>
        <v>0</v>
      </c>
      <c r="BK63" s="388">
        <f>SUMIFS(服务费底表!$AC:$AC,服务费底表!$K:$K,服务费明细!$B63,服务费底表!$H:$H,服务费明细!BK$3)</f>
        <v>0</v>
      </c>
      <c r="BL63" s="388">
        <f>SUMIFS(服务费底表!$AC:$AC,服务费底表!$K:$K,服务费明细!$B63,服务费底表!$H:$H,服务费明细!BL$3)</f>
        <v>0</v>
      </c>
      <c r="BM63" s="388">
        <f>SUMIFS(服务费底表!$AC:$AC,服务费底表!$K:$K,服务费明细!$B63,服务费底表!$H:$H,服务费明细!BM$3)</f>
        <v>0</v>
      </c>
      <c r="BN63" s="388">
        <f>SUMIFS(服务费底表!$AC:$AC,服务费底表!$K:$K,服务费明细!$B63,服务费底表!$H:$H,服务费明细!BN$3)</f>
        <v>0</v>
      </c>
      <c r="BO63" s="388">
        <f>SUMIFS(服务费底表!$AC:$AC,服务费底表!$K:$K,服务费明细!$B63,服务费底表!$H:$H,服务费明细!BO$3)</f>
        <v>0</v>
      </c>
      <c r="BQ63" s="389">
        <f>SUMIFS(服务费底表!$AD:$AD,服务费底表!$K:$K,服务费明细!$B63,服务费底表!$H:$H,服务费明细!BQ$3)</f>
        <v>0</v>
      </c>
      <c r="BR63" s="389">
        <f>SUMIFS(服务费底表!$AD:$AD,服务费底表!$K:$K,服务费明细!$B63,服务费底表!$H:$H,服务费明细!BR$3)</f>
        <v>0</v>
      </c>
      <c r="BS63" s="389">
        <f>SUMIFS(服务费底表!$AD:$AD,服务费底表!$K:$K,服务费明细!$B63,服务费底表!$H:$H,服务费明细!BS$3)</f>
        <v>0</v>
      </c>
      <c r="BT63" s="389">
        <f>SUMIFS(服务费底表!$AD:$AD,服务费底表!$K:$K,服务费明细!$B63,服务费底表!$H:$H,服务费明细!BT$3)</f>
        <v>0</v>
      </c>
      <c r="BU63" s="389">
        <f>SUMIFS(服务费底表!$AD:$AD,服务费底表!$K:$K,服务费明细!$B63,服务费底表!$H:$H,服务费明细!BU$3)</f>
        <v>0</v>
      </c>
      <c r="BV63" s="389">
        <f>SUMIFS(服务费底表!$AD:$AD,服务费底表!$K:$K,服务费明细!$B63,服务费底表!$H:$H,服务费明细!BV$3)</f>
        <v>0</v>
      </c>
      <c r="BW63" s="389">
        <f>SUMIFS(服务费底表!$AD:$AD,服务费底表!$K:$K,服务费明细!$B63,服务费底表!$H:$H,服务费明细!BW$3)</f>
        <v>0</v>
      </c>
    </row>
    <row r="64" spans="2:75">
      <c r="B64" s="89" t="s">
        <v>196</v>
      </c>
      <c r="C64" s="89" t="str">
        <f>INDEX(二三级标准!$C:$C,MATCH(服务费明细!$B64,二三级标准!$B:$B,0))</f>
        <v>伦理年度报告准备和递交</v>
      </c>
      <c r="D64" s="166">
        <f t="shared" ref="D64:D69" si="150">IF($D$46=1,1,0)</f>
        <v>1</v>
      </c>
      <c r="E64" s="166">
        <f>IF($D64=1,ROUND((筛选月+入组月+治疗月+随访月+长随访月)/12,0)*启动中心数,0)</f>
        <v>4</v>
      </c>
      <c r="F64" s="89" t="str">
        <f>INDEX(二三级标准!$G:$G,MATCH(服务费明细!$B64,二三级标准!$B:$B,0))</f>
        <v>次</v>
      </c>
      <c r="G64" s="166">
        <f t="shared" si="124"/>
        <v>8</v>
      </c>
      <c r="H64" s="166">
        <f t="shared" si="125"/>
        <v>0</v>
      </c>
      <c r="I64" s="166">
        <f t="shared" si="126"/>
        <v>2</v>
      </c>
      <c r="J64" s="166">
        <f t="shared" si="127"/>
        <v>0</v>
      </c>
      <c r="K64" s="166">
        <f t="shared" si="128"/>
        <v>0</v>
      </c>
      <c r="L64" s="166">
        <f t="shared" si="129"/>
        <v>0</v>
      </c>
      <c r="M64" s="166">
        <f t="shared" si="130"/>
        <v>0</v>
      </c>
      <c r="N64" s="166">
        <f t="shared" si="131"/>
        <v>0</v>
      </c>
      <c r="O64" s="166">
        <f t="shared" si="132"/>
        <v>0</v>
      </c>
      <c r="P64" s="166">
        <f t="shared" si="133"/>
        <v>0</v>
      </c>
      <c r="Q64" s="166">
        <f t="shared" si="134"/>
        <v>0</v>
      </c>
      <c r="R64" s="166">
        <f t="shared" si="135"/>
        <v>0</v>
      </c>
      <c r="S64" s="166">
        <f t="shared" si="136"/>
        <v>0</v>
      </c>
      <c r="T64" s="166">
        <f t="shared" si="137"/>
        <v>0</v>
      </c>
      <c r="U64" s="166">
        <f t="shared" si="138"/>
        <v>0</v>
      </c>
      <c r="V64" s="166">
        <f t="shared" si="139"/>
        <v>0</v>
      </c>
      <c r="W64" s="166">
        <f t="shared" si="140"/>
        <v>0</v>
      </c>
      <c r="X64" s="166">
        <f t="shared" si="141"/>
        <v>0</v>
      </c>
      <c r="Y64" s="166">
        <f t="shared" si="142"/>
        <v>0</v>
      </c>
      <c r="Z64" s="166">
        <f t="shared" si="143"/>
        <v>0</v>
      </c>
      <c r="AA64" s="166">
        <f t="shared" si="144"/>
        <v>0</v>
      </c>
      <c r="AB64" s="166">
        <f t="shared" si="145"/>
        <v>0</v>
      </c>
      <c r="AC64" s="166" cm="1">
        <f t="array" ref="AC64">SUMPRODUCT(G64:AB64,$G$4:$AB$4)</f>
        <v>4020</v>
      </c>
      <c r="AD64" s="89" t="b">
        <f t="shared" si="146"/>
        <v>1</v>
      </c>
      <c r="AE64" s="386">
        <f>IFERROR(SUMIF(服务费底表!$K:$K,服务费明细!$B64,服务费底表!$AD:$AD)/E64,0)</f>
        <v>1005</v>
      </c>
      <c r="AF64" s="386">
        <f t="shared" si="147"/>
        <v>4020</v>
      </c>
      <c r="AG64" s="386">
        <f>IFERROR(SUMIF(服务费底表!$K:$K,服务费明细!$B64,服务费底表!$AG:$AG)/E64,0)</f>
        <v>1005</v>
      </c>
      <c r="AH64" s="386">
        <f t="shared" si="148"/>
        <v>4020</v>
      </c>
      <c r="AI64" s="409"/>
      <c r="AJ64" s="563">
        <f t="shared" si="149"/>
        <v>2.5</v>
      </c>
      <c r="AK64" s="564">
        <f>SUMIF(服务费底表!$K:$K,服务费明细!$B64,服务费底表!$AC:$AC)</f>
        <v>10</v>
      </c>
      <c r="AL64" s="166">
        <f>SUMIFS(服务费底表!$AC:$AC,服务费底表!$K:$K,服务费明细!$B64,服务费底表!$T:$T,AL$3)</f>
        <v>8</v>
      </c>
      <c r="AM64" s="166">
        <f>SUMIFS(服务费底表!$AC:$AC,服务费底表!$K:$K,服务费明细!$B64,服务费底表!$T:$T,AM$3)</f>
        <v>0</v>
      </c>
      <c r="AN64" s="166">
        <f>SUMIFS(服务费底表!$AC:$AC,服务费底表!$K:$K,服务费明细!$B64,服务费底表!$T:$T,AN$3)</f>
        <v>2</v>
      </c>
      <c r="AO64" s="166">
        <f>SUMIFS(服务费底表!$AC:$AC,服务费底表!$K:$K,服务费明细!$B64,服务费底表!$T:$T,AO$3)</f>
        <v>0</v>
      </c>
      <c r="AP64" s="166">
        <f>SUMIFS(服务费底表!$AC:$AC,服务费底表!$K:$K,服务费明细!$B64,服务费底表!$T:$T,AP$3)</f>
        <v>0</v>
      </c>
      <c r="AQ64" s="166">
        <f>SUMIFS(服务费底表!$AC:$AC,服务费底表!$K:$K,服务费明细!$B64,服务费底表!$T:$T,AQ$3)</f>
        <v>0</v>
      </c>
      <c r="AR64" s="166">
        <f>SUMIFS(服务费底表!$AC:$AC,服务费底表!$K:$K,服务费明细!$B64,服务费底表!$T:$T,AR$3)</f>
        <v>0</v>
      </c>
      <c r="AS64" s="166">
        <f>SUMIFS(服务费底表!$AC:$AC,服务费底表!$K:$K,服务费明细!$B64,服务费底表!$T:$T,AS$3)</f>
        <v>0</v>
      </c>
      <c r="AT64" s="166">
        <f>SUMIFS(服务费底表!$AC:$AC,服务费底表!$K:$K,服务费明细!$B64,服务费底表!$T:$T,AT$3)</f>
        <v>0</v>
      </c>
      <c r="AU64" s="166">
        <f>SUMIFS(服务费底表!$AC:$AC,服务费底表!$K:$K,服务费明细!$B64,服务费底表!$T:$T,AU$3)</f>
        <v>0</v>
      </c>
      <c r="AV64" s="166">
        <f>SUMIFS(服务费底表!$AC:$AC,服务费底表!$K:$K,服务费明细!$B64,服务费底表!$T:$T,AV$3)</f>
        <v>0</v>
      </c>
      <c r="AW64" s="166">
        <f>SUMIFS(服务费底表!$AC:$AC,服务费底表!$K:$K,服务费明细!$B64,服务费底表!$T:$T,AW$3)</f>
        <v>0</v>
      </c>
      <c r="AX64" s="166">
        <f>SUMIFS(服务费底表!$AC:$AC,服务费底表!$K:$K,服务费明细!$B64,服务费底表!$T:$T,AX$3)</f>
        <v>0</v>
      </c>
      <c r="AY64" s="166">
        <f>SUMIFS(服务费底表!$AC:$AC,服务费底表!$K:$K,服务费明细!$B64,服务费底表!$T:$T,AY$3)</f>
        <v>0</v>
      </c>
      <c r="AZ64" s="166">
        <f>SUMIFS(服务费底表!$AC:$AC,服务费底表!$K:$K,服务费明细!$B64,服务费底表!$T:$T,AZ$3)</f>
        <v>0</v>
      </c>
      <c r="BA64" s="166">
        <f>SUMIFS(服务费底表!$AC:$AC,服务费底表!$K:$K,服务费明细!$B64,服务费底表!$T:$T,BA$3)</f>
        <v>0</v>
      </c>
      <c r="BB64" s="166">
        <f>SUMIFS(服务费底表!$AC:$AC,服务费底表!$K:$K,服务费明细!$B64,服务费底表!$T:$T,BB$3)</f>
        <v>0</v>
      </c>
      <c r="BC64" s="166">
        <f>SUMIFS(服务费底表!$AC:$AC,服务费底表!$K:$K,服务费明细!$B64,服务费底表!$T:$T,BC$3)</f>
        <v>0</v>
      </c>
      <c r="BD64" s="166">
        <f>SUMIFS(服务费底表!$AC:$AC,服务费底表!$K:$K,服务费明细!$B64,服务费底表!$T:$T,BD$3)</f>
        <v>0</v>
      </c>
      <c r="BE64" s="166">
        <f>SUMIFS(服务费底表!$AC:$AC,服务费底表!$K:$K,服务费明细!$B64,服务费底表!$T:$T,BE$3)</f>
        <v>0</v>
      </c>
      <c r="BF64" s="166">
        <f>SUMIFS(服务费底表!$AC:$AC,服务费底表!$K:$K,服务费明细!$B64,服务费底表!$T:$T,BF$3)</f>
        <v>0</v>
      </c>
      <c r="BG64" s="166">
        <f>SUMIFS(服务费底表!$AC:$AC,服务费底表!$K:$K,服务费明细!$B64,服务费底表!$T:$T,BG$3)</f>
        <v>0</v>
      </c>
      <c r="BI64" s="388">
        <f>SUMIFS(服务费底表!$AC:$AC,服务费底表!$K:$K,服务费明细!$B64,服务费底表!$H:$H,服务费明细!BI$3)</f>
        <v>0</v>
      </c>
      <c r="BJ64" s="388">
        <f>SUMIFS(服务费底表!$AC:$AC,服务费底表!$K:$K,服务费明细!$B64,服务费底表!$H:$H,服务费明细!BJ$3)</f>
        <v>10</v>
      </c>
      <c r="BK64" s="388">
        <f>SUMIFS(服务费底表!$AC:$AC,服务费底表!$K:$K,服务费明细!$B64,服务费底表!$H:$H,服务费明细!BK$3)</f>
        <v>0</v>
      </c>
      <c r="BL64" s="388">
        <f>SUMIFS(服务费底表!$AC:$AC,服务费底表!$K:$K,服务费明细!$B64,服务费底表!$H:$H,服务费明细!BL$3)</f>
        <v>0</v>
      </c>
      <c r="BM64" s="388">
        <f>SUMIFS(服务费底表!$AC:$AC,服务费底表!$K:$K,服务费明细!$B64,服务费底表!$H:$H,服务费明细!BM$3)</f>
        <v>0</v>
      </c>
      <c r="BN64" s="388">
        <f>SUMIFS(服务费底表!$AC:$AC,服务费底表!$K:$K,服务费明细!$B64,服务费底表!$H:$H,服务费明细!BN$3)</f>
        <v>0</v>
      </c>
      <c r="BO64" s="388">
        <f>SUMIFS(服务费底表!$AC:$AC,服务费底表!$K:$K,服务费明细!$B64,服务费底表!$H:$H,服务费明细!BO$3)</f>
        <v>0</v>
      </c>
      <c r="BQ64" s="389">
        <f>SUMIFS(服务费底表!$AD:$AD,服务费底表!$K:$K,服务费明细!$B64,服务费底表!$H:$H,服务费明细!BQ$3)</f>
        <v>0</v>
      </c>
      <c r="BR64" s="389">
        <f>SUMIFS(服务费底表!$AD:$AD,服务费底表!$K:$K,服务费明细!$B64,服务费底表!$H:$H,服务费明细!BR$3)</f>
        <v>4020</v>
      </c>
      <c r="BS64" s="389">
        <f>SUMIFS(服务费底表!$AD:$AD,服务费底表!$K:$K,服务费明细!$B64,服务费底表!$H:$H,服务费明细!BS$3)</f>
        <v>0</v>
      </c>
      <c r="BT64" s="389">
        <f>SUMIFS(服务费底表!$AD:$AD,服务费底表!$K:$K,服务费明细!$B64,服务费底表!$H:$H,服务费明细!BT$3)</f>
        <v>0</v>
      </c>
      <c r="BU64" s="389">
        <f>SUMIFS(服务费底表!$AD:$AD,服务费底表!$K:$K,服务费明细!$B64,服务费底表!$H:$H,服务费明细!BU$3)</f>
        <v>0</v>
      </c>
      <c r="BV64" s="389">
        <f>SUMIFS(服务费底表!$AD:$AD,服务费底表!$K:$K,服务费明细!$B64,服务费底表!$H:$H,服务费明细!BV$3)</f>
        <v>0</v>
      </c>
      <c r="BW64" s="389">
        <f>SUMIFS(服务费底表!$AD:$AD,服务费底表!$K:$K,服务费明细!$B64,服务费底表!$H:$H,服务费明细!BW$3)</f>
        <v>0</v>
      </c>
    </row>
    <row r="65" ht="39.6" spans="2:75">
      <c r="B65" s="89" t="s">
        <v>198</v>
      </c>
      <c r="C65" s="89" t="str">
        <f>INDEX(二三级标准!$C:$C,MATCH(服务费明细!$B65,二三级标准!$B:$B,0))</f>
        <v>中心日常支持和管理</v>
      </c>
      <c r="D65" s="166">
        <f t="shared" si="150"/>
        <v>1</v>
      </c>
      <c r="E65" s="166">
        <f>IF($D65=1,中心激活月,0)</f>
        <v>56</v>
      </c>
      <c r="F65" s="89" t="str">
        <f>INDEX(二三级标准!$G:$G,MATCH(服务费明细!$B65,二三级标准!$B:$B,0))</f>
        <v>月*中心</v>
      </c>
      <c r="G65" s="166">
        <f t="shared" si="124"/>
        <v>504</v>
      </c>
      <c r="H65" s="166">
        <f t="shared" si="125"/>
        <v>0</v>
      </c>
      <c r="I65" s="166">
        <f t="shared" si="126"/>
        <v>0</v>
      </c>
      <c r="J65" s="166">
        <f t="shared" si="127"/>
        <v>0</v>
      </c>
      <c r="K65" s="166">
        <f t="shared" si="128"/>
        <v>0</v>
      </c>
      <c r="L65" s="166">
        <f t="shared" si="129"/>
        <v>0</v>
      </c>
      <c r="M65" s="166">
        <f t="shared" si="130"/>
        <v>0</v>
      </c>
      <c r="N65" s="166">
        <f t="shared" si="131"/>
        <v>0</v>
      </c>
      <c r="O65" s="166">
        <f t="shared" si="132"/>
        <v>0</v>
      </c>
      <c r="P65" s="166">
        <f t="shared" si="133"/>
        <v>0</v>
      </c>
      <c r="Q65" s="166">
        <f t="shared" si="134"/>
        <v>0</v>
      </c>
      <c r="R65" s="166">
        <f t="shared" si="135"/>
        <v>0</v>
      </c>
      <c r="S65" s="166">
        <f t="shared" si="136"/>
        <v>0</v>
      </c>
      <c r="T65" s="166">
        <f t="shared" si="137"/>
        <v>0</v>
      </c>
      <c r="U65" s="166">
        <f t="shared" si="138"/>
        <v>0</v>
      </c>
      <c r="V65" s="166">
        <f t="shared" si="139"/>
        <v>0</v>
      </c>
      <c r="W65" s="166">
        <f t="shared" si="140"/>
        <v>0</v>
      </c>
      <c r="X65" s="166">
        <f t="shared" si="141"/>
        <v>0</v>
      </c>
      <c r="Y65" s="166">
        <f t="shared" si="142"/>
        <v>0</v>
      </c>
      <c r="Z65" s="166">
        <f t="shared" si="143"/>
        <v>0</v>
      </c>
      <c r="AA65" s="166">
        <f t="shared" si="144"/>
        <v>0</v>
      </c>
      <c r="AB65" s="166">
        <f t="shared" si="145"/>
        <v>0</v>
      </c>
      <c r="AC65" s="166" cm="1">
        <f t="array" ref="AC65">SUMPRODUCT(G65:AB65,$G$4:$AB$4)</f>
        <v>171360</v>
      </c>
      <c r="AD65" s="89" t="b">
        <f t="shared" si="146"/>
        <v>1</v>
      </c>
      <c r="AE65" s="386">
        <f>IFERROR(SUMIF(服务费底表!$K:$K,服务费明细!$B65,服务费底表!$AD:$AD)/E65,0)</f>
        <v>3060</v>
      </c>
      <c r="AF65" s="386">
        <f t="shared" si="147"/>
        <v>171360</v>
      </c>
      <c r="AG65" s="386">
        <f>IFERROR(SUMIF(服务费底表!$K:$K,服务费明细!$B65,服务费底表!$AG:$AG)/E65,0)</f>
        <v>3060</v>
      </c>
      <c r="AH65" s="386">
        <f t="shared" si="148"/>
        <v>171360</v>
      </c>
      <c r="AI65" s="577" t="s">
        <v>1015</v>
      </c>
      <c r="AJ65" s="563">
        <f t="shared" si="149"/>
        <v>9</v>
      </c>
      <c r="AK65" s="564">
        <f>SUMIF(服务费底表!$K:$K,服务费明细!$B65,服务费底表!$AC:$AC)</f>
        <v>504</v>
      </c>
      <c r="AL65" s="166">
        <f>SUMIFS(服务费底表!$AC:$AC,服务费底表!$K:$K,服务费明细!$B65,服务费底表!$T:$T,AL$3)</f>
        <v>504</v>
      </c>
      <c r="AM65" s="166">
        <f>SUMIFS(服务费底表!$AC:$AC,服务费底表!$K:$K,服务费明细!$B65,服务费底表!$T:$T,AM$3)</f>
        <v>0</v>
      </c>
      <c r="AN65" s="166">
        <f>SUMIFS(服务费底表!$AC:$AC,服务费底表!$K:$K,服务费明细!$B65,服务费底表!$T:$T,AN$3)</f>
        <v>0</v>
      </c>
      <c r="AO65" s="166">
        <f>SUMIFS(服务费底表!$AC:$AC,服务费底表!$K:$K,服务费明细!$B65,服务费底表!$T:$T,AO$3)</f>
        <v>0</v>
      </c>
      <c r="AP65" s="166">
        <f>SUMIFS(服务费底表!$AC:$AC,服务费底表!$K:$K,服务费明细!$B65,服务费底表!$T:$T,AP$3)</f>
        <v>0</v>
      </c>
      <c r="AQ65" s="166">
        <f>SUMIFS(服务费底表!$AC:$AC,服务费底表!$K:$K,服务费明细!$B65,服务费底表!$T:$T,AQ$3)</f>
        <v>0</v>
      </c>
      <c r="AR65" s="166">
        <f>SUMIFS(服务费底表!$AC:$AC,服务费底表!$K:$K,服务费明细!$B65,服务费底表!$T:$T,AR$3)</f>
        <v>0</v>
      </c>
      <c r="AS65" s="166">
        <f>SUMIFS(服务费底表!$AC:$AC,服务费底表!$K:$K,服务费明细!$B65,服务费底表!$T:$T,AS$3)</f>
        <v>0</v>
      </c>
      <c r="AT65" s="166">
        <f>SUMIFS(服务费底表!$AC:$AC,服务费底表!$K:$K,服务费明细!$B65,服务费底表!$T:$T,AT$3)</f>
        <v>0</v>
      </c>
      <c r="AU65" s="166">
        <f>SUMIFS(服务费底表!$AC:$AC,服务费底表!$K:$K,服务费明细!$B65,服务费底表!$T:$T,AU$3)</f>
        <v>0</v>
      </c>
      <c r="AV65" s="166">
        <f>SUMIFS(服务费底表!$AC:$AC,服务费底表!$K:$K,服务费明细!$B65,服务费底表!$T:$T,AV$3)</f>
        <v>0</v>
      </c>
      <c r="AW65" s="166">
        <f>SUMIFS(服务费底表!$AC:$AC,服务费底表!$K:$K,服务费明细!$B65,服务费底表!$T:$T,AW$3)</f>
        <v>0</v>
      </c>
      <c r="AX65" s="166">
        <f>SUMIFS(服务费底表!$AC:$AC,服务费底表!$K:$K,服务费明细!$B65,服务费底表!$T:$T,AX$3)</f>
        <v>0</v>
      </c>
      <c r="AY65" s="166">
        <f>SUMIFS(服务费底表!$AC:$AC,服务费底表!$K:$K,服务费明细!$B65,服务费底表!$T:$T,AY$3)</f>
        <v>0</v>
      </c>
      <c r="AZ65" s="166">
        <f>SUMIFS(服务费底表!$AC:$AC,服务费底表!$K:$K,服务费明细!$B65,服务费底表!$T:$T,AZ$3)</f>
        <v>0</v>
      </c>
      <c r="BA65" s="166">
        <f>SUMIFS(服务费底表!$AC:$AC,服务费底表!$K:$K,服务费明细!$B65,服务费底表!$T:$T,BA$3)</f>
        <v>0</v>
      </c>
      <c r="BB65" s="166">
        <f>SUMIFS(服务费底表!$AC:$AC,服务费底表!$K:$K,服务费明细!$B65,服务费底表!$T:$T,BB$3)</f>
        <v>0</v>
      </c>
      <c r="BC65" s="166">
        <f>SUMIFS(服务费底表!$AC:$AC,服务费底表!$K:$K,服务费明细!$B65,服务费底表!$T:$T,BC$3)</f>
        <v>0</v>
      </c>
      <c r="BD65" s="166">
        <f>SUMIFS(服务费底表!$AC:$AC,服务费底表!$K:$K,服务费明细!$B65,服务费底表!$T:$T,BD$3)</f>
        <v>0</v>
      </c>
      <c r="BE65" s="166">
        <f>SUMIFS(服务费底表!$AC:$AC,服务费底表!$K:$K,服务费明细!$B65,服务费底表!$T:$T,BE$3)</f>
        <v>0</v>
      </c>
      <c r="BF65" s="166">
        <f>SUMIFS(服务费底表!$AC:$AC,服务费底表!$K:$K,服务费明细!$B65,服务费底表!$T:$T,BF$3)</f>
        <v>0</v>
      </c>
      <c r="BG65" s="166">
        <f>SUMIFS(服务费底表!$AC:$AC,服务费底表!$K:$K,服务费明细!$B65,服务费底表!$T:$T,BG$3)</f>
        <v>0</v>
      </c>
      <c r="BI65" s="388">
        <f>SUMIFS(服务费底表!$AC:$AC,服务费底表!$K:$K,服务费明细!$B65,服务费底表!$H:$H,服务费明细!BI$3)</f>
        <v>0</v>
      </c>
      <c r="BJ65" s="388">
        <f>SUMIFS(服务费底表!$AC:$AC,服务费底表!$K:$K,服务费明细!$B65,服务费底表!$H:$H,服务费明细!BJ$3)</f>
        <v>504</v>
      </c>
      <c r="BK65" s="388">
        <f>SUMIFS(服务费底表!$AC:$AC,服务费底表!$K:$K,服务费明细!$B65,服务费底表!$H:$H,服务费明细!BK$3)</f>
        <v>0</v>
      </c>
      <c r="BL65" s="388">
        <f>SUMIFS(服务费底表!$AC:$AC,服务费底表!$K:$K,服务费明细!$B65,服务费底表!$H:$H,服务费明细!BL$3)</f>
        <v>0</v>
      </c>
      <c r="BM65" s="388">
        <f>SUMIFS(服务费底表!$AC:$AC,服务费底表!$K:$K,服务费明细!$B65,服务费底表!$H:$H,服务费明细!BM$3)</f>
        <v>0</v>
      </c>
      <c r="BN65" s="388">
        <f>SUMIFS(服务费底表!$AC:$AC,服务费底表!$K:$K,服务费明细!$B65,服务费底表!$H:$H,服务费明细!BN$3)</f>
        <v>0</v>
      </c>
      <c r="BO65" s="388">
        <f>SUMIFS(服务费底表!$AC:$AC,服务费底表!$K:$K,服务费明细!$B65,服务费底表!$H:$H,服务费明细!BO$3)</f>
        <v>0</v>
      </c>
      <c r="BQ65" s="389">
        <f>SUMIFS(服务费底表!$AD:$AD,服务费底表!$K:$K,服务费明细!$B65,服务费底表!$H:$H,服务费明细!BQ$3)</f>
        <v>0</v>
      </c>
      <c r="BR65" s="389">
        <f>SUMIFS(服务费底表!$AD:$AD,服务费底表!$K:$K,服务费明细!$B65,服务费底表!$H:$H,服务费明细!BR$3)</f>
        <v>171360</v>
      </c>
      <c r="BS65" s="389">
        <f>SUMIFS(服务费底表!$AD:$AD,服务费底表!$K:$K,服务费明细!$B65,服务费底表!$H:$H,服务费明细!BS$3)</f>
        <v>0</v>
      </c>
      <c r="BT65" s="389">
        <f>SUMIFS(服务费底表!$AD:$AD,服务费底表!$K:$K,服务费明细!$B65,服务费底表!$H:$H,服务费明细!BT$3)</f>
        <v>0</v>
      </c>
      <c r="BU65" s="389">
        <f>SUMIFS(服务费底表!$AD:$AD,服务费底表!$K:$K,服务费明细!$B65,服务费底表!$H:$H,服务费明细!BU$3)</f>
        <v>0</v>
      </c>
      <c r="BV65" s="389">
        <f>SUMIFS(服务费底表!$AD:$AD,服务费底表!$K:$K,服务费明细!$B65,服务费底表!$H:$H,服务费明细!BV$3)</f>
        <v>0</v>
      </c>
      <c r="BW65" s="389">
        <f>SUMIFS(服务费底表!$AD:$AD,服务费底表!$K:$K,服务费明细!$B65,服务费底表!$H:$H,服务费明细!BW$3)</f>
        <v>0</v>
      </c>
    </row>
    <row r="66" spans="2:75">
      <c r="B66" s="89" t="s">
        <v>200</v>
      </c>
      <c r="C66" s="89" t="str">
        <f>INDEX(二三级标准!$C:$C,MATCH(服务费明细!$B66,二三级标准!$B:$B,0))</f>
        <v>自查访视</v>
      </c>
      <c r="D66" s="166">
        <f t="shared" si="150"/>
        <v>1</v>
      </c>
      <c r="E66" s="166">
        <f>IF($D66=1,机构自查访视次数,0)</f>
        <v>4</v>
      </c>
      <c r="F66" s="89" t="str">
        <f>INDEX(二三级标准!$G:$G,MATCH(服务费明细!$B66,二三级标准!$B:$B,0))</f>
        <v>次</v>
      </c>
      <c r="G66" s="166">
        <f t="shared" si="124"/>
        <v>92</v>
      </c>
      <c r="H66" s="166">
        <f t="shared" si="125"/>
        <v>0</v>
      </c>
      <c r="I66" s="166">
        <f t="shared" si="126"/>
        <v>8</v>
      </c>
      <c r="J66" s="166">
        <f t="shared" si="127"/>
        <v>0</v>
      </c>
      <c r="K66" s="166">
        <f t="shared" si="128"/>
        <v>0</v>
      </c>
      <c r="L66" s="166">
        <f t="shared" si="129"/>
        <v>0</v>
      </c>
      <c r="M66" s="166">
        <f t="shared" si="130"/>
        <v>0</v>
      </c>
      <c r="N66" s="166">
        <f t="shared" si="131"/>
        <v>0</v>
      </c>
      <c r="O66" s="166">
        <f t="shared" si="132"/>
        <v>0</v>
      </c>
      <c r="P66" s="166">
        <f t="shared" si="133"/>
        <v>0</v>
      </c>
      <c r="Q66" s="166">
        <f t="shared" si="134"/>
        <v>0</v>
      </c>
      <c r="R66" s="166">
        <f t="shared" si="135"/>
        <v>0</v>
      </c>
      <c r="S66" s="166">
        <f t="shared" si="136"/>
        <v>0</v>
      </c>
      <c r="T66" s="166">
        <f t="shared" si="137"/>
        <v>0</v>
      </c>
      <c r="U66" s="166">
        <f t="shared" si="138"/>
        <v>0</v>
      </c>
      <c r="V66" s="166">
        <f t="shared" si="139"/>
        <v>0</v>
      </c>
      <c r="W66" s="166">
        <f t="shared" si="140"/>
        <v>0</v>
      </c>
      <c r="X66" s="166">
        <f t="shared" si="141"/>
        <v>0</v>
      </c>
      <c r="Y66" s="166">
        <f t="shared" si="142"/>
        <v>0</v>
      </c>
      <c r="Z66" s="166">
        <f t="shared" si="143"/>
        <v>0</v>
      </c>
      <c r="AA66" s="166">
        <f t="shared" si="144"/>
        <v>0</v>
      </c>
      <c r="AB66" s="166">
        <f t="shared" si="145"/>
        <v>0</v>
      </c>
      <c r="AC66" s="166" cm="1">
        <f t="array" ref="AC66">SUMPRODUCT(G66:AB66,$G$4:$AB$4)</f>
        <v>36480</v>
      </c>
      <c r="AD66" s="89" t="b">
        <f t="shared" si="146"/>
        <v>1</v>
      </c>
      <c r="AE66" s="386">
        <f>IFERROR(SUMIF(服务费底表!$K:$K,服务费明细!$B66,服务费底表!$AD:$AD)/E66,0)</f>
        <v>9120</v>
      </c>
      <c r="AF66" s="386">
        <f t="shared" si="147"/>
        <v>36480</v>
      </c>
      <c r="AG66" s="386">
        <f>IFERROR(SUMIF(服务费底表!$K:$K,服务费明细!$B66,服务费底表!$AG:$AG)/E66,0)</f>
        <v>9120</v>
      </c>
      <c r="AH66" s="386">
        <f t="shared" si="148"/>
        <v>36480</v>
      </c>
      <c r="AI66" s="409" t="s">
        <v>1005</v>
      </c>
      <c r="AJ66" s="563">
        <f t="shared" si="149"/>
        <v>25</v>
      </c>
      <c r="AK66" s="564">
        <f>SUMIF(服务费底表!$K:$K,服务费明细!$B66,服务费底表!$AC:$AC)</f>
        <v>100</v>
      </c>
      <c r="AL66" s="166">
        <f>SUMIFS(服务费底表!$AC:$AC,服务费底表!$K:$K,服务费明细!$B66,服务费底表!$T:$T,AL$3)</f>
        <v>92</v>
      </c>
      <c r="AM66" s="166">
        <f>SUMIFS(服务费底表!$AC:$AC,服务费底表!$K:$K,服务费明细!$B66,服务费底表!$T:$T,AM$3)</f>
        <v>0</v>
      </c>
      <c r="AN66" s="166">
        <f>SUMIFS(服务费底表!$AC:$AC,服务费底表!$K:$K,服务费明细!$B66,服务费底表!$T:$T,AN$3)</f>
        <v>8</v>
      </c>
      <c r="AO66" s="166">
        <f>SUMIFS(服务费底表!$AC:$AC,服务费底表!$K:$K,服务费明细!$B66,服务费底表!$T:$T,AO$3)</f>
        <v>0</v>
      </c>
      <c r="AP66" s="166">
        <f>SUMIFS(服务费底表!$AC:$AC,服务费底表!$K:$K,服务费明细!$B66,服务费底表!$T:$T,AP$3)</f>
        <v>0</v>
      </c>
      <c r="AQ66" s="166">
        <f>SUMIFS(服务费底表!$AC:$AC,服务费底表!$K:$K,服务费明细!$B66,服务费底表!$T:$T,AQ$3)</f>
        <v>0</v>
      </c>
      <c r="AR66" s="166">
        <f>SUMIFS(服务费底表!$AC:$AC,服务费底表!$K:$K,服务费明细!$B66,服务费底表!$T:$T,AR$3)</f>
        <v>0</v>
      </c>
      <c r="AS66" s="166">
        <f>SUMIFS(服务费底表!$AC:$AC,服务费底表!$K:$K,服务费明细!$B66,服务费底表!$T:$T,AS$3)</f>
        <v>0</v>
      </c>
      <c r="AT66" s="166">
        <f>SUMIFS(服务费底表!$AC:$AC,服务费底表!$K:$K,服务费明细!$B66,服务费底表!$T:$T,AT$3)</f>
        <v>0</v>
      </c>
      <c r="AU66" s="166">
        <f>SUMIFS(服务费底表!$AC:$AC,服务费底表!$K:$K,服务费明细!$B66,服务费底表!$T:$T,AU$3)</f>
        <v>0</v>
      </c>
      <c r="AV66" s="166">
        <f>SUMIFS(服务费底表!$AC:$AC,服务费底表!$K:$K,服务费明细!$B66,服务费底表!$T:$T,AV$3)</f>
        <v>0</v>
      </c>
      <c r="AW66" s="166">
        <f>SUMIFS(服务费底表!$AC:$AC,服务费底表!$K:$K,服务费明细!$B66,服务费底表!$T:$T,AW$3)</f>
        <v>0</v>
      </c>
      <c r="AX66" s="166">
        <f>SUMIFS(服务费底表!$AC:$AC,服务费底表!$K:$K,服务费明细!$B66,服务费底表!$T:$T,AX$3)</f>
        <v>0</v>
      </c>
      <c r="AY66" s="166">
        <f>SUMIFS(服务费底表!$AC:$AC,服务费底表!$K:$K,服务费明细!$B66,服务费底表!$T:$T,AY$3)</f>
        <v>0</v>
      </c>
      <c r="AZ66" s="166">
        <f>SUMIFS(服务费底表!$AC:$AC,服务费底表!$K:$K,服务费明细!$B66,服务费底表!$T:$T,AZ$3)</f>
        <v>0</v>
      </c>
      <c r="BA66" s="166">
        <f>SUMIFS(服务费底表!$AC:$AC,服务费底表!$K:$K,服务费明细!$B66,服务费底表!$T:$T,BA$3)</f>
        <v>0</v>
      </c>
      <c r="BB66" s="166">
        <f>SUMIFS(服务费底表!$AC:$AC,服务费底表!$K:$K,服务费明细!$B66,服务费底表!$T:$T,BB$3)</f>
        <v>0</v>
      </c>
      <c r="BC66" s="166">
        <f>SUMIFS(服务费底表!$AC:$AC,服务费底表!$K:$K,服务费明细!$B66,服务费底表!$T:$T,BC$3)</f>
        <v>0</v>
      </c>
      <c r="BD66" s="166">
        <f>SUMIFS(服务费底表!$AC:$AC,服务费底表!$K:$K,服务费明细!$B66,服务费底表!$T:$T,BD$3)</f>
        <v>0</v>
      </c>
      <c r="BE66" s="166">
        <f>SUMIFS(服务费底表!$AC:$AC,服务费底表!$K:$K,服务费明细!$B66,服务费底表!$T:$T,BE$3)</f>
        <v>0</v>
      </c>
      <c r="BF66" s="166">
        <f>SUMIFS(服务费底表!$AC:$AC,服务费底表!$K:$K,服务费明细!$B66,服务费底表!$T:$T,BF$3)</f>
        <v>0</v>
      </c>
      <c r="BG66" s="166">
        <f>SUMIFS(服务费底表!$AC:$AC,服务费底表!$K:$K,服务费明细!$B66,服务费底表!$T:$T,BG$3)</f>
        <v>0</v>
      </c>
      <c r="BI66" s="388">
        <f>SUMIFS(服务费底表!$AC:$AC,服务费底表!$K:$K,服务费明细!$B66,服务费底表!$H:$H,服务费明细!BI$3)</f>
        <v>0</v>
      </c>
      <c r="BJ66" s="388">
        <f>SUMIFS(服务费底表!$AC:$AC,服务费底表!$K:$K,服务费明细!$B66,服务费底表!$H:$H,服务费明细!BJ$3)</f>
        <v>100</v>
      </c>
      <c r="BK66" s="388">
        <f>SUMIFS(服务费底表!$AC:$AC,服务费底表!$K:$K,服务费明细!$B66,服务费底表!$H:$H,服务费明细!BK$3)</f>
        <v>0</v>
      </c>
      <c r="BL66" s="388">
        <f>SUMIFS(服务费底表!$AC:$AC,服务费底表!$K:$K,服务费明细!$B66,服务费底表!$H:$H,服务费明细!BL$3)</f>
        <v>0</v>
      </c>
      <c r="BM66" s="388">
        <f>SUMIFS(服务费底表!$AC:$AC,服务费底表!$K:$K,服务费明细!$B66,服务费底表!$H:$H,服务费明细!BM$3)</f>
        <v>0</v>
      </c>
      <c r="BN66" s="388">
        <f>SUMIFS(服务费底表!$AC:$AC,服务费底表!$K:$K,服务费明细!$B66,服务费底表!$H:$H,服务费明细!BN$3)</f>
        <v>0</v>
      </c>
      <c r="BO66" s="388">
        <f>SUMIFS(服务费底表!$AC:$AC,服务费底表!$K:$K,服务费明细!$B66,服务费底表!$H:$H,服务费明细!BO$3)</f>
        <v>0</v>
      </c>
      <c r="BQ66" s="389">
        <f>SUMIFS(服务费底表!$AD:$AD,服务费底表!$K:$K,服务费明细!$B66,服务费底表!$H:$H,服务费明细!BQ$3)</f>
        <v>0</v>
      </c>
      <c r="BR66" s="389">
        <f>SUMIFS(服务费底表!$AD:$AD,服务费底表!$K:$K,服务费明细!$B66,服务费底表!$H:$H,服务费明细!BR$3)</f>
        <v>36480</v>
      </c>
      <c r="BS66" s="389">
        <f>SUMIFS(服务费底表!$AD:$AD,服务费底表!$K:$K,服务费明细!$B66,服务费底表!$H:$H,服务费明细!BS$3)</f>
        <v>0</v>
      </c>
      <c r="BT66" s="389">
        <f>SUMIFS(服务费底表!$AD:$AD,服务费底表!$K:$K,服务费明细!$B66,服务费底表!$H:$H,服务费明细!BT$3)</f>
        <v>0</v>
      </c>
      <c r="BU66" s="389">
        <f>SUMIFS(服务费底表!$AD:$AD,服务费底表!$K:$K,服务费明细!$B66,服务费底表!$H:$H,服务费明细!BU$3)</f>
        <v>0</v>
      </c>
      <c r="BV66" s="389">
        <f>SUMIFS(服务费底表!$AD:$AD,服务费底表!$K:$K,服务费明细!$B66,服务费底表!$H:$H,服务费明细!BV$3)</f>
        <v>0</v>
      </c>
      <c r="BW66" s="389">
        <f>SUMIFS(服务费底表!$AD:$AD,服务费底表!$K:$K,服务费明细!$B66,服务费底表!$H:$H,服务费明细!BW$3)</f>
        <v>0</v>
      </c>
    </row>
    <row r="67" spans="2:75">
      <c r="B67" s="89" t="s">
        <v>203</v>
      </c>
      <c r="C67" s="89" t="str">
        <f>INDEX(二三级标准!$C:$C,MATCH(服务费明细!$B67,二三级标准!$B:$B,0))</f>
        <v>数据清理访视</v>
      </c>
      <c r="D67" s="166">
        <f t="shared" si="150"/>
        <v>1</v>
      </c>
      <c r="E67" s="166">
        <f>IF($D67=1,数据清理访视次数,0)</f>
        <v>4</v>
      </c>
      <c r="F67" s="89" t="str">
        <f>INDEX(二三级标准!$G:$G,MATCH(服务费明细!$B67,二三级标准!$B:$B,0))</f>
        <v>次</v>
      </c>
      <c r="G67" s="166">
        <f t="shared" si="124"/>
        <v>76</v>
      </c>
      <c r="H67" s="166">
        <f t="shared" si="125"/>
        <v>0</v>
      </c>
      <c r="I67" s="166">
        <f t="shared" si="126"/>
        <v>8</v>
      </c>
      <c r="J67" s="166">
        <f t="shared" si="127"/>
        <v>0</v>
      </c>
      <c r="K67" s="166">
        <f t="shared" si="128"/>
        <v>0</v>
      </c>
      <c r="L67" s="166">
        <f t="shared" si="129"/>
        <v>0</v>
      </c>
      <c r="M67" s="166">
        <f t="shared" si="130"/>
        <v>0</v>
      </c>
      <c r="N67" s="166">
        <f t="shared" si="131"/>
        <v>0</v>
      </c>
      <c r="O67" s="166">
        <f t="shared" si="132"/>
        <v>0</v>
      </c>
      <c r="P67" s="166">
        <f t="shared" si="133"/>
        <v>0</v>
      </c>
      <c r="Q67" s="166">
        <f t="shared" si="134"/>
        <v>0</v>
      </c>
      <c r="R67" s="166">
        <f t="shared" si="135"/>
        <v>0</v>
      </c>
      <c r="S67" s="166">
        <f t="shared" si="136"/>
        <v>0</v>
      </c>
      <c r="T67" s="166">
        <f t="shared" si="137"/>
        <v>0</v>
      </c>
      <c r="U67" s="166">
        <f t="shared" si="138"/>
        <v>0</v>
      </c>
      <c r="V67" s="166">
        <f t="shared" si="139"/>
        <v>0</v>
      </c>
      <c r="W67" s="166">
        <f t="shared" si="140"/>
        <v>0</v>
      </c>
      <c r="X67" s="166">
        <f t="shared" si="141"/>
        <v>0</v>
      </c>
      <c r="Y67" s="166">
        <f t="shared" si="142"/>
        <v>0</v>
      </c>
      <c r="Z67" s="166">
        <f t="shared" si="143"/>
        <v>0</v>
      </c>
      <c r="AA67" s="166">
        <f t="shared" si="144"/>
        <v>0</v>
      </c>
      <c r="AB67" s="166">
        <f t="shared" si="145"/>
        <v>0</v>
      </c>
      <c r="AC67" s="166" cm="1">
        <f t="array" ref="AC67">SUMPRODUCT(G67:AB67,$G$4:$AB$4)</f>
        <v>31040</v>
      </c>
      <c r="AD67" s="89" t="b">
        <f t="shared" si="146"/>
        <v>1</v>
      </c>
      <c r="AE67" s="386">
        <f>IFERROR(SUMIF(服务费底表!$K:$K,服务费明细!$B67,服务费底表!$AD:$AD)/E67,0)</f>
        <v>7760</v>
      </c>
      <c r="AF67" s="386">
        <f t="shared" si="147"/>
        <v>31040</v>
      </c>
      <c r="AG67" s="386">
        <f>IFERROR(SUMIF(服务费底表!$K:$K,服务费明细!$B67,服务费底表!$AG:$AG)/E67,0)</f>
        <v>7760</v>
      </c>
      <c r="AH67" s="386">
        <f t="shared" si="148"/>
        <v>31040</v>
      </c>
      <c r="AI67" s="409" t="s">
        <v>1005</v>
      </c>
      <c r="AJ67" s="563">
        <f t="shared" si="149"/>
        <v>21</v>
      </c>
      <c r="AK67" s="564">
        <f>SUMIF(服务费底表!$K:$K,服务费明细!$B67,服务费底表!$AC:$AC)</f>
        <v>84</v>
      </c>
      <c r="AL67" s="166">
        <f>SUMIFS(服务费底表!$AC:$AC,服务费底表!$K:$K,服务费明细!$B67,服务费底表!$T:$T,AL$3)</f>
        <v>76</v>
      </c>
      <c r="AM67" s="166">
        <f>SUMIFS(服务费底表!$AC:$AC,服务费底表!$K:$K,服务费明细!$B67,服务费底表!$T:$T,AM$3)</f>
        <v>0</v>
      </c>
      <c r="AN67" s="166">
        <f>SUMIFS(服务费底表!$AC:$AC,服务费底表!$K:$K,服务费明细!$B67,服务费底表!$T:$T,AN$3)</f>
        <v>8</v>
      </c>
      <c r="AO67" s="166">
        <f>SUMIFS(服务费底表!$AC:$AC,服务费底表!$K:$K,服务费明细!$B67,服务费底表!$T:$T,AO$3)</f>
        <v>0</v>
      </c>
      <c r="AP67" s="166">
        <f>SUMIFS(服务费底表!$AC:$AC,服务费底表!$K:$K,服务费明细!$B67,服务费底表!$T:$T,AP$3)</f>
        <v>0</v>
      </c>
      <c r="AQ67" s="166">
        <f>SUMIFS(服务费底表!$AC:$AC,服务费底表!$K:$K,服务费明细!$B67,服务费底表!$T:$T,AQ$3)</f>
        <v>0</v>
      </c>
      <c r="AR67" s="166">
        <f>SUMIFS(服务费底表!$AC:$AC,服务费底表!$K:$K,服务费明细!$B67,服务费底表!$T:$T,AR$3)</f>
        <v>0</v>
      </c>
      <c r="AS67" s="166">
        <f>SUMIFS(服务费底表!$AC:$AC,服务费底表!$K:$K,服务费明细!$B67,服务费底表!$T:$T,AS$3)</f>
        <v>0</v>
      </c>
      <c r="AT67" s="166">
        <f>SUMIFS(服务费底表!$AC:$AC,服务费底表!$K:$K,服务费明细!$B67,服务费底表!$T:$T,AT$3)</f>
        <v>0</v>
      </c>
      <c r="AU67" s="166">
        <f>SUMIFS(服务费底表!$AC:$AC,服务费底表!$K:$K,服务费明细!$B67,服务费底表!$T:$T,AU$3)</f>
        <v>0</v>
      </c>
      <c r="AV67" s="166">
        <f>SUMIFS(服务费底表!$AC:$AC,服务费底表!$K:$K,服务费明细!$B67,服务费底表!$T:$T,AV$3)</f>
        <v>0</v>
      </c>
      <c r="AW67" s="166">
        <f>SUMIFS(服务费底表!$AC:$AC,服务费底表!$K:$K,服务费明细!$B67,服务费底表!$T:$T,AW$3)</f>
        <v>0</v>
      </c>
      <c r="AX67" s="166">
        <f>SUMIFS(服务费底表!$AC:$AC,服务费底表!$K:$K,服务费明细!$B67,服务费底表!$T:$T,AX$3)</f>
        <v>0</v>
      </c>
      <c r="AY67" s="166">
        <f>SUMIFS(服务费底表!$AC:$AC,服务费底表!$K:$K,服务费明细!$B67,服务费底表!$T:$T,AY$3)</f>
        <v>0</v>
      </c>
      <c r="AZ67" s="166">
        <f>SUMIFS(服务费底表!$AC:$AC,服务费底表!$K:$K,服务费明细!$B67,服务费底表!$T:$T,AZ$3)</f>
        <v>0</v>
      </c>
      <c r="BA67" s="166">
        <f>SUMIFS(服务费底表!$AC:$AC,服务费底表!$K:$K,服务费明细!$B67,服务费底表!$T:$T,BA$3)</f>
        <v>0</v>
      </c>
      <c r="BB67" s="166">
        <f>SUMIFS(服务费底表!$AC:$AC,服务费底表!$K:$K,服务费明细!$B67,服务费底表!$T:$T,BB$3)</f>
        <v>0</v>
      </c>
      <c r="BC67" s="166">
        <f>SUMIFS(服务费底表!$AC:$AC,服务费底表!$K:$K,服务费明细!$B67,服务费底表!$T:$T,BC$3)</f>
        <v>0</v>
      </c>
      <c r="BD67" s="166">
        <f>SUMIFS(服务费底表!$AC:$AC,服务费底表!$K:$K,服务费明细!$B67,服务费底表!$T:$T,BD$3)</f>
        <v>0</v>
      </c>
      <c r="BE67" s="166">
        <f>SUMIFS(服务费底表!$AC:$AC,服务费底表!$K:$K,服务费明细!$B67,服务费底表!$T:$T,BE$3)</f>
        <v>0</v>
      </c>
      <c r="BF67" s="166">
        <f>SUMIFS(服务费底表!$AC:$AC,服务费底表!$K:$K,服务费明细!$B67,服务费底表!$T:$T,BF$3)</f>
        <v>0</v>
      </c>
      <c r="BG67" s="166">
        <f>SUMIFS(服务费底表!$AC:$AC,服务费底表!$K:$K,服务费明细!$B67,服务费底表!$T:$T,BG$3)</f>
        <v>0</v>
      </c>
      <c r="BI67" s="388">
        <f>SUMIFS(服务费底表!$AC:$AC,服务费底表!$K:$K,服务费明细!$B67,服务费底表!$H:$H,服务费明细!BI$3)</f>
        <v>0</v>
      </c>
      <c r="BJ67" s="388">
        <f>SUMIFS(服务费底表!$AC:$AC,服务费底表!$K:$K,服务费明细!$B67,服务费底表!$H:$H,服务费明细!BJ$3)</f>
        <v>84</v>
      </c>
      <c r="BK67" s="388">
        <f>SUMIFS(服务费底表!$AC:$AC,服务费底表!$K:$K,服务费明细!$B67,服务费底表!$H:$H,服务费明细!BK$3)</f>
        <v>0</v>
      </c>
      <c r="BL67" s="388">
        <f>SUMIFS(服务费底表!$AC:$AC,服务费底表!$K:$K,服务费明细!$B67,服务费底表!$H:$H,服务费明细!BL$3)</f>
        <v>0</v>
      </c>
      <c r="BM67" s="388">
        <f>SUMIFS(服务费底表!$AC:$AC,服务费底表!$K:$K,服务费明细!$B67,服务费底表!$H:$H,服务费明细!BM$3)</f>
        <v>0</v>
      </c>
      <c r="BN67" s="388">
        <f>SUMIFS(服务费底表!$AC:$AC,服务费底表!$K:$K,服务费明细!$B67,服务费底表!$H:$H,服务费明细!BN$3)</f>
        <v>0</v>
      </c>
      <c r="BO67" s="388">
        <f>SUMIFS(服务费底表!$AC:$AC,服务费底表!$K:$K,服务费明细!$B67,服务费底表!$H:$H,服务费明细!BO$3)</f>
        <v>0</v>
      </c>
      <c r="BQ67" s="389">
        <f>SUMIFS(服务费底表!$AD:$AD,服务费底表!$K:$K,服务费明细!$B67,服务费底表!$H:$H,服务费明细!BQ$3)</f>
        <v>0</v>
      </c>
      <c r="BR67" s="389">
        <f>SUMIFS(服务费底表!$AD:$AD,服务费底表!$K:$K,服务费明细!$B67,服务费底表!$H:$H,服务费明细!BR$3)</f>
        <v>31040</v>
      </c>
      <c r="BS67" s="389">
        <f>SUMIFS(服务费底表!$AD:$AD,服务费底表!$K:$K,服务费明细!$B67,服务费底表!$H:$H,服务费明细!BS$3)</f>
        <v>0</v>
      </c>
      <c r="BT67" s="389">
        <f>SUMIFS(服务费底表!$AD:$AD,服务费底表!$K:$K,服务费明细!$B67,服务费底表!$H:$H,服务费明细!BT$3)</f>
        <v>0</v>
      </c>
      <c r="BU67" s="389">
        <f>SUMIFS(服务费底表!$AD:$AD,服务费底表!$K:$K,服务费明细!$B67,服务费底表!$H:$H,服务费明细!BU$3)</f>
        <v>0</v>
      </c>
      <c r="BV67" s="389">
        <f>SUMIFS(服务费底表!$AD:$AD,服务费底表!$K:$K,服务费明细!$B67,服务费底表!$H:$H,服务费明细!BV$3)</f>
        <v>0</v>
      </c>
      <c r="BW67" s="389">
        <f>SUMIFS(服务费底表!$AD:$AD,服务费底表!$K:$K,服务费明细!$B67,服务费底表!$H:$H,服务费明细!BW$3)</f>
        <v>0</v>
      </c>
    </row>
    <row r="68" spans="2:75">
      <c r="B68" s="89" t="s">
        <v>205</v>
      </c>
      <c r="C68" s="89" t="str">
        <f>INDEX(二三级标准!$C:$C,MATCH(服务费明细!$B68,二三级标准!$B:$B,0))</f>
        <v>总结报告CSR中心签字和盖章</v>
      </c>
      <c r="D68" s="166">
        <f t="shared" si="150"/>
        <v>1</v>
      </c>
      <c r="E68" s="166">
        <f>IF($D68=1,1,0)</f>
        <v>1</v>
      </c>
      <c r="F68" s="89" t="str">
        <f>INDEX(二三级标准!$G:$G,MATCH(服务费明细!$B68,二三级标准!$B:$B,0))</f>
        <v>份</v>
      </c>
      <c r="G68" s="166">
        <f t="shared" si="124"/>
        <v>8</v>
      </c>
      <c r="H68" s="166">
        <f t="shared" si="125"/>
        <v>0</v>
      </c>
      <c r="I68" s="166">
        <f t="shared" si="126"/>
        <v>0</v>
      </c>
      <c r="J68" s="166">
        <f t="shared" si="127"/>
        <v>0</v>
      </c>
      <c r="K68" s="166">
        <f t="shared" si="128"/>
        <v>0</v>
      </c>
      <c r="L68" s="166">
        <f t="shared" si="129"/>
        <v>0</v>
      </c>
      <c r="M68" s="166">
        <f t="shared" si="130"/>
        <v>0</v>
      </c>
      <c r="N68" s="166">
        <f t="shared" si="131"/>
        <v>0</v>
      </c>
      <c r="O68" s="166">
        <f t="shared" si="132"/>
        <v>0</v>
      </c>
      <c r="P68" s="166">
        <f t="shared" si="133"/>
        <v>0</v>
      </c>
      <c r="Q68" s="166">
        <f t="shared" si="134"/>
        <v>0</v>
      </c>
      <c r="R68" s="166">
        <f t="shared" si="135"/>
        <v>0</v>
      </c>
      <c r="S68" s="166">
        <f t="shared" si="136"/>
        <v>0</v>
      </c>
      <c r="T68" s="166">
        <f t="shared" si="137"/>
        <v>0</v>
      </c>
      <c r="U68" s="166">
        <f t="shared" si="138"/>
        <v>0</v>
      </c>
      <c r="V68" s="166">
        <f t="shared" si="139"/>
        <v>0</v>
      </c>
      <c r="W68" s="166">
        <f t="shared" si="140"/>
        <v>0</v>
      </c>
      <c r="X68" s="166">
        <f t="shared" si="141"/>
        <v>0</v>
      </c>
      <c r="Y68" s="166">
        <f t="shared" si="142"/>
        <v>0</v>
      </c>
      <c r="Z68" s="166">
        <f t="shared" si="143"/>
        <v>0</v>
      </c>
      <c r="AA68" s="166">
        <f t="shared" si="144"/>
        <v>0</v>
      </c>
      <c r="AB68" s="166">
        <f t="shared" si="145"/>
        <v>0</v>
      </c>
      <c r="AC68" s="166" cm="1">
        <f t="array" ref="AC68">SUMPRODUCT(G68:AB68,$G$4:$AB$4)</f>
        <v>2720</v>
      </c>
      <c r="AD68" s="89" t="b">
        <f t="shared" si="146"/>
        <v>1</v>
      </c>
      <c r="AE68" s="386">
        <f>IFERROR(SUMIF(服务费底表!$K:$K,服务费明细!$B68,服务费底表!$AD:$AD)/E68,0)</f>
        <v>2720</v>
      </c>
      <c r="AF68" s="386">
        <f t="shared" si="147"/>
        <v>2720</v>
      </c>
      <c r="AG68" s="386">
        <f>IFERROR(SUMIF(服务费底表!$K:$K,服务费明细!$B68,服务费底表!$AG:$AG)/E68,0)</f>
        <v>2720</v>
      </c>
      <c r="AH68" s="386">
        <f t="shared" si="148"/>
        <v>2720</v>
      </c>
      <c r="AI68" s="409" t="s">
        <v>1016</v>
      </c>
      <c r="AJ68" s="563">
        <f t="shared" si="149"/>
        <v>8</v>
      </c>
      <c r="AK68" s="564">
        <f>SUMIF(服务费底表!$K:$K,服务费明细!$B68,服务费底表!$AC:$AC)</f>
        <v>8</v>
      </c>
      <c r="AL68" s="166">
        <f>SUMIFS(服务费底表!$AC:$AC,服务费底表!$K:$K,服务费明细!$B68,服务费底表!$T:$T,AL$3)</f>
        <v>8</v>
      </c>
      <c r="AM68" s="166">
        <f>SUMIFS(服务费底表!$AC:$AC,服务费底表!$K:$K,服务费明细!$B68,服务费底表!$T:$T,AM$3)</f>
        <v>0</v>
      </c>
      <c r="AN68" s="166">
        <f>SUMIFS(服务费底表!$AC:$AC,服务费底表!$K:$K,服务费明细!$B68,服务费底表!$T:$T,AN$3)</f>
        <v>0</v>
      </c>
      <c r="AO68" s="166">
        <f>SUMIFS(服务费底表!$AC:$AC,服务费底表!$K:$K,服务费明细!$B68,服务费底表!$T:$T,AO$3)</f>
        <v>0</v>
      </c>
      <c r="AP68" s="166">
        <f>SUMIFS(服务费底表!$AC:$AC,服务费底表!$K:$K,服务费明细!$B68,服务费底表!$T:$T,AP$3)</f>
        <v>0</v>
      </c>
      <c r="AQ68" s="166">
        <f>SUMIFS(服务费底表!$AC:$AC,服务费底表!$K:$K,服务费明细!$B68,服务费底表!$T:$T,AQ$3)</f>
        <v>0</v>
      </c>
      <c r="AR68" s="166">
        <f>SUMIFS(服务费底表!$AC:$AC,服务费底表!$K:$K,服务费明细!$B68,服务费底表!$T:$T,AR$3)</f>
        <v>0</v>
      </c>
      <c r="AS68" s="166">
        <f>SUMIFS(服务费底表!$AC:$AC,服务费底表!$K:$K,服务费明细!$B68,服务费底表!$T:$T,AS$3)</f>
        <v>0</v>
      </c>
      <c r="AT68" s="166">
        <f>SUMIFS(服务费底表!$AC:$AC,服务费底表!$K:$K,服务费明细!$B68,服务费底表!$T:$T,AT$3)</f>
        <v>0</v>
      </c>
      <c r="AU68" s="166">
        <f>SUMIFS(服务费底表!$AC:$AC,服务费底表!$K:$K,服务费明细!$B68,服务费底表!$T:$T,AU$3)</f>
        <v>0</v>
      </c>
      <c r="AV68" s="166">
        <f>SUMIFS(服务费底表!$AC:$AC,服务费底表!$K:$K,服务费明细!$B68,服务费底表!$T:$T,AV$3)</f>
        <v>0</v>
      </c>
      <c r="AW68" s="166">
        <f>SUMIFS(服务费底表!$AC:$AC,服务费底表!$K:$K,服务费明细!$B68,服务费底表!$T:$T,AW$3)</f>
        <v>0</v>
      </c>
      <c r="AX68" s="166">
        <f>SUMIFS(服务费底表!$AC:$AC,服务费底表!$K:$K,服务费明细!$B68,服务费底表!$T:$T,AX$3)</f>
        <v>0</v>
      </c>
      <c r="AY68" s="166">
        <f>SUMIFS(服务费底表!$AC:$AC,服务费底表!$K:$K,服务费明细!$B68,服务费底表!$T:$T,AY$3)</f>
        <v>0</v>
      </c>
      <c r="AZ68" s="166">
        <f>SUMIFS(服务费底表!$AC:$AC,服务费底表!$K:$K,服务费明细!$B68,服务费底表!$T:$T,AZ$3)</f>
        <v>0</v>
      </c>
      <c r="BA68" s="166">
        <f>SUMIFS(服务费底表!$AC:$AC,服务费底表!$K:$K,服务费明细!$B68,服务费底表!$T:$T,BA$3)</f>
        <v>0</v>
      </c>
      <c r="BB68" s="166">
        <f>SUMIFS(服务费底表!$AC:$AC,服务费底表!$K:$K,服务费明细!$B68,服务费底表!$T:$T,BB$3)</f>
        <v>0</v>
      </c>
      <c r="BC68" s="166">
        <f>SUMIFS(服务费底表!$AC:$AC,服务费底表!$K:$K,服务费明细!$B68,服务费底表!$T:$T,BC$3)</f>
        <v>0</v>
      </c>
      <c r="BD68" s="166">
        <f>SUMIFS(服务费底表!$AC:$AC,服务费底表!$K:$K,服务费明细!$B68,服务费底表!$T:$T,BD$3)</f>
        <v>0</v>
      </c>
      <c r="BE68" s="166">
        <f>SUMIFS(服务费底表!$AC:$AC,服务费底表!$K:$K,服务费明细!$B68,服务费底表!$T:$T,BE$3)</f>
        <v>0</v>
      </c>
      <c r="BF68" s="166">
        <f>SUMIFS(服务费底表!$AC:$AC,服务费底表!$K:$K,服务费明细!$B68,服务费底表!$T:$T,BF$3)</f>
        <v>0</v>
      </c>
      <c r="BG68" s="166">
        <f>SUMIFS(服务费底表!$AC:$AC,服务费底表!$K:$K,服务费明细!$B68,服务费底表!$T:$T,BG$3)</f>
        <v>0</v>
      </c>
      <c r="BI68" s="388">
        <f>SUMIFS(服务费底表!$AC:$AC,服务费底表!$K:$K,服务费明细!$B68,服务费底表!$H:$H,服务费明细!BI$3)</f>
        <v>0</v>
      </c>
      <c r="BJ68" s="388">
        <f>SUMIFS(服务费底表!$AC:$AC,服务费底表!$K:$K,服务费明细!$B68,服务费底表!$H:$H,服务费明细!BJ$3)</f>
        <v>8</v>
      </c>
      <c r="BK68" s="388">
        <f>SUMIFS(服务费底表!$AC:$AC,服务费底表!$K:$K,服务费明细!$B68,服务费底表!$H:$H,服务费明细!BK$3)</f>
        <v>0</v>
      </c>
      <c r="BL68" s="388">
        <f>SUMIFS(服务费底表!$AC:$AC,服务费底表!$K:$K,服务费明细!$B68,服务费底表!$H:$H,服务费明细!BL$3)</f>
        <v>0</v>
      </c>
      <c r="BM68" s="388">
        <f>SUMIFS(服务费底表!$AC:$AC,服务费底表!$K:$K,服务费明细!$B68,服务费底表!$H:$H,服务费明细!BM$3)</f>
        <v>0</v>
      </c>
      <c r="BN68" s="388">
        <f>SUMIFS(服务费底表!$AC:$AC,服务费底表!$K:$K,服务费明细!$B68,服务费底表!$H:$H,服务费明细!BN$3)</f>
        <v>0</v>
      </c>
      <c r="BO68" s="388">
        <f>SUMIFS(服务费底表!$AC:$AC,服务费底表!$K:$K,服务费明细!$B68,服务费底表!$H:$H,服务费明细!BO$3)</f>
        <v>0</v>
      </c>
      <c r="BQ68" s="389">
        <f>SUMIFS(服务费底表!$AD:$AD,服务费底表!$K:$K,服务费明细!$B68,服务费底表!$H:$H,服务费明细!BQ$3)</f>
        <v>0</v>
      </c>
      <c r="BR68" s="389">
        <f>SUMIFS(服务费底表!$AD:$AD,服务费底表!$K:$K,服务费明细!$B68,服务费底表!$H:$H,服务费明细!BR$3)</f>
        <v>2720</v>
      </c>
      <c r="BS68" s="389">
        <f>SUMIFS(服务费底表!$AD:$AD,服务费底表!$K:$K,服务费明细!$B68,服务费底表!$H:$H,服务费明细!BS$3)</f>
        <v>0</v>
      </c>
      <c r="BT68" s="389">
        <f>SUMIFS(服务费底表!$AD:$AD,服务费底表!$K:$K,服务费明细!$B68,服务费底表!$H:$H,服务费明细!BT$3)</f>
        <v>0</v>
      </c>
      <c r="BU68" s="389">
        <f>SUMIFS(服务费底表!$AD:$AD,服务费底表!$K:$K,服务费明细!$B68,服务费底表!$H:$H,服务费明细!BU$3)</f>
        <v>0</v>
      </c>
      <c r="BV68" s="389">
        <f>SUMIFS(服务费底表!$AD:$AD,服务费底表!$K:$K,服务费明细!$B68,服务费底表!$H:$H,服务费明细!BV$3)</f>
        <v>0</v>
      </c>
      <c r="BW68" s="389">
        <f>SUMIFS(服务费底表!$AD:$AD,服务费底表!$K:$K,服务费明细!$B68,服务费底表!$H:$H,服务费明细!BW$3)</f>
        <v>0</v>
      </c>
    </row>
    <row r="69" spans="2:75">
      <c r="B69" s="89" t="s">
        <v>207</v>
      </c>
      <c r="C69" s="89" t="str">
        <f>INDEX(二三级标准!$C:$C,MATCH(服务费明细!$B69,二三级标准!$B:$B,0))</f>
        <v>关闭访视</v>
      </c>
      <c r="D69" s="166">
        <f t="shared" si="150"/>
        <v>1</v>
      </c>
      <c r="E69" s="166">
        <f>IF($D69=1,关闭访视次数,0)</f>
        <v>4</v>
      </c>
      <c r="F69" s="89" t="str">
        <f>INDEX(二三级标准!$G:$G,MATCH(服务费明细!$B69,二三级标准!$B:$B,0))</f>
        <v>次</v>
      </c>
      <c r="G69" s="166">
        <f t="shared" si="124"/>
        <v>144</v>
      </c>
      <c r="H69" s="166">
        <f t="shared" si="125"/>
        <v>0</v>
      </c>
      <c r="I69" s="166">
        <f t="shared" si="126"/>
        <v>8</v>
      </c>
      <c r="J69" s="166">
        <f t="shared" si="127"/>
        <v>0</v>
      </c>
      <c r="K69" s="166">
        <f t="shared" si="128"/>
        <v>0</v>
      </c>
      <c r="L69" s="166">
        <f t="shared" si="129"/>
        <v>0</v>
      </c>
      <c r="M69" s="166">
        <f t="shared" si="130"/>
        <v>0</v>
      </c>
      <c r="N69" s="166">
        <f t="shared" si="131"/>
        <v>0</v>
      </c>
      <c r="O69" s="166">
        <f t="shared" si="132"/>
        <v>0</v>
      </c>
      <c r="P69" s="166">
        <f t="shared" si="133"/>
        <v>0</v>
      </c>
      <c r="Q69" s="166">
        <f t="shared" si="134"/>
        <v>0</v>
      </c>
      <c r="R69" s="166">
        <f t="shared" si="135"/>
        <v>0</v>
      </c>
      <c r="S69" s="166">
        <f t="shared" si="136"/>
        <v>0</v>
      </c>
      <c r="T69" s="166">
        <f t="shared" si="137"/>
        <v>0</v>
      </c>
      <c r="U69" s="166">
        <f t="shared" si="138"/>
        <v>0</v>
      </c>
      <c r="V69" s="166">
        <f t="shared" si="139"/>
        <v>0</v>
      </c>
      <c r="W69" s="166">
        <f t="shared" si="140"/>
        <v>0</v>
      </c>
      <c r="X69" s="166">
        <f t="shared" si="141"/>
        <v>0</v>
      </c>
      <c r="Y69" s="166">
        <f t="shared" si="142"/>
        <v>0</v>
      </c>
      <c r="Z69" s="166">
        <f t="shared" si="143"/>
        <v>0</v>
      </c>
      <c r="AA69" s="166">
        <f t="shared" si="144"/>
        <v>0</v>
      </c>
      <c r="AB69" s="166">
        <f t="shared" si="145"/>
        <v>0</v>
      </c>
      <c r="AC69" s="166" cm="1">
        <f t="array" ref="AC69">SUMPRODUCT(G69:AB69,$G$4:$AB$4)</f>
        <v>54160</v>
      </c>
      <c r="AD69" s="89" t="b">
        <f t="shared" si="146"/>
        <v>1</v>
      </c>
      <c r="AE69" s="386">
        <f>IFERROR(SUMIF(服务费底表!$K:$K,服务费明细!$B69,服务费底表!$AD:$AD)/E69,0)</f>
        <v>13540</v>
      </c>
      <c r="AF69" s="386">
        <f t="shared" si="147"/>
        <v>54160</v>
      </c>
      <c r="AG69" s="386">
        <f>IFERROR(SUMIF(服务费底表!$K:$K,服务费明细!$B69,服务费底表!$AG:$AG)/E69,0)</f>
        <v>13540</v>
      </c>
      <c r="AH69" s="386">
        <f t="shared" si="148"/>
        <v>54160</v>
      </c>
      <c r="AI69" s="409" t="s">
        <v>1005</v>
      </c>
      <c r="AJ69" s="563">
        <f t="shared" si="149"/>
        <v>38</v>
      </c>
      <c r="AK69" s="564">
        <f>SUMIF(服务费底表!$K:$K,服务费明细!$B69,服务费底表!$AC:$AC)</f>
        <v>152</v>
      </c>
      <c r="AL69" s="166">
        <f>SUMIFS(服务费底表!$AC:$AC,服务费底表!$K:$K,服务费明细!$B69,服务费底表!$T:$T,AL$3)</f>
        <v>144</v>
      </c>
      <c r="AM69" s="166">
        <f>SUMIFS(服务费底表!$AC:$AC,服务费底表!$K:$K,服务费明细!$B69,服务费底表!$T:$T,AM$3)</f>
        <v>0</v>
      </c>
      <c r="AN69" s="166">
        <f>SUMIFS(服务费底表!$AC:$AC,服务费底表!$K:$K,服务费明细!$B69,服务费底表!$T:$T,AN$3)</f>
        <v>8</v>
      </c>
      <c r="AO69" s="166">
        <f>SUMIFS(服务费底表!$AC:$AC,服务费底表!$K:$K,服务费明细!$B69,服务费底表!$T:$T,AO$3)</f>
        <v>0</v>
      </c>
      <c r="AP69" s="166">
        <f>SUMIFS(服务费底表!$AC:$AC,服务费底表!$K:$K,服务费明细!$B69,服务费底表!$T:$T,AP$3)</f>
        <v>0</v>
      </c>
      <c r="AQ69" s="166">
        <f>SUMIFS(服务费底表!$AC:$AC,服务费底表!$K:$K,服务费明细!$B69,服务费底表!$T:$T,AQ$3)</f>
        <v>0</v>
      </c>
      <c r="AR69" s="166">
        <f>SUMIFS(服务费底表!$AC:$AC,服务费底表!$K:$K,服务费明细!$B69,服务费底表!$T:$T,AR$3)</f>
        <v>0</v>
      </c>
      <c r="AS69" s="166">
        <f>SUMIFS(服务费底表!$AC:$AC,服务费底表!$K:$K,服务费明细!$B69,服务费底表!$T:$T,AS$3)</f>
        <v>0</v>
      </c>
      <c r="AT69" s="166">
        <f>SUMIFS(服务费底表!$AC:$AC,服务费底表!$K:$K,服务费明细!$B69,服务费底表!$T:$T,AT$3)</f>
        <v>0</v>
      </c>
      <c r="AU69" s="166">
        <f>SUMIFS(服务费底表!$AC:$AC,服务费底表!$K:$K,服务费明细!$B69,服务费底表!$T:$T,AU$3)</f>
        <v>0</v>
      </c>
      <c r="AV69" s="166">
        <f>SUMIFS(服务费底表!$AC:$AC,服务费底表!$K:$K,服务费明细!$B69,服务费底表!$T:$T,AV$3)</f>
        <v>0</v>
      </c>
      <c r="AW69" s="166">
        <f>SUMIFS(服务费底表!$AC:$AC,服务费底表!$K:$K,服务费明细!$B69,服务费底表!$T:$T,AW$3)</f>
        <v>0</v>
      </c>
      <c r="AX69" s="166">
        <f>SUMIFS(服务费底表!$AC:$AC,服务费底表!$K:$K,服务费明细!$B69,服务费底表!$T:$T,AX$3)</f>
        <v>0</v>
      </c>
      <c r="AY69" s="166">
        <f>SUMIFS(服务费底表!$AC:$AC,服务费底表!$K:$K,服务费明细!$B69,服务费底表!$T:$T,AY$3)</f>
        <v>0</v>
      </c>
      <c r="AZ69" s="166">
        <f>SUMIFS(服务费底表!$AC:$AC,服务费底表!$K:$K,服务费明细!$B69,服务费底表!$T:$T,AZ$3)</f>
        <v>0</v>
      </c>
      <c r="BA69" s="166">
        <f>SUMIFS(服务费底表!$AC:$AC,服务费底表!$K:$K,服务费明细!$B69,服务费底表!$T:$T,BA$3)</f>
        <v>0</v>
      </c>
      <c r="BB69" s="166">
        <f>SUMIFS(服务费底表!$AC:$AC,服务费底表!$K:$K,服务费明细!$B69,服务费底表!$T:$T,BB$3)</f>
        <v>0</v>
      </c>
      <c r="BC69" s="166">
        <f>SUMIFS(服务费底表!$AC:$AC,服务费底表!$K:$K,服务费明细!$B69,服务费底表!$T:$T,BC$3)</f>
        <v>0</v>
      </c>
      <c r="BD69" s="166">
        <f>SUMIFS(服务费底表!$AC:$AC,服务费底表!$K:$K,服务费明细!$B69,服务费底表!$T:$T,BD$3)</f>
        <v>0</v>
      </c>
      <c r="BE69" s="166">
        <f>SUMIFS(服务费底表!$AC:$AC,服务费底表!$K:$K,服务费明细!$B69,服务费底表!$T:$T,BE$3)</f>
        <v>0</v>
      </c>
      <c r="BF69" s="166">
        <f>SUMIFS(服务费底表!$AC:$AC,服务费底表!$K:$K,服务费明细!$B69,服务费底表!$T:$T,BF$3)</f>
        <v>0</v>
      </c>
      <c r="BG69" s="166">
        <f>SUMIFS(服务费底表!$AC:$AC,服务费底表!$K:$K,服务费明细!$B69,服务费底表!$T:$T,BG$3)</f>
        <v>0</v>
      </c>
      <c r="BI69" s="388">
        <f>SUMIFS(服务费底表!$AC:$AC,服务费底表!$K:$K,服务费明细!$B69,服务费底表!$H:$H,服务费明细!BI$3)</f>
        <v>0</v>
      </c>
      <c r="BJ69" s="388">
        <f>SUMIFS(服务费底表!$AC:$AC,服务费底表!$K:$K,服务费明细!$B69,服务费底表!$H:$H,服务费明细!BJ$3)</f>
        <v>152</v>
      </c>
      <c r="BK69" s="388">
        <f>SUMIFS(服务费底表!$AC:$AC,服务费底表!$K:$K,服务费明细!$B69,服务费底表!$H:$H,服务费明细!BK$3)</f>
        <v>0</v>
      </c>
      <c r="BL69" s="388">
        <f>SUMIFS(服务费底表!$AC:$AC,服务费底表!$K:$K,服务费明细!$B69,服务费底表!$H:$H,服务费明细!BL$3)</f>
        <v>0</v>
      </c>
      <c r="BM69" s="388">
        <f>SUMIFS(服务费底表!$AC:$AC,服务费底表!$K:$K,服务费明细!$B69,服务费底表!$H:$H,服务费明细!BM$3)</f>
        <v>0</v>
      </c>
      <c r="BN69" s="388">
        <f>SUMIFS(服务费底表!$AC:$AC,服务费底表!$K:$K,服务费明细!$B69,服务费底表!$H:$H,服务费明细!BN$3)</f>
        <v>0</v>
      </c>
      <c r="BO69" s="388">
        <f>SUMIFS(服务费底表!$AC:$AC,服务费底表!$K:$K,服务费明细!$B69,服务费底表!$H:$H,服务费明细!BO$3)</f>
        <v>0</v>
      </c>
      <c r="BQ69" s="389">
        <f>SUMIFS(服务费底表!$AD:$AD,服务费底表!$K:$K,服务费明细!$B69,服务费底表!$H:$H,服务费明细!BQ$3)</f>
        <v>0</v>
      </c>
      <c r="BR69" s="389">
        <f>SUMIFS(服务费底表!$AD:$AD,服务费底表!$K:$K,服务费明细!$B69,服务费底表!$H:$H,服务费明细!BR$3)</f>
        <v>54160</v>
      </c>
      <c r="BS69" s="389">
        <f>SUMIFS(服务费底表!$AD:$AD,服务费底表!$K:$K,服务费明细!$B69,服务费底表!$H:$H,服务费明细!BS$3)</f>
        <v>0</v>
      </c>
      <c r="BT69" s="389">
        <f>SUMIFS(服务费底表!$AD:$AD,服务费底表!$K:$K,服务费明细!$B69,服务费底表!$H:$H,服务费明细!BT$3)</f>
        <v>0</v>
      </c>
      <c r="BU69" s="389">
        <f>SUMIFS(服务费底表!$AD:$AD,服务费底表!$K:$K,服务费明细!$B69,服务费底表!$H:$H,服务费明细!BU$3)</f>
        <v>0</v>
      </c>
      <c r="BV69" s="389">
        <f>SUMIFS(服务费底表!$AD:$AD,服务费底表!$K:$K,服务费明细!$B69,服务费底表!$H:$H,服务费明细!BV$3)</f>
        <v>0</v>
      </c>
      <c r="BW69" s="389">
        <f>SUMIFS(服务费底表!$AD:$AD,服务费底表!$K:$K,服务费明细!$B69,服务费底表!$H:$H,服务费明细!BW$3)</f>
        <v>0</v>
      </c>
    </row>
    <row r="70" ht="15.6" spans="2:75">
      <c r="B70" s="88" t="s">
        <v>921</v>
      </c>
      <c r="C70" s="88" t="str">
        <f>INDEX(二三级标准!$Q:$Q,MATCH(服务费明细!$B70,二三级标准!$O:$O,0))</f>
        <v>项目管理</v>
      </c>
      <c r="D70" s="376">
        <f>IF(项目管理YN=1,1,0)</f>
        <v>1</v>
      </c>
      <c r="E70" s="377"/>
      <c r="F70" s="378"/>
      <c r="G70" s="429">
        <f>SUM(G71:G96)</f>
        <v>191.5</v>
      </c>
      <c r="H70" s="429">
        <f t="shared" ref="H70:AB70" si="151">SUM(H71:H96)</f>
        <v>198</v>
      </c>
      <c r="I70" s="429">
        <f t="shared" si="151"/>
        <v>900.4</v>
      </c>
      <c r="J70" s="429">
        <f t="shared" si="151"/>
        <v>34.25</v>
      </c>
      <c r="K70" s="429">
        <f t="shared" si="151"/>
        <v>51</v>
      </c>
      <c r="L70" s="429">
        <f t="shared" si="151"/>
        <v>0</v>
      </c>
      <c r="M70" s="429">
        <f t="shared" si="151"/>
        <v>22.25</v>
      </c>
      <c r="N70" s="429">
        <f t="shared" si="151"/>
        <v>0</v>
      </c>
      <c r="O70" s="429">
        <f t="shared" si="151"/>
        <v>8.25</v>
      </c>
      <c r="P70" s="429">
        <f t="shared" si="151"/>
        <v>0</v>
      </c>
      <c r="Q70" s="429">
        <f t="shared" si="151"/>
        <v>0</v>
      </c>
      <c r="R70" s="429">
        <f t="shared" si="151"/>
        <v>0</v>
      </c>
      <c r="S70" s="429">
        <f t="shared" si="151"/>
        <v>8.25</v>
      </c>
      <c r="T70" s="429">
        <f t="shared" si="151"/>
        <v>0</v>
      </c>
      <c r="U70" s="429">
        <f t="shared" si="151"/>
        <v>0</v>
      </c>
      <c r="V70" s="429">
        <f t="shared" si="151"/>
        <v>8.25</v>
      </c>
      <c r="W70" s="429">
        <f t="shared" si="151"/>
        <v>0</v>
      </c>
      <c r="X70" s="429">
        <f t="shared" si="151"/>
        <v>0</v>
      </c>
      <c r="Y70" s="429">
        <f t="shared" si="151"/>
        <v>8.25</v>
      </c>
      <c r="Z70" s="429">
        <f t="shared" si="151"/>
        <v>0</v>
      </c>
      <c r="AA70" s="429">
        <f t="shared" si="151"/>
        <v>0</v>
      </c>
      <c r="AB70" s="429">
        <f t="shared" si="151"/>
        <v>0</v>
      </c>
      <c r="AC70" s="378"/>
      <c r="AD70" s="378">
        <f>SUM(G70:AB70)</f>
        <v>1430.4</v>
      </c>
      <c r="AE70" s="379"/>
      <c r="AF70" s="380">
        <f>SUM(AF71:AF96)</f>
        <v>782562.5</v>
      </c>
      <c r="AG70" s="380"/>
      <c r="AH70" s="380">
        <f>SUM(AH71:AH96)</f>
        <v>782562.5</v>
      </c>
      <c r="AI70" s="570"/>
      <c r="AJ70" s="566"/>
      <c r="AK70" s="559">
        <f>SUM(AK71:AK96)</f>
        <v>1430.4</v>
      </c>
      <c r="AL70" s="166">
        <f>SUMIFS(服务费底表!$AC:$AC,服务费底表!$K:$K,服务费明细!$B70,服务费底表!$T:$T,AL$3)</f>
        <v>0</v>
      </c>
      <c r="AM70" s="166">
        <f>SUMIFS(服务费底表!$AC:$AC,服务费底表!$K:$K,服务费明细!$B70,服务费底表!$T:$T,AM$3)</f>
        <v>0</v>
      </c>
      <c r="AN70" s="166">
        <f>SUMIFS(服务费底表!$AC:$AC,服务费底表!$K:$K,服务费明细!$B70,服务费底表!$T:$T,AN$3)</f>
        <v>0</v>
      </c>
      <c r="AO70" s="166">
        <f>SUMIFS(服务费底表!$AC:$AC,服务费底表!$K:$K,服务费明细!$B70,服务费底表!$T:$T,AO$3)</f>
        <v>0</v>
      </c>
      <c r="AP70" s="166">
        <f>SUMIFS(服务费底表!$AC:$AC,服务费底表!$K:$K,服务费明细!$B70,服务费底表!$T:$T,AP$3)</f>
        <v>0</v>
      </c>
      <c r="AQ70" s="166">
        <f>SUMIFS(服务费底表!$AC:$AC,服务费底表!$K:$K,服务费明细!$B70,服务费底表!$T:$T,AQ$3)</f>
        <v>0</v>
      </c>
      <c r="AR70" s="166">
        <f>SUMIFS(服务费底表!$AC:$AC,服务费底表!$K:$K,服务费明细!$B70,服务费底表!$T:$T,AR$3)</f>
        <v>0</v>
      </c>
      <c r="AS70" s="166">
        <f>SUMIFS(服务费底表!$AC:$AC,服务费底表!$K:$K,服务费明细!$B70,服务费底表!$T:$T,AS$3)</f>
        <v>0</v>
      </c>
      <c r="AT70" s="166">
        <f>SUMIFS(服务费底表!$AC:$AC,服务费底表!$K:$K,服务费明细!$B70,服务费底表!$T:$T,AT$3)</f>
        <v>0</v>
      </c>
      <c r="AU70" s="166">
        <f>SUMIFS(服务费底表!$AC:$AC,服务费底表!$K:$K,服务费明细!$B70,服务费底表!$T:$T,AU$3)</f>
        <v>0</v>
      </c>
      <c r="AV70" s="166">
        <f>SUMIFS(服务费底表!$AC:$AC,服务费底表!$K:$K,服务费明细!$B70,服务费底表!$T:$T,AV$3)</f>
        <v>0</v>
      </c>
      <c r="AW70" s="166">
        <f>SUMIFS(服务费底表!$AC:$AC,服务费底表!$K:$K,服务费明细!$B70,服务费底表!$T:$T,AW$3)</f>
        <v>0</v>
      </c>
      <c r="AX70" s="166">
        <f>SUMIFS(服务费底表!$AC:$AC,服务费底表!$K:$K,服务费明细!$B70,服务费底表!$T:$T,AX$3)</f>
        <v>0</v>
      </c>
      <c r="AY70" s="166">
        <f>SUMIFS(服务费底表!$AC:$AC,服务费底表!$K:$K,服务费明细!$B70,服务费底表!$T:$T,AY$3)</f>
        <v>0</v>
      </c>
      <c r="AZ70" s="166">
        <f>SUMIFS(服务费底表!$AC:$AC,服务费底表!$K:$K,服务费明细!$B70,服务费底表!$T:$T,AZ$3)</f>
        <v>0</v>
      </c>
      <c r="BA70" s="166">
        <f>SUMIFS(服务费底表!$AC:$AC,服务费底表!$K:$K,服务费明细!$B70,服务费底表!$T:$T,BA$3)</f>
        <v>0</v>
      </c>
      <c r="BB70" s="166">
        <f>SUMIFS(服务费底表!$AC:$AC,服务费底表!$K:$K,服务费明细!$B70,服务费底表!$T:$T,BB$3)</f>
        <v>0</v>
      </c>
      <c r="BC70" s="166">
        <f>SUMIFS(服务费底表!$AC:$AC,服务费底表!$K:$K,服务费明细!$B70,服务费底表!$T:$T,BC$3)</f>
        <v>0</v>
      </c>
      <c r="BD70" s="166">
        <f>SUMIFS(服务费底表!$AC:$AC,服务费底表!$K:$K,服务费明细!$B70,服务费底表!$T:$T,BD$3)</f>
        <v>0</v>
      </c>
      <c r="BE70" s="166">
        <f>SUMIFS(服务费底表!$AC:$AC,服务费底表!$K:$K,服务费明细!$B70,服务费底表!$T:$T,BE$3)</f>
        <v>0</v>
      </c>
      <c r="BF70" s="166">
        <f>SUMIFS(服务费底表!$AC:$AC,服务费底表!$K:$K,服务费明细!$B70,服务费底表!$T:$T,BF$3)</f>
        <v>0</v>
      </c>
      <c r="BG70" s="166">
        <f>SUMIFS(服务费底表!$AC:$AC,服务费底表!$K:$K,服务费明细!$B70,服务费底表!$T:$T,BG$3)</f>
        <v>0</v>
      </c>
      <c r="BH70" s="572"/>
      <c r="BI70" s="568">
        <f t="shared" ref="BI70:BO70" si="152">SUM(BI71:BI96)</f>
        <v>22.25</v>
      </c>
      <c r="BJ70" s="568">
        <f t="shared" si="152"/>
        <v>1326.75</v>
      </c>
      <c r="BK70" s="568">
        <f t="shared" si="152"/>
        <v>8.25</v>
      </c>
      <c r="BL70" s="568">
        <f t="shared" si="152"/>
        <v>8.25</v>
      </c>
      <c r="BM70" s="568">
        <f t="shared" si="152"/>
        <v>8.25</v>
      </c>
      <c r="BN70" s="568">
        <f t="shared" si="152"/>
        <v>8.25</v>
      </c>
      <c r="BO70" s="568">
        <f t="shared" si="152"/>
        <v>0</v>
      </c>
      <c r="BQ70" s="569">
        <f t="shared" ref="BQ70:BW70" si="153">SUM(BQ71:BQ96)</f>
        <v>14462.5</v>
      </c>
      <c r="BR70" s="569">
        <f t="shared" si="153"/>
        <v>730390</v>
      </c>
      <c r="BS70" s="569">
        <f t="shared" si="153"/>
        <v>2970</v>
      </c>
      <c r="BT70" s="569">
        <f t="shared" si="153"/>
        <v>3300</v>
      </c>
      <c r="BU70" s="569">
        <f t="shared" si="153"/>
        <v>4125</v>
      </c>
      <c r="BV70" s="569">
        <f t="shared" si="153"/>
        <v>5775</v>
      </c>
      <c r="BW70" s="569">
        <f t="shared" si="153"/>
        <v>0</v>
      </c>
    </row>
    <row r="71" ht="26.4" spans="2:75">
      <c r="B71" s="89" t="s">
        <v>209</v>
      </c>
      <c r="C71" s="89" t="str">
        <f>INDEX(二三级标准!$C:$C,MATCH(服务费明细!$B71,二三级标准!$B:$B,0))</f>
        <v>项目管理计划PMP撰写</v>
      </c>
      <c r="D71" s="166">
        <f>IF($D$70=1,1,0)</f>
        <v>1</v>
      </c>
      <c r="E71" s="166">
        <f>IF($D71=1,1,0)</f>
        <v>1</v>
      </c>
      <c r="F71" s="89" t="str">
        <f>INDEX(二三级标准!$G:$G,MATCH(服务费明细!$B71,二三级标准!$B:$B,0))</f>
        <v>份</v>
      </c>
      <c r="G71" s="166">
        <f t="shared" ref="G71:AB71" si="154">AL71</f>
        <v>0</v>
      </c>
      <c r="H71" s="166">
        <f t="shared" si="154"/>
        <v>0</v>
      </c>
      <c r="I71" s="166">
        <f t="shared" si="154"/>
        <v>36</v>
      </c>
      <c r="J71" s="166">
        <f t="shared" si="154"/>
        <v>10</v>
      </c>
      <c r="K71" s="166">
        <f t="shared" si="154"/>
        <v>0</v>
      </c>
      <c r="L71" s="166">
        <f t="shared" si="154"/>
        <v>0</v>
      </c>
      <c r="M71" s="166">
        <f t="shared" si="154"/>
        <v>0</v>
      </c>
      <c r="N71" s="166">
        <f t="shared" si="154"/>
        <v>0</v>
      </c>
      <c r="O71" s="166">
        <f t="shared" si="154"/>
        <v>0</v>
      </c>
      <c r="P71" s="166">
        <f t="shared" si="154"/>
        <v>0</v>
      </c>
      <c r="Q71" s="166">
        <f t="shared" si="154"/>
        <v>0</v>
      </c>
      <c r="R71" s="166">
        <f t="shared" si="154"/>
        <v>0</v>
      </c>
      <c r="S71" s="166">
        <f t="shared" si="154"/>
        <v>0</v>
      </c>
      <c r="T71" s="166">
        <f t="shared" si="154"/>
        <v>0</v>
      </c>
      <c r="U71" s="166">
        <f t="shared" si="154"/>
        <v>0</v>
      </c>
      <c r="V71" s="166">
        <f t="shared" si="154"/>
        <v>0</v>
      </c>
      <c r="W71" s="166">
        <f t="shared" si="154"/>
        <v>0</v>
      </c>
      <c r="X71" s="166">
        <f t="shared" si="154"/>
        <v>0</v>
      </c>
      <c r="Y71" s="166">
        <f t="shared" si="154"/>
        <v>0</v>
      </c>
      <c r="Z71" s="166">
        <f t="shared" si="154"/>
        <v>0</v>
      </c>
      <c r="AA71" s="166">
        <f t="shared" si="154"/>
        <v>0</v>
      </c>
      <c r="AB71" s="166">
        <f t="shared" si="154"/>
        <v>0</v>
      </c>
      <c r="AC71" s="166" cm="1">
        <f t="array" ref="AC71">SUMPRODUCT(G71:AB71,$G$4:$AB$4)</f>
        <v>31400</v>
      </c>
      <c r="AD71" s="89" t="b">
        <f>IF(AF71=AC71,TRUE,FALSE)</f>
        <v>1</v>
      </c>
      <c r="AE71" s="386">
        <f>IFERROR(SUMIF(服务费底表!$K:$K,服务费明细!$B71,服务费底表!$AD:$AD)/E71,0)</f>
        <v>31400</v>
      </c>
      <c r="AF71" s="386">
        <f>E71*AE71</f>
        <v>31400</v>
      </c>
      <c r="AG71" s="386">
        <f>IFERROR(SUMIF(服务费底表!$K:$K,服务费明细!$B71,服务费底表!$AG:$AG)/E71,0)</f>
        <v>31400</v>
      </c>
      <c r="AH71" s="386">
        <f>AG71*E71</f>
        <v>31400</v>
      </c>
      <c r="AI71" s="409" t="s">
        <v>1017</v>
      </c>
      <c r="AJ71" s="563">
        <f>IF(D71=1,AK71/E71,0)</f>
        <v>46</v>
      </c>
      <c r="AK71" s="564">
        <f>SUMIF(服务费底表!$K:$K,服务费明细!$B71,服务费底表!$AC:$AC)</f>
        <v>46</v>
      </c>
      <c r="AL71" s="166">
        <f>SUMIFS(服务费底表!$AC:$AC,服务费底表!$K:$K,服务费明细!$B71,服务费底表!$T:$T,AL$3)</f>
        <v>0</v>
      </c>
      <c r="AM71" s="166">
        <f>SUMIFS(服务费底表!$AC:$AC,服务费底表!$K:$K,服务费明细!$B71,服务费底表!$T:$T,AM$3)</f>
        <v>0</v>
      </c>
      <c r="AN71" s="166">
        <f>SUMIFS(服务费底表!$AC:$AC,服务费底表!$K:$K,服务费明细!$B71,服务费底表!$T:$T,AN$3)</f>
        <v>36</v>
      </c>
      <c r="AO71" s="166">
        <f>SUMIFS(服务费底表!$AC:$AC,服务费底表!$K:$K,服务费明细!$B71,服务费底表!$T:$T,AO$3)</f>
        <v>10</v>
      </c>
      <c r="AP71" s="166">
        <f>SUMIFS(服务费底表!$AC:$AC,服务费底表!$K:$K,服务费明细!$B71,服务费底表!$T:$T,AP$3)</f>
        <v>0</v>
      </c>
      <c r="AQ71" s="166">
        <f>SUMIFS(服务费底表!$AC:$AC,服务费底表!$K:$K,服务费明细!$B71,服务费底表!$T:$T,AQ$3)</f>
        <v>0</v>
      </c>
      <c r="AR71" s="166">
        <f>SUMIFS(服务费底表!$AC:$AC,服务费底表!$K:$K,服务费明细!$B71,服务费底表!$T:$T,AR$3)</f>
        <v>0</v>
      </c>
      <c r="AS71" s="166">
        <f>SUMIFS(服务费底表!$AC:$AC,服务费底表!$K:$K,服务费明细!$B71,服务费底表!$T:$T,AS$3)</f>
        <v>0</v>
      </c>
      <c r="AT71" s="166">
        <f>SUMIFS(服务费底表!$AC:$AC,服务费底表!$K:$K,服务费明细!$B71,服务费底表!$T:$T,AT$3)</f>
        <v>0</v>
      </c>
      <c r="AU71" s="166">
        <f>SUMIFS(服务费底表!$AC:$AC,服务费底表!$K:$K,服务费明细!$B71,服务费底表!$T:$T,AU$3)</f>
        <v>0</v>
      </c>
      <c r="AV71" s="166">
        <f>SUMIFS(服务费底表!$AC:$AC,服务费底表!$K:$K,服务费明细!$B71,服务费底表!$T:$T,AV$3)</f>
        <v>0</v>
      </c>
      <c r="AW71" s="166">
        <f>SUMIFS(服务费底表!$AC:$AC,服务费底表!$K:$K,服务费明细!$B71,服务费底表!$T:$T,AW$3)</f>
        <v>0</v>
      </c>
      <c r="AX71" s="166">
        <f>SUMIFS(服务费底表!$AC:$AC,服务费底表!$K:$K,服务费明细!$B71,服务费底表!$T:$T,AX$3)</f>
        <v>0</v>
      </c>
      <c r="AY71" s="166">
        <f>SUMIFS(服务费底表!$AC:$AC,服务费底表!$K:$K,服务费明细!$B71,服务费底表!$T:$T,AY$3)</f>
        <v>0</v>
      </c>
      <c r="AZ71" s="166">
        <f>SUMIFS(服务费底表!$AC:$AC,服务费底表!$K:$K,服务费明细!$B71,服务费底表!$T:$T,AZ$3)</f>
        <v>0</v>
      </c>
      <c r="BA71" s="166">
        <f>SUMIFS(服务费底表!$AC:$AC,服务费底表!$K:$K,服务费明细!$B71,服务费底表!$T:$T,BA$3)</f>
        <v>0</v>
      </c>
      <c r="BB71" s="166">
        <f>SUMIFS(服务费底表!$AC:$AC,服务费底表!$K:$K,服务费明细!$B71,服务费底表!$T:$T,BB$3)</f>
        <v>0</v>
      </c>
      <c r="BC71" s="166">
        <f>SUMIFS(服务费底表!$AC:$AC,服务费底表!$K:$K,服务费明细!$B71,服务费底表!$T:$T,BC$3)</f>
        <v>0</v>
      </c>
      <c r="BD71" s="166">
        <f>SUMIFS(服务费底表!$AC:$AC,服务费底表!$K:$K,服务费明细!$B71,服务费底表!$T:$T,BD$3)</f>
        <v>0</v>
      </c>
      <c r="BE71" s="166">
        <f>SUMIFS(服务费底表!$AC:$AC,服务费底表!$K:$K,服务费明细!$B71,服务费底表!$T:$T,BE$3)</f>
        <v>0</v>
      </c>
      <c r="BF71" s="166">
        <f>SUMIFS(服务费底表!$AC:$AC,服务费底表!$K:$K,服务费明细!$B71,服务费底表!$T:$T,BF$3)</f>
        <v>0</v>
      </c>
      <c r="BG71" s="166">
        <f>SUMIFS(服务费底表!$AC:$AC,服务费底表!$K:$K,服务费明细!$B71,服务费底表!$T:$T,BG$3)</f>
        <v>0</v>
      </c>
      <c r="BI71" s="388">
        <f>SUMIFS(服务费底表!$AC:$AC,服务费底表!$K:$K,服务费明细!$B71,服务费底表!$H:$H,服务费明细!BI$3)</f>
        <v>0</v>
      </c>
      <c r="BJ71" s="388">
        <f>SUMIFS(服务费底表!$AC:$AC,服务费底表!$K:$K,服务费明细!$B71,服务费底表!$H:$H,服务费明细!BJ$3)</f>
        <v>46</v>
      </c>
      <c r="BK71" s="388">
        <f>SUMIFS(服务费底表!$AC:$AC,服务费底表!$K:$K,服务费明细!$B71,服务费底表!$H:$H,服务费明细!BK$3)</f>
        <v>0</v>
      </c>
      <c r="BL71" s="388">
        <f>SUMIFS(服务费底表!$AC:$AC,服务费底表!$K:$K,服务费明细!$B71,服务费底表!$H:$H,服务费明细!BL$3)</f>
        <v>0</v>
      </c>
      <c r="BM71" s="388">
        <f>SUMIFS(服务费底表!$AC:$AC,服务费底表!$K:$K,服务费明细!$B71,服务费底表!$H:$H,服务费明细!BM$3)</f>
        <v>0</v>
      </c>
      <c r="BN71" s="388">
        <f>SUMIFS(服务费底表!$AC:$AC,服务费底表!$K:$K,服务费明细!$B71,服务费底表!$H:$H,服务费明细!BN$3)</f>
        <v>0</v>
      </c>
      <c r="BO71" s="388">
        <f>SUMIFS(服务费底表!$AC:$AC,服务费底表!$K:$K,服务费明细!$B71,服务费底表!$H:$H,服务费明细!BO$3)</f>
        <v>0</v>
      </c>
      <c r="BQ71" s="389">
        <f>SUMIFS(服务费底表!$AD:$AD,服务费底表!$K:$K,服务费明细!$B71,服务费底表!$H:$H,服务费明细!BQ$3)</f>
        <v>0</v>
      </c>
      <c r="BR71" s="389">
        <f>SUMIFS(服务费底表!$AD:$AD,服务费底表!$K:$K,服务费明细!$B71,服务费底表!$H:$H,服务费明细!BR$3)</f>
        <v>31400</v>
      </c>
      <c r="BS71" s="389">
        <f>SUMIFS(服务费底表!$AD:$AD,服务费底表!$K:$K,服务费明细!$B71,服务费底表!$H:$H,服务费明细!BS$3)</f>
        <v>0</v>
      </c>
      <c r="BT71" s="389">
        <f>SUMIFS(服务费底表!$AD:$AD,服务费底表!$K:$K,服务费明细!$B71,服务费底表!$H:$H,服务费明细!BT$3)</f>
        <v>0</v>
      </c>
      <c r="BU71" s="389">
        <f>SUMIFS(服务费底表!$AD:$AD,服务费底表!$K:$K,服务费明细!$B71,服务费底表!$H:$H,服务费明细!BU$3)</f>
        <v>0</v>
      </c>
      <c r="BV71" s="389">
        <f>SUMIFS(服务费底表!$AD:$AD,服务费底表!$K:$K,服务费明细!$B71,服务费底表!$H:$H,服务费明细!BV$3)</f>
        <v>0</v>
      </c>
      <c r="BW71" s="389">
        <f>SUMIFS(服务费底表!$AD:$AD,服务费底表!$K:$K,服务费明细!$B71,服务费底表!$H:$H,服务费明细!BW$3)</f>
        <v>0</v>
      </c>
    </row>
    <row r="72" spans="2:75">
      <c r="B72" s="89" t="s">
        <v>211</v>
      </c>
      <c r="C72" s="89" t="str">
        <f>INDEX(二三级标准!$C:$C,MATCH(服务费明细!$B72,二三级标准!$B:$B,0))</f>
        <v>研究中心监查和管理计划CMP撰写</v>
      </c>
      <c r="D72" s="166">
        <f>IF($D$70=1,1,0)</f>
        <v>1</v>
      </c>
      <c r="E72" s="166">
        <f>IF($D72=1,1,0)</f>
        <v>1</v>
      </c>
      <c r="F72" s="89" t="str">
        <f>INDEX(二三级标准!$G:$G,MATCH(服务费明细!$B72,二三级标准!$B:$B,0))</f>
        <v>份</v>
      </c>
      <c r="G72" s="166">
        <f t="shared" ref="G72:AB72" si="155">AL72</f>
        <v>0</v>
      </c>
      <c r="H72" s="166">
        <f t="shared" si="155"/>
        <v>0</v>
      </c>
      <c r="I72" s="166">
        <f t="shared" si="155"/>
        <v>8</v>
      </c>
      <c r="J72" s="166">
        <f t="shared" si="155"/>
        <v>2</v>
      </c>
      <c r="K72" s="166">
        <f t="shared" si="155"/>
        <v>0</v>
      </c>
      <c r="L72" s="166">
        <f t="shared" si="155"/>
        <v>0</v>
      </c>
      <c r="M72" s="166">
        <f t="shared" si="155"/>
        <v>0</v>
      </c>
      <c r="N72" s="166">
        <f t="shared" si="155"/>
        <v>0</v>
      </c>
      <c r="O72" s="166">
        <f t="shared" si="155"/>
        <v>0</v>
      </c>
      <c r="P72" s="166">
        <f t="shared" si="155"/>
        <v>0</v>
      </c>
      <c r="Q72" s="166">
        <f t="shared" si="155"/>
        <v>0</v>
      </c>
      <c r="R72" s="166">
        <f t="shared" si="155"/>
        <v>0</v>
      </c>
      <c r="S72" s="166">
        <f t="shared" si="155"/>
        <v>0</v>
      </c>
      <c r="T72" s="166">
        <f t="shared" si="155"/>
        <v>0</v>
      </c>
      <c r="U72" s="166">
        <f t="shared" si="155"/>
        <v>0</v>
      </c>
      <c r="V72" s="166">
        <f t="shared" si="155"/>
        <v>0</v>
      </c>
      <c r="W72" s="166">
        <f t="shared" si="155"/>
        <v>0</v>
      </c>
      <c r="X72" s="166">
        <f t="shared" si="155"/>
        <v>0</v>
      </c>
      <c r="Y72" s="166">
        <f t="shared" si="155"/>
        <v>0</v>
      </c>
      <c r="Z72" s="166">
        <f t="shared" si="155"/>
        <v>0</v>
      </c>
      <c r="AA72" s="166">
        <f t="shared" si="155"/>
        <v>0</v>
      </c>
      <c r="AB72" s="166">
        <f t="shared" si="155"/>
        <v>0</v>
      </c>
      <c r="AC72" s="166" cm="1">
        <f t="array" ref="AC72">SUMPRODUCT(G72:AB72,$G$4:$AB$4)</f>
        <v>6800</v>
      </c>
      <c r="AD72" s="89" t="b">
        <f>IF(AF72=AC72,TRUE,FALSE)</f>
        <v>1</v>
      </c>
      <c r="AE72" s="386">
        <f>IFERROR(SUMIF(服务费底表!$K:$K,服务费明细!$B72,服务费底表!$AD:$AD)/E72,0)</f>
        <v>6800</v>
      </c>
      <c r="AF72" s="386">
        <f>E72*AE72</f>
        <v>6800</v>
      </c>
      <c r="AG72" s="386">
        <f>IFERROR(SUMIF(服务费底表!$K:$K,服务费明细!$B72,服务费底表!$AG:$AG)/E72,0)</f>
        <v>6800</v>
      </c>
      <c r="AH72" s="386">
        <f>AG72*E72</f>
        <v>6800</v>
      </c>
      <c r="AI72" s="409"/>
      <c r="AJ72" s="563">
        <f>IF(D72=1,AK72/E72,0)</f>
        <v>10</v>
      </c>
      <c r="AK72" s="564">
        <f>SUMIF(服务费底表!$K:$K,服务费明细!$B72,服务费底表!$AC:$AC)</f>
        <v>10</v>
      </c>
      <c r="AL72" s="166">
        <f>SUMIFS(服务费底表!$AC:$AC,服务费底表!$K:$K,服务费明细!$B72,服务费底表!$T:$T,AL$3)</f>
        <v>0</v>
      </c>
      <c r="AM72" s="166">
        <f>SUMIFS(服务费底表!$AC:$AC,服务费底表!$K:$K,服务费明细!$B72,服务费底表!$T:$T,AM$3)</f>
        <v>0</v>
      </c>
      <c r="AN72" s="166">
        <f>SUMIFS(服务费底表!$AC:$AC,服务费底表!$K:$K,服务费明细!$B72,服务费底表!$T:$T,AN$3)</f>
        <v>8</v>
      </c>
      <c r="AO72" s="166">
        <f>SUMIFS(服务费底表!$AC:$AC,服务费底表!$K:$K,服务费明细!$B72,服务费底表!$T:$T,AO$3)</f>
        <v>2</v>
      </c>
      <c r="AP72" s="166">
        <f>SUMIFS(服务费底表!$AC:$AC,服务费底表!$K:$K,服务费明细!$B72,服务费底表!$T:$T,AP$3)</f>
        <v>0</v>
      </c>
      <c r="AQ72" s="166">
        <f>SUMIFS(服务费底表!$AC:$AC,服务费底表!$K:$K,服务费明细!$B72,服务费底表!$T:$T,AQ$3)</f>
        <v>0</v>
      </c>
      <c r="AR72" s="166">
        <f>SUMIFS(服务费底表!$AC:$AC,服务费底表!$K:$K,服务费明细!$B72,服务费底表!$T:$T,AR$3)</f>
        <v>0</v>
      </c>
      <c r="AS72" s="166">
        <f>SUMIFS(服务费底表!$AC:$AC,服务费底表!$K:$K,服务费明细!$B72,服务费底表!$T:$T,AS$3)</f>
        <v>0</v>
      </c>
      <c r="AT72" s="166">
        <f>SUMIFS(服务费底表!$AC:$AC,服务费底表!$K:$K,服务费明细!$B72,服务费底表!$T:$T,AT$3)</f>
        <v>0</v>
      </c>
      <c r="AU72" s="166">
        <f>SUMIFS(服务费底表!$AC:$AC,服务费底表!$K:$K,服务费明细!$B72,服务费底表!$T:$T,AU$3)</f>
        <v>0</v>
      </c>
      <c r="AV72" s="166">
        <f>SUMIFS(服务费底表!$AC:$AC,服务费底表!$K:$K,服务费明细!$B72,服务费底表!$T:$T,AV$3)</f>
        <v>0</v>
      </c>
      <c r="AW72" s="166">
        <f>SUMIFS(服务费底表!$AC:$AC,服务费底表!$K:$K,服务费明细!$B72,服务费底表!$T:$T,AW$3)</f>
        <v>0</v>
      </c>
      <c r="AX72" s="166">
        <f>SUMIFS(服务费底表!$AC:$AC,服务费底表!$K:$K,服务费明细!$B72,服务费底表!$T:$T,AX$3)</f>
        <v>0</v>
      </c>
      <c r="AY72" s="166">
        <f>SUMIFS(服务费底表!$AC:$AC,服务费底表!$K:$K,服务费明细!$B72,服务费底表!$T:$T,AY$3)</f>
        <v>0</v>
      </c>
      <c r="AZ72" s="166">
        <f>SUMIFS(服务费底表!$AC:$AC,服务费底表!$K:$K,服务费明细!$B72,服务费底表!$T:$T,AZ$3)</f>
        <v>0</v>
      </c>
      <c r="BA72" s="166">
        <f>SUMIFS(服务费底表!$AC:$AC,服务费底表!$K:$K,服务费明细!$B72,服务费底表!$T:$T,BA$3)</f>
        <v>0</v>
      </c>
      <c r="BB72" s="166">
        <f>SUMIFS(服务费底表!$AC:$AC,服务费底表!$K:$K,服务费明细!$B72,服务费底表!$T:$T,BB$3)</f>
        <v>0</v>
      </c>
      <c r="BC72" s="166">
        <f>SUMIFS(服务费底表!$AC:$AC,服务费底表!$K:$K,服务费明细!$B72,服务费底表!$T:$T,BC$3)</f>
        <v>0</v>
      </c>
      <c r="BD72" s="166">
        <f>SUMIFS(服务费底表!$AC:$AC,服务费底表!$K:$K,服务费明细!$B72,服务费底表!$T:$T,BD$3)</f>
        <v>0</v>
      </c>
      <c r="BE72" s="166">
        <f>SUMIFS(服务费底表!$AC:$AC,服务费底表!$K:$K,服务费明细!$B72,服务费底表!$T:$T,BE$3)</f>
        <v>0</v>
      </c>
      <c r="BF72" s="166">
        <f>SUMIFS(服务费底表!$AC:$AC,服务费底表!$K:$K,服务费明细!$B72,服务费底表!$T:$T,BF$3)</f>
        <v>0</v>
      </c>
      <c r="BG72" s="166">
        <f>SUMIFS(服务费底表!$AC:$AC,服务费底表!$K:$K,服务费明细!$B72,服务费底表!$T:$T,BG$3)</f>
        <v>0</v>
      </c>
      <c r="BI72" s="388">
        <f>SUMIFS(服务费底表!$AC:$AC,服务费底表!$K:$K,服务费明细!$B72,服务费底表!$H:$H,服务费明细!BI$3)</f>
        <v>0</v>
      </c>
      <c r="BJ72" s="388">
        <f>SUMIFS(服务费底表!$AC:$AC,服务费底表!$K:$K,服务费明细!$B72,服务费底表!$H:$H,服务费明细!BJ$3)</f>
        <v>10</v>
      </c>
      <c r="BK72" s="388">
        <f>SUMIFS(服务费底表!$AC:$AC,服务费底表!$K:$K,服务费明细!$B72,服务费底表!$H:$H,服务费明细!BK$3)</f>
        <v>0</v>
      </c>
      <c r="BL72" s="388">
        <f>SUMIFS(服务费底表!$AC:$AC,服务费底表!$K:$K,服务费明细!$B72,服务费底表!$H:$H,服务费明细!BL$3)</f>
        <v>0</v>
      </c>
      <c r="BM72" s="388">
        <f>SUMIFS(服务费底表!$AC:$AC,服务费底表!$K:$K,服务费明细!$B72,服务费底表!$H:$H,服务费明细!BM$3)</f>
        <v>0</v>
      </c>
      <c r="BN72" s="388">
        <f>SUMIFS(服务费底表!$AC:$AC,服务费底表!$K:$K,服务费明细!$B72,服务费底表!$H:$H,服务费明细!BN$3)</f>
        <v>0</v>
      </c>
      <c r="BO72" s="388">
        <f>SUMIFS(服务费底表!$AC:$AC,服务费底表!$K:$K,服务费明细!$B72,服务费底表!$H:$H,服务费明细!BO$3)</f>
        <v>0</v>
      </c>
      <c r="BQ72" s="389">
        <f>SUMIFS(服务费底表!$AD:$AD,服务费底表!$K:$K,服务费明细!$B72,服务费底表!$H:$H,服务费明细!BQ$3)</f>
        <v>0</v>
      </c>
      <c r="BR72" s="389">
        <f>SUMIFS(服务费底表!$AD:$AD,服务费底表!$K:$K,服务费明细!$B72,服务费底表!$H:$H,服务费明细!BR$3)</f>
        <v>6800</v>
      </c>
      <c r="BS72" s="389">
        <f>SUMIFS(服务费底表!$AD:$AD,服务费底表!$K:$K,服务费明细!$B72,服务费底表!$H:$H,服务费明细!BS$3)</f>
        <v>0</v>
      </c>
      <c r="BT72" s="389">
        <f>SUMIFS(服务费底表!$AD:$AD,服务费底表!$K:$K,服务费明细!$B72,服务费底表!$H:$H,服务费明细!BT$3)</f>
        <v>0</v>
      </c>
      <c r="BU72" s="389">
        <f>SUMIFS(服务费底表!$AD:$AD,服务费底表!$K:$K,服务费明细!$B72,服务费底表!$H:$H,服务费明细!BU$3)</f>
        <v>0</v>
      </c>
      <c r="BV72" s="389">
        <f>SUMIFS(服务费底表!$AD:$AD,服务费底表!$K:$K,服务费明细!$B72,服务费底表!$H:$H,服务费明细!BV$3)</f>
        <v>0</v>
      </c>
      <c r="BW72" s="389">
        <f>SUMIFS(服务费底表!$AD:$AD,服务费底表!$K:$K,服务费明细!$B72,服务费底表!$H:$H,服务费明细!BW$3)</f>
        <v>0</v>
      </c>
    </row>
    <row r="73" spans="2:75">
      <c r="B73" s="89" t="s">
        <v>213</v>
      </c>
      <c r="C73" s="89" t="str">
        <f>INDEX(二三级标准!$C:$C,MATCH(服务费明细!$B73,二三级标准!$B:$B,0))</f>
        <v>中心实验室操作手册审核</v>
      </c>
      <c r="D73" s="166">
        <f>IF($D$70=1,1,0)</f>
        <v>1</v>
      </c>
      <c r="E73" s="166">
        <f>IF($D73=1,1,0)</f>
        <v>1</v>
      </c>
      <c r="F73" s="89" t="str">
        <f>INDEX(二三级标准!$G:$G,MATCH(服务费明细!$B73,二三级标准!$B:$B,0))</f>
        <v>次</v>
      </c>
      <c r="G73" s="166">
        <f t="shared" ref="G73:AB73" si="156">AL73</f>
        <v>0</v>
      </c>
      <c r="H73" s="166">
        <f t="shared" si="156"/>
        <v>0</v>
      </c>
      <c r="I73" s="166">
        <f t="shared" si="156"/>
        <v>4</v>
      </c>
      <c r="J73" s="166">
        <f t="shared" si="156"/>
        <v>0</v>
      </c>
      <c r="K73" s="166">
        <f t="shared" si="156"/>
        <v>0</v>
      </c>
      <c r="L73" s="166">
        <f t="shared" si="156"/>
        <v>0</v>
      </c>
      <c r="M73" s="166">
        <f t="shared" si="156"/>
        <v>0</v>
      </c>
      <c r="N73" s="166">
        <f t="shared" si="156"/>
        <v>0</v>
      </c>
      <c r="O73" s="166">
        <f t="shared" si="156"/>
        <v>0</v>
      </c>
      <c r="P73" s="166">
        <f t="shared" si="156"/>
        <v>0</v>
      </c>
      <c r="Q73" s="166">
        <f t="shared" si="156"/>
        <v>0</v>
      </c>
      <c r="R73" s="166">
        <f t="shared" si="156"/>
        <v>0</v>
      </c>
      <c r="S73" s="166">
        <f t="shared" si="156"/>
        <v>0</v>
      </c>
      <c r="T73" s="166">
        <f t="shared" si="156"/>
        <v>0</v>
      </c>
      <c r="U73" s="166">
        <f t="shared" si="156"/>
        <v>0</v>
      </c>
      <c r="V73" s="166">
        <f t="shared" si="156"/>
        <v>0</v>
      </c>
      <c r="W73" s="166">
        <f t="shared" si="156"/>
        <v>0</v>
      </c>
      <c r="X73" s="166">
        <f t="shared" si="156"/>
        <v>0</v>
      </c>
      <c r="Y73" s="166">
        <f t="shared" si="156"/>
        <v>0</v>
      </c>
      <c r="Z73" s="166">
        <f t="shared" si="156"/>
        <v>0</v>
      </c>
      <c r="AA73" s="166">
        <f t="shared" si="156"/>
        <v>0</v>
      </c>
      <c r="AB73" s="166">
        <f t="shared" si="156"/>
        <v>0</v>
      </c>
      <c r="AC73" s="166" cm="1">
        <f t="array" ref="AC73">SUMPRODUCT(G73:AB73,$G$4:$AB$4)</f>
        <v>2600</v>
      </c>
      <c r="AD73" s="89" t="b">
        <f>IF(AF73=AC73,TRUE,FALSE)</f>
        <v>1</v>
      </c>
      <c r="AE73" s="386">
        <f>IFERROR(SUMIF(服务费底表!$K:$K,服务费明细!$B73,服务费底表!$AD:$AD)/E73,0)</f>
        <v>2600</v>
      </c>
      <c r="AF73" s="386">
        <f>E73*AE73</f>
        <v>2600</v>
      </c>
      <c r="AG73" s="386">
        <f>IFERROR(SUMIF(服务费底表!$K:$K,服务费明细!$B73,服务费底表!$AG:$AG)/E73,0)</f>
        <v>2600</v>
      </c>
      <c r="AH73" s="386">
        <f>AG73*E73</f>
        <v>2600</v>
      </c>
      <c r="AI73" s="409" t="s">
        <v>1018</v>
      </c>
      <c r="AJ73" s="563">
        <f>IF(D73=1,AK73/E73,0)</f>
        <v>4</v>
      </c>
      <c r="AK73" s="564">
        <f>SUMIF(服务费底表!$K:$K,服务费明细!$B73,服务费底表!$AC:$AC)</f>
        <v>4</v>
      </c>
      <c r="AL73" s="166">
        <f>SUMIFS(服务费底表!$AC:$AC,服务费底表!$K:$K,服务费明细!$B73,服务费底表!$T:$T,AL$3)</f>
        <v>0</v>
      </c>
      <c r="AM73" s="166">
        <f>SUMIFS(服务费底表!$AC:$AC,服务费底表!$K:$K,服务费明细!$B73,服务费底表!$T:$T,AM$3)</f>
        <v>0</v>
      </c>
      <c r="AN73" s="166">
        <f>SUMIFS(服务费底表!$AC:$AC,服务费底表!$K:$K,服务费明细!$B73,服务费底表!$T:$T,AN$3)</f>
        <v>4</v>
      </c>
      <c r="AO73" s="166">
        <f>SUMIFS(服务费底表!$AC:$AC,服务费底表!$K:$K,服务费明细!$B73,服务费底表!$T:$T,AO$3)</f>
        <v>0</v>
      </c>
      <c r="AP73" s="166">
        <f>SUMIFS(服务费底表!$AC:$AC,服务费底表!$K:$K,服务费明细!$B73,服务费底表!$T:$T,AP$3)</f>
        <v>0</v>
      </c>
      <c r="AQ73" s="166">
        <f>SUMIFS(服务费底表!$AC:$AC,服务费底表!$K:$K,服务费明细!$B73,服务费底表!$T:$T,AQ$3)</f>
        <v>0</v>
      </c>
      <c r="AR73" s="166">
        <f>SUMIFS(服务费底表!$AC:$AC,服务费底表!$K:$K,服务费明细!$B73,服务费底表!$T:$T,AR$3)</f>
        <v>0</v>
      </c>
      <c r="AS73" s="166">
        <f>SUMIFS(服务费底表!$AC:$AC,服务费底表!$K:$K,服务费明细!$B73,服务费底表!$T:$T,AS$3)</f>
        <v>0</v>
      </c>
      <c r="AT73" s="166">
        <f>SUMIFS(服务费底表!$AC:$AC,服务费底表!$K:$K,服务费明细!$B73,服务费底表!$T:$T,AT$3)</f>
        <v>0</v>
      </c>
      <c r="AU73" s="166">
        <f>SUMIFS(服务费底表!$AC:$AC,服务费底表!$K:$K,服务费明细!$B73,服务费底表!$T:$T,AU$3)</f>
        <v>0</v>
      </c>
      <c r="AV73" s="166">
        <f>SUMIFS(服务费底表!$AC:$AC,服务费底表!$K:$K,服务费明细!$B73,服务费底表!$T:$T,AV$3)</f>
        <v>0</v>
      </c>
      <c r="AW73" s="166">
        <f>SUMIFS(服务费底表!$AC:$AC,服务费底表!$K:$K,服务费明细!$B73,服务费底表!$T:$T,AW$3)</f>
        <v>0</v>
      </c>
      <c r="AX73" s="166">
        <f>SUMIFS(服务费底表!$AC:$AC,服务费底表!$K:$K,服务费明细!$B73,服务费底表!$T:$T,AX$3)</f>
        <v>0</v>
      </c>
      <c r="AY73" s="166">
        <f>SUMIFS(服务费底表!$AC:$AC,服务费底表!$K:$K,服务费明细!$B73,服务费底表!$T:$T,AY$3)</f>
        <v>0</v>
      </c>
      <c r="AZ73" s="166">
        <f>SUMIFS(服务费底表!$AC:$AC,服务费底表!$K:$K,服务费明细!$B73,服务费底表!$T:$T,AZ$3)</f>
        <v>0</v>
      </c>
      <c r="BA73" s="166">
        <f>SUMIFS(服务费底表!$AC:$AC,服务费底表!$K:$K,服务费明细!$B73,服务费底表!$T:$T,BA$3)</f>
        <v>0</v>
      </c>
      <c r="BB73" s="166">
        <f>SUMIFS(服务费底表!$AC:$AC,服务费底表!$K:$K,服务费明细!$B73,服务费底表!$T:$T,BB$3)</f>
        <v>0</v>
      </c>
      <c r="BC73" s="166">
        <f>SUMIFS(服务费底表!$AC:$AC,服务费底表!$K:$K,服务费明细!$B73,服务费底表!$T:$T,BC$3)</f>
        <v>0</v>
      </c>
      <c r="BD73" s="166">
        <f>SUMIFS(服务费底表!$AC:$AC,服务费底表!$K:$K,服务费明细!$B73,服务费底表!$T:$T,BD$3)</f>
        <v>0</v>
      </c>
      <c r="BE73" s="166">
        <f>SUMIFS(服务费底表!$AC:$AC,服务费底表!$K:$K,服务费明细!$B73,服务费底表!$T:$T,BE$3)</f>
        <v>0</v>
      </c>
      <c r="BF73" s="166">
        <f>SUMIFS(服务费底表!$AC:$AC,服务费底表!$K:$K,服务费明细!$B73,服务费底表!$T:$T,BF$3)</f>
        <v>0</v>
      </c>
      <c r="BG73" s="166">
        <f>SUMIFS(服务费底表!$AC:$AC,服务费底表!$K:$K,服务费明细!$B73,服务费底表!$T:$T,BG$3)</f>
        <v>0</v>
      </c>
      <c r="BI73" s="388">
        <f>SUMIFS(服务费底表!$AC:$AC,服务费底表!$K:$K,服务费明细!$B73,服务费底表!$H:$H,服务费明细!BI$3)</f>
        <v>0</v>
      </c>
      <c r="BJ73" s="388">
        <f>SUMIFS(服务费底表!$AC:$AC,服务费底表!$K:$K,服务费明细!$B73,服务费底表!$H:$H,服务费明细!BJ$3)</f>
        <v>4</v>
      </c>
      <c r="BK73" s="388">
        <f>SUMIFS(服务费底表!$AC:$AC,服务费底表!$K:$K,服务费明细!$B73,服务费底表!$H:$H,服务费明细!BK$3)</f>
        <v>0</v>
      </c>
      <c r="BL73" s="388">
        <f>SUMIFS(服务费底表!$AC:$AC,服务费底表!$K:$K,服务费明细!$B73,服务费底表!$H:$H,服务费明细!BL$3)</f>
        <v>0</v>
      </c>
      <c r="BM73" s="388">
        <f>SUMIFS(服务费底表!$AC:$AC,服务费底表!$K:$K,服务费明细!$B73,服务费底表!$H:$H,服务费明细!BM$3)</f>
        <v>0</v>
      </c>
      <c r="BN73" s="388">
        <f>SUMIFS(服务费底表!$AC:$AC,服务费底表!$K:$K,服务费明细!$B73,服务费底表!$H:$H,服务费明细!BN$3)</f>
        <v>0</v>
      </c>
      <c r="BO73" s="388">
        <f>SUMIFS(服务费底表!$AC:$AC,服务费底表!$K:$K,服务费明细!$B73,服务费底表!$H:$H,服务费明细!BO$3)</f>
        <v>0</v>
      </c>
      <c r="BQ73" s="389">
        <f>SUMIFS(服务费底表!$AD:$AD,服务费底表!$K:$K,服务费明细!$B73,服务费底表!$H:$H,服务费明细!BQ$3)</f>
        <v>0</v>
      </c>
      <c r="BR73" s="389">
        <f>SUMIFS(服务费底表!$AD:$AD,服务费底表!$K:$K,服务费明细!$B73,服务费底表!$H:$H,服务费明细!BR$3)</f>
        <v>2600</v>
      </c>
      <c r="BS73" s="389">
        <f>SUMIFS(服务费底表!$AD:$AD,服务费底表!$K:$K,服务费明细!$B73,服务费底表!$H:$H,服务费明细!BS$3)</f>
        <v>0</v>
      </c>
      <c r="BT73" s="389">
        <f>SUMIFS(服务费底表!$AD:$AD,服务费底表!$K:$K,服务费明细!$B73,服务费底表!$H:$H,服务费明细!BT$3)</f>
        <v>0</v>
      </c>
      <c r="BU73" s="389">
        <f>SUMIFS(服务费底表!$AD:$AD,服务费底表!$K:$K,服务费明细!$B73,服务费底表!$H:$H,服务费明细!BU$3)</f>
        <v>0</v>
      </c>
      <c r="BV73" s="389">
        <f>SUMIFS(服务费底表!$AD:$AD,服务费底表!$K:$K,服务费明细!$B73,服务费底表!$H:$H,服务费明细!BV$3)</f>
        <v>0</v>
      </c>
      <c r="BW73" s="389">
        <f>SUMIFS(服务费底表!$AD:$AD,服务费底表!$K:$K,服务费明细!$B73,服务费底表!$H:$H,服务费明细!BW$3)</f>
        <v>0</v>
      </c>
    </row>
    <row r="74" spans="2:75">
      <c r="B74" s="202" t="s">
        <v>215</v>
      </c>
      <c r="C74" s="89" t="str">
        <f>INDEX(二三级标准!$C:$C,MATCH(服务费明细!$B74,二三级标准!$B:$B,0))</f>
        <v>药物管理手册IPMP审核</v>
      </c>
      <c r="D74" s="166">
        <f>IF($D$70=1,1,0)</f>
        <v>1</v>
      </c>
      <c r="E74" s="166">
        <f>IF($D74=1,1,0)</f>
        <v>1</v>
      </c>
      <c r="F74" s="89" t="str">
        <f>INDEX(二三级标准!$G:$G,MATCH(服务费明细!$B74,二三级标准!$B:$B,0))</f>
        <v>次</v>
      </c>
      <c r="G74" s="166">
        <f t="shared" ref="G74:AB74" si="157">AL74</f>
        <v>0</v>
      </c>
      <c r="H74" s="166">
        <f t="shared" si="157"/>
        <v>0</v>
      </c>
      <c r="I74" s="166">
        <f t="shared" si="157"/>
        <v>4</v>
      </c>
      <c r="J74" s="166">
        <f t="shared" si="157"/>
        <v>0</v>
      </c>
      <c r="K74" s="166">
        <f t="shared" si="157"/>
        <v>0</v>
      </c>
      <c r="L74" s="166">
        <f t="shared" si="157"/>
        <v>0</v>
      </c>
      <c r="M74" s="166">
        <f t="shared" si="157"/>
        <v>0</v>
      </c>
      <c r="N74" s="166">
        <f t="shared" si="157"/>
        <v>0</v>
      </c>
      <c r="O74" s="166">
        <f t="shared" si="157"/>
        <v>0</v>
      </c>
      <c r="P74" s="166">
        <f t="shared" si="157"/>
        <v>0</v>
      </c>
      <c r="Q74" s="166">
        <f t="shared" si="157"/>
        <v>0</v>
      </c>
      <c r="R74" s="166">
        <f t="shared" si="157"/>
        <v>0</v>
      </c>
      <c r="S74" s="166">
        <f t="shared" si="157"/>
        <v>0</v>
      </c>
      <c r="T74" s="166">
        <f t="shared" si="157"/>
        <v>0</v>
      </c>
      <c r="U74" s="166">
        <f t="shared" si="157"/>
        <v>0</v>
      </c>
      <c r="V74" s="166">
        <f t="shared" si="157"/>
        <v>0</v>
      </c>
      <c r="W74" s="166">
        <f t="shared" si="157"/>
        <v>0</v>
      </c>
      <c r="X74" s="166">
        <f t="shared" si="157"/>
        <v>0</v>
      </c>
      <c r="Y74" s="166">
        <f t="shared" si="157"/>
        <v>0</v>
      </c>
      <c r="Z74" s="166">
        <f t="shared" si="157"/>
        <v>0</v>
      </c>
      <c r="AA74" s="166">
        <f t="shared" si="157"/>
        <v>0</v>
      </c>
      <c r="AB74" s="166">
        <f t="shared" si="157"/>
        <v>0</v>
      </c>
      <c r="AC74" s="166" cm="1">
        <f t="array" ref="AC74">SUMPRODUCT(G74:AB74,$G$4:$AB$4)</f>
        <v>2600</v>
      </c>
      <c r="AD74" s="89" t="b">
        <f>IF(AF74=AC74,TRUE,FALSE)</f>
        <v>1</v>
      </c>
      <c r="AE74" s="386">
        <f>IFERROR(SUMIF(服务费底表!$K:$K,服务费明细!$B74,服务费底表!$AD:$AD)/E74,0)</f>
        <v>2600</v>
      </c>
      <c r="AF74" s="386">
        <f>E74*AE74</f>
        <v>2600</v>
      </c>
      <c r="AG74" s="386">
        <f>IFERROR(SUMIF(服务费底表!$K:$K,服务费明细!$B74,服务费底表!$AG:$AG)/E74,0)</f>
        <v>2600</v>
      </c>
      <c r="AH74" s="386">
        <f>AG74*E74</f>
        <v>2600</v>
      </c>
      <c r="AI74" s="409" t="s">
        <v>1018</v>
      </c>
      <c r="AJ74" s="563">
        <f>IF(D74=1,AK74/E74,0)</f>
        <v>4</v>
      </c>
      <c r="AK74" s="564">
        <f>SUMIF(服务费底表!$K:$K,服务费明细!$B74,服务费底表!$AC:$AC)</f>
        <v>4</v>
      </c>
      <c r="AL74" s="166">
        <f>SUMIFS(服务费底表!$AC:$AC,服务费底表!$K:$K,服务费明细!$B74,服务费底表!$T:$T,AL$3)</f>
        <v>0</v>
      </c>
      <c r="AM74" s="166">
        <f>SUMIFS(服务费底表!$AC:$AC,服务费底表!$K:$K,服务费明细!$B74,服务费底表!$T:$T,AM$3)</f>
        <v>0</v>
      </c>
      <c r="AN74" s="166">
        <f>SUMIFS(服务费底表!$AC:$AC,服务费底表!$K:$K,服务费明细!$B74,服务费底表!$T:$T,AN$3)</f>
        <v>4</v>
      </c>
      <c r="AO74" s="166">
        <f>SUMIFS(服务费底表!$AC:$AC,服务费底表!$K:$K,服务费明细!$B74,服务费底表!$T:$T,AO$3)</f>
        <v>0</v>
      </c>
      <c r="AP74" s="166">
        <f>SUMIFS(服务费底表!$AC:$AC,服务费底表!$K:$K,服务费明细!$B74,服务费底表!$T:$T,AP$3)</f>
        <v>0</v>
      </c>
      <c r="AQ74" s="166">
        <f>SUMIFS(服务费底表!$AC:$AC,服务费底表!$K:$K,服务费明细!$B74,服务费底表!$T:$T,AQ$3)</f>
        <v>0</v>
      </c>
      <c r="AR74" s="166">
        <f>SUMIFS(服务费底表!$AC:$AC,服务费底表!$K:$K,服务费明细!$B74,服务费底表!$T:$T,AR$3)</f>
        <v>0</v>
      </c>
      <c r="AS74" s="166">
        <f>SUMIFS(服务费底表!$AC:$AC,服务费底表!$K:$K,服务费明细!$B74,服务费底表!$T:$T,AS$3)</f>
        <v>0</v>
      </c>
      <c r="AT74" s="166">
        <f>SUMIFS(服务费底表!$AC:$AC,服务费底表!$K:$K,服务费明细!$B74,服务费底表!$T:$T,AT$3)</f>
        <v>0</v>
      </c>
      <c r="AU74" s="166">
        <f>SUMIFS(服务费底表!$AC:$AC,服务费底表!$K:$K,服务费明细!$B74,服务费底表!$T:$T,AU$3)</f>
        <v>0</v>
      </c>
      <c r="AV74" s="166">
        <f>SUMIFS(服务费底表!$AC:$AC,服务费底表!$K:$K,服务费明细!$B74,服务费底表!$T:$T,AV$3)</f>
        <v>0</v>
      </c>
      <c r="AW74" s="166">
        <f>SUMIFS(服务费底表!$AC:$AC,服务费底表!$K:$K,服务费明细!$B74,服务费底表!$T:$T,AW$3)</f>
        <v>0</v>
      </c>
      <c r="AX74" s="166">
        <f>SUMIFS(服务费底表!$AC:$AC,服务费底表!$K:$K,服务费明细!$B74,服务费底表!$T:$T,AX$3)</f>
        <v>0</v>
      </c>
      <c r="AY74" s="166">
        <f>SUMIFS(服务费底表!$AC:$AC,服务费底表!$K:$K,服务费明细!$B74,服务费底表!$T:$T,AY$3)</f>
        <v>0</v>
      </c>
      <c r="AZ74" s="166">
        <f>SUMIFS(服务费底表!$AC:$AC,服务费底表!$K:$K,服务费明细!$B74,服务费底表!$T:$T,AZ$3)</f>
        <v>0</v>
      </c>
      <c r="BA74" s="166">
        <f>SUMIFS(服务费底表!$AC:$AC,服务费底表!$K:$K,服务费明细!$B74,服务费底表!$T:$T,BA$3)</f>
        <v>0</v>
      </c>
      <c r="BB74" s="166">
        <f>SUMIFS(服务费底表!$AC:$AC,服务费底表!$K:$K,服务费明细!$B74,服务费底表!$T:$T,BB$3)</f>
        <v>0</v>
      </c>
      <c r="BC74" s="166">
        <f>SUMIFS(服务费底表!$AC:$AC,服务费底表!$K:$K,服务费明细!$B74,服务费底表!$T:$T,BC$3)</f>
        <v>0</v>
      </c>
      <c r="BD74" s="166">
        <f>SUMIFS(服务费底表!$AC:$AC,服务费底表!$K:$K,服务费明细!$B74,服务费底表!$T:$T,BD$3)</f>
        <v>0</v>
      </c>
      <c r="BE74" s="166">
        <f>SUMIFS(服务费底表!$AC:$AC,服务费底表!$K:$K,服务费明细!$B74,服务费底表!$T:$T,BE$3)</f>
        <v>0</v>
      </c>
      <c r="BF74" s="166">
        <f>SUMIFS(服务费底表!$AC:$AC,服务费底表!$K:$K,服务费明细!$B74,服务费底表!$T:$T,BF$3)</f>
        <v>0</v>
      </c>
      <c r="BG74" s="166">
        <f>SUMIFS(服务费底表!$AC:$AC,服务费底表!$K:$K,服务费明细!$B74,服务费底表!$T:$T,BG$3)</f>
        <v>0</v>
      </c>
      <c r="BI74" s="388">
        <f>SUMIFS(服务费底表!$AC:$AC,服务费底表!$K:$K,服务费明细!$B74,服务费底表!$H:$H,服务费明细!BI$3)</f>
        <v>0</v>
      </c>
      <c r="BJ74" s="388">
        <f>SUMIFS(服务费底表!$AC:$AC,服务费底表!$K:$K,服务费明细!$B74,服务费底表!$H:$H,服务费明细!BJ$3)</f>
        <v>4</v>
      </c>
      <c r="BK74" s="388">
        <f>SUMIFS(服务费底表!$AC:$AC,服务费底表!$K:$K,服务费明细!$B74,服务费底表!$H:$H,服务费明细!BK$3)</f>
        <v>0</v>
      </c>
      <c r="BL74" s="388">
        <f>SUMIFS(服务费底表!$AC:$AC,服务费底表!$K:$K,服务费明细!$B74,服务费底表!$H:$H,服务费明细!BL$3)</f>
        <v>0</v>
      </c>
      <c r="BM74" s="388">
        <f>SUMIFS(服务费底表!$AC:$AC,服务费底表!$K:$K,服务费明细!$B74,服务费底表!$H:$H,服务费明细!BM$3)</f>
        <v>0</v>
      </c>
      <c r="BN74" s="388">
        <f>SUMIFS(服务费底表!$AC:$AC,服务费底表!$K:$K,服务费明细!$B74,服务费底表!$H:$H,服务费明细!BN$3)</f>
        <v>0</v>
      </c>
      <c r="BO74" s="388">
        <f>SUMIFS(服务费底表!$AC:$AC,服务费底表!$K:$K,服务费明细!$B74,服务费底表!$H:$H,服务费明细!BO$3)</f>
        <v>0</v>
      </c>
      <c r="BQ74" s="389">
        <f>SUMIFS(服务费底表!$AD:$AD,服务费底表!$K:$K,服务费明细!$B74,服务费底表!$H:$H,服务费明细!BQ$3)</f>
        <v>0</v>
      </c>
      <c r="BR74" s="389">
        <f>SUMIFS(服务费底表!$AD:$AD,服务费底表!$K:$K,服务费明细!$B74,服务费底表!$H:$H,服务费明细!BR$3)</f>
        <v>2600</v>
      </c>
      <c r="BS74" s="389">
        <f>SUMIFS(服务费底表!$AD:$AD,服务费底表!$K:$K,服务费明细!$B74,服务费底表!$H:$H,服务费明细!BS$3)</f>
        <v>0</v>
      </c>
      <c r="BT74" s="389">
        <f>SUMIFS(服务费底表!$AD:$AD,服务费底表!$K:$K,服务费明细!$B74,服务费底表!$H:$H,服务费明细!BT$3)</f>
        <v>0</v>
      </c>
      <c r="BU74" s="389">
        <f>SUMIFS(服务费底表!$AD:$AD,服务费底表!$K:$K,服务费明细!$B74,服务费底表!$H:$H,服务费明细!BU$3)</f>
        <v>0</v>
      </c>
      <c r="BV74" s="389">
        <f>SUMIFS(服务费底表!$AD:$AD,服务费底表!$K:$K,服务费明细!$B74,服务费底表!$H:$H,服务费明细!BV$3)</f>
        <v>0</v>
      </c>
      <c r="BW74" s="389">
        <f>SUMIFS(服务费底表!$AD:$AD,服务费底表!$K:$K,服务费明细!$B74,服务费底表!$H:$H,服务费明细!BW$3)</f>
        <v>0</v>
      </c>
    </row>
    <row r="75" spans="2:75">
      <c r="B75" s="202" t="s">
        <v>1019</v>
      </c>
      <c r="C75" s="89" t="str">
        <f>INDEX(二三级标准!$C:$C,MATCH(服务费明细!$B75,二三级标准!$B:$B,0))</f>
        <v>促进入组现场拜访</v>
      </c>
      <c r="D75" s="166">
        <f>IF($D$70=1,1,0)</f>
        <v>1</v>
      </c>
      <c r="E75" s="166">
        <f>IF($D75=1,ROUND(入组月/6*启动中心数,0),0)</f>
        <v>4</v>
      </c>
      <c r="F75" s="89" t="str">
        <f>INDEX(二三级标准!$G:$G,MATCH(服务费明细!$B75,二三级标准!$B:$B,0))</f>
        <v>次</v>
      </c>
      <c r="G75" s="166">
        <f t="shared" ref="G75:AB75" si="158">AL75</f>
        <v>4</v>
      </c>
      <c r="H75" s="166">
        <f t="shared" si="158"/>
        <v>0</v>
      </c>
      <c r="I75" s="166">
        <f t="shared" si="158"/>
        <v>4</v>
      </c>
      <c r="J75" s="166">
        <f t="shared" si="158"/>
        <v>0</v>
      </c>
      <c r="K75" s="166">
        <f t="shared" si="158"/>
        <v>0</v>
      </c>
      <c r="L75" s="166">
        <f t="shared" si="158"/>
        <v>0</v>
      </c>
      <c r="M75" s="166">
        <f t="shared" si="158"/>
        <v>0</v>
      </c>
      <c r="N75" s="166">
        <f t="shared" si="158"/>
        <v>0</v>
      </c>
      <c r="O75" s="166">
        <f t="shared" si="158"/>
        <v>0</v>
      </c>
      <c r="P75" s="166">
        <f t="shared" si="158"/>
        <v>0</v>
      </c>
      <c r="Q75" s="166">
        <f t="shared" si="158"/>
        <v>0</v>
      </c>
      <c r="R75" s="166">
        <f t="shared" si="158"/>
        <v>0</v>
      </c>
      <c r="S75" s="166">
        <f t="shared" si="158"/>
        <v>0</v>
      </c>
      <c r="T75" s="166">
        <f t="shared" si="158"/>
        <v>0</v>
      </c>
      <c r="U75" s="166">
        <f t="shared" si="158"/>
        <v>0</v>
      </c>
      <c r="V75" s="166">
        <f t="shared" si="158"/>
        <v>0</v>
      </c>
      <c r="W75" s="166">
        <f t="shared" si="158"/>
        <v>0</v>
      </c>
      <c r="X75" s="166">
        <f t="shared" si="158"/>
        <v>0</v>
      </c>
      <c r="Y75" s="166">
        <f t="shared" si="158"/>
        <v>0</v>
      </c>
      <c r="Z75" s="166">
        <f t="shared" si="158"/>
        <v>0</v>
      </c>
      <c r="AA75" s="166">
        <f t="shared" si="158"/>
        <v>0</v>
      </c>
      <c r="AB75" s="166">
        <f t="shared" si="158"/>
        <v>0</v>
      </c>
      <c r="AC75" s="166" cm="1">
        <f t="array" ref="AC75">SUMPRODUCT(G75:AB75,$G$4:$AB$4)</f>
        <v>3960</v>
      </c>
      <c r="AD75" s="89" t="b">
        <f>IF(AF75=AC75,TRUE,FALSE)</f>
        <v>1</v>
      </c>
      <c r="AE75" s="386">
        <f>IFERROR(SUMIF(服务费底表!$K:$K,服务费明细!$B75,服务费底表!$AD:$AD)/E75,0)</f>
        <v>990</v>
      </c>
      <c r="AF75" s="386">
        <f>E75*AE75</f>
        <v>3960</v>
      </c>
      <c r="AG75" s="386">
        <f>IFERROR(SUMIF(服务费底表!$K:$K,服务费明细!$B75,服务费底表!$AG:$AG)/E75,0)</f>
        <v>990</v>
      </c>
      <c r="AH75" s="386">
        <f>AG75*E75</f>
        <v>3960</v>
      </c>
      <c r="AI75" s="575"/>
      <c r="AJ75" s="563">
        <f>IF(D75=1,AK75/E75,0)</f>
        <v>2</v>
      </c>
      <c r="AK75" s="564">
        <f>SUMIF(服务费底表!$K:$K,服务费明细!$B75,服务费底表!$AC:$AC)</f>
        <v>8</v>
      </c>
      <c r="AL75" s="166">
        <f>SUMIFS(服务费底表!$AC:$AC,服务费底表!$K:$K,服务费明细!$B75,服务费底表!$T:$T,AL$3)</f>
        <v>4</v>
      </c>
      <c r="AM75" s="166">
        <f>SUMIFS(服务费底表!$AC:$AC,服务费底表!$K:$K,服务费明细!$B75,服务费底表!$T:$T,AM$3)</f>
        <v>0</v>
      </c>
      <c r="AN75" s="166">
        <f>SUMIFS(服务费底表!$AC:$AC,服务费底表!$K:$K,服务费明细!$B75,服务费底表!$T:$T,AN$3)</f>
        <v>4</v>
      </c>
      <c r="AO75" s="166">
        <f>SUMIFS(服务费底表!$AC:$AC,服务费底表!$K:$K,服务费明细!$B75,服务费底表!$T:$T,AO$3)</f>
        <v>0</v>
      </c>
      <c r="AP75" s="166">
        <f>SUMIFS(服务费底表!$AC:$AC,服务费底表!$K:$K,服务费明细!$B75,服务费底表!$T:$T,AP$3)</f>
        <v>0</v>
      </c>
      <c r="AQ75" s="166">
        <f>SUMIFS(服务费底表!$AC:$AC,服务费底表!$K:$K,服务费明细!$B75,服务费底表!$T:$T,AQ$3)</f>
        <v>0</v>
      </c>
      <c r="AR75" s="166">
        <f>SUMIFS(服务费底表!$AC:$AC,服务费底表!$K:$K,服务费明细!$B75,服务费底表!$T:$T,AR$3)</f>
        <v>0</v>
      </c>
      <c r="AS75" s="166">
        <f>SUMIFS(服务费底表!$AC:$AC,服务费底表!$K:$K,服务费明细!$B75,服务费底表!$T:$T,AS$3)</f>
        <v>0</v>
      </c>
      <c r="AT75" s="166">
        <f>SUMIFS(服务费底表!$AC:$AC,服务费底表!$K:$K,服务费明细!$B75,服务费底表!$T:$T,AT$3)</f>
        <v>0</v>
      </c>
      <c r="AU75" s="166">
        <f>SUMIFS(服务费底表!$AC:$AC,服务费底表!$K:$K,服务费明细!$B75,服务费底表!$T:$T,AU$3)</f>
        <v>0</v>
      </c>
      <c r="AV75" s="166">
        <f>SUMIFS(服务费底表!$AC:$AC,服务费底表!$K:$K,服务费明细!$B75,服务费底表!$T:$T,AV$3)</f>
        <v>0</v>
      </c>
      <c r="AW75" s="166">
        <f>SUMIFS(服务费底表!$AC:$AC,服务费底表!$K:$K,服务费明细!$B75,服务费底表!$T:$T,AW$3)</f>
        <v>0</v>
      </c>
      <c r="AX75" s="166">
        <f>SUMIFS(服务费底表!$AC:$AC,服务费底表!$K:$K,服务费明细!$B75,服务费底表!$T:$T,AX$3)</f>
        <v>0</v>
      </c>
      <c r="AY75" s="166">
        <f>SUMIFS(服务费底表!$AC:$AC,服务费底表!$K:$K,服务费明细!$B75,服务费底表!$T:$T,AY$3)</f>
        <v>0</v>
      </c>
      <c r="AZ75" s="166">
        <f>SUMIFS(服务费底表!$AC:$AC,服务费底表!$K:$K,服务费明细!$B75,服务费底表!$T:$T,AZ$3)</f>
        <v>0</v>
      </c>
      <c r="BA75" s="166">
        <f>SUMIFS(服务费底表!$AC:$AC,服务费底表!$K:$K,服务费明细!$B75,服务费底表!$T:$T,BA$3)</f>
        <v>0</v>
      </c>
      <c r="BB75" s="166">
        <f>SUMIFS(服务费底表!$AC:$AC,服务费底表!$K:$K,服务费明细!$B75,服务费底表!$T:$T,BB$3)</f>
        <v>0</v>
      </c>
      <c r="BC75" s="166">
        <f>SUMIFS(服务费底表!$AC:$AC,服务费底表!$K:$K,服务费明细!$B75,服务费底表!$T:$T,BC$3)</f>
        <v>0</v>
      </c>
      <c r="BD75" s="166">
        <f>SUMIFS(服务费底表!$AC:$AC,服务费底表!$K:$K,服务费明细!$B75,服务费底表!$T:$T,BD$3)</f>
        <v>0</v>
      </c>
      <c r="BE75" s="166">
        <f>SUMIFS(服务费底表!$AC:$AC,服务费底表!$K:$K,服务费明细!$B75,服务费底表!$T:$T,BE$3)</f>
        <v>0</v>
      </c>
      <c r="BF75" s="166">
        <f>SUMIFS(服务费底表!$AC:$AC,服务费底表!$K:$K,服务费明细!$B75,服务费底表!$T:$T,BF$3)</f>
        <v>0</v>
      </c>
      <c r="BG75" s="166">
        <f>SUMIFS(服务费底表!$AC:$AC,服务费底表!$K:$K,服务费明细!$B75,服务费底表!$T:$T,BG$3)</f>
        <v>0</v>
      </c>
      <c r="BI75" s="388"/>
      <c r="BJ75" s="388"/>
      <c r="BK75" s="388"/>
      <c r="BL75" s="388"/>
      <c r="BM75" s="388"/>
      <c r="BN75" s="388"/>
      <c r="BO75" s="388"/>
      <c r="BQ75" s="389"/>
      <c r="BR75" s="389"/>
      <c r="BS75" s="389"/>
      <c r="BT75" s="389"/>
      <c r="BU75" s="389"/>
      <c r="BV75" s="389"/>
      <c r="BW75" s="389"/>
    </row>
    <row r="76" ht="105.6" spans="2:75">
      <c r="B76" s="202" t="s">
        <v>217</v>
      </c>
      <c r="C76" s="89" t="str">
        <f>INDEX(二三级标准!$C:$C,MATCH(服务费明细!$B76,二三级标准!$B:$B,0))</f>
        <v>文件创建和维护</v>
      </c>
      <c r="D76" s="166">
        <f t="shared" ref="D72:D81" si="159">IF($D$70=1,1,0)</f>
        <v>1</v>
      </c>
      <c r="E76" s="166">
        <f>IF($D76=1,ROUND(SUM(首家伦理月+首家合同月+遗传办月+入组月+治疗月+随访月+长随访月+锁库月),0),0)</f>
        <v>17</v>
      </c>
      <c r="F76" s="89" t="str">
        <f>INDEX(二三级标准!$G:$G,MATCH(服务费明细!$B76,二三级标准!$B:$B,0))</f>
        <v>月</v>
      </c>
      <c r="G76" s="166">
        <f t="shared" ref="G71:G96" si="160">AL76</f>
        <v>110.5</v>
      </c>
      <c r="H76" s="166">
        <f t="shared" ref="H71:H96" si="161">AM76</f>
        <v>102</v>
      </c>
      <c r="I76" s="166">
        <f t="shared" ref="I71:I96" si="162">AN76</f>
        <v>102</v>
      </c>
      <c r="J76" s="166">
        <f t="shared" ref="J71:J96" si="163">AO76</f>
        <v>0</v>
      </c>
      <c r="K76" s="166">
        <f t="shared" ref="K71:K96" si="164">AP76</f>
        <v>51</v>
      </c>
      <c r="L76" s="166">
        <f t="shared" ref="L71:L96" si="165">AQ76</f>
        <v>0</v>
      </c>
      <c r="M76" s="166">
        <f t="shared" ref="M71:M96" si="166">AR76</f>
        <v>0</v>
      </c>
      <c r="N76" s="166">
        <f t="shared" ref="N71:N96" si="167">AS76</f>
        <v>0</v>
      </c>
      <c r="O76" s="166">
        <f t="shared" ref="O71:O96" si="168">AT76</f>
        <v>0</v>
      </c>
      <c r="P76" s="166">
        <f t="shared" ref="P71:P96" si="169">AU76</f>
        <v>0</v>
      </c>
      <c r="Q76" s="166">
        <f t="shared" ref="Q71:Q96" si="170">AV76</f>
        <v>0</v>
      </c>
      <c r="R76" s="166">
        <f t="shared" ref="R71:R96" si="171">AW76</f>
        <v>0</v>
      </c>
      <c r="S76" s="166">
        <f t="shared" ref="S71:S96" si="172">AX76</f>
        <v>0</v>
      </c>
      <c r="T76" s="166">
        <f t="shared" ref="T71:T96" si="173">AY76</f>
        <v>0</v>
      </c>
      <c r="U76" s="166">
        <f t="shared" ref="U71:U96" si="174">AZ76</f>
        <v>0</v>
      </c>
      <c r="V76" s="166">
        <f t="shared" ref="V71:V96" si="175">BA76</f>
        <v>0</v>
      </c>
      <c r="W76" s="166">
        <f t="shared" ref="W71:W96" si="176">BB76</f>
        <v>0</v>
      </c>
      <c r="X76" s="166">
        <f t="shared" ref="X71:X96" si="177">BC76</f>
        <v>0</v>
      </c>
      <c r="Y76" s="166">
        <f t="shared" ref="Y71:Y96" si="178">BD76</f>
        <v>0</v>
      </c>
      <c r="Z76" s="166">
        <f t="shared" ref="Z71:Z96" si="179">BE76</f>
        <v>0</v>
      </c>
      <c r="AA76" s="166">
        <f t="shared" ref="AA71:AA96" si="180">BF76</f>
        <v>0</v>
      </c>
      <c r="AB76" s="166">
        <f t="shared" ref="AB71:AB96" si="181">BG76</f>
        <v>0</v>
      </c>
      <c r="AC76" s="166" cm="1">
        <f t="array" ref="AC76">SUMPRODUCT(G76:AB76,$G$4:$AB$4)</f>
        <v>156910</v>
      </c>
      <c r="AD76" s="89" t="b">
        <f t="shared" ref="AD72:AD96" si="182">IF(AF76=AC76,TRUE,FALSE)</f>
        <v>1</v>
      </c>
      <c r="AE76" s="386">
        <f>IFERROR(SUMIF(服务费底表!$K:$K,服务费明细!$B76,服务费底表!$AD:$AD)/E76,0)</f>
        <v>9230</v>
      </c>
      <c r="AF76" s="386">
        <f t="shared" ref="AF73:AF96" si="183">E76*AE76</f>
        <v>156910</v>
      </c>
      <c r="AG76" s="386">
        <f>IFERROR(SUMIF(服务费底表!$K:$K,服务费明细!$B76,服务费底表!$AG:$AG)/E76,0)</f>
        <v>9230</v>
      </c>
      <c r="AH76" s="386">
        <f t="shared" ref="AH73:AH96" si="184">AG76*E76</f>
        <v>156910</v>
      </c>
      <c r="AI76" s="409" t="s">
        <v>1020</v>
      </c>
      <c r="AJ76" s="563">
        <f t="shared" ref="AJ72:AJ93" si="185">IF(D76=1,AK76/E76,0)</f>
        <v>21.5</v>
      </c>
      <c r="AK76" s="564">
        <f>SUMIF(服务费底表!$K:$K,服务费明细!$B76,服务费底表!$AC:$AC)</f>
        <v>365.5</v>
      </c>
      <c r="AL76" s="166">
        <f>SUMIFS(服务费底表!$AC:$AC,服务费底表!$K:$K,服务费明细!$B76,服务费底表!$T:$T,AL$3)</f>
        <v>110.5</v>
      </c>
      <c r="AM76" s="166">
        <f>SUMIFS(服务费底表!$AC:$AC,服务费底表!$K:$K,服务费明细!$B76,服务费底表!$T:$T,AM$3)</f>
        <v>102</v>
      </c>
      <c r="AN76" s="166">
        <f>SUMIFS(服务费底表!$AC:$AC,服务费底表!$K:$K,服务费明细!$B76,服务费底表!$T:$T,AN$3)</f>
        <v>102</v>
      </c>
      <c r="AO76" s="166">
        <f>SUMIFS(服务费底表!$AC:$AC,服务费底表!$K:$K,服务费明细!$B76,服务费底表!$T:$T,AO$3)</f>
        <v>0</v>
      </c>
      <c r="AP76" s="166">
        <f>SUMIFS(服务费底表!$AC:$AC,服务费底表!$K:$K,服务费明细!$B76,服务费底表!$T:$T,AP$3)</f>
        <v>51</v>
      </c>
      <c r="AQ76" s="166">
        <f>SUMIFS(服务费底表!$AC:$AC,服务费底表!$K:$K,服务费明细!$B76,服务费底表!$T:$T,AQ$3)</f>
        <v>0</v>
      </c>
      <c r="AR76" s="166">
        <f>SUMIFS(服务费底表!$AC:$AC,服务费底表!$K:$K,服务费明细!$B76,服务费底表!$T:$T,AR$3)</f>
        <v>0</v>
      </c>
      <c r="AS76" s="166">
        <f>SUMIFS(服务费底表!$AC:$AC,服务费底表!$K:$K,服务费明细!$B76,服务费底表!$T:$T,AS$3)</f>
        <v>0</v>
      </c>
      <c r="AT76" s="166">
        <f>SUMIFS(服务费底表!$AC:$AC,服务费底表!$K:$K,服务费明细!$B76,服务费底表!$T:$T,AT$3)</f>
        <v>0</v>
      </c>
      <c r="AU76" s="166">
        <f>SUMIFS(服务费底表!$AC:$AC,服务费底表!$K:$K,服务费明细!$B76,服务费底表!$T:$T,AU$3)</f>
        <v>0</v>
      </c>
      <c r="AV76" s="166">
        <f>SUMIFS(服务费底表!$AC:$AC,服务费底表!$K:$K,服务费明细!$B76,服务费底表!$T:$T,AV$3)</f>
        <v>0</v>
      </c>
      <c r="AW76" s="166">
        <f>SUMIFS(服务费底表!$AC:$AC,服务费底表!$K:$K,服务费明细!$B76,服务费底表!$T:$T,AW$3)</f>
        <v>0</v>
      </c>
      <c r="AX76" s="166">
        <f>SUMIFS(服务费底表!$AC:$AC,服务费底表!$K:$K,服务费明细!$B76,服务费底表!$T:$T,AX$3)</f>
        <v>0</v>
      </c>
      <c r="AY76" s="166">
        <f>SUMIFS(服务费底表!$AC:$AC,服务费底表!$K:$K,服务费明细!$B76,服务费底表!$T:$T,AY$3)</f>
        <v>0</v>
      </c>
      <c r="AZ76" s="166">
        <f>SUMIFS(服务费底表!$AC:$AC,服务费底表!$K:$K,服务费明细!$B76,服务费底表!$T:$T,AZ$3)</f>
        <v>0</v>
      </c>
      <c r="BA76" s="166">
        <f>SUMIFS(服务费底表!$AC:$AC,服务费底表!$K:$K,服务费明细!$B76,服务费底表!$T:$T,BA$3)</f>
        <v>0</v>
      </c>
      <c r="BB76" s="166">
        <f>SUMIFS(服务费底表!$AC:$AC,服务费底表!$K:$K,服务费明细!$B76,服务费底表!$T:$T,BB$3)</f>
        <v>0</v>
      </c>
      <c r="BC76" s="166">
        <f>SUMIFS(服务费底表!$AC:$AC,服务费底表!$K:$K,服务费明细!$B76,服务费底表!$T:$T,BC$3)</f>
        <v>0</v>
      </c>
      <c r="BD76" s="166">
        <f>SUMIFS(服务费底表!$AC:$AC,服务费底表!$K:$K,服务费明细!$B76,服务费底表!$T:$T,BD$3)</f>
        <v>0</v>
      </c>
      <c r="BE76" s="166">
        <f>SUMIFS(服务费底表!$AC:$AC,服务费底表!$K:$K,服务费明细!$B76,服务费底表!$T:$T,BE$3)</f>
        <v>0</v>
      </c>
      <c r="BF76" s="166">
        <f>SUMIFS(服务费底表!$AC:$AC,服务费底表!$K:$K,服务费明细!$B76,服务费底表!$T:$T,BF$3)</f>
        <v>0</v>
      </c>
      <c r="BG76" s="166">
        <f>SUMIFS(服务费底表!$AC:$AC,服务费底表!$K:$K,服务费明细!$B76,服务费底表!$T:$T,BG$3)</f>
        <v>0</v>
      </c>
      <c r="BI76" s="388">
        <f>SUMIFS(服务费底表!$AC:$AC,服务费底表!$K:$K,服务费明细!$B76,服务费底表!$H:$H,服务费明细!BI$3)</f>
        <v>0</v>
      </c>
      <c r="BJ76" s="388">
        <f>SUMIFS(服务费底表!$AC:$AC,服务费底表!$K:$K,服务费明细!$B76,服务费底表!$H:$H,服务费明细!BJ$3)</f>
        <v>365.5</v>
      </c>
      <c r="BK76" s="388">
        <f>SUMIFS(服务费底表!$AC:$AC,服务费底表!$K:$K,服务费明细!$B76,服务费底表!$H:$H,服务费明细!BK$3)</f>
        <v>0</v>
      </c>
      <c r="BL76" s="388">
        <f>SUMIFS(服务费底表!$AC:$AC,服务费底表!$K:$K,服务费明细!$B76,服务费底表!$H:$H,服务费明细!BL$3)</f>
        <v>0</v>
      </c>
      <c r="BM76" s="388">
        <f>SUMIFS(服务费底表!$AC:$AC,服务费底表!$K:$K,服务费明细!$B76,服务费底表!$H:$H,服务费明细!BM$3)</f>
        <v>0</v>
      </c>
      <c r="BN76" s="388">
        <f>SUMIFS(服务费底表!$AC:$AC,服务费底表!$K:$K,服务费明细!$B76,服务费底表!$H:$H,服务费明细!BN$3)</f>
        <v>0</v>
      </c>
      <c r="BO76" s="388">
        <f>SUMIFS(服务费底表!$AC:$AC,服务费底表!$K:$K,服务费明细!$B76,服务费底表!$H:$H,服务费明细!BO$3)</f>
        <v>0</v>
      </c>
      <c r="BQ76" s="389">
        <f>SUMIFS(服务费底表!$AD:$AD,服务费底表!$K:$K,服务费明细!$B76,服务费底表!$H:$H,服务费明细!BQ$3)</f>
        <v>0</v>
      </c>
      <c r="BR76" s="389">
        <f>SUMIFS(服务费底表!$AD:$AD,服务费底表!$K:$K,服务费明细!$B76,服务费底表!$H:$H,服务费明细!BR$3)</f>
        <v>156910</v>
      </c>
      <c r="BS76" s="389">
        <f>SUMIFS(服务费底表!$AD:$AD,服务费底表!$K:$K,服务费明细!$B76,服务费底表!$H:$H,服务费明细!BS$3)</f>
        <v>0</v>
      </c>
      <c r="BT76" s="389">
        <f>SUMIFS(服务费底表!$AD:$AD,服务费底表!$K:$K,服务费明细!$B76,服务费底表!$H:$H,服务费明细!BT$3)</f>
        <v>0</v>
      </c>
      <c r="BU76" s="389">
        <f>SUMIFS(服务费底表!$AD:$AD,服务费底表!$K:$K,服务费明细!$B76,服务费底表!$H:$H,服务费明细!BU$3)</f>
        <v>0</v>
      </c>
      <c r="BV76" s="389">
        <f>SUMIFS(服务费底表!$AD:$AD,服务费底表!$K:$K,服务费明细!$B76,服务费底表!$H:$H,服务费明细!BV$3)</f>
        <v>0</v>
      </c>
      <c r="BW76" s="389">
        <f>SUMIFS(服务费底表!$AD:$AD,服务费底表!$K:$K,服务费明细!$B76,服务费底表!$H:$H,服务费明细!BW$3)</f>
        <v>0</v>
      </c>
    </row>
    <row r="77" spans="2:75">
      <c r="B77" s="202" t="s">
        <v>219</v>
      </c>
      <c r="C77" s="89" t="str">
        <f>INDEX(二三级标准!$C:$C,MATCH(服务费明细!$B77,二三级标准!$B:$B,0))</f>
        <v>供应商筛选和合同建立</v>
      </c>
      <c r="D77" s="166">
        <f t="shared" si="159"/>
        <v>1</v>
      </c>
      <c r="E77" s="166">
        <f>IF($D77=1,COUNTIF($D$78:$D$85,1),0)</f>
        <v>5</v>
      </c>
      <c r="F77" s="89" t="str">
        <f>INDEX(二三级标准!$G:$G,MATCH(服务费明细!$B77,二三级标准!$B:$B,0))</f>
        <v>个</v>
      </c>
      <c r="G77" s="166">
        <f t="shared" si="160"/>
        <v>0</v>
      </c>
      <c r="H77" s="166">
        <f t="shared" si="161"/>
        <v>0</v>
      </c>
      <c r="I77" s="166">
        <f t="shared" si="162"/>
        <v>40</v>
      </c>
      <c r="J77" s="166">
        <f t="shared" si="163"/>
        <v>0</v>
      </c>
      <c r="K77" s="166">
        <f t="shared" si="164"/>
        <v>0</v>
      </c>
      <c r="L77" s="166">
        <f t="shared" si="165"/>
        <v>0</v>
      </c>
      <c r="M77" s="166">
        <f t="shared" si="166"/>
        <v>0</v>
      </c>
      <c r="N77" s="166">
        <f t="shared" si="167"/>
        <v>0</v>
      </c>
      <c r="O77" s="166">
        <f t="shared" si="168"/>
        <v>0</v>
      </c>
      <c r="P77" s="166">
        <f t="shared" si="169"/>
        <v>0</v>
      </c>
      <c r="Q77" s="166">
        <f t="shared" si="170"/>
        <v>0</v>
      </c>
      <c r="R77" s="166">
        <f t="shared" si="171"/>
        <v>0</v>
      </c>
      <c r="S77" s="166">
        <f t="shared" si="172"/>
        <v>0</v>
      </c>
      <c r="T77" s="166">
        <f t="shared" si="173"/>
        <v>0</v>
      </c>
      <c r="U77" s="166">
        <f t="shared" si="174"/>
        <v>0</v>
      </c>
      <c r="V77" s="166">
        <f t="shared" si="175"/>
        <v>0</v>
      </c>
      <c r="W77" s="166">
        <f t="shared" si="176"/>
        <v>0</v>
      </c>
      <c r="X77" s="166">
        <f t="shared" si="177"/>
        <v>0</v>
      </c>
      <c r="Y77" s="166">
        <f t="shared" si="178"/>
        <v>0</v>
      </c>
      <c r="Z77" s="166">
        <f t="shared" si="179"/>
        <v>0</v>
      </c>
      <c r="AA77" s="166">
        <f t="shared" si="180"/>
        <v>0</v>
      </c>
      <c r="AB77" s="166">
        <f t="shared" si="181"/>
        <v>0</v>
      </c>
      <c r="AC77" s="166" cm="1">
        <f t="array" ref="AC77">SUMPRODUCT(G77:AB77,$G$4:$AB$4)</f>
        <v>26000</v>
      </c>
      <c r="AD77" s="89" t="b">
        <f t="shared" si="182"/>
        <v>1</v>
      </c>
      <c r="AE77" s="386">
        <f>IFERROR(SUMIF(服务费底表!$K:$K,服务费明细!$B77,服务费底表!$AD:$AD)/E77,0)</f>
        <v>5200</v>
      </c>
      <c r="AF77" s="386">
        <f t="shared" si="183"/>
        <v>26000</v>
      </c>
      <c r="AG77" s="386">
        <f>IFERROR(SUMIF(服务费底表!$K:$K,服务费明细!$B77,服务费底表!$AG:$AG)/E77,0)</f>
        <v>5200</v>
      </c>
      <c r="AH77" s="386">
        <f t="shared" si="184"/>
        <v>26000</v>
      </c>
      <c r="AI77" s="409" t="s">
        <v>1021</v>
      </c>
      <c r="AJ77" s="563">
        <f t="shared" si="185"/>
        <v>8</v>
      </c>
      <c r="AK77" s="564">
        <f>SUMIF(服务费底表!$K:$K,服务费明细!$B77,服务费底表!$AC:$AC)</f>
        <v>40</v>
      </c>
      <c r="AL77" s="166">
        <f>SUMIFS(服务费底表!$AC:$AC,服务费底表!$K:$K,服务费明细!$B77,服务费底表!$T:$T,AL$3)</f>
        <v>0</v>
      </c>
      <c r="AM77" s="166">
        <f>SUMIFS(服务费底表!$AC:$AC,服务费底表!$K:$K,服务费明细!$B77,服务费底表!$T:$T,AM$3)</f>
        <v>0</v>
      </c>
      <c r="AN77" s="166">
        <f>SUMIFS(服务费底表!$AC:$AC,服务费底表!$K:$K,服务费明细!$B77,服务费底表!$T:$T,AN$3)</f>
        <v>40</v>
      </c>
      <c r="AO77" s="166">
        <f>SUMIFS(服务费底表!$AC:$AC,服务费底表!$K:$K,服务费明细!$B77,服务费底表!$T:$T,AO$3)</f>
        <v>0</v>
      </c>
      <c r="AP77" s="166">
        <f>SUMIFS(服务费底表!$AC:$AC,服务费底表!$K:$K,服务费明细!$B77,服务费底表!$T:$T,AP$3)</f>
        <v>0</v>
      </c>
      <c r="AQ77" s="166">
        <f>SUMIFS(服务费底表!$AC:$AC,服务费底表!$K:$K,服务费明细!$B77,服务费底表!$T:$T,AQ$3)</f>
        <v>0</v>
      </c>
      <c r="AR77" s="166">
        <f>SUMIFS(服务费底表!$AC:$AC,服务费底表!$K:$K,服务费明细!$B77,服务费底表!$T:$T,AR$3)</f>
        <v>0</v>
      </c>
      <c r="AS77" s="166">
        <f>SUMIFS(服务费底表!$AC:$AC,服务费底表!$K:$K,服务费明细!$B77,服务费底表!$T:$T,AS$3)</f>
        <v>0</v>
      </c>
      <c r="AT77" s="166">
        <f>SUMIFS(服务费底表!$AC:$AC,服务费底表!$K:$K,服务费明细!$B77,服务费底表!$T:$T,AT$3)</f>
        <v>0</v>
      </c>
      <c r="AU77" s="166">
        <f>SUMIFS(服务费底表!$AC:$AC,服务费底表!$K:$K,服务费明细!$B77,服务费底表!$T:$T,AU$3)</f>
        <v>0</v>
      </c>
      <c r="AV77" s="166">
        <f>SUMIFS(服务费底表!$AC:$AC,服务费底表!$K:$K,服务费明细!$B77,服务费底表!$T:$T,AV$3)</f>
        <v>0</v>
      </c>
      <c r="AW77" s="166">
        <f>SUMIFS(服务费底表!$AC:$AC,服务费底表!$K:$K,服务费明细!$B77,服务费底表!$T:$T,AW$3)</f>
        <v>0</v>
      </c>
      <c r="AX77" s="166">
        <f>SUMIFS(服务费底表!$AC:$AC,服务费底表!$K:$K,服务费明细!$B77,服务费底表!$T:$T,AX$3)</f>
        <v>0</v>
      </c>
      <c r="AY77" s="166">
        <f>SUMIFS(服务费底表!$AC:$AC,服务费底表!$K:$K,服务费明细!$B77,服务费底表!$T:$T,AY$3)</f>
        <v>0</v>
      </c>
      <c r="AZ77" s="166">
        <f>SUMIFS(服务费底表!$AC:$AC,服务费底表!$K:$K,服务费明细!$B77,服务费底表!$T:$T,AZ$3)</f>
        <v>0</v>
      </c>
      <c r="BA77" s="166">
        <f>SUMIFS(服务费底表!$AC:$AC,服务费底表!$K:$K,服务费明细!$B77,服务费底表!$T:$T,BA$3)</f>
        <v>0</v>
      </c>
      <c r="BB77" s="166">
        <f>SUMIFS(服务费底表!$AC:$AC,服务费底表!$K:$K,服务费明细!$B77,服务费底表!$T:$T,BB$3)</f>
        <v>0</v>
      </c>
      <c r="BC77" s="166">
        <f>SUMIFS(服务费底表!$AC:$AC,服务费底表!$K:$K,服务费明细!$B77,服务费底表!$T:$T,BC$3)</f>
        <v>0</v>
      </c>
      <c r="BD77" s="166">
        <f>SUMIFS(服务费底表!$AC:$AC,服务费底表!$K:$K,服务费明细!$B77,服务费底表!$T:$T,BD$3)</f>
        <v>0</v>
      </c>
      <c r="BE77" s="166">
        <f>SUMIFS(服务费底表!$AC:$AC,服务费底表!$K:$K,服务费明细!$B77,服务费底表!$T:$T,BE$3)</f>
        <v>0</v>
      </c>
      <c r="BF77" s="166">
        <f>SUMIFS(服务费底表!$AC:$AC,服务费底表!$K:$K,服务费明细!$B77,服务费底表!$T:$T,BF$3)</f>
        <v>0</v>
      </c>
      <c r="BG77" s="166">
        <f>SUMIFS(服务费底表!$AC:$AC,服务费底表!$K:$K,服务费明细!$B77,服务费底表!$T:$T,BG$3)</f>
        <v>0</v>
      </c>
      <c r="BI77" s="388">
        <f>SUMIFS(服务费底表!$AC:$AC,服务费底表!$K:$K,服务费明细!$B77,服务费底表!$H:$H,服务费明细!BI$3)</f>
        <v>0</v>
      </c>
      <c r="BJ77" s="388">
        <f>SUMIFS(服务费底表!$AC:$AC,服务费底表!$K:$K,服务费明细!$B77,服务费底表!$H:$H,服务费明细!BJ$3)</f>
        <v>40</v>
      </c>
      <c r="BK77" s="388">
        <f>SUMIFS(服务费底表!$AC:$AC,服务费底表!$K:$K,服务费明细!$B77,服务费底表!$H:$H,服务费明细!BK$3)</f>
        <v>0</v>
      </c>
      <c r="BL77" s="388">
        <f>SUMIFS(服务费底表!$AC:$AC,服务费底表!$K:$K,服务费明细!$B77,服务费底表!$H:$H,服务费明细!BL$3)</f>
        <v>0</v>
      </c>
      <c r="BM77" s="388">
        <f>SUMIFS(服务费底表!$AC:$AC,服务费底表!$K:$K,服务费明细!$B77,服务费底表!$H:$H,服务费明细!BM$3)</f>
        <v>0</v>
      </c>
      <c r="BN77" s="388">
        <f>SUMIFS(服务费底表!$AC:$AC,服务费底表!$K:$K,服务费明细!$B77,服务费底表!$H:$H,服务费明细!BN$3)</f>
        <v>0</v>
      </c>
      <c r="BO77" s="388">
        <f>SUMIFS(服务费底表!$AC:$AC,服务费底表!$K:$K,服务费明细!$B77,服务费底表!$H:$H,服务费明细!BO$3)</f>
        <v>0</v>
      </c>
      <c r="BQ77" s="389">
        <f>SUMIFS(服务费底表!$AD:$AD,服务费底表!$K:$K,服务费明细!$B77,服务费底表!$H:$H,服务费明细!BQ$3)</f>
        <v>0</v>
      </c>
      <c r="BR77" s="389">
        <f>SUMIFS(服务费底表!$AD:$AD,服务费底表!$K:$K,服务费明细!$B77,服务费底表!$H:$H,服务费明细!BR$3)</f>
        <v>26000</v>
      </c>
      <c r="BS77" s="389">
        <f>SUMIFS(服务费底表!$AD:$AD,服务费底表!$K:$K,服务费明细!$B77,服务费底表!$H:$H,服务费明细!BS$3)</f>
        <v>0</v>
      </c>
      <c r="BT77" s="389">
        <f>SUMIFS(服务费底表!$AD:$AD,服务费底表!$K:$K,服务费明细!$B77,服务费底表!$H:$H,服务费明细!BT$3)</f>
        <v>0</v>
      </c>
      <c r="BU77" s="389">
        <f>SUMIFS(服务费底表!$AD:$AD,服务费底表!$K:$K,服务费明细!$B77,服务费底表!$H:$H,服务费明细!BU$3)</f>
        <v>0</v>
      </c>
      <c r="BV77" s="389">
        <f>SUMIFS(服务费底表!$AD:$AD,服务费底表!$K:$K,服务费明细!$B77,服务费底表!$H:$H,服务费明细!BV$3)</f>
        <v>0</v>
      </c>
      <c r="BW77" s="389">
        <f>SUMIFS(服务费底表!$AD:$AD,服务费底表!$K:$K,服务费明细!$B77,服务费底表!$H:$H,服务费明细!BW$3)</f>
        <v>0</v>
      </c>
    </row>
    <row r="78" spans="2:75">
      <c r="B78" s="202" t="s">
        <v>221</v>
      </c>
      <c r="C78" s="89" t="str">
        <f>INDEX(二三级标准!$C:$C,MATCH(服务费明细!$B78,二三级标准!$B:$B,0))</f>
        <v>SMO日常沟通</v>
      </c>
      <c r="D78" s="166">
        <f t="shared" si="159"/>
        <v>1</v>
      </c>
      <c r="E78" s="166">
        <f>IF($D78=1,ROUND(SUM(首家伦理月+遗传办月+首家合同月+筛选月+入组月+治疗月+随访月+长随访月+锁库月),0),0)</f>
        <v>17</v>
      </c>
      <c r="F78" s="89" t="str">
        <f>INDEX(二三级标准!$G:$G,MATCH(服务费明细!$B78,二三级标准!$B:$B,0))</f>
        <v>月</v>
      </c>
      <c r="G78" s="166">
        <f t="shared" si="160"/>
        <v>0</v>
      </c>
      <c r="H78" s="166">
        <f t="shared" si="161"/>
        <v>0</v>
      </c>
      <c r="I78" s="166">
        <f t="shared" si="162"/>
        <v>34</v>
      </c>
      <c r="J78" s="166">
        <f t="shared" si="163"/>
        <v>0</v>
      </c>
      <c r="K78" s="166">
        <f t="shared" si="164"/>
        <v>0</v>
      </c>
      <c r="L78" s="166">
        <f t="shared" si="165"/>
        <v>0</v>
      </c>
      <c r="M78" s="166">
        <f t="shared" si="166"/>
        <v>0</v>
      </c>
      <c r="N78" s="166">
        <f t="shared" si="167"/>
        <v>0</v>
      </c>
      <c r="O78" s="166">
        <f t="shared" si="168"/>
        <v>0</v>
      </c>
      <c r="P78" s="166">
        <f t="shared" si="169"/>
        <v>0</v>
      </c>
      <c r="Q78" s="166">
        <f t="shared" si="170"/>
        <v>0</v>
      </c>
      <c r="R78" s="166">
        <f t="shared" si="171"/>
        <v>0</v>
      </c>
      <c r="S78" s="166">
        <f t="shared" si="172"/>
        <v>0</v>
      </c>
      <c r="T78" s="166">
        <f t="shared" si="173"/>
        <v>0</v>
      </c>
      <c r="U78" s="166">
        <f t="shared" si="174"/>
        <v>0</v>
      </c>
      <c r="V78" s="166">
        <f t="shared" si="175"/>
        <v>0</v>
      </c>
      <c r="W78" s="166">
        <f t="shared" si="176"/>
        <v>0</v>
      </c>
      <c r="X78" s="166">
        <f t="shared" si="177"/>
        <v>0</v>
      </c>
      <c r="Y78" s="166">
        <f t="shared" si="178"/>
        <v>0</v>
      </c>
      <c r="Z78" s="166">
        <f t="shared" si="179"/>
        <v>0</v>
      </c>
      <c r="AA78" s="166">
        <f t="shared" si="180"/>
        <v>0</v>
      </c>
      <c r="AB78" s="166">
        <f t="shared" si="181"/>
        <v>0</v>
      </c>
      <c r="AC78" s="166" cm="1">
        <f t="array" ref="AC78">SUMPRODUCT(G78:AB78,$G$4:$AB$4)</f>
        <v>22100</v>
      </c>
      <c r="AD78" s="89" t="b">
        <f t="shared" si="182"/>
        <v>1</v>
      </c>
      <c r="AE78" s="386">
        <f>IFERROR(SUMIF(服务费底表!$K:$K,服务费明细!$B78,服务费底表!$AD:$AD)/E78,0)</f>
        <v>1300</v>
      </c>
      <c r="AF78" s="386">
        <f t="shared" si="183"/>
        <v>22100</v>
      </c>
      <c r="AG78" s="386">
        <f>IFERROR(SUMIF(服务费底表!$K:$K,服务费明细!$B78,服务费底表!$AG:$AG)/E78,0)</f>
        <v>1300</v>
      </c>
      <c r="AH78" s="386">
        <f t="shared" si="184"/>
        <v>22100</v>
      </c>
      <c r="AI78" s="409"/>
      <c r="AJ78" s="563">
        <f t="shared" si="185"/>
        <v>2</v>
      </c>
      <c r="AK78" s="564">
        <f>SUMIF(服务费底表!$K:$K,服务费明细!$B78,服务费底表!$AC:$AC)</f>
        <v>34</v>
      </c>
      <c r="AL78" s="166">
        <f>SUMIFS(服务费底表!$AC:$AC,服务费底表!$K:$K,服务费明细!$B78,服务费底表!$T:$T,AL$3)</f>
        <v>0</v>
      </c>
      <c r="AM78" s="166">
        <f>SUMIFS(服务费底表!$AC:$AC,服务费底表!$K:$K,服务费明细!$B78,服务费底表!$T:$T,AM$3)</f>
        <v>0</v>
      </c>
      <c r="AN78" s="166">
        <f>SUMIFS(服务费底表!$AC:$AC,服务费底表!$K:$K,服务费明细!$B78,服务费底表!$T:$T,AN$3)</f>
        <v>34</v>
      </c>
      <c r="AO78" s="166">
        <f>SUMIFS(服务费底表!$AC:$AC,服务费底表!$K:$K,服务费明细!$B78,服务费底表!$T:$T,AO$3)</f>
        <v>0</v>
      </c>
      <c r="AP78" s="166">
        <f>SUMIFS(服务费底表!$AC:$AC,服务费底表!$K:$K,服务费明细!$B78,服务费底表!$T:$T,AP$3)</f>
        <v>0</v>
      </c>
      <c r="AQ78" s="166">
        <f>SUMIFS(服务费底表!$AC:$AC,服务费底表!$K:$K,服务费明细!$B78,服务费底表!$T:$T,AQ$3)</f>
        <v>0</v>
      </c>
      <c r="AR78" s="166">
        <f>SUMIFS(服务费底表!$AC:$AC,服务费底表!$K:$K,服务费明细!$B78,服务费底表!$T:$T,AR$3)</f>
        <v>0</v>
      </c>
      <c r="AS78" s="166">
        <f>SUMIFS(服务费底表!$AC:$AC,服务费底表!$K:$K,服务费明细!$B78,服务费底表!$T:$T,AS$3)</f>
        <v>0</v>
      </c>
      <c r="AT78" s="166">
        <f>SUMIFS(服务费底表!$AC:$AC,服务费底表!$K:$K,服务费明细!$B78,服务费底表!$T:$T,AT$3)</f>
        <v>0</v>
      </c>
      <c r="AU78" s="166">
        <f>SUMIFS(服务费底表!$AC:$AC,服务费底表!$K:$K,服务费明细!$B78,服务费底表!$T:$T,AU$3)</f>
        <v>0</v>
      </c>
      <c r="AV78" s="166">
        <f>SUMIFS(服务费底表!$AC:$AC,服务费底表!$K:$K,服务费明细!$B78,服务费底表!$T:$T,AV$3)</f>
        <v>0</v>
      </c>
      <c r="AW78" s="166">
        <f>SUMIFS(服务费底表!$AC:$AC,服务费底表!$K:$K,服务费明细!$B78,服务费底表!$T:$T,AW$3)</f>
        <v>0</v>
      </c>
      <c r="AX78" s="166">
        <f>SUMIFS(服务费底表!$AC:$AC,服务费底表!$K:$K,服务费明细!$B78,服务费底表!$T:$T,AX$3)</f>
        <v>0</v>
      </c>
      <c r="AY78" s="166">
        <f>SUMIFS(服务费底表!$AC:$AC,服务费底表!$K:$K,服务费明细!$B78,服务费底表!$T:$T,AY$3)</f>
        <v>0</v>
      </c>
      <c r="AZ78" s="166">
        <f>SUMIFS(服务费底表!$AC:$AC,服务费底表!$K:$K,服务费明细!$B78,服务费底表!$T:$T,AZ$3)</f>
        <v>0</v>
      </c>
      <c r="BA78" s="166">
        <f>SUMIFS(服务费底表!$AC:$AC,服务费底表!$K:$K,服务费明细!$B78,服务费底表!$T:$T,BA$3)</f>
        <v>0</v>
      </c>
      <c r="BB78" s="166">
        <f>SUMIFS(服务费底表!$AC:$AC,服务费底表!$K:$K,服务费明细!$B78,服务费底表!$T:$T,BB$3)</f>
        <v>0</v>
      </c>
      <c r="BC78" s="166">
        <f>SUMIFS(服务费底表!$AC:$AC,服务费底表!$K:$K,服务费明细!$B78,服务费底表!$T:$T,BC$3)</f>
        <v>0</v>
      </c>
      <c r="BD78" s="166">
        <f>SUMIFS(服务费底表!$AC:$AC,服务费底表!$K:$K,服务费明细!$B78,服务费底表!$T:$T,BD$3)</f>
        <v>0</v>
      </c>
      <c r="BE78" s="166">
        <f>SUMIFS(服务费底表!$AC:$AC,服务费底表!$K:$K,服务费明细!$B78,服务费底表!$T:$T,BE$3)</f>
        <v>0</v>
      </c>
      <c r="BF78" s="166">
        <f>SUMIFS(服务费底表!$AC:$AC,服务费底表!$K:$K,服务费明细!$B78,服务费底表!$T:$T,BF$3)</f>
        <v>0</v>
      </c>
      <c r="BG78" s="166">
        <f>SUMIFS(服务费底表!$AC:$AC,服务费底表!$K:$K,服务费明细!$B78,服务费底表!$T:$T,BG$3)</f>
        <v>0</v>
      </c>
      <c r="BI78" s="388">
        <f>SUMIFS(服务费底表!$AC:$AC,服务费底表!$K:$K,服务费明细!$B78,服务费底表!$H:$H,服务费明细!BI$3)</f>
        <v>0</v>
      </c>
      <c r="BJ78" s="388">
        <f>SUMIFS(服务费底表!$AC:$AC,服务费底表!$K:$K,服务费明细!$B78,服务费底表!$H:$H,服务费明细!BJ$3)</f>
        <v>34</v>
      </c>
      <c r="BK78" s="388">
        <f>SUMIFS(服务费底表!$AC:$AC,服务费底表!$K:$K,服务费明细!$B78,服务费底表!$H:$H,服务费明细!BK$3)</f>
        <v>0</v>
      </c>
      <c r="BL78" s="388">
        <f>SUMIFS(服务费底表!$AC:$AC,服务费底表!$K:$K,服务费明细!$B78,服务费底表!$H:$H,服务费明细!BL$3)</f>
        <v>0</v>
      </c>
      <c r="BM78" s="388">
        <f>SUMIFS(服务费底表!$AC:$AC,服务费底表!$K:$K,服务费明细!$B78,服务费底表!$H:$H,服务费明细!BM$3)</f>
        <v>0</v>
      </c>
      <c r="BN78" s="388">
        <f>SUMIFS(服务费底表!$AC:$AC,服务费底表!$K:$K,服务费明细!$B78,服务费底表!$H:$H,服务费明细!BN$3)</f>
        <v>0</v>
      </c>
      <c r="BO78" s="388">
        <f>SUMIFS(服务费底表!$AC:$AC,服务费底表!$K:$K,服务费明细!$B78,服务费底表!$H:$H,服务费明细!BO$3)</f>
        <v>0</v>
      </c>
      <c r="BQ78" s="389">
        <f>SUMIFS(服务费底表!$AD:$AD,服务费底表!$K:$K,服务费明细!$B78,服务费底表!$H:$H,服务费明细!BQ$3)</f>
        <v>0</v>
      </c>
      <c r="BR78" s="389">
        <f>SUMIFS(服务费底表!$AD:$AD,服务费底表!$K:$K,服务费明细!$B78,服务费底表!$H:$H,服务费明细!BR$3)</f>
        <v>22100</v>
      </c>
      <c r="BS78" s="389">
        <f>SUMIFS(服务费底表!$AD:$AD,服务费底表!$K:$K,服务费明细!$B78,服务费底表!$H:$H,服务费明细!BS$3)</f>
        <v>0</v>
      </c>
      <c r="BT78" s="389">
        <f>SUMIFS(服务费底表!$AD:$AD,服务费底表!$K:$K,服务费明细!$B78,服务费底表!$H:$H,服务费明细!BT$3)</f>
        <v>0</v>
      </c>
      <c r="BU78" s="389">
        <f>SUMIFS(服务费底表!$AD:$AD,服务费底表!$K:$K,服务费明细!$B78,服务费底表!$H:$H,服务费明细!BU$3)</f>
        <v>0</v>
      </c>
      <c r="BV78" s="389">
        <f>SUMIFS(服务费底表!$AD:$AD,服务费底表!$K:$K,服务费明细!$B78,服务费底表!$H:$H,服务费明细!BV$3)</f>
        <v>0</v>
      </c>
      <c r="BW78" s="389">
        <f>SUMIFS(服务费底表!$AD:$AD,服务费底表!$K:$K,服务费明细!$B78,服务费底表!$H:$H,服务费明细!BW$3)</f>
        <v>0</v>
      </c>
    </row>
    <row r="79" spans="2:75">
      <c r="B79" s="202" t="s">
        <v>223</v>
      </c>
      <c r="C79" s="89" t="str">
        <f>INDEX(二三级标准!$C:$C,MATCH(服务费明细!$B79,二三级标准!$B:$B,0))</f>
        <v>招募日常沟通</v>
      </c>
      <c r="D79" s="166">
        <f t="shared" si="159"/>
        <v>1</v>
      </c>
      <c r="E79" s="166">
        <f>IF($D79=1,ROUND(入组月,0),0)</f>
        <v>6</v>
      </c>
      <c r="F79" s="89" t="str">
        <f>INDEX(二三级标准!$G:$G,MATCH(服务费明细!$B79,二三级标准!$B:$B,0))</f>
        <v>月</v>
      </c>
      <c r="G79" s="166">
        <f t="shared" si="160"/>
        <v>0</v>
      </c>
      <c r="H79" s="166">
        <f t="shared" si="161"/>
        <v>0</v>
      </c>
      <c r="I79" s="166">
        <f t="shared" si="162"/>
        <v>12</v>
      </c>
      <c r="J79" s="166">
        <f t="shared" si="163"/>
        <v>0</v>
      </c>
      <c r="K79" s="166">
        <f t="shared" si="164"/>
        <v>0</v>
      </c>
      <c r="L79" s="166">
        <f t="shared" si="165"/>
        <v>0</v>
      </c>
      <c r="M79" s="166">
        <f t="shared" si="166"/>
        <v>0</v>
      </c>
      <c r="N79" s="166">
        <f t="shared" si="167"/>
        <v>0</v>
      </c>
      <c r="O79" s="166">
        <f t="shared" si="168"/>
        <v>0</v>
      </c>
      <c r="P79" s="166">
        <f t="shared" si="169"/>
        <v>0</v>
      </c>
      <c r="Q79" s="166">
        <f t="shared" si="170"/>
        <v>0</v>
      </c>
      <c r="R79" s="166">
        <f t="shared" si="171"/>
        <v>0</v>
      </c>
      <c r="S79" s="166">
        <f t="shared" si="172"/>
        <v>0</v>
      </c>
      <c r="T79" s="166">
        <f t="shared" si="173"/>
        <v>0</v>
      </c>
      <c r="U79" s="166">
        <f t="shared" si="174"/>
        <v>0</v>
      </c>
      <c r="V79" s="166">
        <f t="shared" si="175"/>
        <v>0</v>
      </c>
      <c r="W79" s="166">
        <f t="shared" si="176"/>
        <v>0</v>
      </c>
      <c r="X79" s="166">
        <f t="shared" si="177"/>
        <v>0</v>
      </c>
      <c r="Y79" s="166">
        <f t="shared" si="178"/>
        <v>0</v>
      </c>
      <c r="Z79" s="166">
        <f t="shared" si="179"/>
        <v>0</v>
      </c>
      <c r="AA79" s="166">
        <f t="shared" si="180"/>
        <v>0</v>
      </c>
      <c r="AB79" s="166">
        <f t="shared" si="181"/>
        <v>0</v>
      </c>
      <c r="AC79" s="166" cm="1">
        <f t="array" ref="AC79">SUMPRODUCT(G79:AB79,$G$4:$AB$4)</f>
        <v>7800</v>
      </c>
      <c r="AD79" s="89" t="b">
        <f t="shared" si="182"/>
        <v>1</v>
      </c>
      <c r="AE79" s="386">
        <f>IFERROR(SUMIF(服务费底表!$K:$K,服务费明细!$B79,服务费底表!$AD:$AD)/E79,0)</f>
        <v>1300</v>
      </c>
      <c r="AF79" s="386">
        <f t="shared" si="183"/>
        <v>7800</v>
      </c>
      <c r="AG79" s="386">
        <f>IFERROR(SUMIF(服务费底表!$K:$K,服务费明细!$B79,服务费底表!$AG:$AG)/E79,0)</f>
        <v>1300</v>
      </c>
      <c r="AH79" s="386">
        <f t="shared" si="184"/>
        <v>7800</v>
      </c>
      <c r="AI79" s="409"/>
      <c r="AJ79" s="563">
        <f t="shared" si="185"/>
        <v>2</v>
      </c>
      <c r="AK79" s="564">
        <f>SUMIF(服务费底表!$K:$K,服务费明细!$B79,服务费底表!$AC:$AC)</f>
        <v>12</v>
      </c>
      <c r="AL79" s="166">
        <f>SUMIFS(服务费底表!$AC:$AC,服务费底表!$K:$K,服务费明细!$B79,服务费底表!$T:$T,AL$3)</f>
        <v>0</v>
      </c>
      <c r="AM79" s="166">
        <f>SUMIFS(服务费底表!$AC:$AC,服务费底表!$K:$K,服务费明细!$B79,服务费底表!$T:$T,AM$3)</f>
        <v>0</v>
      </c>
      <c r="AN79" s="166">
        <f>SUMIFS(服务费底表!$AC:$AC,服务费底表!$K:$K,服务费明细!$B79,服务费底表!$T:$T,AN$3)</f>
        <v>12</v>
      </c>
      <c r="AO79" s="166">
        <f>SUMIFS(服务费底表!$AC:$AC,服务费底表!$K:$K,服务费明细!$B79,服务费底表!$T:$T,AO$3)</f>
        <v>0</v>
      </c>
      <c r="AP79" s="166">
        <f>SUMIFS(服务费底表!$AC:$AC,服务费底表!$K:$K,服务费明细!$B79,服务费底表!$T:$T,AP$3)</f>
        <v>0</v>
      </c>
      <c r="AQ79" s="166">
        <f>SUMIFS(服务费底表!$AC:$AC,服务费底表!$K:$K,服务费明细!$B79,服务费底表!$T:$T,AQ$3)</f>
        <v>0</v>
      </c>
      <c r="AR79" s="166">
        <f>SUMIFS(服务费底表!$AC:$AC,服务费底表!$K:$K,服务费明细!$B79,服务费底表!$T:$T,AR$3)</f>
        <v>0</v>
      </c>
      <c r="AS79" s="166">
        <f>SUMIFS(服务费底表!$AC:$AC,服务费底表!$K:$K,服务费明细!$B79,服务费底表!$T:$T,AS$3)</f>
        <v>0</v>
      </c>
      <c r="AT79" s="166">
        <f>SUMIFS(服务费底表!$AC:$AC,服务费底表!$K:$K,服务费明细!$B79,服务费底表!$T:$T,AT$3)</f>
        <v>0</v>
      </c>
      <c r="AU79" s="166">
        <f>SUMIFS(服务费底表!$AC:$AC,服务费底表!$K:$K,服务费明细!$B79,服务费底表!$T:$T,AU$3)</f>
        <v>0</v>
      </c>
      <c r="AV79" s="166">
        <f>SUMIFS(服务费底表!$AC:$AC,服务费底表!$K:$K,服务费明细!$B79,服务费底表!$T:$T,AV$3)</f>
        <v>0</v>
      </c>
      <c r="AW79" s="166">
        <f>SUMIFS(服务费底表!$AC:$AC,服务费底表!$K:$K,服务费明细!$B79,服务费底表!$T:$T,AW$3)</f>
        <v>0</v>
      </c>
      <c r="AX79" s="166">
        <f>SUMIFS(服务费底表!$AC:$AC,服务费底表!$K:$K,服务费明细!$B79,服务费底表!$T:$T,AX$3)</f>
        <v>0</v>
      </c>
      <c r="AY79" s="166">
        <f>SUMIFS(服务费底表!$AC:$AC,服务费底表!$K:$K,服务费明细!$B79,服务费底表!$T:$T,AY$3)</f>
        <v>0</v>
      </c>
      <c r="AZ79" s="166">
        <f>SUMIFS(服务费底表!$AC:$AC,服务费底表!$K:$K,服务费明细!$B79,服务费底表!$T:$T,AZ$3)</f>
        <v>0</v>
      </c>
      <c r="BA79" s="166">
        <f>SUMIFS(服务费底表!$AC:$AC,服务费底表!$K:$K,服务费明细!$B79,服务费底表!$T:$T,BA$3)</f>
        <v>0</v>
      </c>
      <c r="BB79" s="166">
        <f>SUMIFS(服务费底表!$AC:$AC,服务费底表!$K:$K,服务费明细!$B79,服务费底表!$T:$T,BB$3)</f>
        <v>0</v>
      </c>
      <c r="BC79" s="166">
        <f>SUMIFS(服务费底表!$AC:$AC,服务费底表!$K:$K,服务费明细!$B79,服务费底表!$T:$T,BC$3)</f>
        <v>0</v>
      </c>
      <c r="BD79" s="166">
        <f>SUMIFS(服务费底表!$AC:$AC,服务费底表!$K:$K,服务费明细!$B79,服务费底表!$T:$T,BD$3)</f>
        <v>0</v>
      </c>
      <c r="BE79" s="166">
        <f>SUMIFS(服务费底表!$AC:$AC,服务费底表!$K:$K,服务费明细!$B79,服务费底表!$T:$T,BE$3)</f>
        <v>0</v>
      </c>
      <c r="BF79" s="166">
        <f>SUMIFS(服务费底表!$AC:$AC,服务费底表!$K:$K,服务费明细!$B79,服务费底表!$T:$T,BF$3)</f>
        <v>0</v>
      </c>
      <c r="BG79" s="166">
        <f>SUMIFS(服务费底表!$AC:$AC,服务费底表!$K:$K,服务费明细!$B79,服务费底表!$T:$T,BG$3)</f>
        <v>0</v>
      </c>
      <c r="BI79" s="388">
        <f>SUMIFS(服务费底表!$AC:$AC,服务费底表!$K:$K,服务费明细!$B79,服务费底表!$H:$H,服务费明细!BI$3)</f>
        <v>0</v>
      </c>
      <c r="BJ79" s="388">
        <f>SUMIFS(服务费底表!$AC:$AC,服务费底表!$K:$K,服务费明细!$B79,服务费底表!$H:$H,服务费明细!BJ$3)</f>
        <v>12</v>
      </c>
      <c r="BK79" s="388">
        <f>SUMIFS(服务费底表!$AC:$AC,服务费底表!$K:$K,服务费明细!$B79,服务费底表!$H:$H,服务费明细!BK$3)</f>
        <v>0</v>
      </c>
      <c r="BL79" s="388">
        <f>SUMIFS(服务费底表!$AC:$AC,服务费底表!$K:$K,服务费明细!$B79,服务费底表!$H:$H,服务费明细!BL$3)</f>
        <v>0</v>
      </c>
      <c r="BM79" s="388">
        <f>SUMIFS(服务费底表!$AC:$AC,服务费底表!$K:$K,服务费明细!$B79,服务费底表!$H:$H,服务费明细!BM$3)</f>
        <v>0</v>
      </c>
      <c r="BN79" s="388">
        <f>SUMIFS(服务费底表!$AC:$AC,服务费底表!$K:$K,服务费明细!$B79,服务费底表!$H:$H,服务费明细!BN$3)</f>
        <v>0</v>
      </c>
      <c r="BO79" s="388">
        <f>SUMIFS(服务费底表!$AC:$AC,服务费底表!$K:$K,服务费明细!$B79,服务费底表!$H:$H,服务费明细!BO$3)</f>
        <v>0</v>
      </c>
      <c r="BQ79" s="389">
        <f>SUMIFS(服务费底表!$AD:$AD,服务费底表!$K:$K,服务费明细!$B79,服务费底表!$H:$H,服务费明细!BQ$3)</f>
        <v>0</v>
      </c>
      <c r="BR79" s="389">
        <f>SUMIFS(服务费底表!$AD:$AD,服务费底表!$K:$K,服务费明细!$B79,服务费底表!$H:$H,服务费明细!BR$3)</f>
        <v>7800</v>
      </c>
      <c r="BS79" s="389">
        <f>SUMIFS(服务费底表!$AD:$AD,服务费底表!$K:$K,服务费明细!$B79,服务费底表!$H:$H,服务费明细!BS$3)</f>
        <v>0</v>
      </c>
      <c r="BT79" s="389">
        <f>SUMIFS(服务费底表!$AD:$AD,服务费底表!$K:$K,服务费明细!$B79,服务费底表!$H:$H,服务费明细!BT$3)</f>
        <v>0</v>
      </c>
      <c r="BU79" s="389">
        <f>SUMIFS(服务费底表!$AD:$AD,服务费底表!$K:$K,服务费明细!$B79,服务费底表!$H:$H,服务费明细!BU$3)</f>
        <v>0</v>
      </c>
      <c r="BV79" s="389">
        <f>SUMIFS(服务费底表!$AD:$AD,服务费底表!$K:$K,服务费明细!$B79,服务费底表!$H:$H,服务费明细!BV$3)</f>
        <v>0</v>
      </c>
      <c r="BW79" s="389">
        <f>SUMIFS(服务费底表!$AD:$AD,服务费底表!$K:$K,服务费明细!$B79,服务费底表!$H:$H,服务费明细!BW$3)</f>
        <v>0</v>
      </c>
    </row>
    <row r="80" spans="2:75">
      <c r="B80" s="202" t="s">
        <v>225</v>
      </c>
      <c r="C80" s="89" t="str">
        <f>INDEX(二三级标准!$C:$C,MATCH(服务费明细!$B80,二三级标准!$B:$B,0))</f>
        <v>生物分析实验室日常沟通</v>
      </c>
      <c r="D80" s="166">
        <f t="shared" si="159"/>
        <v>1</v>
      </c>
      <c r="E80" s="166">
        <f>IF($D80=1,ROUND(入组月+治疗月,0),0)</f>
        <v>13</v>
      </c>
      <c r="F80" s="89" t="str">
        <f>INDEX(二三级标准!$G:$G,MATCH(服务费明细!$B80,二三级标准!$B:$B,0))</f>
        <v>月</v>
      </c>
      <c r="G80" s="166">
        <f t="shared" si="160"/>
        <v>0</v>
      </c>
      <c r="H80" s="166">
        <f t="shared" si="161"/>
        <v>0</v>
      </c>
      <c r="I80" s="166">
        <f t="shared" si="162"/>
        <v>26</v>
      </c>
      <c r="J80" s="166">
        <f t="shared" si="163"/>
        <v>0</v>
      </c>
      <c r="K80" s="166">
        <f t="shared" si="164"/>
        <v>0</v>
      </c>
      <c r="L80" s="166">
        <f t="shared" si="165"/>
        <v>0</v>
      </c>
      <c r="M80" s="166">
        <f t="shared" si="166"/>
        <v>0</v>
      </c>
      <c r="N80" s="166">
        <f t="shared" si="167"/>
        <v>0</v>
      </c>
      <c r="O80" s="166">
        <f t="shared" si="168"/>
        <v>0</v>
      </c>
      <c r="P80" s="166">
        <f t="shared" si="169"/>
        <v>0</v>
      </c>
      <c r="Q80" s="166">
        <f t="shared" si="170"/>
        <v>0</v>
      </c>
      <c r="R80" s="166">
        <f t="shared" si="171"/>
        <v>0</v>
      </c>
      <c r="S80" s="166">
        <f t="shared" si="172"/>
        <v>0</v>
      </c>
      <c r="T80" s="166">
        <f t="shared" si="173"/>
        <v>0</v>
      </c>
      <c r="U80" s="166">
        <f t="shared" si="174"/>
        <v>0</v>
      </c>
      <c r="V80" s="166">
        <f t="shared" si="175"/>
        <v>0</v>
      </c>
      <c r="W80" s="166">
        <f t="shared" si="176"/>
        <v>0</v>
      </c>
      <c r="X80" s="166">
        <f t="shared" si="177"/>
        <v>0</v>
      </c>
      <c r="Y80" s="166">
        <f t="shared" si="178"/>
        <v>0</v>
      </c>
      <c r="Z80" s="166">
        <f t="shared" si="179"/>
        <v>0</v>
      </c>
      <c r="AA80" s="166">
        <f t="shared" si="180"/>
        <v>0</v>
      </c>
      <c r="AB80" s="166">
        <f t="shared" si="181"/>
        <v>0</v>
      </c>
      <c r="AC80" s="166" cm="1">
        <f t="array" ref="AC80">SUMPRODUCT(G80:AB80,$G$4:$AB$4)</f>
        <v>16900</v>
      </c>
      <c r="AD80" s="89" t="b">
        <f t="shared" si="182"/>
        <v>1</v>
      </c>
      <c r="AE80" s="386">
        <f>IFERROR(SUMIF(服务费底表!$K:$K,服务费明细!$B80,服务费底表!$AD:$AD)/E80,0)</f>
        <v>1300</v>
      </c>
      <c r="AF80" s="386">
        <f t="shared" si="183"/>
        <v>16900</v>
      </c>
      <c r="AG80" s="386">
        <f>IFERROR(SUMIF(服务费底表!$K:$K,服务费明细!$B80,服务费底表!$AG:$AG)/E80,0)</f>
        <v>1300</v>
      </c>
      <c r="AH80" s="386">
        <f t="shared" si="184"/>
        <v>16900</v>
      </c>
      <c r="AI80" s="409"/>
      <c r="AJ80" s="563">
        <f t="shared" si="185"/>
        <v>2</v>
      </c>
      <c r="AK80" s="564">
        <f>SUMIF(服务费底表!$K:$K,服务费明细!$B80,服务费底表!$AC:$AC)</f>
        <v>26</v>
      </c>
      <c r="AL80" s="166">
        <f>SUMIFS(服务费底表!$AC:$AC,服务费底表!$K:$K,服务费明细!$B80,服务费底表!$T:$T,AL$3)</f>
        <v>0</v>
      </c>
      <c r="AM80" s="166">
        <f>SUMIFS(服务费底表!$AC:$AC,服务费底表!$K:$K,服务费明细!$B80,服务费底表!$T:$T,AM$3)</f>
        <v>0</v>
      </c>
      <c r="AN80" s="166">
        <f>SUMIFS(服务费底表!$AC:$AC,服务费底表!$K:$K,服务费明细!$B80,服务费底表!$T:$T,AN$3)</f>
        <v>26</v>
      </c>
      <c r="AO80" s="166">
        <f>SUMIFS(服务费底表!$AC:$AC,服务费底表!$K:$K,服务费明细!$B80,服务费底表!$T:$T,AO$3)</f>
        <v>0</v>
      </c>
      <c r="AP80" s="166">
        <f>SUMIFS(服务费底表!$AC:$AC,服务费底表!$K:$K,服务费明细!$B80,服务费底表!$T:$T,AP$3)</f>
        <v>0</v>
      </c>
      <c r="AQ80" s="166">
        <f>SUMIFS(服务费底表!$AC:$AC,服务费底表!$K:$K,服务费明细!$B80,服务费底表!$T:$T,AQ$3)</f>
        <v>0</v>
      </c>
      <c r="AR80" s="166">
        <f>SUMIFS(服务费底表!$AC:$AC,服务费底表!$K:$K,服务费明细!$B80,服务费底表!$T:$T,AR$3)</f>
        <v>0</v>
      </c>
      <c r="AS80" s="166">
        <f>SUMIFS(服务费底表!$AC:$AC,服务费底表!$K:$K,服务费明细!$B80,服务费底表!$T:$T,AS$3)</f>
        <v>0</v>
      </c>
      <c r="AT80" s="166">
        <f>SUMIFS(服务费底表!$AC:$AC,服务费底表!$K:$K,服务费明细!$B80,服务费底表!$T:$T,AT$3)</f>
        <v>0</v>
      </c>
      <c r="AU80" s="166">
        <f>SUMIFS(服务费底表!$AC:$AC,服务费底表!$K:$K,服务费明细!$B80,服务费底表!$T:$T,AU$3)</f>
        <v>0</v>
      </c>
      <c r="AV80" s="166">
        <f>SUMIFS(服务费底表!$AC:$AC,服务费底表!$K:$K,服务费明细!$B80,服务费底表!$T:$T,AV$3)</f>
        <v>0</v>
      </c>
      <c r="AW80" s="166">
        <f>SUMIFS(服务费底表!$AC:$AC,服务费底表!$K:$K,服务费明细!$B80,服务费底表!$T:$T,AW$3)</f>
        <v>0</v>
      </c>
      <c r="AX80" s="166">
        <f>SUMIFS(服务费底表!$AC:$AC,服务费底表!$K:$K,服务费明细!$B80,服务费底表!$T:$T,AX$3)</f>
        <v>0</v>
      </c>
      <c r="AY80" s="166">
        <f>SUMIFS(服务费底表!$AC:$AC,服务费底表!$K:$K,服务费明细!$B80,服务费底表!$T:$T,AY$3)</f>
        <v>0</v>
      </c>
      <c r="AZ80" s="166">
        <f>SUMIFS(服务费底表!$AC:$AC,服务费底表!$K:$K,服务费明细!$B80,服务费底表!$T:$T,AZ$3)</f>
        <v>0</v>
      </c>
      <c r="BA80" s="166">
        <f>SUMIFS(服务费底表!$AC:$AC,服务费底表!$K:$K,服务费明细!$B80,服务费底表!$T:$T,BA$3)</f>
        <v>0</v>
      </c>
      <c r="BB80" s="166">
        <f>SUMIFS(服务费底表!$AC:$AC,服务费底表!$K:$K,服务费明细!$B80,服务费底表!$T:$T,BB$3)</f>
        <v>0</v>
      </c>
      <c r="BC80" s="166">
        <f>SUMIFS(服务费底表!$AC:$AC,服务费底表!$K:$K,服务费明细!$B80,服务费底表!$T:$T,BC$3)</f>
        <v>0</v>
      </c>
      <c r="BD80" s="166">
        <f>SUMIFS(服务费底表!$AC:$AC,服务费底表!$K:$K,服务费明细!$B80,服务费底表!$T:$T,BD$3)</f>
        <v>0</v>
      </c>
      <c r="BE80" s="166">
        <f>SUMIFS(服务费底表!$AC:$AC,服务费底表!$K:$K,服务费明细!$B80,服务费底表!$T:$T,BE$3)</f>
        <v>0</v>
      </c>
      <c r="BF80" s="166">
        <f>SUMIFS(服务费底表!$AC:$AC,服务费底表!$K:$K,服务费明细!$B80,服务费底表!$T:$T,BF$3)</f>
        <v>0</v>
      </c>
      <c r="BG80" s="166">
        <f>SUMIFS(服务费底表!$AC:$AC,服务费底表!$K:$K,服务费明细!$B80,服务费底表!$T:$T,BG$3)</f>
        <v>0</v>
      </c>
      <c r="BI80" s="388">
        <f>SUMIFS(服务费底表!$AC:$AC,服务费底表!$K:$K,服务费明细!$B80,服务费底表!$H:$H,服务费明细!BI$3)</f>
        <v>0</v>
      </c>
      <c r="BJ80" s="388">
        <f>SUMIFS(服务费底表!$AC:$AC,服务费底表!$K:$K,服务费明细!$B80,服务费底表!$H:$H,服务费明细!BJ$3)</f>
        <v>26</v>
      </c>
      <c r="BK80" s="388">
        <f>SUMIFS(服务费底表!$AC:$AC,服务费底表!$K:$K,服务费明细!$B80,服务费底表!$H:$H,服务费明细!BK$3)</f>
        <v>0</v>
      </c>
      <c r="BL80" s="388">
        <f>SUMIFS(服务费底表!$AC:$AC,服务费底表!$K:$K,服务费明细!$B80,服务费底表!$H:$H,服务费明细!BL$3)</f>
        <v>0</v>
      </c>
      <c r="BM80" s="388">
        <f>SUMIFS(服务费底表!$AC:$AC,服务费底表!$K:$K,服务费明细!$B80,服务费底表!$H:$H,服务费明细!BM$3)</f>
        <v>0</v>
      </c>
      <c r="BN80" s="388">
        <f>SUMIFS(服务费底表!$AC:$AC,服务费底表!$K:$K,服务费明细!$B80,服务费底表!$H:$H,服务费明细!BN$3)</f>
        <v>0</v>
      </c>
      <c r="BO80" s="388">
        <f>SUMIFS(服务费底表!$AC:$AC,服务费底表!$K:$K,服务费明细!$B80,服务费底表!$H:$H,服务费明细!BO$3)</f>
        <v>0</v>
      </c>
      <c r="BQ80" s="389">
        <f>SUMIFS(服务费底表!$AD:$AD,服务费底表!$K:$K,服务费明细!$B80,服务费底表!$H:$H,服务费明细!BQ$3)</f>
        <v>0</v>
      </c>
      <c r="BR80" s="389">
        <f>SUMIFS(服务费底表!$AD:$AD,服务费底表!$K:$K,服务费明细!$B80,服务费底表!$H:$H,服务费明细!BR$3)</f>
        <v>16900</v>
      </c>
      <c r="BS80" s="389">
        <f>SUMIFS(服务费底表!$AD:$AD,服务费底表!$K:$K,服务费明细!$B80,服务费底表!$H:$H,服务费明细!BS$3)</f>
        <v>0</v>
      </c>
      <c r="BT80" s="389">
        <f>SUMIFS(服务费底表!$AD:$AD,服务费底表!$K:$K,服务费明细!$B80,服务费底表!$H:$H,服务费明细!BT$3)</f>
        <v>0</v>
      </c>
      <c r="BU80" s="389">
        <f>SUMIFS(服务费底表!$AD:$AD,服务费底表!$K:$K,服务费明细!$B80,服务费底表!$H:$H,服务费明细!BU$3)</f>
        <v>0</v>
      </c>
      <c r="BV80" s="389">
        <f>SUMIFS(服务费底表!$AD:$AD,服务费底表!$K:$K,服务费明细!$B80,服务费底表!$H:$H,服务费明细!BV$3)</f>
        <v>0</v>
      </c>
      <c r="BW80" s="389">
        <f>SUMIFS(服务费底表!$AD:$AD,服务费底表!$K:$K,服务费明细!$B80,服务费底表!$H:$H,服务费明细!BW$3)</f>
        <v>0</v>
      </c>
    </row>
    <row r="81" spans="2:75">
      <c r="B81" s="202" t="s">
        <v>227</v>
      </c>
      <c r="C81" s="89" t="str">
        <f>INDEX(二三级标准!$C:$C,MATCH(服务费明细!$B81,二三级标准!$B:$B,0))</f>
        <v>物流日常沟通</v>
      </c>
      <c r="D81" s="166">
        <f t="shared" si="159"/>
        <v>1</v>
      </c>
      <c r="E81" s="166">
        <f>IF($D81=1,ROUND(入组月+治疗月,0),0)</f>
        <v>13</v>
      </c>
      <c r="F81" s="89" t="str">
        <f>INDEX(二三级标准!$G:$G,MATCH(服务费明细!$B81,二三级标准!$B:$B,0))</f>
        <v>月</v>
      </c>
      <c r="G81" s="166">
        <f t="shared" si="160"/>
        <v>0</v>
      </c>
      <c r="H81" s="166">
        <f t="shared" si="161"/>
        <v>0</v>
      </c>
      <c r="I81" s="166">
        <f t="shared" si="162"/>
        <v>13</v>
      </c>
      <c r="J81" s="166">
        <f t="shared" si="163"/>
        <v>0</v>
      </c>
      <c r="K81" s="166">
        <f t="shared" si="164"/>
        <v>0</v>
      </c>
      <c r="L81" s="166">
        <f t="shared" si="165"/>
        <v>0</v>
      </c>
      <c r="M81" s="166">
        <f t="shared" si="166"/>
        <v>0</v>
      </c>
      <c r="N81" s="166">
        <f t="shared" si="167"/>
        <v>0</v>
      </c>
      <c r="O81" s="166">
        <f t="shared" si="168"/>
        <v>0</v>
      </c>
      <c r="P81" s="166">
        <f t="shared" si="169"/>
        <v>0</v>
      </c>
      <c r="Q81" s="166">
        <f t="shared" si="170"/>
        <v>0</v>
      </c>
      <c r="R81" s="166">
        <f t="shared" si="171"/>
        <v>0</v>
      </c>
      <c r="S81" s="166">
        <f t="shared" si="172"/>
        <v>0</v>
      </c>
      <c r="T81" s="166">
        <f t="shared" si="173"/>
        <v>0</v>
      </c>
      <c r="U81" s="166">
        <f t="shared" si="174"/>
        <v>0</v>
      </c>
      <c r="V81" s="166">
        <f t="shared" si="175"/>
        <v>0</v>
      </c>
      <c r="W81" s="166">
        <f t="shared" si="176"/>
        <v>0</v>
      </c>
      <c r="X81" s="166">
        <f t="shared" si="177"/>
        <v>0</v>
      </c>
      <c r="Y81" s="166">
        <f t="shared" si="178"/>
        <v>0</v>
      </c>
      <c r="Z81" s="166">
        <f t="shared" si="179"/>
        <v>0</v>
      </c>
      <c r="AA81" s="166">
        <f t="shared" si="180"/>
        <v>0</v>
      </c>
      <c r="AB81" s="166">
        <f t="shared" si="181"/>
        <v>0</v>
      </c>
      <c r="AC81" s="166" cm="1">
        <f t="array" ref="AC81">SUMPRODUCT(G81:AB81,$G$4:$AB$4)</f>
        <v>8450</v>
      </c>
      <c r="AD81" s="89" t="b">
        <f t="shared" si="182"/>
        <v>1</v>
      </c>
      <c r="AE81" s="386">
        <f>IFERROR(SUMIF(服务费底表!$K:$K,服务费明细!$B81,服务费底表!$AD:$AD)/E81,0)</f>
        <v>650</v>
      </c>
      <c r="AF81" s="386">
        <f t="shared" si="183"/>
        <v>8450</v>
      </c>
      <c r="AG81" s="386">
        <f>IFERROR(SUMIF(服务费底表!$K:$K,服务费明细!$B81,服务费底表!$AG:$AG)/E81,0)</f>
        <v>650</v>
      </c>
      <c r="AH81" s="386">
        <f t="shared" si="184"/>
        <v>8450</v>
      </c>
      <c r="AI81" s="409"/>
      <c r="AJ81" s="563">
        <f t="shared" si="185"/>
        <v>1</v>
      </c>
      <c r="AK81" s="564">
        <f>SUMIF(服务费底表!$K:$K,服务费明细!$B81,服务费底表!$AC:$AC)</f>
        <v>13</v>
      </c>
      <c r="AL81" s="166">
        <f>SUMIFS(服务费底表!$AC:$AC,服务费底表!$K:$K,服务费明细!$B81,服务费底表!$T:$T,AL$3)</f>
        <v>0</v>
      </c>
      <c r="AM81" s="166">
        <f>SUMIFS(服务费底表!$AC:$AC,服务费底表!$K:$K,服务费明细!$B81,服务费底表!$T:$T,AM$3)</f>
        <v>0</v>
      </c>
      <c r="AN81" s="166">
        <f>SUMIFS(服务费底表!$AC:$AC,服务费底表!$K:$K,服务费明细!$B81,服务费底表!$T:$T,AN$3)</f>
        <v>13</v>
      </c>
      <c r="AO81" s="166">
        <f>SUMIFS(服务费底表!$AC:$AC,服务费底表!$K:$K,服务费明细!$B81,服务费底表!$T:$T,AO$3)</f>
        <v>0</v>
      </c>
      <c r="AP81" s="166">
        <f>SUMIFS(服务费底表!$AC:$AC,服务费底表!$K:$K,服务费明细!$B81,服务费底表!$T:$T,AP$3)</f>
        <v>0</v>
      </c>
      <c r="AQ81" s="166">
        <f>SUMIFS(服务费底表!$AC:$AC,服务费底表!$K:$K,服务费明细!$B81,服务费底表!$T:$T,AQ$3)</f>
        <v>0</v>
      </c>
      <c r="AR81" s="166">
        <f>SUMIFS(服务费底表!$AC:$AC,服务费底表!$K:$K,服务费明细!$B81,服务费底表!$T:$T,AR$3)</f>
        <v>0</v>
      </c>
      <c r="AS81" s="166">
        <f>SUMIFS(服务费底表!$AC:$AC,服务费底表!$K:$K,服务费明细!$B81,服务费底表!$T:$T,AS$3)</f>
        <v>0</v>
      </c>
      <c r="AT81" s="166">
        <f>SUMIFS(服务费底表!$AC:$AC,服务费底表!$K:$K,服务费明细!$B81,服务费底表!$T:$T,AT$3)</f>
        <v>0</v>
      </c>
      <c r="AU81" s="166">
        <f>SUMIFS(服务费底表!$AC:$AC,服务费底表!$K:$K,服务费明细!$B81,服务费底表!$T:$T,AU$3)</f>
        <v>0</v>
      </c>
      <c r="AV81" s="166">
        <f>SUMIFS(服务费底表!$AC:$AC,服务费底表!$K:$K,服务费明细!$B81,服务费底表!$T:$T,AV$3)</f>
        <v>0</v>
      </c>
      <c r="AW81" s="166">
        <f>SUMIFS(服务费底表!$AC:$AC,服务费底表!$K:$K,服务费明细!$B81,服务费底表!$T:$T,AW$3)</f>
        <v>0</v>
      </c>
      <c r="AX81" s="166">
        <f>SUMIFS(服务费底表!$AC:$AC,服务费底表!$K:$K,服务费明细!$B81,服务费底表!$T:$T,AX$3)</f>
        <v>0</v>
      </c>
      <c r="AY81" s="166">
        <f>SUMIFS(服务费底表!$AC:$AC,服务费底表!$K:$K,服务费明细!$B81,服务费底表!$T:$T,AY$3)</f>
        <v>0</v>
      </c>
      <c r="AZ81" s="166">
        <f>SUMIFS(服务费底表!$AC:$AC,服务费底表!$K:$K,服务费明细!$B81,服务费底表!$T:$T,AZ$3)</f>
        <v>0</v>
      </c>
      <c r="BA81" s="166">
        <f>SUMIFS(服务费底表!$AC:$AC,服务费底表!$K:$K,服务费明细!$B81,服务费底表!$T:$T,BA$3)</f>
        <v>0</v>
      </c>
      <c r="BB81" s="166">
        <f>SUMIFS(服务费底表!$AC:$AC,服务费底表!$K:$K,服务费明细!$B81,服务费底表!$T:$T,BB$3)</f>
        <v>0</v>
      </c>
      <c r="BC81" s="166">
        <f>SUMIFS(服务费底表!$AC:$AC,服务费底表!$K:$K,服务费明细!$B81,服务费底表!$T:$T,BC$3)</f>
        <v>0</v>
      </c>
      <c r="BD81" s="166">
        <f>SUMIFS(服务费底表!$AC:$AC,服务费底表!$K:$K,服务费明细!$B81,服务费底表!$T:$T,BD$3)</f>
        <v>0</v>
      </c>
      <c r="BE81" s="166">
        <f>SUMIFS(服务费底表!$AC:$AC,服务费底表!$K:$K,服务费明细!$B81,服务费底表!$T:$T,BE$3)</f>
        <v>0</v>
      </c>
      <c r="BF81" s="166">
        <f>SUMIFS(服务费底表!$AC:$AC,服务费底表!$K:$K,服务费明细!$B81,服务费底表!$T:$T,BF$3)</f>
        <v>0</v>
      </c>
      <c r="BG81" s="166">
        <f>SUMIFS(服务费底表!$AC:$AC,服务费底表!$K:$K,服务费明细!$B81,服务费底表!$T:$T,BG$3)</f>
        <v>0</v>
      </c>
      <c r="BI81" s="388">
        <f>SUMIFS(服务费底表!$AC:$AC,服务费底表!$K:$K,服务费明细!$B81,服务费底表!$H:$H,服务费明细!BI$3)</f>
        <v>0</v>
      </c>
      <c r="BJ81" s="388">
        <f>SUMIFS(服务费底表!$AC:$AC,服务费底表!$K:$K,服务费明细!$B81,服务费底表!$H:$H,服务费明细!BJ$3)</f>
        <v>13</v>
      </c>
      <c r="BK81" s="388">
        <f>SUMIFS(服务费底表!$AC:$AC,服务费底表!$K:$K,服务费明细!$B81,服务费底表!$H:$H,服务费明细!BK$3)</f>
        <v>0</v>
      </c>
      <c r="BL81" s="388">
        <f>SUMIFS(服务费底表!$AC:$AC,服务费底表!$K:$K,服务费明细!$B81,服务费底表!$H:$H,服务费明细!BL$3)</f>
        <v>0</v>
      </c>
      <c r="BM81" s="388">
        <f>SUMIFS(服务费底表!$AC:$AC,服务费底表!$K:$K,服务费明细!$B81,服务费底表!$H:$H,服务费明细!BM$3)</f>
        <v>0</v>
      </c>
      <c r="BN81" s="388">
        <f>SUMIFS(服务费底表!$AC:$AC,服务费底表!$K:$K,服务费明细!$B81,服务费底表!$H:$H,服务费明细!BN$3)</f>
        <v>0</v>
      </c>
      <c r="BO81" s="388">
        <f>SUMIFS(服务费底表!$AC:$AC,服务费底表!$K:$K,服务费明细!$B81,服务费底表!$H:$H,服务费明细!BO$3)</f>
        <v>0</v>
      </c>
      <c r="BQ81" s="389">
        <f>SUMIFS(服务费底表!$AD:$AD,服务费底表!$K:$K,服务费明细!$B81,服务费底表!$H:$H,服务费明细!BQ$3)</f>
        <v>0</v>
      </c>
      <c r="BR81" s="389">
        <f>SUMIFS(服务费底表!$AD:$AD,服务费底表!$K:$K,服务费明细!$B81,服务费底表!$H:$H,服务费明细!BR$3)</f>
        <v>8450</v>
      </c>
      <c r="BS81" s="389">
        <f>SUMIFS(服务费底表!$AD:$AD,服务费底表!$K:$K,服务费明细!$B81,服务费底表!$H:$H,服务费明细!BS$3)</f>
        <v>0</v>
      </c>
      <c r="BT81" s="389">
        <f>SUMIFS(服务费底表!$AD:$AD,服务费底表!$K:$K,服务费明细!$B81,服务费底表!$H:$H,服务费明细!BT$3)</f>
        <v>0</v>
      </c>
      <c r="BU81" s="389">
        <f>SUMIFS(服务费底表!$AD:$AD,服务费底表!$K:$K,服务费明细!$B81,服务费底表!$H:$H,服务费明细!BU$3)</f>
        <v>0</v>
      </c>
      <c r="BV81" s="389">
        <f>SUMIFS(服务费底表!$AD:$AD,服务费底表!$K:$K,服务费明细!$B81,服务费底表!$H:$H,服务费明细!BV$3)</f>
        <v>0</v>
      </c>
      <c r="BW81" s="389">
        <f>SUMIFS(服务费底表!$AD:$AD,服务费底表!$K:$K,服务费明细!$B81,服务费底表!$H:$H,服务费明细!BW$3)</f>
        <v>0</v>
      </c>
    </row>
    <row r="82" spans="2:75">
      <c r="B82" s="202" t="s">
        <v>229</v>
      </c>
      <c r="C82" s="89" t="str">
        <f>INDEX(二三级标准!$C:$C,MATCH(服务费明细!$B82,二三级标准!$B:$B,0))</f>
        <v>IRC日常沟通</v>
      </c>
      <c r="D82" s="166">
        <v>0</v>
      </c>
      <c r="E82" s="166">
        <f>IF($D82=1,ROUND(入组月+治疗月,0),0)</f>
        <v>0</v>
      </c>
      <c r="F82" s="89" t="str">
        <f>INDEX(二三级标准!$G:$G,MATCH(服务费明细!$B82,二三级标准!$B:$B,0))</f>
        <v>月</v>
      </c>
      <c r="G82" s="166">
        <f t="shared" si="160"/>
        <v>0</v>
      </c>
      <c r="H82" s="166">
        <f t="shared" si="161"/>
        <v>0</v>
      </c>
      <c r="I82" s="166">
        <f t="shared" si="162"/>
        <v>0</v>
      </c>
      <c r="J82" s="166">
        <f t="shared" si="163"/>
        <v>0</v>
      </c>
      <c r="K82" s="166">
        <f t="shared" si="164"/>
        <v>0</v>
      </c>
      <c r="L82" s="166">
        <f t="shared" si="165"/>
        <v>0</v>
      </c>
      <c r="M82" s="166">
        <f t="shared" si="166"/>
        <v>0</v>
      </c>
      <c r="N82" s="166">
        <f t="shared" si="167"/>
        <v>0</v>
      </c>
      <c r="O82" s="166">
        <f t="shared" si="168"/>
        <v>0</v>
      </c>
      <c r="P82" s="166">
        <f t="shared" si="169"/>
        <v>0</v>
      </c>
      <c r="Q82" s="166">
        <f t="shared" si="170"/>
        <v>0</v>
      </c>
      <c r="R82" s="166">
        <f t="shared" si="171"/>
        <v>0</v>
      </c>
      <c r="S82" s="166">
        <f t="shared" si="172"/>
        <v>0</v>
      </c>
      <c r="T82" s="166">
        <f t="shared" si="173"/>
        <v>0</v>
      </c>
      <c r="U82" s="166">
        <f t="shared" si="174"/>
        <v>0</v>
      </c>
      <c r="V82" s="166">
        <f t="shared" si="175"/>
        <v>0</v>
      </c>
      <c r="W82" s="166">
        <f t="shared" si="176"/>
        <v>0</v>
      </c>
      <c r="X82" s="166">
        <f t="shared" si="177"/>
        <v>0</v>
      </c>
      <c r="Y82" s="166">
        <f t="shared" si="178"/>
        <v>0</v>
      </c>
      <c r="Z82" s="166">
        <f t="shared" si="179"/>
        <v>0</v>
      </c>
      <c r="AA82" s="166">
        <f t="shared" si="180"/>
        <v>0</v>
      </c>
      <c r="AB82" s="166">
        <f t="shared" si="181"/>
        <v>0</v>
      </c>
      <c r="AC82" s="166" cm="1">
        <f t="array" ref="AC82">SUMPRODUCT(G82:AB82,$G$4:$AB$4)</f>
        <v>0</v>
      </c>
      <c r="AD82" s="89" t="b">
        <f t="shared" si="182"/>
        <v>1</v>
      </c>
      <c r="AE82" s="386">
        <f>IFERROR(SUMIF(服务费底表!$K:$K,服务费明细!$B82,服务费底表!$AD:$AD)/E82,0)</f>
        <v>0</v>
      </c>
      <c r="AF82" s="386">
        <f t="shared" si="183"/>
        <v>0</v>
      </c>
      <c r="AG82" s="386">
        <f>IFERROR(SUMIF(服务费底表!$K:$K,服务费明细!$B82,服务费底表!$AG:$AG)/E82,0)</f>
        <v>0</v>
      </c>
      <c r="AH82" s="386">
        <f t="shared" si="184"/>
        <v>0</v>
      </c>
      <c r="AI82" s="409"/>
      <c r="AJ82" s="563">
        <f t="shared" si="185"/>
        <v>0</v>
      </c>
      <c r="AK82" s="564">
        <f>SUMIF(服务费底表!$K:$K,服务费明细!$B82,服务费底表!$AC:$AC)</f>
        <v>0</v>
      </c>
      <c r="AL82" s="166">
        <f>SUMIFS(服务费底表!$AC:$AC,服务费底表!$K:$K,服务费明细!$B82,服务费底表!$T:$T,AL$3)</f>
        <v>0</v>
      </c>
      <c r="AM82" s="166">
        <f>SUMIFS(服务费底表!$AC:$AC,服务费底表!$K:$K,服务费明细!$B82,服务费底表!$T:$T,AM$3)</f>
        <v>0</v>
      </c>
      <c r="AN82" s="166">
        <f>SUMIFS(服务费底表!$AC:$AC,服务费底表!$K:$K,服务费明细!$B82,服务费底表!$T:$T,AN$3)</f>
        <v>0</v>
      </c>
      <c r="AO82" s="166">
        <f>SUMIFS(服务费底表!$AC:$AC,服务费底表!$K:$K,服务费明细!$B82,服务费底表!$T:$T,AO$3)</f>
        <v>0</v>
      </c>
      <c r="AP82" s="166">
        <f>SUMIFS(服务费底表!$AC:$AC,服务费底表!$K:$K,服务费明细!$B82,服务费底表!$T:$T,AP$3)</f>
        <v>0</v>
      </c>
      <c r="AQ82" s="166">
        <f>SUMIFS(服务费底表!$AC:$AC,服务费底表!$K:$K,服务费明细!$B82,服务费底表!$T:$T,AQ$3)</f>
        <v>0</v>
      </c>
      <c r="AR82" s="166">
        <f>SUMIFS(服务费底表!$AC:$AC,服务费底表!$K:$K,服务费明细!$B82,服务费底表!$T:$T,AR$3)</f>
        <v>0</v>
      </c>
      <c r="AS82" s="166">
        <f>SUMIFS(服务费底表!$AC:$AC,服务费底表!$K:$K,服务费明细!$B82,服务费底表!$T:$T,AS$3)</f>
        <v>0</v>
      </c>
      <c r="AT82" s="166">
        <f>SUMIFS(服务费底表!$AC:$AC,服务费底表!$K:$K,服务费明细!$B82,服务费底表!$T:$T,AT$3)</f>
        <v>0</v>
      </c>
      <c r="AU82" s="166">
        <f>SUMIFS(服务费底表!$AC:$AC,服务费底表!$K:$K,服务费明细!$B82,服务费底表!$T:$T,AU$3)</f>
        <v>0</v>
      </c>
      <c r="AV82" s="166">
        <f>SUMIFS(服务费底表!$AC:$AC,服务费底表!$K:$K,服务费明细!$B82,服务费底表!$T:$T,AV$3)</f>
        <v>0</v>
      </c>
      <c r="AW82" s="166">
        <f>SUMIFS(服务费底表!$AC:$AC,服务费底表!$K:$K,服务费明细!$B82,服务费底表!$T:$T,AW$3)</f>
        <v>0</v>
      </c>
      <c r="AX82" s="166">
        <f>SUMIFS(服务费底表!$AC:$AC,服务费底表!$K:$K,服务费明细!$B82,服务费底表!$T:$T,AX$3)</f>
        <v>0</v>
      </c>
      <c r="AY82" s="166">
        <f>SUMIFS(服务费底表!$AC:$AC,服务费底表!$K:$K,服务费明细!$B82,服务费底表!$T:$T,AY$3)</f>
        <v>0</v>
      </c>
      <c r="AZ82" s="166">
        <f>SUMIFS(服务费底表!$AC:$AC,服务费底表!$K:$K,服务费明细!$B82,服务费底表!$T:$T,AZ$3)</f>
        <v>0</v>
      </c>
      <c r="BA82" s="166">
        <f>SUMIFS(服务费底表!$AC:$AC,服务费底表!$K:$K,服务费明细!$B82,服务费底表!$T:$T,BA$3)</f>
        <v>0</v>
      </c>
      <c r="BB82" s="166">
        <f>SUMIFS(服务费底表!$AC:$AC,服务费底表!$K:$K,服务费明细!$B82,服务费底表!$T:$T,BB$3)</f>
        <v>0</v>
      </c>
      <c r="BC82" s="166">
        <f>SUMIFS(服务费底表!$AC:$AC,服务费底表!$K:$K,服务费明细!$B82,服务费底表!$T:$T,BC$3)</f>
        <v>0</v>
      </c>
      <c r="BD82" s="166">
        <f>SUMIFS(服务费底表!$AC:$AC,服务费底表!$K:$K,服务费明细!$B82,服务费底表!$T:$T,BD$3)</f>
        <v>0</v>
      </c>
      <c r="BE82" s="166">
        <f>SUMIFS(服务费底表!$AC:$AC,服务费底表!$K:$K,服务费明细!$B82,服务费底表!$T:$T,BE$3)</f>
        <v>0</v>
      </c>
      <c r="BF82" s="166">
        <f>SUMIFS(服务费底表!$AC:$AC,服务费底表!$K:$K,服务费明细!$B82,服务费底表!$T:$T,BF$3)</f>
        <v>0</v>
      </c>
      <c r="BG82" s="166">
        <f>SUMIFS(服务费底表!$AC:$AC,服务费底表!$K:$K,服务费明细!$B82,服务费底表!$T:$T,BG$3)</f>
        <v>0</v>
      </c>
      <c r="BI82" s="388">
        <f>SUMIFS(服务费底表!$AC:$AC,服务费底表!$K:$K,服务费明细!$B82,服务费底表!$H:$H,服务费明细!BI$3)</f>
        <v>0</v>
      </c>
      <c r="BJ82" s="388">
        <f>SUMIFS(服务费底表!$AC:$AC,服务费底表!$K:$K,服务费明细!$B82,服务费底表!$H:$H,服务费明细!BJ$3)</f>
        <v>0</v>
      </c>
      <c r="BK82" s="388">
        <f>SUMIFS(服务费底表!$AC:$AC,服务费底表!$K:$K,服务费明细!$B82,服务费底表!$H:$H,服务费明细!BK$3)</f>
        <v>0</v>
      </c>
      <c r="BL82" s="388">
        <f>SUMIFS(服务费底表!$AC:$AC,服务费底表!$K:$K,服务费明细!$B82,服务费底表!$H:$H,服务费明细!BL$3)</f>
        <v>0</v>
      </c>
      <c r="BM82" s="388">
        <f>SUMIFS(服务费底表!$AC:$AC,服务费底表!$K:$K,服务费明细!$B82,服务费底表!$H:$H,服务费明细!BM$3)</f>
        <v>0</v>
      </c>
      <c r="BN82" s="388">
        <f>SUMIFS(服务费底表!$AC:$AC,服务费底表!$K:$K,服务费明细!$B82,服务费底表!$H:$H,服务费明细!BN$3)</f>
        <v>0</v>
      </c>
      <c r="BO82" s="388">
        <f>SUMIFS(服务费底表!$AC:$AC,服务费底表!$K:$K,服务费明细!$B82,服务费底表!$H:$H,服务费明细!BO$3)</f>
        <v>0</v>
      </c>
      <c r="BQ82" s="389">
        <f>SUMIFS(服务费底表!$AD:$AD,服务费底表!$K:$K,服务费明细!$B82,服务费底表!$H:$H,服务费明细!BQ$3)</f>
        <v>0</v>
      </c>
      <c r="BR82" s="389">
        <f>SUMIFS(服务费底表!$AD:$AD,服务费底表!$K:$K,服务费明细!$B82,服务费底表!$H:$H,服务费明细!BR$3)</f>
        <v>0</v>
      </c>
      <c r="BS82" s="389">
        <f>SUMIFS(服务费底表!$AD:$AD,服务费底表!$K:$K,服务费明细!$B82,服务费底表!$H:$H,服务费明细!BS$3)</f>
        <v>0</v>
      </c>
      <c r="BT82" s="389">
        <f>SUMIFS(服务费底表!$AD:$AD,服务费底表!$K:$K,服务费明细!$B82,服务费底表!$H:$H,服务费明细!BT$3)</f>
        <v>0</v>
      </c>
      <c r="BU82" s="389">
        <f>SUMIFS(服务费底表!$AD:$AD,服务费底表!$K:$K,服务费明细!$B82,服务费底表!$H:$H,服务费明细!BU$3)</f>
        <v>0</v>
      </c>
      <c r="BV82" s="389">
        <f>SUMIFS(服务费底表!$AD:$AD,服务费底表!$K:$K,服务费明细!$B82,服务费底表!$H:$H,服务费明细!BV$3)</f>
        <v>0</v>
      </c>
      <c r="BW82" s="389">
        <f>SUMIFS(服务费底表!$AD:$AD,服务费底表!$K:$K,服务费明细!$B82,服务费底表!$H:$H,服务费明细!BW$3)</f>
        <v>0</v>
      </c>
    </row>
    <row r="83" spans="2:75">
      <c r="B83" s="202" t="s">
        <v>231</v>
      </c>
      <c r="C83" s="89" t="str">
        <f>INDEX(二三级标准!$C:$C,MATCH(服务费明细!$B83,二三级标准!$B:$B,0))</f>
        <v>保险日常沟通</v>
      </c>
      <c r="D83" s="166">
        <f>IF($D$70=1,1,0)</f>
        <v>1</v>
      </c>
      <c r="E83" s="166">
        <f>IF($D83=1,SAE例数,0)</f>
        <v>9</v>
      </c>
      <c r="F83" s="89" t="str">
        <f>INDEX(二三级标准!$G:$G,MATCH(服务费明细!$B83,二三级标准!$B:$B,0))</f>
        <v>次</v>
      </c>
      <c r="G83" s="166">
        <f t="shared" si="160"/>
        <v>0</v>
      </c>
      <c r="H83" s="166">
        <f t="shared" si="161"/>
        <v>0</v>
      </c>
      <c r="I83" s="166">
        <f t="shared" si="162"/>
        <v>9</v>
      </c>
      <c r="J83" s="166">
        <f t="shared" si="163"/>
        <v>0</v>
      </c>
      <c r="K83" s="166">
        <f t="shared" si="164"/>
        <v>0</v>
      </c>
      <c r="L83" s="166">
        <f t="shared" si="165"/>
        <v>0</v>
      </c>
      <c r="M83" s="166">
        <f t="shared" si="166"/>
        <v>0</v>
      </c>
      <c r="N83" s="166">
        <f t="shared" si="167"/>
        <v>0</v>
      </c>
      <c r="O83" s="166">
        <f t="shared" si="168"/>
        <v>0</v>
      </c>
      <c r="P83" s="166">
        <f t="shared" si="169"/>
        <v>0</v>
      </c>
      <c r="Q83" s="166">
        <f t="shared" si="170"/>
        <v>0</v>
      </c>
      <c r="R83" s="166">
        <f t="shared" si="171"/>
        <v>0</v>
      </c>
      <c r="S83" s="166">
        <f t="shared" si="172"/>
        <v>0</v>
      </c>
      <c r="T83" s="166">
        <f t="shared" si="173"/>
        <v>0</v>
      </c>
      <c r="U83" s="166">
        <f t="shared" si="174"/>
        <v>0</v>
      </c>
      <c r="V83" s="166">
        <f t="shared" si="175"/>
        <v>0</v>
      </c>
      <c r="W83" s="166">
        <f t="shared" si="176"/>
        <v>0</v>
      </c>
      <c r="X83" s="166">
        <f t="shared" si="177"/>
        <v>0</v>
      </c>
      <c r="Y83" s="166">
        <f t="shared" si="178"/>
        <v>0</v>
      </c>
      <c r="Z83" s="166">
        <f t="shared" si="179"/>
        <v>0</v>
      </c>
      <c r="AA83" s="166">
        <f t="shared" si="180"/>
        <v>0</v>
      </c>
      <c r="AB83" s="166">
        <f t="shared" si="181"/>
        <v>0</v>
      </c>
      <c r="AC83" s="166" cm="1">
        <f t="array" ref="AC83">SUMPRODUCT(G83:AB83,$G$4:$AB$4)</f>
        <v>5850</v>
      </c>
      <c r="AD83" s="89" t="b">
        <f t="shared" si="182"/>
        <v>1</v>
      </c>
      <c r="AE83" s="386">
        <f>IFERROR(SUMIF(服务费底表!$K:$K,服务费明细!$B83,服务费底表!$AD:$AD)/E83,0)</f>
        <v>650</v>
      </c>
      <c r="AF83" s="386">
        <f t="shared" si="183"/>
        <v>5850</v>
      </c>
      <c r="AG83" s="386">
        <f>IFERROR(SUMIF(服务费底表!$K:$K,服务费明细!$B83,服务费底表!$AG:$AG)/E83,0)</f>
        <v>650</v>
      </c>
      <c r="AH83" s="386">
        <f t="shared" si="184"/>
        <v>5850</v>
      </c>
      <c r="AI83" s="409" t="s">
        <v>1022</v>
      </c>
      <c r="AJ83" s="563">
        <f t="shared" si="185"/>
        <v>1</v>
      </c>
      <c r="AK83" s="564">
        <f>SUMIF(服务费底表!$K:$K,服务费明细!$B83,服务费底表!$AC:$AC)</f>
        <v>9</v>
      </c>
      <c r="AL83" s="166">
        <f>SUMIFS(服务费底表!$AC:$AC,服务费底表!$K:$K,服务费明细!$B83,服务费底表!$T:$T,AL$3)</f>
        <v>0</v>
      </c>
      <c r="AM83" s="166">
        <f>SUMIFS(服务费底表!$AC:$AC,服务费底表!$K:$K,服务费明细!$B83,服务费底表!$T:$T,AM$3)</f>
        <v>0</v>
      </c>
      <c r="AN83" s="166">
        <f>SUMIFS(服务费底表!$AC:$AC,服务费底表!$K:$K,服务费明细!$B83,服务费底表!$T:$T,AN$3)</f>
        <v>9</v>
      </c>
      <c r="AO83" s="166">
        <f>SUMIFS(服务费底表!$AC:$AC,服务费底表!$K:$K,服务费明细!$B83,服务费底表!$T:$T,AO$3)</f>
        <v>0</v>
      </c>
      <c r="AP83" s="166">
        <f>SUMIFS(服务费底表!$AC:$AC,服务费底表!$K:$K,服务费明细!$B83,服务费底表!$T:$T,AP$3)</f>
        <v>0</v>
      </c>
      <c r="AQ83" s="166">
        <f>SUMIFS(服务费底表!$AC:$AC,服务费底表!$K:$K,服务费明细!$B83,服务费底表!$T:$T,AQ$3)</f>
        <v>0</v>
      </c>
      <c r="AR83" s="166">
        <f>SUMIFS(服务费底表!$AC:$AC,服务费底表!$K:$K,服务费明细!$B83,服务费底表!$T:$T,AR$3)</f>
        <v>0</v>
      </c>
      <c r="AS83" s="166">
        <f>SUMIFS(服务费底表!$AC:$AC,服务费底表!$K:$K,服务费明细!$B83,服务费底表!$T:$T,AS$3)</f>
        <v>0</v>
      </c>
      <c r="AT83" s="166">
        <f>SUMIFS(服务费底表!$AC:$AC,服务费底表!$K:$K,服务费明细!$B83,服务费底表!$T:$T,AT$3)</f>
        <v>0</v>
      </c>
      <c r="AU83" s="166">
        <f>SUMIFS(服务费底表!$AC:$AC,服务费底表!$K:$K,服务费明细!$B83,服务费底表!$T:$T,AU$3)</f>
        <v>0</v>
      </c>
      <c r="AV83" s="166">
        <f>SUMIFS(服务费底表!$AC:$AC,服务费底表!$K:$K,服务费明细!$B83,服务费底表!$T:$T,AV$3)</f>
        <v>0</v>
      </c>
      <c r="AW83" s="166">
        <f>SUMIFS(服务费底表!$AC:$AC,服务费底表!$K:$K,服务费明细!$B83,服务费底表!$T:$T,AW$3)</f>
        <v>0</v>
      </c>
      <c r="AX83" s="166">
        <f>SUMIFS(服务费底表!$AC:$AC,服务费底表!$K:$K,服务费明细!$B83,服务费底表!$T:$T,AX$3)</f>
        <v>0</v>
      </c>
      <c r="AY83" s="166">
        <f>SUMIFS(服务费底表!$AC:$AC,服务费底表!$K:$K,服务费明细!$B83,服务费底表!$T:$T,AY$3)</f>
        <v>0</v>
      </c>
      <c r="AZ83" s="166">
        <f>SUMIFS(服务费底表!$AC:$AC,服务费底表!$K:$K,服务费明细!$B83,服务费底表!$T:$T,AZ$3)</f>
        <v>0</v>
      </c>
      <c r="BA83" s="166">
        <f>SUMIFS(服务费底表!$AC:$AC,服务费底表!$K:$K,服务费明细!$B83,服务费底表!$T:$T,BA$3)</f>
        <v>0</v>
      </c>
      <c r="BB83" s="166">
        <f>SUMIFS(服务费底表!$AC:$AC,服务费底表!$K:$K,服务费明细!$B83,服务费底表!$T:$T,BB$3)</f>
        <v>0</v>
      </c>
      <c r="BC83" s="166">
        <f>SUMIFS(服务费底表!$AC:$AC,服务费底表!$K:$K,服务费明细!$B83,服务费底表!$T:$T,BC$3)</f>
        <v>0</v>
      </c>
      <c r="BD83" s="166">
        <f>SUMIFS(服务费底表!$AC:$AC,服务费底表!$K:$K,服务费明细!$B83,服务费底表!$T:$T,BD$3)</f>
        <v>0</v>
      </c>
      <c r="BE83" s="166">
        <f>SUMIFS(服务费底表!$AC:$AC,服务费底表!$K:$K,服务费明细!$B83,服务费底表!$T:$T,BE$3)</f>
        <v>0</v>
      </c>
      <c r="BF83" s="166">
        <f>SUMIFS(服务费底表!$AC:$AC,服务费底表!$K:$K,服务费明细!$B83,服务费底表!$T:$T,BF$3)</f>
        <v>0</v>
      </c>
      <c r="BG83" s="166">
        <f>SUMIFS(服务费底表!$AC:$AC,服务费底表!$K:$K,服务费明细!$B83,服务费底表!$T:$T,BG$3)</f>
        <v>0</v>
      </c>
      <c r="BI83" s="388">
        <f>SUMIFS(服务费底表!$AC:$AC,服务费底表!$K:$K,服务费明细!$B83,服务费底表!$H:$H,服务费明细!BI$3)</f>
        <v>0</v>
      </c>
      <c r="BJ83" s="388">
        <f>SUMIFS(服务费底表!$AC:$AC,服务费底表!$K:$K,服务费明细!$B83,服务费底表!$H:$H,服务费明细!BJ$3)</f>
        <v>9</v>
      </c>
      <c r="BK83" s="388">
        <f>SUMIFS(服务费底表!$AC:$AC,服务费底表!$K:$K,服务费明细!$B83,服务费底表!$H:$H,服务费明细!BK$3)</f>
        <v>0</v>
      </c>
      <c r="BL83" s="388">
        <f>SUMIFS(服务费底表!$AC:$AC,服务费底表!$K:$K,服务费明细!$B83,服务费底表!$H:$H,服务费明细!BL$3)</f>
        <v>0</v>
      </c>
      <c r="BM83" s="388">
        <f>SUMIFS(服务费底表!$AC:$AC,服务费底表!$K:$K,服务费明细!$B83,服务费底表!$H:$H,服务费明细!BM$3)</f>
        <v>0</v>
      </c>
      <c r="BN83" s="388">
        <f>SUMIFS(服务费底表!$AC:$AC,服务费底表!$K:$K,服务费明细!$B83,服务费底表!$H:$H,服务费明细!BN$3)</f>
        <v>0</v>
      </c>
      <c r="BO83" s="388">
        <f>SUMIFS(服务费底表!$AC:$AC,服务费底表!$K:$K,服务费明细!$B83,服务费底表!$H:$H,服务费明细!BO$3)</f>
        <v>0</v>
      </c>
      <c r="BQ83" s="389">
        <f>SUMIFS(服务费底表!$AD:$AD,服务费底表!$K:$K,服务费明细!$B83,服务费底表!$H:$H,服务费明细!BQ$3)</f>
        <v>0</v>
      </c>
      <c r="BR83" s="389">
        <f>SUMIFS(服务费底表!$AD:$AD,服务费底表!$K:$K,服务费明细!$B83,服务费底表!$H:$H,服务费明细!BR$3)</f>
        <v>5850</v>
      </c>
      <c r="BS83" s="389">
        <f>SUMIFS(服务费底表!$AD:$AD,服务费底表!$K:$K,服务费明细!$B83,服务费底表!$H:$H,服务费明细!BS$3)</f>
        <v>0</v>
      </c>
      <c r="BT83" s="389">
        <f>SUMIFS(服务费底表!$AD:$AD,服务费底表!$K:$K,服务费明细!$B83,服务费底表!$H:$H,服务费明细!BT$3)</f>
        <v>0</v>
      </c>
      <c r="BU83" s="389">
        <f>SUMIFS(服务费底表!$AD:$AD,服务费底表!$K:$K,服务费明细!$B83,服务费底表!$H:$H,服务费明细!BU$3)</f>
        <v>0</v>
      </c>
      <c r="BV83" s="389">
        <f>SUMIFS(服务费底表!$AD:$AD,服务费底表!$K:$K,服务费明细!$B83,服务费底表!$H:$H,服务费明细!BV$3)</f>
        <v>0</v>
      </c>
      <c r="BW83" s="389">
        <f>SUMIFS(服务费底表!$AD:$AD,服务费底表!$K:$K,服务费明细!$B83,服务费底表!$H:$H,服务费明细!BW$3)</f>
        <v>0</v>
      </c>
    </row>
    <row r="84" spans="2:75">
      <c r="B84" s="202" t="s">
        <v>233</v>
      </c>
      <c r="C84" s="89" t="str">
        <f>INDEX(二三级标准!$C:$C,MATCH(服务费明细!$B84,二三级标准!$B:$B,0))</f>
        <v>中心实验室日常沟通</v>
      </c>
      <c r="D84" s="166">
        <v>0</v>
      </c>
      <c r="E84" s="166">
        <f>IF($D84=1,ROUND(入组月+治疗月,0),0)</f>
        <v>0</v>
      </c>
      <c r="F84" s="89" t="str">
        <f>INDEX(二三级标准!$G:$G,MATCH(服务费明细!$B84,二三级标准!$B:$B,0))</f>
        <v>月</v>
      </c>
      <c r="G84" s="166">
        <f t="shared" si="160"/>
        <v>0</v>
      </c>
      <c r="H84" s="166">
        <f t="shared" si="161"/>
        <v>0</v>
      </c>
      <c r="I84" s="166">
        <f t="shared" si="162"/>
        <v>0</v>
      </c>
      <c r="J84" s="166">
        <f t="shared" si="163"/>
        <v>0</v>
      </c>
      <c r="K84" s="166">
        <f t="shared" si="164"/>
        <v>0</v>
      </c>
      <c r="L84" s="166">
        <f t="shared" si="165"/>
        <v>0</v>
      </c>
      <c r="M84" s="166">
        <f t="shared" si="166"/>
        <v>0</v>
      </c>
      <c r="N84" s="166">
        <f t="shared" si="167"/>
        <v>0</v>
      </c>
      <c r="O84" s="166">
        <f t="shared" si="168"/>
        <v>0</v>
      </c>
      <c r="P84" s="166">
        <f t="shared" si="169"/>
        <v>0</v>
      </c>
      <c r="Q84" s="166">
        <f t="shared" si="170"/>
        <v>0</v>
      </c>
      <c r="R84" s="166">
        <f t="shared" si="171"/>
        <v>0</v>
      </c>
      <c r="S84" s="166">
        <f t="shared" si="172"/>
        <v>0</v>
      </c>
      <c r="T84" s="166">
        <f t="shared" si="173"/>
        <v>0</v>
      </c>
      <c r="U84" s="166">
        <f t="shared" si="174"/>
        <v>0</v>
      </c>
      <c r="V84" s="166">
        <f t="shared" si="175"/>
        <v>0</v>
      </c>
      <c r="W84" s="166">
        <f t="shared" si="176"/>
        <v>0</v>
      </c>
      <c r="X84" s="166">
        <f t="shared" si="177"/>
        <v>0</v>
      </c>
      <c r="Y84" s="166">
        <f t="shared" si="178"/>
        <v>0</v>
      </c>
      <c r="Z84" s="166">
        <f t="shared" si="179"/>
        <v>0</v>
      </c>
      <c r="AA84" s="166">
        <f t="shared" si="180"/>
        <v>0</v>
      </c>
      <c r="AB84" s="166">
        <f t="shared" si="181"/>
        <v>0</v>
      </c>
      <c r="AC84" s="166" cm="1">
        <f t="array" ref="AC84">SUMPRODUCT(G84:AB84,$G$4:$AB$4)</f>
        <v>0</v>
      </c>
      <c r="AD84" s="89" t="b">
        <f t="shared" si="182"/>
        <v>1</v>
      </c>
      <c r="AE84" s="386">
        <f>IFERROR(SUMIF(服务费底表!$K:$K,服务费明细!$B84,服务费底表!$AD:$AD)/E84,0)</f>
        <v>0</v>
      </c>
      <c r="AF84" s="386">
        <f t="shared" si="183"/>
        <v>0</v>
      </c>
      <c r="AG84" s="386">
        <f>IFERROR(SUMIF(服务费底表!$K:$K,服务费明细!$B84,服务费底表!$AG:$AG)/E84,0)</f>
        <v>0</v>
      </c>
      <c r="AH84" s="386">
        <f t="shared" si="184"/>
        <v>0</v>
      </c>
      <c r="AI84" s="409"/>
      <c r="AJ84" s="563">
        <f t="shared" si="185"/>
        <v>0</v>
      </c>
      <c r="AK84" s="564">
        <f>SUMIF(服务费底表!$K:$K,服务费明细!$B84,服务费底表!$AC:$AC)</f>
        <v>0</v>
      </c>
      <c r="AL84" s="166">
        <f>SUMIFS(服务费底表!$AC:$AC,服务费底表!$K:$K,服务费明细!$B84,服务费底表!$T:$T,AL$3)</f>
        <v>0</v>
      </c>
      <c r="AM84" s="166">
        <f>SUMIFS(服务费底表!$AC:$AC,服务费底表!$K:$K,服务费明细!$B84,服务费底表!$T:$T,AM$3)</f>
        <v>0</v>
      </c>
      <c r="AN84" s="166">
        <f>SUMIFS(服务费底表!$AC:$AC,服务费底表!$K:$K,服务费明细!$B84,服务费底表!$T:$T,AN$3)</f>
        <v>0</v>
      </c>
      <c r="AO84" s="166">
        <f>SUMIFS(服务费底表!$AC:$AC,服务费底表!$K:$K,服务费明细!$B84,服务费底表!$T:$T,AO$3)</f>
        <v>0</v>
      </c>
      <c r="AP84" s="166">
        <f>SUMIFS(服务费底表!$AC:$AC,服务费底表!$K:$K,服务费明细!$B84,服务费底表!$T:$T,AP$3)</f>
        <v>0</v>
      </c>
      <c r="AQ84" s="166">
        <f>SUMIFS(服务费底表!$AC:$AC,服务费底表!$K:$K,服务费明细!$B84,服务费底表!$T:$T,AQ$3)</f>
        <v>0</v>
      </c>
      <c r="AR84" s="166">
        <f>SUMIFS(服务费底表!$AC:$AC,服务费底表!$K:$K,服务费明细!$B84,服务费底表!$T:$T,AR$3)</f>
        <v>0</v>
      </c>
      <c r="AS84" s="166">
        <f>SUMIFS(服务费底表!$AC:$AC,服务费底表!$K:$K,服务费明细!$B84,服务费底表!$T:$T,AS$3)</f>
        <v>0</v>
      </c>
      <c r="AT84" s="166">
        <f>SUMIFS(服务费底表!$AC:$AC,服务费底表!$K:$K,服务费明细!$B84,服务费底表!$T:$T,AT$3)</f>
        <v>0</v>
      </c>
      <c r="AU84" s="166">
        <f>SUMIFS(服务费底表!$AC:$AC,服务费底表!$K:$K,服务费明细!$B84,服务费底表!$T:$T,AU$3)</f>
        <v>0</v>
      </c>
      <c r="AV84" s="166">
        <f>SUMIFS(服务费底表!$AC:$AC,服务费底表!$K:$K,服务费明细!$B84,服务费底表!$T:$T,AV$3)</f>
        <v>0</v>
      </c>
      <c r="AW84" s="166">
        <f>SUMIFS(服务费底表!$AC:$AC,服务费底表!$K:$K,服务费明细!$B84,服务费底表!$T:$T,AW$3)</f>
        <v>0</v>
      </c>
      <c r="AX84" s="166">
        <f>SUMIFS(服务费底表!$AC:$AC,服务费底表!$K:$K,服务费明细!$B84,服务费底表!$T:$T,AX$3)</f>
        <v>0</v>
      </c>
      <c r="AY84" s="166">
        <f>SUMIFS(服务费底表!$AC:$AC,服务费底表!$K:$K,服务费明细!$B84,服务费底表!$T:$T,AY$3)</f>
        <v>0</v>
      </c>
      <c r="AZ84" s="166">
        <f>SUMIFS(服务费底表!$AC:$AC,服务费底表!$K:$K,服务费明细!$B84,服务费底表!$T:$T,AZ$3)</f>
        <v>0</v>
      </c>
      <c r="BA84" s="166">
        <f>SUMIFS(服务费底表!$AC:$AC,服务费底表!$K:$K,服务费明细!$B84,服务费底表!$T:$T,BA$3)</f>
        <v>0</v>
      </c>
      <c r="BB84" s="166">
        <f>SUMIFS(服务费底表!$AC:$AC,服务费底表!$K:$K,服务费明细!$B84,服务费底表!$T:$T,BB$3)</f>
        <v>0</v>
      </c>
      <c r="BC84" s="166">
        <f>SUMIFS(服务费底表!$AC:$AC,服务费底表!$K:$K,服务费明细!$B84,服务费底表!$T:$T,BC$3)</f>
        <v>0</v>
      </c>
      <c r="BD84" s="166">
        <f>SUMIFS(服务费底表!$AC:$AC,服务费底表!$K:$K,服务费明细!$B84,服务费底表!$T:$T,BD$3)</f>
        <v>0</v>
      </c>
      <c r="BE84" s="166">
        <f>SUMIFS(服务费底表!$AC:$AC,服务费底表!$K:$K,服务费明细!$B84,服务费底表!$T:$T,BE$3)</f>
        <v>0</v>
      </c>
      <c r="BF84" s="166">
        <f>SUMIFS(服务费底表!$AC:$AC,服务费底表!$K:$K,服务费明细!$B84,服务费底表!$T:$T,BF$3)</f>
        <v>0</v>
      </c>
      <c r="BG84" s="166">
        <f>SUMIFS(服务费底表!$AC:$AC,服务费底表!$K:$K,服务费明细!$B84,服务费底表!$T:$T,BG$3)</f>
        <v>0</v>
      </c>
      <c r="BI84" s="388">
        <f>SUMIFS(服务费底表!$AC:$AC,服务费底表!$K:$K,服务费明细!$B84,服务费底表!$H:$H,服务费明细!BI$3)</f>
        <v>0</v>
      </c>
      <c r="BJ84" s="388">
        <f>SUMIFS(服务费底表!$AC:$AC,服务费底表!$K:$K,服务费明细!$B84,服务费底表!$H:$H,服务费明细!BJ$3)</f>
        <v>0</v>
      </c>
      <c r="BK84" s="388">
        <f>SUMIFS(服务费底表!$AC:$AC,服务费底表!$K:$K,服务费明细!$B84,服务费底表!$H:$H,服务费明细!BK$3)</f>
        <v>0</v>
      </c>
      <c r="BL84" s="388">
        <f>SUMIFS(服务费底表!$AC:$AC,服务费底表!$K:$K,服务费明细!$B84,服务费底表!$H:$H,服务费明细!BL$3)</f>
        <v>0</v>
      </c>
      <c r="BM84" s="388">
        <f>SUMIFS(服务费底表!$AC:$AC,服务费底表!$K:$K,服务费明细!$B84,服务费底表!$H:$H,服务费明细!BM$3)</f>
        <v>0</v>
      </c>
      <c r="BN84" s="388">
        <f>SUMIFS(服务费底表!$AC:$AC,服务费底表!$K:$K,服务费明细!$B84,服务费底表!$H:$H,服务费明细!BN$3)</f>
        <v>0</v>
      </c>
      <c r="BO84" s="388">
        <f>SUMIFS(服务费底表!$AC:$AC,服务费底表!$K:$K,服务费明细!$B84,服务费底表!$H:$H,服务费明细!BO$3)</f>
        <v>0</v>
      </c>
      <c r="BQ84" s="389">
        <f>SUMIFS(服务费底表!$AD:$AD,服务费底表!$K:$K,服务费明细!$B84,服务费底表!$H:$H,服务费明细!BQ$3)</f>
        <v>0</v>
      </c>
      <c r="BR84" s="389">
        <f>SUMIFS(服务费底表!$AD:$AD,服务费底表!$K:$K,服务费明细!$B84,服务费底表!$H:$H,服务费明细!BR$3)</f>
        <v>0</v>
      </c>
      <c r="BS84" s="389">
        <f>SUMIFS(服务费底表!$AD:$AD,服务费底表!$K:$K,服务费明细!$B84,服务费底表!$H:$H,服务费明细!BS$3)</f>
        <v>0</v>
      </c>
      <c r="BT84" s="389">
        <f>SUMIFS(服务费底表!$AD:$AD,服务费底表!$K:$K,服务费明细!$B84,服务费底表!$H:$H,服务费明细!BT$3)</f>
        <v>0</v>
      </c>
      <c r="BU84" s="389">
        <f>SUMIFS(服务费底表!$AD:$AD,服务费底表!$K:$K,服务费明细!$B84,服务费底表!$H:$H,服务费明细!BU$3)</f>
        <v>0</v>
      </c>
      <c r="BV84" s="389">
        <f>SUMIFS(服务费底表!$AD:$AD,服务费底表!$K:$K,服务费明细!$B84,服务费底表!$H:$H,服务费明细!BV$3)</f>
        <v>0</v>
      </c>
      <c r="BW84" s="389">
        <f>SUMIFS(服务费底表!$AD:$AD,服务费底表!$K:$K,服务费明细!$B84,服务费底表!$H:$H,服务费明细!BW$3)</f>
        <v>0</v>
      </c>
    </row>
    <row r="85" spans="2:75">
      <c r="B85" s="202" t="s">
        <v>235</v>
      </c>
      <c r="C85" s="89" t="str">
        <f>INDEX(二三级标准!$C:$C,MATCH(服务费明细!$B85,二三级标准!$B:$B,0))</f>
        <v>其他供应商日常沟通</v>
      </c>
      <c r="D85" s="166">
        <v>0</v>
      </c>
      <c r="E85" s="166">
        <f>IF($D85=1,ROUND(入组月+治疗月,0),0)</f>
        <v>0</v>
      </c>
      <c r="F85" s="89" t="str">
        <f>INDEX(二三级标准!$G:$G,MATCH(服务费明细!$B85,二三级标准!$B:$B,0))</f>
        <v>月</v>
      </c>
      <c r="G85" s="166">
        <f t="shared" si="160"/>
        <v>0</v>
      </c>
      <c r="H85" s="166">
        <f t="shared" si="161"/>
        <v>0</v>
      </c>
      <c r="I85" s="166">
        <f t="shared" si="162"/>
        <v>0</v>
      </c>
      <c r="J85" s="166">
        <f t="shared" si="163"/>
        <v>0</v>
      </c>
      <c r="K85" s="166">
        <f t="shared" si="164"/>
        <v>0</v>
      </c>
      <c r="L85" s="166">
        <f t="shared" si="165"/>
        <v>0</v>
      </c>
      <c r="M85" s="166">
        <f t="shared" si="166"/>
        <v>0</v>
      </c>
      <c r="N85" s="166">
        <f t="shared" si="167"/>
        <v>0</v>
      </c>
      <c r="O85" s="166">
        <f t="shared" si="168"/>
        <v>0</v>
      </c>
      <c r="P85" s="166">
        <f t="shared" si="169"/>
        <v>0</v>
      </c>
      <c r="Q85" s="166">
        <f t="shared" si="170"/>
        <v>0</v>
      </c>
      <c r="R85" s="166">
        <f t="shared" si="171"/>
        <v>0</v>
      </c>
      <c r="S85" s="166">
        <f t="shared" si="172"/>
        <v>0</v>
      </c>
      <c r="T85" s="166">
        <f t="shared" si="173"/>
        <v>0</v>
      </c>
      <c r="U85" s="166">
        <f t="shared" si="174"/>
        <v>0</v>
      </c>
      <c r="V85" s="166">
        <f t="shared" si="175"/>
        <v>0</v>
      </c>
      <c r="W85" s="166">
        <f t="shared" si="176"/>
        <v>0</v>
      </c>
      <c r="X85" s="166">
        <f t="shared" si="177"/>
        <v>0</v>
      </c>
      <c r="Y85" s="166">
        <f t="shared" si="178"/>
        <v>0</v>
      </c>
      <c r="Z85" s="166">
        <f t="shared" si="179"/>
        <v>0</v>
      </c>
      <c r="AA85" s="166">
        <f t="shared" si="180"/>
        <v>0</v>
      </c>
      <c r="AB85" s="166">
        <f t="shared" si="181"/>
        <v>0</v>
      </c>
      <c r="AC85" s="166" cm="1">
        <f t="array" ref="AC85">SUMPRODUCT(G85:AB85,$G$4:$AB$4)</f>
        <v>0</v>
      </c>
      <c r="AD85" s="89" t="b">
        <f t="shared" si="182"/>
        <v>1</v>
      </c>
      <c r="AE85" s="386">
        <f>IFERROR(SUMIF(服务费底表!$K:$K,服务费明细!$B85,服务费底表!$AD:$AD)/E85,0)</f>
        <v>0</v>
      </c>
      <c r="AF85" s="386">
        <f t="shared" si="183"/>
        <v>0</v>
      </c>
      <c r="AG85" s="386">
        <f>IFERROR(SUMIF(服务费底表!$K:$K,服务费明细!$B85,服务费底表!$AG:$AG)/E85,0)</f>
        <v>0</v>
      </c>
      <c r="AH85" s="386">
        <f t="shared" si="184"/>
        <v>0</v>
      </c>
      <c r="AI85" s="409"/>
      <c r="AJ85" s="563">
        <f t="shared" si="185"/>
        <v>0</v>
      </c>
      <c r="AK85" s="564">
        <f>SUMIF(服务费底表!$K:$K,服务费明细!$B85,服务费底表!$AC:$AC)</f>
        <v>0</v>
      </c>
      <c r="AL85" s="166">
        <f>SUMIFS(服务费底表!$AC:$AC,服务费底表!$K:$K,服务费明细!$B85,服务费底表!$T:$T,AL$3)</f>
        <v>0</v>
      </c>
      <c r="AM85" s="166">
        <f>SUMIFS(服务费底表!$AC:$AC,服务费底表!$K:$K,服务费明细!$B85,服务费底表!$T:$T,AM$3)</f>
        <v>0</v>
      </c>
      <c r="AN85" s="166">
        <f>SUMIFS(服务费底表!$AC:$AC,服务费底表!$K:$K,服务费明细!$B85,服务费底表!$T:$T,AN$3)</f>
        <v>0</v>
      </c>
      <c r="AO85" s="166">
        <f>SUMIFS(服务费底表!$AC:$AC,服务费底表!$K:$K,服务费明细!$B85,服务费底表!$T:$T,AO$3)</f>
        <v>0</v>
      </c>
      <c r="AP85" s="166">
        <f>SUMIFS(服务费底表!$AC:$AC,服务费底表!$K:$K,服务费明细!$B85,服务费底表!$T:$T,AP$3)</f>
        <v>0</v>
      </c>
      <c r="AQ85" s="166">
        <f>SUMIFS(服务费底表!$AC:$AC,服务费底表!$K:$K,服务费明细!$B85,服务费底表!$T:$T,AQ$3)</f>
        <v>0</v>
      </c>
      <c r="AR85" s="166">
        <f>SUMIFS(服务费底表!$AC:$AC,服务费底表!$K:$K,服务费明细!$B85,服务费底表!$T:$T,AR$3)</f>
        <v>0</v>
      </c>
      <c r="AS85" s="166">
        <f>SUMIFS(服务费底表!$AC:$AC,服务费底表!$K:$K,服务费明细!$B85,服务费底表!$T:$T,AS$3)</f>
        <v>0</v>
      </c>
      <c r="AT85" s="166">
        <f>SUMIFS(服务费底表!$AC:$AC,服务费底表!$K:$K,服务费明细!$B85,服务费底表!$T:$T,AT$3)</f>
        <v>0</v>
      </c>
      <c r="AU85" s="166">
        <f>SUMIFS(服务费底表!$AC:$AC,服务费底表!$K:$K,服务费明细!$B85,服务费底表!$T:$T,AU$3)</f>
        <v>0</v>
      </c>
      <c r="AV85" s="166">
        <f>SUMIFS(服务费底表!$AC:$AC,服务费底表!$K:$K,服务费明细!$B85,服务费底表!$T:$T,AV$3)</f>
        <v>0</v>
      </c>
      <c r="AW85" s="166">
        <f>SUMIFS(服务费底表!$AC:$AC,服务费底表!$K:$K,服务费明细!$B85,服务费底表!$T:$T,AW$3)</f>
        <v>0</v>
      </c>
      <c r="AX85" s="166">
        <f>SUMIFS(服务费底表!$AC:$AC,服务费底表!$K:$K,服务费明细!$B85,服务费底表!$T:$T,AX$3)</f>
        <v>0</v>
      </c>
      <c r="AY85" s="166">
        <f>SUMIFS(服务费底表!$AC:$AC,服务费底表!$K:$K,服务费明细!$B85,服务费底表!$T:$T,AY$3)</f>
        <v>0</v>
      </c>
      <c r="AZ85" s="166">
        <f>SUMIFS(服务费底表!$AC:$AC,服务费底表!$K:$K,服务费明细!$B85,服务费底表!$T:$T,AZ$3)</f>
        <v>0</v>
      </c>
      <c r="BA85" s="166">
        <f>SUMIFS(服务费底表!$AC:$AC,服务费底表!$K:$K,服务费明细!$B85,服务费底表!$T:$T,BA$3)</f>
        <v>0</v>
      </c>
      <c r="BB85" s="166">
        <f>SUMIFS(服务费底表!$AC:$AC,服务费底表!$K:$K,服务费明细!$B85,服务费底表!$T:$T,BB$3)</f>
        <v>0</v>
      </c>
      <c r="BC85" s="166">
        <f>SUMIFS(服务费底表!$AC:$AC,服务费底表!$K:$K,服务费明细!$B85,服务费底表!$T:$T,BC$3)</f>
        <v>0</v>
      </c>
      <c r="BD85" s="166">
        <f>SUMIFS(服务费底表!$AC:$AC,服务费底表!$K:$K,服务费明细!$B85,服务费底表!$T:$T,BD$3)</f>
        <v>0</v>
      </c>
      <c r="BE85" s="166">
        <f>SUMIFS(服务费底表!$AC:$AC,服务费底表!$K:$K,服务费明细!$B85,服务费底表!$T:$T,BE$3)</f>
        <v>0</v>
      </c>
      <c r="BF85" s="166">
        <f>SUMIFS(服务费底表!$AC:$AC,服务费底表!$K:$K,服务费明细!$B85,服务费底表!$T:$T,BF$3)</f>
        <v>0</v>
      </c>
      <c r="BG85" s="166">
        <f>SUMIFS(服务费底表!$AC:$AC,服务费底表!$K:$K,服务费明细!$B85,服务费底表!$T:$T,BG$3)</f>
        <v>0</v>
      </c>
      <c r="BI85" s="388">
        <f>SUMIFS(服务费底表!$AC:$AC,服务费底表!$K:$K,服务费明细!$B85,服务费底表!$H:$H,服务费明细!BI$3)</f>
        <v>0</v>
      </c>
      <c r="BJ85" s="388">
        <f>SUMIFS(服务费底表!$AC:$AC,服务费底表!$K:$K,服务费明细!$B85,服务费底表!$H:$H,服务费明细!BJ$3)</f>
        <v>0</v>
      </c>
      <c r="BK85" s="388">
        <f>SUMIFS(服务费底表!$AC:$AC,服务费底表!$K:$K,服务费明细!$B85,服务费底表!$H:$H,服务费明细!BK$3)</f>
        <v>0</v>
      </c>
      <c r="BL85" s="388">
        <f>SUMIFS(服务费底表!$AC:$AC,服务费底表!$K:$K,服务费明细!$B85,服务费底表!$H:$H,服务费明细!BL$3)</f>
        <v>0</v>
      </c>
      <c r="BM85" s="388">
        <f>SUMIFS(服务费底表!$AC:$AC,服务费底表!$K:$K,服务费明细!$B85,服务费底表!$H:$H,服务费明细!BM$3)</f>
        <v>0</v>
      </c>
      <c r="BN85" s="388">
        <f>SUMIFS(服务费底表!$AC:$AC,服务费底表!$K:$K,服务费明细!$B85,服务费底表!$H:$H,服务费明细!BN$3)</f>
        <v>0</v>
      </c>
      <c r="BO85" s="388">
        <f>SUMIFS(服务费底表!$AC:$AC,服务费底表!$K:$K,服务费明细!$B85,服务费底表!$H:$H,服务费明细!BO$3)</f>
        <v>0</v>
      </c>
      <c r="BQ85" s="389">
        <f>SUMIFS(服务费底表!$AD:$AD,服务费底表!$K:$K,服务费明细!$B85,服务费底表!$H:$H,服务费明细!BQ$3)</f>
        <v>0</v>
      </c>
      <c r="BR85" s="389">
        <f>SUMIFS(服务费底表!$AD:$AD,服务费底表!$K:$K,服务费明细!$B85,服务费底表!$H:$H,服务费明细!BR$3)</f>
        <v>0</v>
      </c>
      <c r="BS85" s="389">
        <f>SUMIFS(服务费底表!$AD:$AD,服务费底表!$K:$K,服务费明细!$B85,服务费底表!$H:$H,服务费明细!BS$3)</f>
        <v>0</v>
      </c>
      <c r="BT85" s="389">
        <f>SUMIFS(服务费底表!$AD:$AD,服务费底表!$K:$K,服务费明细!$B85,服务费底表!$H:$H,服务费明细!BT$3)</f>
        <v>0</v>
      </c>
      <c r="BU85" s="389">
        <f>SUMIFS(服务费底表!$AD:$AD,服务费底表!$K:$K,服务费明细!$B85,服务费底表!$H:$H,服务费明细!BU$3)</f>
        <v>0</v>
      </c>
      <c r="BV85" s="389">
        <f>SUMIFS(服务费底表!$AD:$AD,服务费底表!$K:$K,服务费明细!$B85,服务费底表!$H:$H,服务费明细!BV$3)</f>
        <v>0</v>
      </c>
      <c r="BW85" s="389">
        <f>SUMIFS(服务费底表!$AD:$AD,服务费底表!$K:$K,服务费明细!$B85,服务费底表!$H:$H,服务费明细!BW$3)</f>
        <v>0</v>
      </c>
    </row>
    <row r="86" spans="2:75">
      <c r="B86" s="202" t="s">
        <v>1023</v>
      </c>
      <c r="C86" s="89" t="str">
        <f>INDEX(二三级标准!$C:$C,MATCH(服务费明细!$B86,二三级标准!$B:$B,0))</f>
        <v>Leading Pl沟通会</v>
      </c>
      <c r="D86" s="166">
        <v>0</v>
      </c>
      <c r="E86" s="166">
        <f>IF($D86=1,ROUND(1,0),0)</f>
        <v>0</v>
      </c>
      <c r="F86" s="89" t="str">
        <f>INDEX(二三级标准!$G:$G,MATCH(服务费明细!$B86,二三级标准!$B:$B,0))</f>
        <v>次</v>
      </c>
      <c r="G86" s="166">
        <f t="shared" si="160"/>
        <v>0</v>
      </c>
      <c r="H86" s="166">
        <f t="shared" si="161"/>
        <v>0</v>
      </c>
      <c r="I86" s="166">
        <f t="shared" si="162"/>
        <v>0</v>
      </c>
      <c r="J86" s="166">
        <f t="shared" si="163"/>
        <v>0</v>
      </c>
      <c r="K86" s="166">
        <f t="shared" si="164"/>
        <v>0</v>
      </c>
      <c r="L86" s="166">
        <f t="shared" si="165"/>
        <v>0</v>
      </c>
      <c r="M86" s="166">
        <f t="shared" si="166"/>
        <v>0</v>
      </c>
      <c r="N86" s="166">
        <f t="shared" si="167"/>
        <v>0</v>
      </c>
      <c r="O86" s="166">
        <f t="shared" si="168"/>
        <v>0</v>
      </c>
      <c r="P86" s="166">
        <f t="shared" si="169"/>
        <v>0</v>
      </c>
      <c r="Q86" s="166">
        <f t="shared" si="170"/>
        <v>0</v>
      </c>
      <c r="R86" s="166">
        <f t="shared" si="171"/>
        <v>0</v>
      </c>
      <c r="S86" s="166">
        <f t="shared" si="172"/>
        <v>0</v>
      </c>
      <c r="T86" s="166">
        <f t="shared" si="173"/>
        <v>0</v>
      </c>
      <c r="U86" s="166">
        <f t="shared" si="174"/>
        <v>0</v>
      </c>
      <c r="V86" s="166">
        <f t="shared" si="175"/>
        <v>0</v>
      </c>
      <c r="W86" s="166">
        <f t="shared" si="176"/>
        <v>0</v>
      </c>
      <c r="X86" s="166">
        <f t="shared" si="177"/>
        <v>0</v>
      </c>
      <c r="Y86" s="166">
        <f t="shared" si="178"/>
        <v>0</v>
      </c>
      <c r="Z86" s="166">
        <f t="shared" si="179"/>
        <v>0</v>
      </c>
      <c r="AA86" s="166">
        <f t="shared" si="180"/>
        <v>0</v>
      </c>
      <c r="AB86" s="166">
        <f t="shared" si="181"/>
        <v>0</v>
      </c>
      <c r="AC86" s="166" cm="1">
        <f t="array" ref="AC86">SUMPRODUCT(G86:AB86,$G$4:$AB$4)</f>
        <v>0</v>
      </c>
      <c r="AD86" s="89" t="b">
        <f t="shared" si="182"/>
        <v>1</v>
      </c>
      <c r="AE86" s="386">
        <f>IFERROR(SUMIF(服务费底表!$K:$K,服务费明细!$B86,服务费底表!$AD:$AD)/E86,0)</f>
        <v>0</v>
      </c>
      <c r="AF86" s="386">
        <f t="shared" si="183"/>
        <v>0</v>
      </c>
      <c r="AG86" s="386">
        <f>IFERROR(SUMIF(服务费底表!$K:$K,服务费明细!$B86,服务费底表!$AG:$AG)/E86,0)</f>
        <v>0</v>
      </c>
      <c r="AH86" s="386">
        <f t="shared" si="184"/>
        <v>0</v>
      </c>
      <c r="AI86" s="578"/>
      <c r="AJ86" s="563">
        <f t="shared" si="185"/>
        <v>0</v>
      </c>
      <c r="AK86" s="564">
        <f>SUMIF(服务费底表!$K:$K,服务费明细!$B86,服务费底表!$AC:$AC)</f>
        <v>0</v>
      </c>
      <c r="AL86" s="166">
        <f>SUMIFS(服务费底表!$AC:$AC,服务费底表!$K:$K,服务费明细!$B86,服务费底表!$T:$T,AL$3)</f>
        <v>0</v>
      </c>
      <c r="AM86" s="166">
        <f>SUMIFS(服务费底表!$AC:$AC,服务费底表!$K:$K,服务费明细!$B86,服务费底表!$T:$T,AM$3)</f>
        <v>0</v>
      </c>
      <c r="AN86" s="166">
        <f>SUMIFS(服务费底表!$AC:$AC,服务费底表!$K:$K,服务费明细!$B86,服务费底表!$T:$T,AN$3)</f>
        <v>0</v>
      </c>
      <c r="AO86" s="166">
        <f>SUMIFS(服务费底表!$AC:$AC,服务费底表!$K:$K,服务费明细!$B86,服务费底表!$T:$T,AO$3)</f>
        <v>0</v>
      </c>
      <c r="AP86" s="166">
        <f>SUMIFS(服务费底表!$AC:$AC,服务费底表!$K:$K,服务费明细!$B86,服务费底表!$T:$T,AP$3)</f>
        <v>0</v>
      </c>
      <c r="AQ86" s="166">
        <f>SUMIFS(服务费底表!$AC:$AC,服务费底表!$K:$K,服务费明细!$B86,服务费底表!$T:$T,AQ$3)</f>
        <v>0</v>
      </c>
      <c r="AR86" s="166">
        <f>SUMIFS(服务费底表!$AC:$AC,服务费底表!$K:$K,服务费明细!$B86,服务费底表!$T:$T,AR$3)</f>
        <v>0</v>
      </c>
      <c r="AS86" s="166">
        <f>SUMIFS(服务费底表!$AC:$AC,服务费底表!$K:$K,服务费明细!$B86,服务费底表!$T:$T,AS$3)</f>
        <v>0</v>
      </c>
      <c r="AT86" s="166">
        <f>SUMIFS(服务费底表!$AC:$AC,服务费底表!$K:$K,服务费明细!$B86,服务费底表!$T:$T,AT$3)</f>
        <v>0</v>
      </c>
      <c r="AU86" s="166">
        <f>SUMIFS(服务费底表!$AC:$AC,服务费底表!$K:$K,服务费明细!$B86,服务费底表!$T:$T,AU$3)</f>
        <v>0</v>
      </c>
      <c r="AV86" s="166">
        <f>SUMIFS(服务费底表!$AC:$AC,服务费底表!$K:$K,服务费明细!$B86,服务费底表!$T:$T,AV$3)</f>
        <v>0</v>
      </c>
      <c r="AW86" s="166">
        <f>SUMIFS(服务费底表!$AC:$AC,服务费底表!$K:$K,服务费明细!$B86,服务费底表!$T:$T,AW$3)</f>
        <v>0</v>
      </c>
      <c r="AX86" s="166">
        <f>SUMIFS(服务费底表!$AC:$AC,服务费底表!$K:$K,服务费明细!$B86,服务费底表!$T:$T,AX$3)</f>
        <v>0</v>
      </c>
      <c r="AY86" s="166">
        <f>SUMIFS(服务费底表!$AC:$AC,服务费底表!$K:$K,服务费明细!$B86,服务费底表!$T:$T,AY$3)</f>
        <v>0</v>
      </c>
      <c r="AZ86" s="166">
        <f>SUMIFS(服务费底表!$AC:$AC,服务费底表!$K:$K,服务费明细!$B86,服务费底表!$T:$T,AZ$3)</f>
        <v>0</v>
      </c>
      <c r="BA86" s="166">
        <f>SUMIFS(服务费底表!$AC:$AC,服务费底表!$K:$K,服务费明细!$B86,服务费底表!$T:$T,BA$3)</f>
        <v>0</v>
      </c>
      <c r="BB86" s="166">
        <f>SUMIFS(服务费底表!$AC:$AC,服务费底表!$K:$K,服务费明细!$B86,服务费底表!$T:$T,BB$3)</f>
        <v>0</v>
      </c>
      <c r="BC86" s="166">
        <f>SUMIFS(服务费底表!$AC:$AC,服务费底表!$K:$K,服务费明细!$B86,服务费底表!$T:$T,BC$3)</f>
        <v>0</v>
      </c>
      <c r="BD86" s="166">
        <f>SUMIFS(服务费底表!$AC:$AC,服务费底表!$K:$K,服务费明细!$B86,服务费底表!$T:$T,BD$3)</f>
        <v>0</v>
      </c>
      <c r="BE86" s="166">
        <f>SUMIFS(服务费底表!$AC:$AC,服务费底表!$K:$K,服务费明细!$B86,服务费底表!$T:$T,BE$3)</f>
        <v>0</v>
      </c>
      <c r="BF86" s="166">
        <f>SUMIFS(服务费底表!$AC:$AC,服务费底表!$K:$K,服务费明细!$B86,服务费底表!$T:$T,BF$3)</f>
        <v>0</v>
      </c>
      <c r="BG86" s="166">
        <f>SUMIFS(服务费底表!$AC:$AC,服务费底表!$K:$K,服务费明细!$B86,服务费底表!$T:$T,BG$3)</f>
        <v>0</v>
      </c>
      <c r="BI86" s="388">
        <f>SUMIFS(服务费底表!$AC:$AC,服务费底表!$K:$K,服务费明细!$B86,服务费底表!$H:$H,服务费明细!BI$3)</f>
        <v>0</v>
      </c>
      <c r="BJ86" s="388">
        <f>SUMIFS(服务费底表!$AC:$AC,服务费底表!$K:$K,服务费明细!$B86,服务费底表!$H:$H,服务费明细!BJ$3)</f>
        <v>0</v>
      </c>
      <c r="BK86" s="388">
        <f>SUMIFS(服务费底表!$AC:$AC,服务费底表!$K:$K,服务费明细!$B86,服务费底表!$H:$H,服务费明细!BK$3)</f>
        <v>0</v>
      </c>
      <c r="BL86" s="388">
        <f>SUMIFS(服务费底表!$AC:$AC,服务费底表!$K:$K,服务费明细!$B86,服务费底表!$H:$H,服务费明细!BL$3)</f>
        <v>0</v>
      </c>
      <c r="BM86" s="388">
        <f>SUMIFS(服务费底表!$AC:$AC,服务费底表!$K:$K,服务费明细!$B86,服务费底表!$H:$H,服务费明细!BM$3)</f>
        <v>0</v>
      </c>
      <c r="BN86" s="388">
        <f>SUMIFS(服务费底表!$AC:$AC,服务费底表!$K:$K,服务费明细!$B86,服务费底表!$H:$H,服务费明细!BN$3)</f>
        <v>0</v>
      </c>
      <c r="BO86" s="388">
        <f>SUMIFS(服务费底表!$AC:$AC,服务费底表!$K:$K,服务费明细!$B86,服务费底表!$H:$H,服务费明细!BO$3)</f>
        <v>0</v>
      </c>
      <c r="BQ86" s="389"/>
      <c r="BR86" s="389"/>
      <c r="BS86" s="389"/>
      <c r="BT86" s="389"/>
      <c r="BU86" s="389"/>
      <c r="BV86" s="389"/>
      <c r="BW86" s="389"/>
    </row>
    <row r="87" spans="2:75">
      <c r="B87" s="202" t="s">
        <v>237</v>
      </c>
      <c r="C87" s="89" t="str">
        <f>INDEX(二三级标准!$C:$C,MATCH(服务费明细!$B87,二三级标准!$B:$B,0))</f>
        <v>召开客户电话会</v>
      </c>
      <c r="D87" s="166">
        <f t="shared" ref="D87:D93" si="186">IF($D$70=1,1,0)</f>
        <v>1</v>
      </c>
      <c r="E87" s="204">
        <f>IF($D87=1,ROUNDUP(服务月,0),0)</f>
        <v>23</v>
      </c>
      <c r="F87" s="89" t="str">
        <f>INDEX(二三级标准!$G:$G,MATCH(服务费明细!$B87,二三级标准!$B:$B,0))</f>
        <v>次</v>
      </c>
      <c r="G87" s="166">
        <f t="shared" si="160"/>
        <v>0</v>
      </c>
      <c r="H87" s="166">
        <f t="shared" si="161"/>
        <v>23</v>
      </c>
      <c r="I87" s="166">
        <f t="shared" si="162"/>
        <v>46</v>
      </c>
      <c r="J87" s="166">
        <f t="shared" si="163"/>
        <v>14</v>
      </c>
      <c r="K87" s="166">
        <f t="shared" si="164"/>
        <v>0</v>
      </c>
      <c r="L87" s="166">
        <f t="shared" si="165"/>
        <v>0</v>
      </c>
      <c r="M87" s="166">
        <f t="shared" si="166"/>
        <v>14</v>
      </c>
      <c r="N87" s="166">
        <f t="shared" si="167"/>
        <v>0</v>
      </c>
      <c r="O87" s="166">
        <f t="shared" si="168"/>
        <v>0</v>
      </c>
      <c r="P87" s="166">
        <f t="shared" si="169"/>
        <v>0</v>
      </c>
      <c r="Q87" s="166">
        <f t="shared" si="170"/>
        <v>0</v>
      </c>
      <c r="R87" s="166">
        <f t="shared" si="171"/>
        <v>0</v>
      </c>
      <c r="S87" s="166">
        <f t="shared" si="172"/>
        <v>0</v>
      </c>
      <c r="T87" s="166">
        <f t="shared" si="173"/>
        <v>0</v>
      </c>
      <c r="U87" s="166">
        <f t="shared" si="174"/>
        <v>0</v>
      </c>
      <c r="V87" s="166">
        <f t="shared" si="175"/>
        <v>0</v>
      </c>
      <c r="W87" s="166">
        <f t="shared" si="176"/>
        <v>0</v>
      </c>
      <c r="X87" s="166">
        <f t="shared" si="177"/>
        <v>0</v>
      </c>
      <c r="Y87" s="166">
        <f t="shared" si="178"/>
        <v>0</v>
      </c>
      <c r="Z87" s="166">
        <f t="shared" si="179"/>
        <v>0</v>
      </c>
      <c r="AA87" s="166">
        <f t="shared" si="180"/>
        <v>0</v>
      </c>
      <c r="AB87" s="166">
        <f t="shared" si="181"/>
        <v>0</v>
      </c>
      <c r="AC87" s="166" cm="1">
        <f t="array" ref="AC87">SUMPRODUCT(G87:AB87,$G$4:$AB$4)</f>
        <v>55260</v>
      </c>
      <c r="AD87" s="89" t="b">
        <f t="shared" si="182"/>
        <v>1</v>
      </c>
      <c r="AE87" s="386">
        <f>IFERROR(SUMIF(服务费底表!$K:$K,服务费明细!$B87,服务费底表!$AD:$AD)/E87,0)</f>
        <v>2402.60869565217</v>
      </c>
      <c r="AF87" s="386">
        <f t="shared" si="183"/>
        <v>55260</v>
      </c>
      <c r="AG87" s="386">
        <f>IFERROR(SUMIF(服务费底表!$K:$K,服务费明细!$B87,服务费底表!$AG:$AG)/E87,0)</f>
        <v>2402.60869565217</v>
      </c>
      <c r="AH87" s="386">
        <f t="shared" si="184"/>
        <v>55260</v>
      </c>
      <c r="AI87" s="575" t="s">
        <v>1024</v>
      </c>
      <c r="AJ87" s="563">
        <f t="shared" ref="AJ87:AJ96" si="187">IF(D87=1,AK87/E87,0)</f>
        <v>4.21739130434783</v>
      </c>
      <c r="AK87" s="564">
        <f>SUMIF(服务费底表!$K:$K,服务费明细!$B87,服务费底表!$AC:$AC)</f>
        <v>97</v>
      </c>
      <c r="AL87" s="166">
        <f>SUMIFS(服务费底表!$AC:$AC,服务费底表!$K:$K,服务费明细!$B87,服务费底表!$T:$T,AL$3)</f>
        <v>0</v>
      </c>
      <c r="AM87" s="166">
        <f>SUMIFS(服务费底表!$AC:$AC,服务费底表!$K:$K,服务费明细!$B87,服务费底表!$T:$T,AM$3)</f>
        <v>23</v>
      </c>
      <c r="AN87" s="166">
        <f>SUMIFS(服务费底表!$AC:$AC,服务费底表!$K:$K,服务费明细!$B87,服务费底表!$T:$T,AN$3)</f>
        <v>46</v>
      </c>
      <c r="AO87" s="166">
        <f>SUMIFS(服务费底表!$AC:$AC,服务费底表!$K:$K,服务费明细!$B87,服务费底表!$T:$T,AO$3)</f>
        <v>14</v>
      </c>
      <c r="AP87" s="166">
        <f>SUMIFS(服务费底表!$AC:$AC,服务费底表!$K:$K,服务费明细!$B87,服务费底表!$T:$T,AP$3)</f>
        <v>0</v>
      </c>
      <c r="AQ87" s="166">
        <f>SUMIFS(服务费底表!$AC:$AC,服务费底表!$K:$K,服务费明细!$B87,服务费底表!$T:$T,AQ$3)</f>
        <v>0</v>
      </c>
      <c r="AR87" s="166">
        <f>SUMIFS(服务费底表!$AC:$AC,服务费底表!$K:$K,服务费明细!$B87,服务费底表!$T:$T,AR$3)</f>
        <v>14</v>
      </c>
      <c r="AS87" s="166">
        <f>SUMIFS(服务费底表!$AC:$AC,服务费底表!$K:$K,服务费明细!$B87,服务费底表!$T:$T,AS$3)</f>
        <v>0</v>
      </c>
      <c r="AT87" s="166">
        <f>SUMIFS(服务费底表!$AC:$AC,服务费底表!$K:$K,服务费明细!$B87,服务费底表!$T:$T,AT$3)</f>
        <v>0</v>
      </c>
      <c r="AU87" s="166">
        <f>SUMIFS(服务费底表!$AC:$AC,服务费底表!$K:$K,服务费明细!$B87,服务费底表!$T:$T,AU$3)</f>
        <v>0</v>
      </c>
      <c r="AV87" s="166">
        <f>SUMIFS(服务费底表!$AC:$AC,服务费底表!$K:$K,服务费明细!$B87,服务费底表!$T:$T,AV$3)</f>
        <v>0</v>
      </c>
      <c r="AW87" s="166">
        <f>SUMIFS(服务费底表!$AC:$AC,服务费底表!$K:$K,服务费明细!$B87,服务费底表!$T:$T,AW$3)</f>
        <v>0</v>
      </c>
      <c r="AX87" s="166">
        <f>SUMIFS(服务费底表!$AC:$AC,服务费底表!$K:$K,服务费明细!$B87,服务费底表!$T:$T,AX$3)</f>
        <v>0</v>
      </c>
      <c r="AY87" s="166">
        <f>SUMIFS(服务费底表!$AC:$AC,服务费底表!$K:$K,服务费明细!$B87,服务费底表!$T:$T,AY$3)</f>
        <v>0</v>
      </c>
      <c r="AZ87" s="166">
        <f>SUMIFS(服务费底表!$AC:$AC,服务费底表!$K:$K,服务费明细!$B87,服务费底表!$T:$T,AZ$3)</f>
        <v>0</v>
      </c>
      <c r="BA87" s="166">
        <f>SUMIFS(服务费底表!$AC:$AC,服务费底表!$K:$K,服务费明细!$B87,服务费底表!$T:$T,BA$3)</f>
        <v>0</v>
      </c>
      <c r="BB87" s="166">
        <f>SUMIFS(服务费底表!$AC:$AC,服务费底表!$K:$K,服务费明细!$B87,服务费底表!$T:$T,BB$3)</f>
        <v>0</v>
      </c>
      <c r="BC87" s="166">
        <f>SUMIFS(服务费底表!$AC:$AC,服务费底表!$K:$K,服务费明细!$B87,服务费底表!$T:$T,BC$3)</f>
        <v>0</v>
      </c>
      <c r="BD87" s="166">
        <f>SUMIFS(服务费底表!$AC:$AC,服务费底表!$K:$K,服务费明细!$B87,服务费底表!$T:$T,BD$3)</f>
        <v>0</v>
      </c>
      <c r="BE87" s="166">
        <f>SUMIFS(服务费底表!$AC:$AC,服务费底表!$K:$K,服务费明细!$B87,服务费底表!$T:$T,BE$3)</f>
        <v>0</v>
      </c>
      <c r="BF87" s="166">
        <f>SUMIFS(服务费底表!$AC:$AC,服务费底表!$K:$K,服务费明细!$B87,服务费底表!$T:$T,BF$3)</f>
        <v>0</v>
      </c>
      <c r="BG87" s="166">
        <f>SUMIFS(服务费底表!$AC:$AC,服务费底表!$K:$K,服务费明细!$B87,服务费底表!$T:$T,BG$3)</f>
        <v>0</v>
      </c>
      <c r="BI87" s="388">
        <f>SUMIFS(服务费底表!$AC:$AC,服务费底表!$K:$K,服务费明细!$B87,服务费底表!$H:$H,服务费明细!BI$3)</f>
        <v>14</v>
      </c>
      <c r="BJ87" s="388">
        <f>SUMIFS(服务费底表!$AC:$AC,服务费底表!$K:$K,服务费明细!$B87,服务费底表!$H:$H,服务费明细!BJ$3)</f>
        <v>83</v>
      </c>
      <c r="BK87" s="388">
        <f>SUMIFS(服务费底表!$AC:$AC,服务费底表!$K:$K,服务费明细!$B87,服务费底表!$H:$H,服务费明细!BK$3)</f>
        <v>0</v>
      </c>
      <c r="BL87" s="388">
        <f>SUMIFS(服务费底表!$AC:$AC,服务费底表!$K:$K,服务费明细!$B87,服务费底表!$H:$H,服务费明细!BL$3)</f>
        <v>0</v>
      </c>
      <c r="BM87" s="388">
        <f>SUMIFS(服务费底表!$AC:$AC,服务费底表!$K:$K,服务费明细!$B87,服务费底表!$H:$H,服务费明细!BM$3)</f>
        <v>0</v>
      </c>
      <c r="BN87" s="388">
        <f>SUMIFS(服务费底表!$AC:$AC,服务费底表!$K:$K,服务费明细!$B87,服务费底表!$H:$H,服务费明细!BN$3)</f>
        <v>0</v>
      </c>
      <c r="BO87" s="388">
        <f>SUMIFS(服务费底表!$AC:$AC,服务费底表!$K:$K,服务费明细!$B87,服务费底表!$H:$H,服务费明细!BO$3)</f>
        <v>0</v>
      </c>
      <c r="BQ87" s="389">
        <f>SUMIFS(服务费底表!$AD:$AD,服务费底表!$K:$K,服务费明细!$B87,服务费底表!$H:$H,服务费明细!BQ$3)</f>
        <v>9100</v>
      </c>
      <c r="BR87" s="389">
        <f>SUMIFS(服务费底表!$AD:$AD,服务费底表!$K:$K,服务费明细!$B87,服务费底表!$H:$H,服务费明细!BR$3)</f>
        <v>46160</v>
      </c>
      <c r="BS87" s="389">
        <f>SUMIFS(服务费底表!$AD:$AD,服务费底表!$K:$K,服务费明细!$B87,服务费底表!$H:$H,服务费明细!BS$3)</f>
        <v>0</v>
      </c>
      <c r="BT87" s="389">
        <f>SUMIFS(服务费底表!$AD:$AD,服务费底表!$K:$K,服务费明细!$B87,服务费底表!$H:$H,服务费明细!BT$3)</f>
        <v>0</v>
      </c>
      <c r="BU87" s="389">
        <f>SUMIFS(服务费底表!$AD:$AD,服务费底表!$K:$K,服务费明细!$B87,服务费底表!$H:$H,服务费明细!BU$3)</f>
        <v>0</v>
      </c>
      <c r="BV87" s="389">
        <f>SUMIFS(服务费底表!$AD:$AD,服务费底表!$K:$K,服务费明细!$B87,服务费底表!$H:$H,服务费明细!BV$3)</f>
        <v>0</v>
      </c>
      <c r="BW87" s="389">
        <f>SUMIFS(服务费底表!$AD:$AD,服务费底表!$K:$K,服务费明细!$B87,服务费底表!$H:$H,服务费明细!BW$3)</f>
        <v>0</v>
      </c>
    </row>
    <row r="88" spans="2:75">
      <c r="B88" s="202" t="s">
        <v>239</v>
      </c>
      <c r="C88" s="89" t="str">
        <f>INDEX(二三级标准!$C:$C,MATCH(服务费明细!$B88,二三级标准!$B:$B,0))</f>
        <v>致客户项目进展报告撰写</v>
      </c>
      <c r="D88" s="166">
        <f t="shared" si="186"/>
        <v>1</v>
      </c>
      <c r="E88" s="166">
        <f>IF($D88=1,ROUNDUP(服务月,0),0)</f>
        <v>23</v>
      </c>
      <c r="F88" s="89" t="str">
        <f>INDEX(二三级标准!$G:$G,MATCH(服务费明细!$B88,二三级标准!$B:$B,0))</f>
        <v>份</v>
      </c>
      <c r="G88" s="166">
        <f t="shared" si="160"/>
        <v>0</v>
      </c>
      <c r="H88" s="166">
        <f t="shared" si="161"/>
        <v>0</v>
      </c>
      <c r="I88" s="166">
        <f t="shared" si="162"/>
        <v>46</v>
      </c>
      <c r="J88" s="166">
        <f t="shared" si="163"/>
        <v>0</v>
      </c>
      <c r="K88" s="166">
        <f t="shared" si="164"/>
        <v>0</v>
      </c>
      <c r="L88" s="166">
        <f t="shared" si="165"/>
        <v>0</v>
      </c>
      <c r="M88" s="166">
        <f t="shared" si="166"/>
        <v>0</v>
      </c>
      <c r="N88" s="166">
        <f t="shared" si="167"/>
        <v>0</v>
      </c>
      <c r="O88" s="166">
        <f t="shared" si="168"/>
        <v>0</v>
      </c>
      <c r="P88" s="166">
        <f t="shared" si="169"/>
        <v>0</v>
      </c>
      <c r="Q88" s="166">
        <f t="shared" si="170"/>
        <v>0</v>
      </c>
      <c r="R88" s="166">
        <f t="shared" si="171"/>
        <v>0</v>
      </c>
      <c r="S88" s="166">
        <f t="shared" si="172"/>
        <v>0</v>
      </c>
      <c r="T88" s="166">
        <f t="shared" si="173"/>
        <v>0</v>
      </c>
      <c r="U88" s="166">
        <f t="shared" si="174"/>
        <v>0</v>
      </c>
      <c r="V88" s="166">
        <f t="shared" si="175"/>
        <v>0</v>
      </c>
      <c r="W88" s="166">
        <f t="shared" si="176"/>
        <v>0</v>
      </c>
      <c r="X88" s="166">
        <f t="shared" si="177"/>
        <v>0</v>
      </c>
      <c r="Y88" s="166">
        <f t="shared" si="178"/>
        <v>0</v>
      </c>
      <c r="Z88" s="166">
        <f t="shared" si="179"/>
        <v>0</v>
      </c>
      <c r="AA88" s="166">
        <f t="shared" si="180"/>
        <v>0</v>
      </c>
      <c r="AB88" s="166">
        <f t="shared" si="181"/>
        <v>0</v>
      </c>
      <c r="AC88" s="166" cm="1">
        <f t="array" ref="AC88">SUMPRODUCT(G88:AB88,$G$4:$AB$4)</f>
        <v>29900</v>
      </c>
      <c r="AD88" s="89" t="b">
        <f t="shared" si="182"/>
        <v>1</v>
      </c>
      <c r="AE88" s="386">
        <f>IFERROR(SUMIF(服务费底表!$K:$K,服务费明细!$B88,服务费底表!$AD:$AD)/E88,0)</f>
        <v>1300</v>
      </c>
      <c r="AF88" s="386">
        <f t="shared" si="183"/>
        <v>29900</v>
      </c>
      <c r="AG88" s="386">
        <f>IFERROR(SUMIF(服务费底表!$K:$K,服务费明细!$B88,服务费底表!$AG:$AG)/E88,0)</f>
        <v>1300</v>
      </c>
      <c r="AH88" s="386">
        <f t="shared" si="184"/>
        <v>29900</v>
      </c>
      <c r="AI88" s="409"/>
      <c r="AJ88" s="563">
        <f t="shared" si="187"/>
        <v>2</v>
      </c>
      <c r="AK88" s="564">
        <f>SUMIF(服务费底表!$K:$K,服务费明细!$B88,服务费底表!$AC:$AC)</f>
        <v>46</v>
      </c>
      <c r="AL88" s="166">
        <f>SUMIFS(服务费底表!$AC:$AC,服务费底表!$K:$K,服务费明细!$B88,服务费底表!$T:$T,AL$3)</f>
        <v>0</v>
      </c>
      <c r="AM88" s="166">
        <f>SUMIFS(服务费底表!$AC:$AC,服务费底表!$K:$K,服务费明细!$B88,服务费底表!$T:$T,AM$3)</f>
        <v>0</v>
      </c>
      <c r="AN88" s="166">
        <f>SUMIFS(服务费底表!$AC:$AC,服务费底表!$K:$K,服务费明细!$B88,服务费底表!$T:$T,AN$3)</f>
        <v>46</v>
      </c>
      <c r="AO88" s="166">
        <f>SUMIFS(服务费底表!$AC:$AC,服务费底表!$K:$K,服务费明细!$B88,服务费底表!$T:$T,AO$3)</f>
        <v>0</v>
      </c>
      <c r="AP88" s="166">
        <f>SUMIFS(服务费底表!$AC:$AC,服务费底表!$K:$K,服务费明细!$B88,服务费底表!$T:$T,AP$3)</f>
        <v>0</v>
      </c>
      <c r="AQ88" s="166">
        <f>SUMIFS(服务费底表!$AC:$AC,服务费底表!$K:$K,服务费明细!$B88,服务费底表!$T:$T,AQ$3)</f>
        <v>0</v>
      </c>
      <c r="AR88" s="166">
        <f>SUMIFS(服务费底表!$AC:$AC,服务费底表!$K:$K,服务费明细!$B88,服务费底表!$T:$T,AR$3)</f>
        <v>0</v>
      </c>
      <c r="AS88" s="166">
        <f>SUMIFS(服务费底表!$AC:$AC,服务费底表!$K:$K,服务费明细!$B88,服务费底表!$T:$T,AS$3)</f>
        <v>0</v>
      </c>
      <c r="AT88" s="166">
        <f>SUMIFS(服务费底表!$AC:$AC,服务费底表!$K:$K,服务费明细!$B88,服务费底表!$T:$T,AT$3)</f>
        <v>0</v>
      </c>
      <c r="AU88" s="166">
        <f>SUMIFS(服务费底表!$AC:$AC,服务费底表!$K:$K,服务费明细!$B88,服务费底表!$T:$T,AU$3)</f>
        <v>0</v>
      </c>
      <c r="AV88" s="166">
        <f>SUMIFS(服务费底表!$AC:$AC,服务费底表!$K:$K,服务费明细!$B88,服务费底表!$T:$T,AV$3)</f>
        <v>0</v>
      </c>
      <c r="AW88" s="166">
        <f>SUMIFS(服务费底表!$AC:$AC,服务费底表!$K:$K,服务费明细!$B88,服务费底表!$T:$T,AW$3)</f>
        <v>0</v>
      </c>
      <c r="AX88" s="166">
        <f>SUMIFS(服务费底表!$AC:$AC,服务费底表!$K:$K,服务费明细!$B88,服务费底表!$T:$T,AX$3)</f>
        <v>0</v>
      </c>
      <c r="AY88" s="166">
        <f>SUMIFS(服务费底表!$AC:$AC,服务费底表!$K:$K,服务费明细!$B88,服务费底表!$T:$T,AY$3)</f>
        <v>0</v>
      </c>
      <c r="AZ88" s="166">
        <f>SUMIFS(服务费底表!$AC:$AC,服务费底表!$K:$K,服务费明细!$B88,服务费底表!$T:$T,AZ$3)</f>
        <v>0</v>
      </c>
      <c r="BA88" s="166">
        <f>SUMIFS(服务费底表!$AC:$AC,服务费底表!$K:$K,服务费明细!$B88,服务费底表!$T:$T,BA$3)</f>
        <v>0</v>
      </c>
      <c r="BB88" s="166">
        <f>SUMIFS(服务费底表!$AC:$AC,服务费底表!$K:$K,服务费明细!$B88,服务费底表!$T:$T,BB$3)</f>
        <v>0</v>
      </c>
      <c r="BC88" s="166">
        <f>SUMIFS(服务费底表!$AC:$AC,服务费底表!$K:$K,服务费明细!$B88,服务费底表!$T:$T,BC$3)</f>
        <v>0</v>
      </c>
      <c r="BD88" s="166">
        <f>SUMIFS(服务费底表!$AC:$AC,服务费底表!$K:$K,服务费明细!$B88,服务费底表!$T:$T,BD$3)</f>
        <v>0</v>
      </c>
      <c r="BE88" s="166">
        <f>SUMIFS(服务费底表!$AC:$AC,服务费底表!$K:$K,服务费明细!$B88,服务费底表!$T:$T,BE$3)</f>
        <v>0</v>
      </c>
      <c r="BF88" s="166">
        <f>SUMIFS(服务费底表!$AC:$AC,服务费底表!$K:$K,服务费明细!$B88,服务费底表!$T:$T,BF$3)</f>
        <v>0</v>
      </c>
      <c r="BG88" s="166">
        <f>SUMIFS(服务费底表!$AC:$AC,服务费底表!$K:$K,服务费明细!$B88,服务费底表!$T:$T,BG$3)</f>
        <v>0</v>
      </c>
      <c r="BI88" s="388">
        <f>SUMIFS(服务费底表!$AC:$AC,服务费底表!$K:$K,服务费明细!$B88,服务费底表!$H:$H,服务费明细!BI$3)</f>
        <v>0</v>
      </c>
      <c r="BJ88" s="388">
        <f>SUMIFS(服务费底表!$AC:$AC,服务费底表!$K:$K,服务费明细!$B88,服务费底表!$H:$H,服务费明细!BJ$3)</f>
        <v>46</v>
      </c>
      <c r="BK88" s="388">
        <f>SUMIFS(服务费底表!$AC:$AC,服务费底表!$K:$K,服务费明细!$B88,服务费底表!$H:$H,服务费明细!BK$3)</f>
        <v>0</v>
      </c>
      <c r="BL88" s="388">
        <f>SUMIFS(服务费底表!$AC:$AC,服务费底表!$K:$K,服务费明细!$B88,服务费底表!$H:$H,服务费明细!BL$3)</f>
        <v>0</v>
      </c>
      <c r="BM88" s="388">
        <f>SUMIFS(服务费底表!$AC:$AC,服务费底表!$K:$K,服务费明细!$B88,服务费底表!$H:$H,服务费明细!BM$3)</f>
        <v>0</v>
      </c>
      <c r="BN88" s="388">
        <f>SUMIFS(服务费底表!$AC:$AC,服务费底表!$K:$K,服务费明细!$B88,服务费底表!$H:$H,服务费明细!BN$3)</f>
        <v>0</v>
      </c>
      <c r="BO88" s="388">
        <f>SUMIFS(服务费底表!$AC:$AC,服务费底表!$K:$K,服务费明细!$B88,服务费底表!$H:$H,服务费明细!BO$3)</f>
        <v>0</v>
      </c>
      <c r="BQ88" s="389">
        <f>SUMIFS(服务费底表!$AD:$AD,服务费底表!$K:$K,服务费明细!$B88,服务费底表!$H:$H,服务费明细!BQ$3)</f>
        <v>0</v>
      </c>
      <c r="BR88" s="389">
        <f>SUMIFS(服务费底表!$AD:$AD,服务费底表!$K:$K,服务费明细!$B88,服务费底表!$H:$H,服务费明细!BR$3)</f>
        <v>29900</v>
      </c>
      <c r="BS88" s="389">
        <f>SUMIFS(服务费底表!$AD:$AD,服务费底表!$K:$K,服务费明细!$B88,服务费底表!$H:$H,服务费明细!BS$3)</f>
        <v>0</v>
      </c>
      <c r="BT88" s="389">
        <f>SUMIFS(服务费底表!$AD:$AD,服务费底表!$K:$K,服务费明细!$B88,服务费底表!$H:$H,服务费明细!BT$3)</f>
        <v>0</v>
      </c>
      <c r="BU88" s="389">
        <f>SUMIFS(服务费底表!$AD:$AD,服务费底表!$K:$K,服务费明细!$B88,服务费底表!$H:$H,服务费明细!BU$3)</f>
        <v>0</v>
      </c>
      <c r="BV88" s="389">
        <f>SUMIFS(服务费底表!$AD:$AD,服务费底表!$K:$K,服务费明细!$B88,服务费底表!$H:$H,服务费明细!BV$3)</f>
        <v>0</v>
      </c>
      <c r="BW88" s="389">
        <f>SUMIFS(服务费底表!$AD:$AD,服务费底表!$K:$K,服务费明细!$B88,服务费底表!$H:$H,服务费明细!BW$3)</f>
        <v>0</v>
      </c>
    </row>
    <row r="89" spans="2:75">
      <c r="B89" s="202" t="s">
        <v>241</v>
      </c>
      <c r="C89" s="89" t="str">
        <f>INDEX(二三级标准!$C:$C,MATCH(服务费明细!$B89,二三级标准!$B:$B,0))</f>
        <v>召开客户面对面会</v>
      </c>
      <c r="D89" s="166">
        <v>0</v>
      </c>
      <c r="E89" s="166">
        <f>IF($D89=1,1,0)</f>
        <v>0</v>
      </c>
      <c r="F89" s="89" t="str">
        <f>INDEX(二三级标准!$G:$G,MATCH(服务费明细!$B89,二三级标准!$B:$B,0))</f>
        <v>次</v>
      </c>
      <c r="G89" s="166">
        <f t="shared" si="160"/>
        <v>0</v>
      </c>
      <c r="H89" s="166">
        <f t="shared" si="161"/>
        <v>0</v>
      </c>
      <c r="I89" s="166">
        <f t="shared" si="162"/>
        <v>0</v>
      </c>
      <c r="J89" s="166">
        <f t="shared" si="163"/>
        <v>0</v>
      </c>
      <c r="K89" s="166">
        <f t="shared" si="164"/>
        <v>0</v>
      </c>
      <c r="L89" s="166">
        <f t="shared" si="165"/>
        <v>0</v>
      </c>
      <c r="M89" s="166">
        <f t="shared" si="166"/>
        <v>0</v>
      </c>
      <c r="N89" s="166">
        <f t="shared" si="167"/>
        <v>0</v>
      </c>
      <c r="O89" s="166">
        <f t="shared" si="168"/>
        <v>0</v>
      </c>
      <c r="P89" s="166">
        <f t="shared" si="169"/>
        <v>0</v>
      </c>
      <c r="Q89" s="166">
        <f t="shared" si="170"/>
        <v>0</v>
      </c>
      <c r="R89" s="166">
        <f t="shared" si="171"/>
        <v>0</v>
      </c>
      <c r="S89" s="166">
        <f t="shared" si="172"/>
        <v>0</v>
      </c>
      <c r="T89" s="166">
        <f t="shared" si="173"/>
        <v>0</v>
      </c>
      <c r="U89" s="166">
        <f t="shared" si="174"/>
        <v>0</v>
      </c>
      <c r="V89" s="166">
        <f t="shared" si="175"/>
        <v>0</v>
      </c>
      <c r="W89" s="166">
        <f t="shared" si="176"/>
        <v>0</v>
      </c>
      <c r="X89" s="166">
        <f t="shared" si="177"/>
        <v>0</v>
      </c>
      <c r="Y89" s="166">
        <f t="shared" si="178"/>
        <v>0</v>
      </c>
      <c r="Z89" s="166">
        <f t="shared" si="179"/>
        <v>0</v>
      </c>
      <c r="AA89" s="166">
        <f t="shared" si="180"/>
        <v>0</v>
      </c>
      <c r="AB89" s="166">
        <f t="shared" si="181"/>
        <v>0</v>
      </c>
      <c r="AC89" s="166" cm="1">
        <f t="array" ref="AC89">SUMPRODUCT(G89:AB89,$G$4:$AB$4)</f>
        <v>0</v>
      </c>
      <c r="AD89" s="89" t="b">
        <f t="shared" si="182"/>
        <v>1</v>
      </c>
      <c r="AE89" s="386">
        <f>IFERROR(SUMIF(服务费底表!$K:$K,服务费明细!$B89,服务费底表!$AD:$AD)/E89,0)</f>
        <v>0</v>
      </c>
      <c r="AF89" s="386">
        <f t="shared" si="183"/>
        <v>0</v>
      </c>
      <c r="AG89" s="386">
        <f>IFERROR(SUMIF(服务费底表!$K:$K,服务费明细!$B89,服务费底表!$AG:$AG)/E89,0)</f>
        <v>0</v>
      </c>
      <c r="AH89" s="386">
        <f t="shared" si="184"/>
        <v>0</v>
      </c>
      <c r="AI89" s="409"/>
      <c r="AJ89" s="563">
        <f t="shared" si="187"/>
        <v>0</v>
      </c>
      <c r="AK89" s="564">
        <f>SUMIF(服务费底表!$K:$K,服务费明细!$B89,服务费底表!$AC:$AC)</f>
        <v>0</v>
      </c>
      <c r="AL89" s="166">
        <f>SUMIFS(服务费底表!$AC:$AC,服务费底表!$K:$K,服务费明细!$B89,服务费底表!$T:$T,AL$3)</f>
        <v>0</v>
      </c>
      <c r="AM89" s="166">
        <f>SUMIFS(服务费底表!$AC:$AC,服务费底表!$K:$K,服务费明细!$B89,服务费底表!$T:$T,AM$3)</f>
        <v>0</v>
      </c>
      <c r="AN89" s="166">
        <f>SUMIFS(服务费底表!$AC:$AC,服务费底表!$K:$K,服务费明细!$B89,服务费底表!$T:$T,AN$3)</f>
        <v>0</v>
      </c>
      <c r="AO89" s="166">
        <f>SUMIFS(服务费底表!$AC:$AC,服务费底表!$K:$K,服务费明细!$B89,服务费底表!$T:$T,AO$3)</f>
        <v>0</v>
      </c>
      <c r="AP89" s="166">
        <f>SUMIFS(服务费底表!$AC:$AC,服务费底表!$K:$K,服务费明细!$B89,服务费底表!$T:$T,AP$3)</f>
        <v>0</v>
      </c>
      <c r="AQ89" s="166">
        <f>SUMIFS(服务费底表!$AC:$AC,服务费底表!$K:$K,服务费明细!$B89,服务费底表!$T:$T,AQ$3)</f>
        <v>0</v>
      </c>
      <c r="AR89" s="166">
        <f>SUMIFS(服务费底表!$AC:$AC,服务费底表!$K:$K,服务费明细!$B89,服务费底表!$T:$T,AR$3)</f>
        <v>0</v>
      </c>
      <c r="AS89" s="166">
        <f>SUMIFS(服务费底表!$AC:$AC,服务费底表!$K:$K,服务费明细!$B89,服务费底表!$T:$T,AS$3)</f>
        <v>0</v>
      </c>
      <c r="AT89" s="166">
        <f>SUMIFS(服务费底表!$AC:$AC,服务费底表!$K:$K,服务费明细!$B89,服务费底表!$T:$T,AT$3)</f>
        <v>0</v>
      </c>
      <c r="AU89" s="166">
        <f>SUMIFS(服务费底表!$AC:$AC,服务费底表!$K:$K,服务费明细!$B89,服务费底表!$T:$T,AU$3)</f>
        <v>0</v>
      </c>
      <c r="AV89" s="166">
        <f>SUMIFS(服务费底表!$AC:$AC,服务费底表!$K:$K,服务费明细!$B89,服务费底表!$T:$T,AV$3)</f>
        <v>0</v>
      </c>
      <c r="AW89" s="166">
        <f>SUMIFS(服务费底表!$AC:$AC,服务费底表!$K:$K,服务费明细!$B89,服务费底表!$T:$T,AW$3)</f>
        <v>0</v>
      </c>
      <c r="AX89" s="166">
        <f>SUMIFS(服务费底表!$AC:$AC,服务费底表!$K:$K,服务费明细!$B89,服务费底表!$T:$T,AX$3)</f>
        <v>0</v>
      </c>
      <c r="AY89" s="166">
        <f>SUMIFS(服务费底表!$AC:$AC,服务费底表!$K:$K,服务费明细!$B89,服务费底表!$T:$T,AY$3)</f>
        <v>0</v>
      </c>
      <c r="AZ89" s="166">
        <f>SUMIFS(服务费底表!$AC:$AC,服务费底表!$K:$K,服务费明细!$B89,服务费底表!$T:$T,AZ$3)</f>
        <v>0</v>
      </c>
      <c r="BA89" s="166">
        <f>SUMIFS(服务费底表!$AC:$AC,服务费底表!$K:$K,服务费明细!$B89,服务费底表!$T:$T,BA$3)</f>
        <v>0</v>
      </c>
      <c r="BB89" s="166">
        <f>SUMIFS(服务费底表!$AC:$AC,服务费底表!$K:$K,服务费明细!$B89,服务费底表!$T:$T,BB$3)</f>
        <v>0</v>
      </c>
      <c r="BC89" s="166">
        <f>SUMIFS(服务费底表!$AC:$AC,服务费底表!$K:$K,服务费明细!$B89,服务费底表!$T:$T,BC$3)</f>
        <v>0</v>
      </c>
      <c r="BD89" s="166">
        <f>SUMIFS(服务费底表!$AC:$AC,服务费底表!$K:$K,服务费明细!$B89,服务费底表!$T:$T,BD$3)</f>
        <v>0</v>
      </c>
      <c r="BE89" s="166">
        <f>SUMIFS(服务费底表!$AC:$AC,服务费底表!$K:$K,服务费明细!$B89,服务费底表!$T:$T,BE$3)</f>
        <v>0</v>
      </c>
      <c r="BF89" s="166">
        <f>SUMIFS(服务费底表!$AC:$AC,服务费底表!$K:$K,服务费明细!$B89,服务费底表!$T:$T,BF$3)</f>
        <v>0</v>
      </c>
      <c r="BG89" s="166">
        <f>SUMIFS(服务费底表!$AC:$AC,服务费底表!$K:$K,服务费明细!$B89,服务费底表!$T:$T,BG$3)</f>
        <v>0</v>
      </c>
      <c r="BI89" s="388">
        <f>SUMIFS(服务费底表!$AC:$AC,服务费底表!$K:$K,服务费明细!$B89,服务费底表!$H:$H,服务费明细!BI$3)</f>
        <v>0</v>
      </c>
      <c r="BJ89" s="388">
        <f>SUMIFS(服务费底表!$AC:$AC,服务费底表!$K:$K,服务费明细!$B89,服务费底表!$H:$H,服务费明细!BJ$3)</f>
        <v>0</v>
      </c>
      <c r="BK89" s="388">
        <f>SUMIFS(服务费底表!$AC:$AC,服务费底表!$K:$K,服务费明细!$B89,服务费底表!$H:$H,服务费明细!BK$3)</f>
        <v>0</v>
      </c>
      <c r="BL89" s="388">
        <f>SUMIFS(服务费底表!$AC:$AC,服务费底表!$K:$K,服务费明细!$B89,服务费底表!$H:$H,服务费明细!BL$3)</f>
        <v>0</v>
      </c>
      <c r="BM89" s="388">
        <f>SUMIFS(服务费底表!$AC:$AC,服务费底表!$K:$K,服务费明细!$B89,服务费底表!$H:$H,服务费明细!BM$3)</f>
        <v>0</v>
      </c>
      <c r="BN89" s="388">
        <f>SUMIFS(服务费底表!$AC:$AC,服务费底表!$K:$K,服务费明细!$B89,服务费底表!$H:$H,服务费明细!BN$3)</f>
        <v>0</v>
      </c>
      <c r="BO89" s="388">
        <f>SUMIFS(服务费底表!$AC:$AC,服务费底表!$K:$K,服务费明细!$B89,服务费底表!$H:$H,服务费明细!BO$3)</f>
        <v>0</v>
      </c>
      <c r="BQ89" s="389">
        <f>SUMIFS(服务费底表!$AD:$AD,服务费底表!$K:$K,服务费明细!$B89,服务费底表!$H:$H,服务费明细!BQ$3)</f>
        <v>0</v>
      </c>
      <c r="BR89" s="389">
        <f>SUMIFS(服务费底表!$AD:$AD,服务费底表!$K:$K,服务费明细!$B89,服务费底表!$H:$H,服务费明细!BR$3)</f>
        <v>0</v>
      </c>
      <c r="BS89" s="389">
        <f>SUMIFS(服务费底表!$AD:$AD,服务费底表!$K:$K,服务费明细!$B89,服务费底表!$H:$H,服务费明细!BS$3)</f>
        <v>0</v>
      </c>
      <c r="BT89" s="389">
        <f>SUMIFS(服务费底表!$AD:$AD,服务费底表!$K:$K,服务费明细!$B89,服务费底表!$H:$H,服务费明细!BT$3)</f>
        <v>0</v>
      </c>
      <c r="BU89" s="389">
        <f>SUMIFS(服务费底表!$AD:$AD,服务费底表!$K:$K,服务费明细!$B89,服务费底表!$H:$H,服务费明细!BU$3)</f>
        <v>0</v>
      </c>
      <c r="BV89" s="389">
        <f>SUMIFS(服务费底表!$AD:$AD,服务费底表!$K:$K,服务费明细!$B89,服务费底表!$H:$H,服务费明细!BV$3)</f>
        <v>0</v>
      </c>
      <c r="BW89" s="389">
        <f>SUMIFS(服务费底表!$AD:$AD,服务费底表!$K:$K,服务费明细!$B89,服务费底表!$H:$H,服务费明细!BW$3)</f>
        <v>0</v>
      </c>
    </row>
    <row r="90" spans="2:75">
      <c r="B90" s="202" t="s">
        <v>243</v>
      </c>
      <c r="C90" s="89" t="str">
        <f>INDEX(二三级标准!$C:$C,MATCH(服务费明细!$B90,二三级标准!$B:$B,0))</f>
        <v>召开项目电话会</v>
      </c>
      <c r="D90" s="166">
        <f t="shared" si="186"/>
        <v>1</v>
      </c>
      <c r="E90" s="204">
        <f>IF($D90=1,ROUND(SUM(首家伦理月+遗传办月+首家合同月+筛选月+入组月+治疗月+随访月+长随访月/3+锁库月)*2,0),0)</f>
        <v>33</v>
      </c>
      <c r="F90" s="89" t="str">
        <f>INDEX(二三级标准!$G:$G,MATCH(服务费明细!$B90,二三级标准!$B:$B,0))</f>
        <v>次</v>
      </c>
      <c r="G90" s="166">
        <f t="shared" si="160"/>
        <v>33</v>
      </c>
      <c r="H90" s="166">
        <f t="shared" si="161"/>
        <v>33</v>
      </c>
      <c r="I90" s="166">
        <f t="shared" si="162"/>
        <v>66</v>
      </c>
      <c r="J90" s="166">
        <f t="shared" si="163"/>
        <v>8.25</v>
      </c>
      <c r="K90" s="166">
        <f t="shared" si="164"/>
        <v>0</v>
      </c>
      <c r="L90" s="166">
        <f t="shared" si="165"/>
        <v>0</v>
      </c>
      <c r="M90" s="166">
        <f t="shared" si="166"/>
        <v>8.25</v>
      </c>
      <c r="N90" s="166">
        <f t="shared" si="167"/>
        <v>0</v>
      </c>
      <c r="O90" s="166">
        <f t="shared" si="168"/>
        <v>8.25</v>
      </c>
      <c r="P90" s="166">
        <f t="shared" si="169"/>
        <v>0</v>
      </c>
      <c r="Q90" s="166">
        <f t="shared" si="170"/>
        <v>0</v>
      </c>
      <c r="R90" s="166">
        <f t="shared" si="171"/>
        <v>0</v>
      </c>
      <c r="S90" s="166">
        <f t="shared" si="172"/>
        <v>8.25</v>
      </c>
      <c r="T90" s="166">
        <f t="shared" si="173"/>
        <v>0</v>
      </c>
      <c r="U90" s="166">
        <f t="shared" si="174"/>
        <v>0</v>
      </c>
      <c r="V90" s="166">
        <f t="shared" si="175"/>
        <v>8.25</v>
      </c>
      <c r="W90" s="166">
        <f t="shared" si="176"/>
        <v>0</v>
      </c>
      <c r="X90" s="166">
        <f t="shared" si="177"/>
        <v>0</v>
      </c>
      <c r="Y90" s="166">
        <f t="shared" si="178"/>
        <v>8.25</v>
      </c>
      <c r="Z90" s="166">
        <f t="shared" si="179"/>
        <v>0</v>
      </c>
      <c r="AA90" s="166">
        <f t="shared" si="180"/>
        <v>0</v>
      </c>
      <c r="AB90" s="166">
        <f t="shared" si="181"/>
        <v>0</v>
      </c>
      <c r="AC90" s="166" cm="1">
        <f t="array" ref="AC90">SUMPRODUCT(G90:AB90,$G$4:$AB$4)</f>
        <v>89512.5</v>
      </c>
      <c r="AD90" s="89" t="b">
        <f t="shared" si="182"/>
        <v>1</v>
      </c>
      <c r="AE90" s="386">
        <f>IFERROR(SUMIF(服务费底表!$K:$K,服务费明细!$B90,服务费底表!$AD:$AD)/E90,0)</f>
        <v>2712.5</v>
      </c>
      <c r="AF90" s="386">
        <f t="shared" si="183"/>
        <v>89512.5</v>
      </c>
      <c r="AG90" s="386">
        <f>IFERROR(SUMIF(服务费底表!$K:$K,服务费明细!$B90,服务费底表!$AG:$AG)/E90,0)</f>
        <v>2712.5</v>
      </c>
      <c r="AH90" s="386">
        <f t="shared" si="184"/>
        <v>89512.5</v>
      </c>
      <c r="AI90" s="575" t="s">
        <v>1025</v>
      </c>
      <c r="AJ90" s="563">
        <f t="shared" si="187"/>
        <v>5.5</v>
      </c>
      <c r="AK90" s="564">
        <f>SUMIF(服务费底表!$K:$K,服务费明细!$B90,服务费底表!$AC:$AC)</f>
        <v>181.5</v>
      </c>
      <c r="AL90" s="166">
        <f>SUMIFS(服务费底表!$AC:$AC,服务费底表!$K:$K,服务费明细!$B90,服务费底表!$T:$T,AL$3)</f>
        <v>33</v>
      </c>
      <c r="AM90" s="166">
        <f>SUMIFS(服务费底表!$AC:$AC,服务费底表!$K:$K,服务费明细!$B90,服务费底表!$T:$T,AM$3)</f>
        <v>33</v>
      </c>
      <c r="AN90" s="166">
        <f>SUMIFS(服务费底表!$AC:$AC,服务费底表!$K:$K,服务费明细!$B90,服务费底表!$T:$T,AN$3)</f>
        <v>66</v>
      </c>
      <c r="AO90" s="166">
        <f>SUMIFS(服务费底表!$AC:$AC,服务费底表!$K:$K,服务费明细!$B90,服务费底表!$T:$T,AO$3)</f>
        <v>8.25</v>
      </c>
      <c r="AP90" s="166">
        <f>SUMIFS(服务费底表!$AC:$AC,服务费底表!$K:$K,服务费明细!$B90,服务费底表!$T:$T,AP$3)</f>
        <v>0</v>
      </c>
      <c r="AQ90" s="166">
        <f>SUMIFS(服务费底表!$AC:$AC,服务费底表!$K:$K,服务费明细!$B90,服务费底表!$T:$T,AQ$3)</f>
        <v>0</v>
      </c>
      <c r="AR90" s="166">
        <f>SUMIFS(服务费底表!$AC:$AC,服务费底表!$K:$K,服务费明细!$B90,服务费底表!$T:$T,AR$3)</f>
        <v>8.25</v>
      </c>
      <c r="AS90" s="166">
        <f>SUMIFS(服务费底表!$AC:$AC,服务费底表!$K:$K,服务费明细!$B90,服务费底表!$T:$T,AS$3)</f>
        <v>0</v>
      </c>
      <c r="AT90" s="166">
        <f>SUMIFS(服务费底表!$AC:$AC,服务费底表!$K:$K,服务费明细!$B90,服务费底表!$T:$T,AT$3)</f>
        <v>8.25</v>
      </c>
      <c r="AU90" s="166">
        <f>SUMIFS(服务费底表!$AC:$AC,服务费底表!$K:$K,服务费明细!$B90,服务费底表!$T:$T,AU$3)</f>
        <v>0</v>
      </c>
      <c r="AV90" s="166">
        <f>SUMIFS(服务费底表!$AC:$AC,服务费底表!$K:$K,服务费明细!$B90,服务费底表!$T:$T,AV$3)</f>
        <v>0</v>
      </c>
      <c r="AW90" s="166">
        <f>SUMIFS(服务费底表!$AC:$AC,服务费底表!$K:$K,服务费明细!$B90,服务费底表!$T:$T,AW$3)</f>
        <v>0</v>
      </c>
      <c r="AX90" s="166">
        <f>SUMIFS(服务费底表!$AC:$AC,服务费底表!$K:$K,服务费明细!$B90,服务费底表!$T:$T,AX$3)</f>
        <v>8.25</v>
      </c>
      <c r="AY90" s="166">
        <f>SUMIFS(服务费底表!$AC:$AC,服务费底表!$K:$K,服务费明细!$B90,服务费底表!$T:$T,AY$3)</f>
        <v>0</v>
      </c>
      <c r="AZ90" s="166">
        <f>SUMIFS(服务费底表!$AC:$AC,服务费底表!$K:$K,服务费明细!$B90,服务费底表!$T:$T,AZ$3)</f>
        <v>0</v>
      </c>
      <c r="BA90" s="166">
        <f>SUMIFS(服务费底表!$AC:$AC,服务费底表!$K:$K,服务费明细!$B90,服务费底表!$T:$T,BA$3)</f>
        <v>8.25</v>
      </c>
      <c r="BB90" s="166">
        <f>SUMIFS(服务费底表!$AC:$AC,服务费底表!$K:$K,服务费明细!$B90,服务费底表!$T:$T,BB$3)</f>
        <v>0</v>
      </c>
      <c r="BC90" s="166">
        <f>SUMIFS(服务费底表!$AC:$AC,服务费底表!$K:$K,服务费明细!$B90,服务费底表!$T:$T,BC$3)</f>
        <v>0</v>
      </c>
      <c r="BD90" s="166">
        <f>SUMIFS(服务费底表!$AC:$AC,服务费底表!$K:$K,服务费明细!$B90,服务费底表!$T:$T,BD$3)</f>
        <v>8.25</v>
      </c>
      <c r="BE90" s="166">
        <f>SUMIFS(服务费底表!$AC:$AC,服务费底表!$K:$K,服务费明细!$B90,服务费底表!$T:$T,BE$3)</f>
        <v>0</v>
      </c>
      <c r="BF90" s="166">
        <f>SUMIFS(服务费底表!$AC:$AC,服务费底表!$K:$K,服务费明细!$B90,服务费底表!$T:$T,BF$3)</f>
        <v>0</v>
      </c>
      <c r="BG90" s="166">
        <f>SUMIFS(服务费底表!$AC:$AC,服务费底表!$K:$K,服务费明细!$B90,服务费底表!$T:$T,BG$3)</f>
        <v>0</v>
      </c>
      <c r="BH90" s="579"/>
      <c r="BI90" s="574">
        <f>SUMIFS(服务费底表!$AC:$AC,服务费底表!$K:$K,服务费明细!$B90,服务费底表!$H:$H,服务费明细!BI$3)</f>
        <v>8.25</v>
      </c>
      <c r="BJ90" s="388">
        <f>SUMIFS(服务费底表!$AC:$AC,服务费底表!$K:$K,服务费明细!$B90,服务费底表!$H:$H,服务费明细!BJ$3)</f>
        <v>140.25</v>
      </c>
      <c r="BK90" s="574">
        <f>SUMIFS(服务费底表!$AC:$AC,服务费底表!$K:$K,服务费明细!$B90,服务费底表!$H:$H,服务费明细!BK$3)</f>
        <v>8.25</v>
      </c>
      <c r="BL90" s="574">
        <f>SUMIFS(服务费底表!$AC:$AC,服务费底表!$K:$K,服务费明细!$B90,服务费底表!$H:$H,服务费明细!BL$3)</f>
        <v>8.25</v>
      </c>
      <c r="BM90" s="574">
        <f>SUMIFS(服务费底表!$AC:$AC,服务费底表!$K:$K,服务费明细!$B90,服务费底表!$H:$H,服务费明细!BM$3)</f>
        <v>8.25</v>
      </c>
      <c r="BN90" s="388">
        <f>SUMIFS(服务费底表!$AC:$AC,服务费底表!$K:$K,服务费明细!$B90,服务费底表!$H:$H,服务费明细!BN$3)</f>
        <v>8.25</v>
      </c>
      <c r="BO90" s="388">
        <f>SUMIFS(服务费底表!$AC:$AC,服务费底表!$K:$K,服务费明细!$B90,服务费底表!$H:$H,服务费明细!BO$3)</f>
        <v>0</v>
      </c>
      <c r="BQ90" s="389">
        <f>SUMIFS(服务费底表!$AD:$AD,服务费底表!$K:$K,服务费明细!$B90,服务费底表!$H:$H,服务费明细!BQ$3)</f>
        <v>5362.5</v>
      </c>
      <c r="BR90" s="389">
        <f>SUMIFS(服务费底表!$AD:$AD,服务费底表!$K:$K,服务费明细!$B90,服务费底表!$H:$H,服务费明细!BR$3)</f>
        <v>67980</v>
      </c>
      <c r="BS90" s="389">
        <f>SUMIFS(服务费底表!$AD:$AD,服务费底表!$K:$K,服务费明细!$B90,服务费底表!$H:$H,服务费明细!BS$3)</f>
        <v>2970</v>
      </c>
      <c r="BT90" s="389">
        <f>SUMIFS(服务费底表!$AD:$AD,服务费底表!$K:$K,服务费明细!$B90,服务费底表!$H:$H,服务费明细!BT$3)</f>
        <v>3300</v>
      </c>
      <c r="BU90" s="389">
        <f>SUMIFS(服务费底表!$AD:$AD,服务费底表!$K:$K,服务费明细!$B90,服务费底表!$H:$H,服务费明细!BU$3)</f>
        <v>4125</v>
      </c>
      <c r="BV90" s="389">
        <f>SUMIFS(服务费底表!$AD:$AD,服务费底表!$K:$K,服务费明细!$B90,服务费底表!$H:$H,服务费明细!BV$3)</f>
        <v>5775</v>
      </c>
      <c r="BW90" s="389">
        <f>SUMIFS(服务费底表!$AD:$AD,服务费底表!$K:$K,服务费明细!$B90,服务费底表!$H:$H,服务费明细!BW$3)</f>
        <v>0</v>
      </c>
    </row>
    <row r="91" spans="2:75">
      <c r="B91" s="202" t="s">
        <v>1026</v>
      </c>
      <c r="C91" s="89" t="str">
        <f>INDEX(二三级标准!$C:$C,MATCH(服务费明细!$B91,二三级标准!$B:$B,0))</f>
        <v>与项目组内部的日常沟通</v>
      </c>
      <c r="D91" s="166">
        <f t="shared" si="186"/>
        <v>1</v>
      </c>
      <c r="E91" s="166">
        <f>IF($D91=1,ROUNDUP(服务月,0),0)</f>
        <v>23</v>
      </c>
      <c r="F91" s="89" t="str">
        <f>INDEX(二三级标准!$G:$G,MATCH(服务费明细!$B91,二三级标准!$B:$B,0))</f>
        <v>月</v>
      </c>
      <c r="G91" s="166">
        <f t="shared" si="160"/>
        <v>0</v>
      </c>
      <c r="H91" s="166">
        <f t="shared" si="161"/>
        <v>0</v>
      </c>
      <c r="I91" s="166">
        <f t="shared" si="162"/>
        <v>207</v>
      </c>
      <c r="J91" s="166">
        <f t="shared" si="163"/>
        <v>0</v>
      </c>
      <c r="K91" s="166">
        <f t="shared" si="164"/>
        <v>0</v>
      </c>
      <c r="L91" s="166">
        <f t="shared" si="165"/>
        <v>0</v>
      </c>
      <c r="M91" s="166">
        <f t="shared" si="166"/>
        <v>0</v>
      </c>
      <c r="N91" s="166">
        <f t="shared" si="167"/>
        <v>0</v>
      </c>
      <c r="O91" s="166">
        <f t="shared" si="168"/>
        <v>0</v>
      </c>
      <c r="P91" s="166">
        <f t="shared" si="169"/>
        <v>0</v>
      </c>
      <c r="Q91" s="166">
        <f t="shared" si="170"/>
        <v>0</v>
      </c>
      <c r="R91" s="166">
        <f t="shared" si="171"/>
        <v>0</v>
      </c>
      <c r="S91" s="166">
        <f t="shared" si="172"/>
        <v>0</v>
      </c>
      <c r="T91" s="166">
        <f t="shared" si="173"/>
        <v>0</v>
      </c>
      <c r="U91" s="166">
        <f t="shared" si="174"/>
        <v>0</v>
      </c>
      <c r="V91" s="166">
        <f t="shared" si="175"/>
        <v>0</v>
      </c>
      <c r="W91" s="166">
        <f t="shared" si="176"/>
        <v>0</v>
      </c>
      <c r="X91" s="166">
        <f t="shared" si="177"/>
        <v>0</v>
      </c>
      <c r="Y91" s="166">
        <f t="shared" si="178"/>
        <v>0</v>
      </c>
      <c r="Z91" s="166">
        <f t="shared" si="179"/>
        <v>0</v>
      </c>
      <c r="AA91" s="166">
        <f t="shared" si="180"/>
        <v>0</v>
      </c>
      <c r="AB91" s="166">
        <f t="shared" si="181"/>
        <v>0</v>
      </c>
      <c r="AC91" s="166" cm="1">
        <f t="array" ref="AC91">SUMPRODUCT(G91:AB91,$G$4:$AB$4)</f>
        <v>134550</v>
      </c>
      <c r="AD91" s="89" t="b">
        <f t="shared" si="182"/>
        <v>1</v>
      </c>
      <c r="AE91" s="386">
        <f>IFERROR(SUMIF(服务费底表!$K:$K,服务费明细!$B91,服务费底表!$AD:$AD)/E91,0)</f>
        <v>5850</v>
      </c>
      <c r="AF91" s="386">
        <f t="shared" si="183"/>
        <v>134550</v>
      </c>
      <c r="AG91" s="386">
        <f>IFERROR(SUMIF(服务费底表!$K:$K,服务费明细!$B91,服务费底表!$AG:$AG)/E91,0)</f>
        <v>5850</v>
      </c>
      <c r="AH91" s="386">
        <f t="shared" si="184"/>
        <v>134550</v>
      </c>
      <c r="AI91" s="578"/>
      <c r="AJ91" s="563">
        <f t="shared" si="187"/>
        <v>9</v>
      </c>
      <c r="AK91" s="564">
        <f>SUMIF(服务费底表!$K:$K,服务费明细!$B91,服务费底表!$AC:$AC)</f>
        <v>207</v>
      </c>
      <c r="AL91" s="166">
        <f>SUMIFS(服务费底表!$AC:$AC,服务费底表!$K:$K,服务费明细!$B91,服务费底表!$T:$T,AL$3)</f>
        <v>0</v>
      </c>
      <c r="AM91" s="166">
        <f>SUMIFS(服务费底表!$AC:$AC,服务费底表!$K:$K,服务费明细!$B91,服务费底表!$T:$T,AM$3)</f>
        <v>0</v>
      </c>
      <c r="AN91" s="166">
        <f>SUMIFS(服务费底表!$AC:$AC,服务费底表!$K:$K,服务费明细!$B91,服务费底表!$T:$T,AN$3)</f>
        <v>207</v>
      </c>
      <c r="AO91" s="166">
        <f>SUMIFS(服务费底表!$AC:$AC,服务费底表!$K:$K,服务费明细!$B91,服务费底表!$T:$T,AO$3)</f>
        <v>0</v>
      </c>
      <c r="AP91" s="166">
        <f>SUMIFS(服务费底表!$AC:$AC,服务费底表!$K:$K,服务费明细!$B91,服务费底表!$T:$T,AP$3)</f>
        <v>0</v>
      </c>
      <c r="AQ91" s="166">
        <f>SUMIFS(服务费底表!$AC:$AC,服务费底表!$K:$K,服务费明细!$B91,服务费底表!$T:$T,AQ$3)</f>
        <v>0</v>
      </c>
      <c r="AR91" s="166">
        <f>SUMIFS(服务费底表!$AC:$AC,服务费底表!$K:$K,服务费明细!$B91,服务费底表!$T:$T,AR$3)</f>
        <v>0</v>
      </c>
      <c r="AS91" s="166">
        <f>SUMIFS(服务费底表!$AC:$AC,服务费底表!$K:$K,服务费明细!$B91,服务费底表!$T:$T,AS$3)</f>
        <v>0</v>
      </c>
      <c r="AT91" s="166">
        <f>SUMIFS(服务费底表!$AC:$AC,服务费底表!$K:$K,服务费明细!$B91,服务费底表!$T:$T,AT$3)</f>
        <v>0</v>
      </c>
      <c r="AU91" s="166">
        <f>SUMIFS(服务费底表!$AC:$AC,服务费底表!$K:$K,服务费明细!$B91,服务费底表!$T:$T,AU$3)</f>
        <v>0</v>
      </c>
      <c r="AV91" s="166">
        <f>SUMIFS(服务费底表!$AC:$AC,服务费底表!$K:$K,服务费明细!$B91,服务费底表!$T:$T,AV$3)</f>
        <v>0</v>
      </c>
      <c r="AW91" s="166">
        <f>SUMIFS(服务费底表!$AC:$AC,服务费底表!$K:$K,服务费明细!$B91,服务费底表!$T:$T,AW$3)</f>
        <v>0</v>
      </c>
      <c r="AX91" s="166">
        <f>SUMIFS(服务费底表!$AC:$AC,服务费底表!$K:$K,服务费明细!$B91,服务费底表!$T:$T,AX$3)</f>
        <v>0</v>
      </c>
      <c r="AY91" s="166">
        <f>SUMIFS(服务费底表!$AC:$AC,服务费底表!$K:$K,服务费明细!$B91,服务费底表!$T:$T,AY$3)</f>
        <v>0</v>
      </c>
      <c r="AZ91" s="166">
        <f>SUMIFS(服务费底表!$AC:$AC,服务费底表!$K:$K,服务费明细!$B91,服务费底表!$T:$T,AZ$3)</f>
        <v>0</v>
      </c>
      <c r="BA91" s="166">
        <f>SUMIFS(服务费底表!$AC:$AC,服务费底表!$K:$K,服务费明细!$B91,服务费底表!$T:$T,BA$3)</f>
        <v>0</v>
      </c>
      <c r="BB91" s="166">
        <f>SUMIFS(服务费底表!$AC:$AC,服务费底表!$K:$K,服务费明细!$B91,服务费底表!$T:$T,BB$3)</f>
        <v>0</v>
      </c>
      <c r="BC91" s="166">
        <f>SUMIFS(服务费底表!$AC:$AC,服务费底表!$K:$K,服务费明细!$B91,服务费底表!$T:$T,BC$3)</f>
        <v>0</v>
      </c>
      <c r="BD91" s="166">
        <f>SUMIFS(服务费底表!$AC:$AC,服务费底表!$K:$K,服务费明细!$B91,服务费底表!$T:$T,BD$3)</f>
        <v>0</v>
      </c>
      <c r="BE91" s="166">
        <f>SUMIFS(服务费底表!$AC:$AC,服务费底表!$K:$K,服务费明细!$B91,服务费底表!$T:$T,BE$3)</f>
        <v>0</v>
      </c>
      <c r="BF91" s="166">
        <f>SUMIFS(服务费底表!$AC:$AC,服务费底表!$K:$K,服务费明细!$B91,服务费底表!$T:$T,BF$3)</f>
        <v>0</v>
      </c>
      <c r="BG91" s="166">
        <f>SUMIFS(服务费底表!$AC:$AC,服务费底表!$K:$K,服务费明细!$B91,服务费底表!$T:$T,BG$3)</f>
        <v>0</v>
      </c>
      <c r="BH91" s="579"/>
      <c r="BI91" s="574">
        <f>SUMIFS(服务费底表!$AC:$AC,服务费底表!$K:$K,服务费明细!$B91,服务费底表!$H:$H,服务费明细!BI$3)</f>
        <v>0</v>
      </c>
      <c r="BJ91" s="388">
        <f>SUMIFS(服务费底表!$AC:$AC,服务费底表!$K:$K,服务费明细!$B91,服务费底表!$H:$H,服务费明细!BJ$3)</f>
        <v>207</v>
      </c>
      <c r="BK91" s="574">
        <f>SUMIFS(服务费底表!$AC:$AC,服务费底表!$K:$K,服务费明细!$B91,服务费底表!$H:$H,服务费明细!BK$3)</f>
        <v>0</v>
      </c>
      <c r="BL91" s="574">
        <f>SUMIFS(服务费底表!$AC:$AC,服务费底表!$K:$K,服务费明细!$B91,服务费底表!$H:$H,服务费明细!BL$3)</f>
        <v>0</v>
      </c>
      <c r="BM91" s="574">
        <f>SUMIFS(服务费底表!$AC:$AC,服务费底表!$K:$K,服务费明细!$B91,服务费底表!$H:$H,服务费明细!BM$3)</f>
        <v>0</v>
      </c>
      <c r="BN91" s="388">
        <f>SUMIFS(服务费底表!$AC:$AC,服务费底表!$K:$K,服务费明细!$B91,服务费底表!$H:$H,服务费明细!BN$3)</f>
        <v>0</v>
      </c>
      <c r="BO91" s="388">
        <f>SUMIFS(服务费底表!$AC:$AC,服务费底表!$K:$K,服务费明细!$B91,服务费底表!$H:$H,服务费明细!BO$3)</f>
        <v>0</v>
      </c>
      <c r="BQ91" s="389">
        <f>SUMIFS(服务费底表!$AD:$AD,服务费底表!$K:$K,服务费明细!$B91,服务费底表!$H:$H,服务费明细!BQ$3)</f>
        <v>0</v>
      </c>
      <c r="BR91" s="389">
        <f>SUMIFS(服务费底表!$AD:$AD,服务费底表!$K:$K,服务费明细!$B91,服务费底表!$H:$H,服务费明细!BR$3)</f>
        <v>134550</v>
      </c>
      <c r="BS91" s="389">
        <f>SUMIFS(服务费底表!$AD:$AD,服务费底表!$K:$K,服务费明细!$B91,服务费底表!$H:$H,服务费明细!BS$3)</f>
        <v>0</v>
      </c>
      <c r="BT91" s="389">
        <f>SUMIFS(服务费底表!$AD:$AD,服务费底表!$K:$K,服务费明细!$B91,服务费底表!$H:$H,服务费明细!BT$3)</f>
        <v>0</v>
      </c>
      <c r="BU91" s="389">
        <f>SUMIFS(服务费底表!$AD:$AD,服务费底表!$K:$K,服务费明细!$B91,服务费底表!$H:$H,服务费明细!BU$3)</f>
        <v>0</v>
      </c>
      <c r="BV91" s="389">
        <f>SUMIFS(服务费底表!$AD:$AD,服务费底表!$K:$K,服务费明细!$B91,服务费底表!$H:$H,服务费明细!BV$3)</f>
        <v>0</v>
      </c>
      <c r="BW91" s="389">
        <f>SUMIFS(服务费底表!$AD:$AD,服务费底表!$K:$K,服务费明细!$B91,服务费底表!$H:$H,服务费明细!BW$3)</f>
        <v>0</v>
      </c>
    </row>
    <row r="92" spans="2:75">
      <c r="B92" s="202" t="s">
        <v>1027</v>
      </c>
      <c r="C92" s="89" t="str">
        <f>INDEX(二三级标准!$C:$C,MATCH(服务费明细!$B92,二三级标准!$B:$B,0))</f>
        <v>与申办方的日常沟通</v>
      </c>
      <c r="D92" s="166">
        <f t="shared" si="186"/>
        <v>1</v>
      </c>
      <c r="E92" s="166">
        <f>IF($D92=1,ROUNDUP(服务月,0),0)</f>
        <v>23</v>
      </c>
      <c r="F92" s="89" t="str">
        <f>INDEX(二三级标准!$G:$G,MATCH(服务费明细!$B92,二三级标准!$B:$B,0))</f>
        <v>月</v>
      </c>
      <c r="G92" s="166">
        <f t="shared" si="160"/>
        <v>0</v>
      </c>
      <c r="H92" s="166">
        <f t="shared" si="161"/>
        <v>0</v>
      </c>
      <c r="I92" s="166">
        <f t="shared" si="162"/>
        <v>207</v>
      </c>
      <c r="J92" s="166">
        <f t="shared" si="163"/>
        <v>0</v>
      </c>
      <c r="K92" s="166">
        <f t="shared" si="164"/>
        <v>0</v>
      </c>
      <c r="L92" s="166">
        <f t="shared" si="165"/>
        <v>0</v>
      </c>
      <c r="M92" s="166">
        <f t="shared" si="166"/>
        <v>0</v>
      </c>
      <c r="N92" s="166">
        <f t="shared" si="167"/>
        <v>0</v>
      </c>
      <c r="O92" s="166">
        <f t="shared" si="168"/>
        <v>0</v>
      </c>
      <c r="P92" s="166">
        <f t="shared" si="169"/>
        <v>0</v>
      </c>
      <c r="Q92" s="166">
        <f t="shared" si="170"/>
        <v>0</v>
      </c>
      <c r="R92" s="166">
        <f t="shared" si="171"/>
        <v>0</v>
      </c>
      <c r="S92" s="166">
        <f t="shared" si="172"/>
        <v>0</v>
      </c>
      <c r="T92" s="166">
        <f t="shared" si="173"/>
        <v>0</v>
      </c>
      <c r="U92" s="166">
        <f t="shared" si="174"/>
        <v>0</v>
      </c>
      <c r="V92" s="166">
        <f t="shared" si="175"/>
        <v>0</v>
      </c>
      <c r="W92" s="166">
        <f t="shared" si="176"/>
        <v>0</v>
      </c>
      <c r="X92" s="166">
        <f t="shared" si="177"/>
        <v>0</v>
      </c>
      <c r="Y92" s="166">
        <f t="shared" si="178"/>
        <v>0</v>
      </c>
      <c r="Z92" s="166">
        <f t="shared" si="179"/>
        <v>0</v>
      </c>
      <c r="AA92" s="166">
        <f t="shared" si="180"/>
        <v>0</v>
      </c>
      <c r="AB92" s="166">
        <f t="shared" si="181"/>
        <v>0</v>
      </c>
      <c r="AC92" s="166" cm="1">
        <f t="array" ref="AC92">SUMPRODUCT(G92:AB92,$G$4:$AB$4)</f>
        <v>134550</v>
      </c>
      <c r="AD92" s="89" t="b">
        <f t="shared" si="182"/>
        <v>1</v>
      </c>
      <c r="AE92" s="386">
        <f>IFERROR(SUMIF(服务费底表!$K:$K,服务费明细!$B92,服务费底表!$AD:$AD)/E92,0)</f>
        <v>5850</v>
      </c>
      <c r="AF92" s="386">
        <f t="shared" si="183"/>
        <v>134550</v>
      </c>
      <c r="AG92" s="386">
        <f>IFERROR(SUMIF(服务费底表!$K:$K,服务费明细!$B92,服务费底表!$AG:$AG)/E92,0)</f>
        <v>5850</v>
      </c>
      <c r="AH92" s="386">
        <f t="shared" si="184"/>
        <v>134550</v>
      </c>
      <c r="AI92" s="578"/>
      <c r="AJ92" s="563">
        <f t="shared" si="187"/>
        <v>9</v>
      </c>
      <c r="AK92" s="564">
        <f>SUMIF(服务费底表!$K:$K,服务费明细!$B92,服务费底表!$AC:$AC)</f>
        <v>207</v>
      </c>
      <c r="AL92" s="166">
        <f>SUMIFS(服务费底表!$AC:$AC,服务费底表!$K:$K,服务费明细!$B92,服务费底表!$T:$T,AL$3)</f>
        <v>0</v>
      </c>
      <c r="AM92" s="166">
        <f>SUMIFS(服务费底表!$AC:$AC,服务费底表!$K:$K,服务费明细!$B92,服务费底表!$T:$T,AM$3)</f>
        <v>0</v>
      </c>
      <c r="AN92" s="166">
        <f>SUMIFS(服务费底表!$AC:$AC,服务费底表!$K:$K,服务费明细!$B92,服务费底表!$T:$T,AN$3)</f>
        <v>207</v>
      </c>
      <c r="AO92" s="166">
        <f>SUMIFS(服务费底表!$AC:$AC,服务费底表!$K:$K,服务费明细!$B92,服务费底表!$T:$T,AO$3)</f>
        <v>0</v>
      </c>
      <c r="AP92" s="166">
        <f>SUMIFS(服务费底表!$AC:$AC,服务费底表!$K:$K,服务费明细!$B92,服务费底表!$T:$T,AP$3)</f>
        <v>0</v>
      </c>
      <c r="AQ92" s="166">
        <f>SUMIFS(服务费底表!$AC:$AC,服务费底表!$K:$K,服务费明细!$B92,服务费底表!$T:$T,AQ$3)</f>
        <v>0</v>
      </c>
      <c r="AR92" s="166">
        <f>SUMIFS(服务费底表!$AC:$AC,服务费底表!$K:$K,服务费明细!$B92,服务费底表!$T:$T,AR$3)</f>
        <v>0</v>
      </c>
      <c r="AS92" s="166">
        <f>SUMIFS(服务费底表!$AC:$AC,服务费底表!$K:$K,服务费明细!$B92,服务费底表!$T:$T,AS$3)</f>
        <v>0</v>
      </c>
      <c r="AT92" s="166">
        <f>SUMIFS(服务费底表!$AC:$AC,服务费底表!$K:$K,服务费明细!$B92,服务费底表!$T:$T,AT$3)</f>
        <v>0</v>
      </c>
      <c r="AU92" s="166">
        <f>SUMIFS(服务费底表!$AC:$AC,服务费底表!$K:$K,服务费明细!$B92,服务费底表!$T:$T,AU$3)</f>
        <v>0</v>
      </c>
      <c r="AV92" s="166">
        <f>SUMIFS(服务费底表!$AC:$AC,服务费底表!$K:$K,服务费明细!$B92,服务费底表!$T:$T,AV$3)</f>
        <v>0</v>
      </c>
      <c r="AW92" s="166">
        <f>SUMIFS(服务费底表!$AC:$AC,服务费底表!$K:$K,服务费明细!$B92,服务费底表!$T:$T,AW$3)</f>
        <v>0</v>
      </c>
      <c r="AX92" s="166">
        <f>SUMIFS(服务费底表!$AC:$AC,服务费底表!$K:$K,服务费明细!$B92,服务费底表!$T:$T,AX$3)</f>
        <v>0</v>
      </c>
      <c r="AY92" s="166">
        <f>SUMIFS(服务费底表!$AC:$AC,服务费底表!$K:$K,服务费明细!$B92,服务费底表!$T:$T,AY$3)</f>
        <v>0</v>
      </c>
      <c r="AZ92" s="166">
        <f>SUMIFS(服务费底表!$AC:$AC,服务费底表!$K:$K,服务费明细!$B92,服务费底表!$T:$T,AZ$3)</f>
        <v>0</v>
      </c>
      <c r="BA92" s="166">
        <f>SUMIFS(服务费底表!$AC:$AC,服务费底表!$K:$K,服务费明细!$B92,服务费底表!$T:$T,BA$3)</f>
        <v>0</v>
      </c>
      <c r="BB92" s="166">
        <f>SUMIFS(服务费底表!$AC:$AC,服务费底表!$K:$K,服务费明细!$B92,服务费底表!$T:$T,BB$3)</f>
        <v>0</v>
      </c>
      <c r="BC92" s="166">
        <f>SUMIFS(服务费底表!$AC:$AC,服务费底表!$K:$K,服务费明细!$B92,服务费底表!$T:$T,BC$3)</f>
        <v>0</v>
      </c>
      <c r="BD92" s="166">
        <f>SUMIFS(服务费底表!$AC:$AC,服务费底表!$K:$K,服务费明细!$B92,服务费底表!$T:$T,BD$3)</f>
        <v>0</v>
      </c>
      <c r="BE92" s="166">
        <f>SUMIFS(服务费底表!$AC:$AC,服务费底表!$K:$K,服务费明细!$B92,服务费底表!$T:$T,BE$3)</f>
        <v>0</v>
      </c>
      <c r="BF92" s="166">
        <f>SUMIFS(服务费底表!$AC:$AC,服务费底表!$K:$K,服务费明细!$B92,服务费底表!$T:$T,BF$3)</f>
        <v>0</v>
      </c>
      <c r="BG92" s="166">
        <f>SUMIFS(服务费底表!$AC:$AC,服务费底表!$K:$K,服务费明细!$B92,服务费底表!$T:$T,BG$3)</f>
        <v>0</v>
      </c>
      <c r="BH92" s="579"/>
      <c r="BI92" s="574">
        <f>SUMIFS(服务费底表!$AC:$AC,服务费底表!$K:$K,服务费明细!$B92,服务费底表!$H:$H,服务费明细!BI$3)</f>
        <v>0</v>
      </c>
      <c r="BJ92" s="388">
        <f>SUMIFS(服务费底表!$AC:$AC,服务费底表!$K:$K,服务费明细!$B92,服务费底表!$H:$H,服务费明细!BJ$3)</f>
        <v>207</v>
      </c>
      <c r="BK92" s="574">
        <f>SUMIFS(服务费底表!$AC:$AC,服务费底表!$K:$K,服务费明细!$B92,服务费底表!$H:$H,服务费明细!BK$3)</f>
        <v>0</v>
      </c>
      <c r="BL92" s="574">
        <f>SUMIFS(服务费底表!$AC:$AC,服务费底表!$K:$K,服务费明细!$B92,服务费底表!$H:$H,服务费明细!BL$3)</f>
        <v>0</v>
      </c>
      <c r="BM92" s="574">
        <f>SUMIFS(服务费底表!$AC:$AC,服务费底表!$K:$K,服务费明细!$B92,服务费底表!$H:$H,服务费明细!BM$3)</f>
        <v>0</v>
      </c>
      <c r="BN92" s="388">
        <f>SUMIFS(服务费底表!$AC:$AC,服务费底表!$K:$K,服务费明细!$B92,服务费底表!$H:$H,服务费明细!BN$3)</f>
        <v>0</v>
      </c>
      <c r="BO92" s="388">
        <f>SUMIFS(服务费底表!$AC:$AC,服务费底表!$K:$K,服务费明细!$B92,服务费底表!$H:$H,服务费明细!BO$3)</f>
        <v>0</v>
      </c>
      <c r="BQ92" s="389">
        <f>SUMIFS(服务费底表!$AD:$AD,服务费底表!$K:$K,服务费明细!$B92,服务费底表!$H:$H,服务费明细!BQ$3)</f>
        <v>0</v>
      </c>
      <c r="BR92" s="389">
        <f>SUMIFS(服务费底表!$AD:$AD,服务费底表!$K:$K,服务费明细!$B92,服务费底表!$H:$H,服务费明细!BR$3)</f>
        <v>134550</v>
      </c>
      <c r="BS92" s="389">
        <f>SUMIFS(服务费底表!$AD:$AD,服务费底表!$K:$K,服务费明细!$B92,服务费底表!$H:$H,服务费明细!BS$3)</f>
        <v>0</v>
      </c>
      <c r="BT92" s="389">
        <f>SUMIFS(服务费底表!$AD:$AD,服务费底表!$K:$K,服务费明细!$B92,服务费底表!$H:$H,服务费明细!BT$3)</f>
        <v>0</v>
      </c>
      <c r="BU92" s="389">
        <f>SUMIFS(服务费底表!$AD:$AD,服务费底表!$K:$K,服务费明细!$B92,服务费底表!$H:$H,服务费明细!BU$3)</f>
        <v>0</v>
      </c>
      <c r="BV92" s="389">
        <f>SUMIFS(服务费底表!$AD:$AD,服务费底表!$K:$K,服务费明细!$B92,服务费底表!$H:$H,服务费明细!BV$3)</f>
        <v>0</v>
      </c>
      <c r="BW92" s="389">
        <f>SUMIFS(服务费底表!$AD:$AD,服务费底表!$K:$K,服务费明细!$B92,服务费底表!$H:$H,服务费明细!BW$3)</f>
        <v>0</v>
      </c>
    </row>
    <row r="93" spans="2:75">
      <c r="B93" s="202" t="s">
        <v>245</v>
      </c>
      <c r="C93" s="89" t="str">
        <f>INDEX(二三级标准!$C:$C,MATCH(服务费明细!$B93,二三级标准!$B:$B,0))</f>
        <v>召开监查员会</v>
      </c>
      <c r="D93" s="166">
        <v>0</v>
      </c>
      <c r="E93" s="166">
        <f>IF($D93=1,ROUND(SUM(首家伦理月+遗传办月+首家合同月+筛选月+入组月+治疗月+随访月+长随访月/3+锁库月)*2,0),0)</f>
        <v>0</v>
      </c>
      <c r="F93" s="89" t="str">
        <f>INDEX(二三级标准!$G:$G,MATCH(服务费明细!$B93,二三级标准!$B:$B,0))</f>
        <v>次</v>
      </c>
      <c r="G93" s="166">
        <f t="shared" si="160"/>
        <v>0</v>
      </c>
      <c r="H93" s="166">
        <f t="shared" si="161"/>
        <v>0</v>
      </c>
      <c r="I93" s="166">
        <f t="shared" si="162"/>
        <v>0</v>
      </c>
      <c r="J93" s="166">
        <f t="shared" si="163"/>
        <v>0</v>
      </c>
      <c r="K93" s="166">
        <f t="shared" si="164"/>
        <v>0</v>
      </c>
      <c r="L93" s="166">
        <f t="shared" si="165"/>
        <v>0</v>
      </c>
      <c r="M93" s="166">
        <f t="shared" si="166"/>
        <v>0</v>
      </c>
      <c r="N93" s="166">
        <f t="shared" si="167"/>
        <v>0</v>
      </c>
      <c r="O93" s="166">
        <f t="shared" si="168"/>
        <v>0</v>
      </c>
      <c r="P93" s="166">
        <f t="shared" si="169"/>
        <v>0</v>
      </c>
      <c r="Q93" s="166">
        <f t="shared" si="170"/>
        <v>0</v>
      </c>
      <c r="R93" s="166">
        <f t="shared" si="171"/>
        <v>0</v>
      </c>
      <c r="S93" s="166">
        <f t="shared" si="172"/>
        <v>0</v>
      </c>
      <c r="T93" s="166">
        <f t="shared" si="173"/>
        <v>0</v>
      </c>
      <c r="U93" s="166">
        <f t="shared" si="174"/>
        <v>0</v>
      </c>
      <c r="V93" s="166">
        <f t="shared" si="175"/>
        <v>0</v>
      </c>
      <c r="W93" s="166">
        <f t="shared" si="176"/>
        <v>0</v>
      </c>
      <c r="X93" s="166">
        <f t="shared" si="177"/>
        <v>0</v>
      </c>
      <c r="Y93" s="166">
        <f t="shared" si="178"/>
        <v>0</v>
      </c>
      <c r="Z93" s="166">
        <f t="shared" si="179"/>
        <v>0</v>
      </c>
      <c r="AA93" s="166">
        <f t="shared" si="180"/>
        <v>0</v>
      </c>
      <c r="AB93" s="166">
        <f t="shared" si="181"/>
        <v>0</v>
      </c>
      <c r="AC93" s="166" cm="1">
        <f t="array" ref="AC93">SUMPRODUCT(G93:AB93,$G$4:$AB$4)</f>
        <v>0</v>
      </c>
      <c r="AD93" s="89" t="b">
        <f t="shared" si="182"/>
        <v>1</v>
      </c>
      <c r="AE93" s="386">
        <f>IFERROR(SUMIF(服务费底表!$K:$K,服务费明细!$B93,服务费底表!$AD:$AD)/E93,0)</f>
        <v>0</v>
      </c>
      <c r="AF93" s="386">
        <f t="shared" si="183"/>
        <v>0</v>
      </c>
      <c r="AG93" s="386">
        <f>IFERROR(SUMIF(服务费底表!$K:$K,服务费明细!$B93,服务费底表!$AG:$AG)/E93,0)</f>
        <v>0</v>
      </c>
      <c r="AH93" s="386">
        <f t="shared" si="184"/>
        <v>0</v>
      </c>
      <c r="AI93" s="409"/>
      <c r="AJ93" s="563">
        <f t="shared" si="187"/>
        <v>0</v>
      </c>
      <c r="AK93" s="564">
        <f>SUMIF(服务费底表!$K:$K,服务费明细!$B93,服务费底表!$AC:$AC)</f>
        <v>0</v>
      </c>
      <c r="AL93" s="166">
        <f>SUMIFS(服务费底表!$AC:$AC,服务费底表!$K:$K,服务费明细!$B93,服务费底表!$T:$T,AL$3)</f>
        <v>0</v>
      </c>
      <c r="AM93" s="166">
        <f>SUMIFS(服务费底表!$AC:$AC,服务费底表!$K:$K,服务费明细!$B93,服务费底表!$T:$T,AM$3)</f>
        <v>0</v>
      </c>
      <c r="AN93" s="166">
        <f>SUMIFS(服务费底表!$AC:$AC,服务费底表!$K:$K,服务费明细!$B93,服务费底表!$T:$T,AN$3)</f>
        <v>0</v>
      </c>
      <c r="AO93" s="166">
        <f>SUMIFS(服务费底表!$AC:$AC,服务费底表!$K:$K,服务费明细!$B93,服务费底表!$T:$T,AO$3)</f>
        <v>0</v>
      </c>
      <c r="AP93" s="166">
        <f>SUMIFS(服务费底表!$AC:$AC,服务费底表!$K:$K,服务费明细!$B93,服务费底表!$T:$T,AP$3)</f>
        <v>0</v>
      </c>
      <c r="AQ93" s="166">
        <f>SUMIFS(服务费底表!$AC:$AC,服务费底表!$K:$K,服务费明细!$B93,服务费底表!$T:$T,AQ$3)</f>
        <v>0</v>
      </c>
      <c r="AR93" s="166">
        <f>SUMIFS(服务费底表!$AC:$AC,服务费底表!$K:$K,服务费明细!$B93,服务费底表!$T:$T,AR$3)</f>
        <v>0</v>
      </c>
      <c r="AS93" s="166">
        <f>SUMIFS(服务费底表!$AC:$AC,服务费底表!$K:$K,服务费明细!$B93,服务费底表!$T:$T,AS$3)</f>
        <v>0</v>
      </c>
      <c r="AT93" s="166">
        <f>SUMIFS(服务费底表!$AC:$AC,服务费底表!$K:$K,服务费明细!$B93,服务费底表!$T:$T,AT$3)</f>
        <v>0</v>
      </c>
      <c r="AU93" s="166">
        <f>SUMIFS(服务费底表!$AC:$AC,服务费底表!$K:$K,服务费明细!$B93,服务费底表!$T:$T,AU$3)</f>
        <v>0</v>
      </c>
      <c r="AV93" s="166">
        <f>SUMIFS(服务费底表!$AC:$AC,服务费底表!$K:$K,服务费明细!$B93,服务费底表!$T:$T,AV$3)</f>
        <v>0</v>
      </c>
      <c r="AW93" s="166">
        <f>SUMIFS(服务费底表!$AC:$AC,服务费底表!$K:$K,服务费明细!$B93,服务费底表!$T:$T,AW$3)</f>
        <v>0</v>
      </c>
      <c r="AX93" s="166">
        <f>SUMIFS(服务费底表!$AC:$AC,服务费底表!$K:$K,服务费明细!$B93,服务费底表!$T:$T,AX$3)</f>
        <v>0</v>
      </c>
      <c r="AY93" s="166">
        <f>SUMIFS(服务费底表!$AC:$AC,服务费底表!$K:$K,服务费明细!$B93,服务费底表!$T:$T,AY$3)</f>
        <v>0</v>
      </c>
      <c r="AZ93" s="166">
        <f>SUMIFS(服务费底表!$AC:$AC,服务费底表!$K:$K,服务费明细!$B93,服务费底表!$T:$T,AZ$3)</f>
        <v>0</v>
      </c>
      <c r="BA93" s="166">
        <f>SUMIFS(服务费底表!$AC:$AC,服务费底表!$K:$K,服务费明细!$B93,服务费底表!$T:$T,BA$3)</f>
        <v>0</v>
      </c>
      <c r="BB93" s="166">
        <f>SUMIFS(服务费底表!$AC:$AC,服务费底表!$K:$K,服务费明细!$B93,服务费底表!$T:$T,BB$3)</f>
        <v>0</v>
      </c>
      <c r="BC93" s="166">
        <f>SUMIFS(服务费底表!$AC:$AC,服务费底表!$K:$K,服务费明细!$B93,服务费底表!$T:$T,BC$3)</f>
        <v>0</v>
      </c>
      <c r="BD93" s="166">
        <f>SUMIFS(服务费底表!$AC:$AC,服务费底表!$K:$K,服务费明细!$B93,服务费底表!$T:$T,BD$3)</f>
        <v>0</v>
      </c>
      <c r="BE93" s="166">
        <f>SUMIFS(服务费底表!$AC:$AC,服务费底表!$K:$K,服务费明细!$B93,服务费底表!$T:$T,BE$3)</f>
        <v>0</v>
      </c>
      <c r="BF93" s="166">
        <f>SUMIFS(服务费底表!$AC:$AC,服务费底表!$K:$K,服务费明细!$B93,服务费底表!$T:$T,BF$3)</f>
        <v>0</v>
      </c>
      <c r="BG93" s="166">
        <f>SUMIFS(服务费底表!$AC:$AC,服务费底表!$K:$K,服务费明细!$B93,服务费底表!$T:$T,BG$3)</f>
        <v>0</v>
      </c>
      <c r="BI93" s="388">
        <f>SUMIFS(服务费底表!$AC:$AC,服务费底表!$K:$K,服务费明细!$B93,服务费底表!$H:$H,服务费明细!BI$3)</f>
        <v>0</v>
      </c>
      <c r="BJ93" s="388">
        <f>SUMIFS(服务费底表!$AC:$AC,服务费底表!$K:$K,服务费明细!$B93,服务费底表!$H:$H,服务费明细!BJ$3)</f>
        <v>0</v>
      </c>
      <c r="BK93" s="388">
        <f>SUMIFS(服务费底表!$AC:$AC,服务费底表!$K:$K,服务费明细!$B93,服务费底表!$H:$H,服务费明细!BK$3)</f>
        <v>0</v>
      </c>
      <c r="BL93" s="388">
        <f>SUMIFS(服务费底表!$AC:$AC,服务费底表!$K:$K,服务费明细!$B93,服务费底表!$H:$H,服务费明细!BL$3)</f>
        <v>0</v>
      </c>
      <c r="BM93" s="388">
        <f>SUMIFS(服务费底表!$AC:$AC,服务费底表!$K:$K,服务费明细!$B93,服务费底表!$H:$H,服务费明细!BM$3)</f>
        <v>0</v>
      </c>
      <c r="BN93" s="388">
        <f>SUMIFS(服务费底表!$AC:$AC,服务费底表!$K:$K,服务费明细!$B93,服务费底表!$H:$H,服务费明细!BN$3)</f>
        <v>0</v>
      </c>
      <c r="BO93" s="388">
        <f>SUMIFS(服务费底表!$AC:$AC,服务费底表!$K:$K,服务费明细!$B93,服务费底表!$H:$H,服务费明细!BO$3)</f>
        <v>0</v>
      </c>
      <c r="BQ93" s="389">
        <f>SUMIFS(服务费底表!$AD:$AD,服务费底表!$K:$K,服务费明细!$B93,服务费底表!$H:$H,服务费明细!BQ$3)</f>
        <v>0</v>
      </c>
      <c r="BR93" s="389">
        <f>SUMIFS(服务费底表!$AD:$AD,服务费底表!$K:$K,服务费明细!$B93,服务费底表!$H:$H,服务费明细!BR$3)</f>
        <v>0</v>
      </c>
      <c r="BS93" s="389">
        <f>SUMIFS(服务费底表!$AD:$AD,服务费底表!$K:$K,服务费明细!$B93,服务费底表!$H:$H,服务费明细!BS$3)</f>
        <v>0</v>
      </c>
      <c r="BT93" s="389">
        <f>SUMIFS(服务费底表!$AD:$AD,服务费底表!$K:$K,服务费明细!$B93,服务费底表!$H:$H,服务费明细!BT$3)</f>
        <v>0</v>
      </c>
      <c r="BU93" s="389">
        <f>SUMIFS(服务费底表!$AD:$AD,服务费底表!$K:$K,服务费明细!$B93,服务费底表!$H:$H,服务费明细!BU$3)</f>
        <v>0</v>
      </c>
      <c r="BV93" s="389">
        <f>SUMIFS(服务费底表!$AD:$AD,服务费底表!$K:$K,服务费明细!$B93,服务费底表!$H:$H,服务费明细!BV$3)</f>
        <v>0</v>
      </c>
      <c r="BW93" s="389">
        <f>SUMIFS(服务费底表!$AD:$AD,服务费底表!$K:$K,服务费明细!$B93,服务费底表!$H:$H,服务费明细!BW$3)</f>
        <v>0</v>
      </c>
    </row>
    <row r="94" spans="2:75">
      <c r="B94" s="202" t="s">
        <v>1028</v>
      </c>
      <c r="C94" s="89" t="str">
        <f>INDEX(二三级标准!$C:$C,MATCH(服务费明细!$B94,二三级标准!$B:$B,0))</f>
        <v>方案偏离审核</v>
      </c>
      <c r="D94" s="166">
        <f>IF($D$70=1,1,0)</f>
        <v>1</v>
      </c>
      <c r="E94" s="166">
        <f>IF($D94=1,中心激活月,0)</f>
        <v>56</v>
      </c>
      <c r="F94" s="89" t="str">
        <f>INDEX(二三级标准!$G:$G,MATCH(服务费明细!$B94,二三级标准!$B:$B,0))</f>
        <v>月*中心</v>
      </c>
      <c r="G94" s="166">
        <f t="shared" si="160"/>
        <v>28</v>
      </c>
      <c r="H94" s="166">
        <f t="shared" si="161"/>
        <v>0</v>
      </c>
      <c r="I94" s="166">
        <f t="shared" si="162"/>
        <v>8.4</v>
      </c>
      <c r="J94" s="166">
        <f t="shared" si="163"/>
        <v>0</v>
      </c>
      <c r="K94" s="166">
        <f t="shared" si="164"/>
        <v>0</v>
      </c>
      <c r="L94" s="166">
        <f t="shared" si="165"/>
        <v>0</v>
      </c>
      <c r="M94" s="166">
        <f t="shared" si="166"/>
        <v>0</v>
      </c>
      <c r="N94" s="166">
        <f t="shared" si="167"/>
        <v>0</v>
      </c>
      <c r="O94" s="166">
        <f t="shared" si="168"/>
        <v>0</v>
      </c>
      <c r="P94" s="166">
        <f t="shared" si="169"/>
        <v>0</v>
      </c>
      <c r="Q94" s="166">
        <f t="shared" si="170"/>
        <v>0</v>
      </c>
      <c r="R94" s="166">
        <f t="shared" si="171"/>
        <v>0</v>
      </c>
      <c r="S94" s="166">
        <f t="shared" si="172"/>
        <v>0</v>
      </c>
      <c r="T94" s="166">
        <f t="shared" si="173"/>
        <v>0</v>
      </c>
      <c r="U94" s="166">
        <f t="shared" si="174"/>
        <v>0</v>
      </c>
      <c r="V94" s="166">
        <f t="shared" si="175"/>
        <v>0</v>
      </c>
      <c r="W94" s="166">
        <f t="shared" si="176"/>
        <v>0</v>
      </c>
      <c r="X94" s="166">
        <f t="shared" si="177"/>
        <v>0</v>
      </c>
      <c r="Y94" s="166">
        <f t="shared" si="178"/>
        <v>0</v>
      </c>
      <c r="Z94" s="166">
        <f t="shared" si="179"/>
        <v>0</v>
      </c>
      <c r="AA94" s="166">
        <f t="shared" si="180"/>
        <v>0</v>
      </c>
      <c r="AB94" s="166">
        <f t="shared" si="181"/>
        <v>0</v>
      </c>
      <c r="AC94" s="166" cm="1">
        <f t="array" ref="AC94">SUMPRODUCT(G94:AB94,$G$4:$AB$4)</f>
        <v>14980</v>
      </c>
      <c r="AD94" s="89" t="b">
        <f t="shared" si="182"/>
        <v>1</v>
      </c>
      <c r="AE94" s="386">
        <f>IFERROR(SUMIF(服务费底表!$K:$K,服务费明细!$B94,服务费底表!$AD:$AD)/E94,0)</f>
        <v>267.5</v>
      </c>
      <c r="AF94" s="386">
        <f t="shared" si="183"/>
        <v>14980</v>
      </c>
      <c r="AG94" s="386">
        <f>IFERROR(SUMIF(服务费底表!$K:$K,服务费明细!$B94,服务费底表!$AG:$AG)/E94,0)</f>
        <v>267.5</v>
      </c>
      <c r="AH94" s="386">
        <f t="shared" si="184"/>
        <v>14980</v>
      </c>
      <c r="AI94" s="409" t="s">
        <v>1029</v>
      </c>
      <c r="AJ94" s="563">
        <f t="shared" si="187"/>
        <v>0.65</v>
      </c>
      <c r="AK94" s="564">
        <f>SUMIF(服务费底表!$K:$K,服务费明细!$B94,服务费底表!$AC:$AC)</f>
        <v>36.4</v>
      </c>
      <c r="AL94" s="166">
        <f>SUMIFS(服务费底表!$AC:$AC,服务费底表!$K:$K,服务费明细!$B94,服务费底表!$T:$T,AL$3)</f>
        <v>28</v>
      </c>
      <c r="AM94" s="166">
        <f>SUMIFS(服务费底表!$AC:$AC,服务费底表!$K:$K,服务费明细!$B94,服务费底表!$T:$T,AM$3)</f>
        <v>0</v>
      </c>
      <c r="AN94" s="166">
        <f>SUMIFS(服务费底表!$AC:$AC,服务费底表!$K:$K,服务费明细!$B94,服务费底表!$T:$T,AN$3)</f>
        <v>8.4</v>
      </c>
      <c r="AO94" s="166">
        <f>SUMIFS(服务费底表!$AC:$AC,服务费底表!$K:$K,服务费明细!$B94,服务费底表!$T:$T,AO$3)</f>
        <v>0</v>
      </c>
      <c r="AP94" s="166">
        <f>SUMIFS(服务费底表!$AC:$AC,服务费底表!$K:$K,服务费明细!$B94,服务费底表!$T:$T,AP$3)</f>
        <v>0</v>
      </c>
      <c r="AQ94" s="166">
        <f>SUMIFS(服务费底表!$AC:$AC,服务费底表!$K:$K,服务费明细!$B94,服务费底表!$T:$T,AQ$3)</f>
        <v>0</v>
      </c>
      <c r="AR94" s="166">
        <f>SUMIFS(服务费底表!$AC:$AC,服务费底表!$K:$K,服务费明细!$B94,服务费底表!$T:$T,AR$3)</f>
        <v>0</v>
      </c>
      <c r="AS94" s="166">
        <f>SUMIFS(服务费底表!$AC:$AC,服务费底表!$K:$K,服务费明细!$B94,服务费底表!$T:$T,AS$3)</f>
        <v>0</v>
      </c>
      <c r="AT94" s="166">
        <f>SUMIFS(服务费底表!$AC:$AC,服务费底表!$K:$K,服务费明细!$B94,服务费底表!$T:$T,AT$3)</f>
        <v>0</v>
      </c>
      <c r="AU94" s="166">
        <f>SUMIFS(服务费底表!$AC:$AC,服务费底表!$K:$K,服务费明细!$B94,服务费底表!$T:$T,AU$3)</f>
        <v>0</v>
      </c>
      <c r="AV94" s="166">
        <f>SUMIFS(服务费底表!$AC:$AC,服务费底表!$K:$K,服务费明细!$B94,服务费底表!$T:$T,AV$3)</f>
        <v>0</v>
      </c>
      <c r="AW94" s="166">
        <f>SUMIFS(服务费底表!$AC:$AC,服务费底表!$K:$K,服务费明细!$B94,服务费底表!$T:$T,AW$3)</f>
        <v>0</v>
      </c>
      <c r="AX94" s="166">
        <f>SUMIFS(服务费底表!$AC:$AC,服务费底表!$K:$K,服务费明细!$B94,服务费底表!$T:$T,AX$3)</f>
        <v>0</v>
      </c>
      <c r="AY94" s="166">
        <f>SUMIFS(服务费底表!$AC:$AC,服务费底表!$K:$K,服务费明细!$B94,服务费底表!$T:$T,AY$3)</f>
        <v>0</v>
      </c>
      <c r="AZ94" s="166">
        <f>SUMIFS(服务费底表!$AC:$AC,服务费底表!$K:$K,服务费明细!$B94,服务费底表!$T:$T,AZ$3)</f>
        <v>0</v>
      </c>
      <c r="BA94" s="166">
        <f>SUMIFS(服务费底表!$AC:$AC,服务费底表!$K:$K,服务费明细!$B94,服务费底表!$T:$T,BA$3)</f>
        <v>0</v>
      </c>
      <c r="BB94" s="166">
        <f>SUMIFS(服务费底表!$AC:$AC,服务费底表!$K:$K,服务费明细!$B94,服务费底表!$T:$T,BB$3)</f>
        <v>0</v>
      </c>
      <c r="BC94" s="166">
        <f>SUMIFS(服务费底表!$AC:$AC,服务费底表!$K:$K,服务费明细!$B94,服务费底表!$T:$T,BC$3)</f>
        <v>0</v>
      </c>
      <c r="BD94" s="166">
        <f>SUMIFS(服务费底表!$AC:$AC,服务费底表!$K:$K,服务费明细!$B94,服务费底表!$T:$T,BD$3)</f>
        <v>0</v>
      </c>
      <c r="BE94" s="166">
        <f>SUMIFS(服务费底表!$AC:$AC,服务费底表!$K:$K,服务费明细!$B94,服务费底表!$T:$T,BE$3)</f>
        <v>0</v>
      </c>
      <c r="BF94" s="166">
        <f>SUMIFS(服务费底表!$AC:$AC,服务费底表!$K:$K,服务费明细!$B94,服务费底表!$T:$T,BF$3)</f>
        <v>0</v>
      </c>
      <c r="BG94" s="166">
        <f>SUMIFS(服务费底表!$AC:$AC,服务费底表!$K:$K,服务费明细!$B94,服务费底表!$T:$T,BG$3)</f>
        <v>0</v>
      </c>
      <c r="BI94" s="388"/>
      <c r="BJ94" s="388"/>
      <c r="BK94" s="388"/>
      <c r="BL94" s="388"/>
      <c r="BM94" s="388"/>
      <c r="BN94" s="388"/>
      <c r="BO94" s="388"/>
      <c r="BQ94" s="389"/>
      <c r="BR94" s="389"/>
      <c r="BS94" s="389"/>
      <c r="BT94" s="389"/>
      <c r="BU94" s="389"/>
      <c r="BV94" s="389"/>
      <c r="BW94" s="389"/>
    </row>
    <row r="95" ht="26.4" spans="2:75">
      <c r="B95" s="202" t="s">
        <v>1030</v>
      </c>
      <c r="C95" s="89" t="str">
        <f>INDEX(二三级标准!$C:$C,MATCH(服务费明细!$B95,二三级标准!$B:$B,0))</f>
        <v>外部数据一致性比对</v>
      </c>
      <c r="D95" s="166">
        <f>IF($D$70=1,1,0)</f>
        <v>1</v>
      </c>
      <c r="E95" s="166">
        <f>IF($D95=1,IFERROR(ROUNDUP((入组月+治疗月+随访月+长随访月+锁库月-3)/外部数据一次性核查频次,0)*外部数据供应商数/2,0),0)</f>
        <v>4</v>
      </c>
      <c r="F95" s="89" t="str">
        <f>INDEX(二三级标准!$G:$G,MATCH(服务费明细!$B95,二三级标准!$B:$B,0))</f>
        <v>次</v>
      </c>
      <c r="G95" s="166">
        <f t="shared" si="160"/>
        <v>0</v>
      </c>
      <c r="H95" s="166">
        <f t="shared" si="161"/>
        <v>0</v>
      </c>
      <c r="I95" s="166">
        <f t="shared" si="162"/>
        <v>4</v>
      </c>
      <c r="J95" s="166">
        <f t="shared" si="163"/>
        <v>0</v>
      </c>
      <c r="K95" s="166">
        <f t="shared" si="164"/>
        <v>0</v>
      </c>
      <c r="L95" s="166">
        <f t="shared" si="165"/>
        <v>0</v>
      </c>
      <c r="M95" s="166">
        <f t="shared" si="166"/>
        <v>0</v>
      </c>
      <c r="N95" s="166">
        <f t="shared" si="167"/>
        <v>0</v>
      </c>
      <c r="O95" s="166">
        <f t="shared" si="168"/>
        <v>0</v>
      </c>
      <c r="P95" s="166">
        <f t="shared" si="169"/>
        <v>0</v>
      </c>
      <c r="Q95" s="166">
        <f t="shared" si="170"/>
        <v>0</v>
      </c>
      <c r="R95" s="166">
        <f t="shared" si="171"/>
        <v>0</v>
      </c>
      <c r="S95" s="166">
        <f t="shared" si="172"/>
        <v>0</v>
      </c>
      <c r="T95" s="166">
        <f t="shared" si="173"/>
        <v>0</v>
      </c>
      <c r="U95" s="166">
        <f t="shared" si="174"/>
        <v>0</v>
      </c>
      <c r="V95" s="166">
        <f t="shared" si="175"/>
        <v>0</v>
      </c>
      <c r="W95" s="166">
        <f t="shared" si="176"/>
        <v>0</v>
      </c>
      <c r="X95" s="166">
        <f t="shared" si="177"/>
        <v>0</v>
      </c>
      <c r="Y95" s="166">
        <f t="shared" si="178"/>
        <v>0</v>
      </c>
      <c r="Z95" s="166">
        <f t="shared" si="179"/>
        <v>0</v>
      </c>
      <c r="AA95" s="166">
        <f t="shared" si="180"/>
        <v>0</v>
      </c>
      <c r="AB95" s="166">
        <f t="shared" si="181"/>
        <v>0</v>
      </c>
      <c r="AC95" s="166" cm="1">
        <f t="array" ref="AC95">SUMPRODUCT(G95:AB95,$G$4:$AB$4)</f>
        <v>2600</v>
      </c>
      <c r="AD95" s="89" t="b">
        <f t="shared" si="182"/>
        <v>1</v>
      </c>
      <c r="AE95" s="386">
        <f>IFERROR(SUMIF(服务费底表!$K:$K,服务费明细!$B95,服务费底表!$AD:$AD)/E95,0)</f>
        <v>650</v>
      </c>
      <c r="AF95" s="386">
        <f t="shared" si="183"/>
        <v>2600</v>
      </c>
      <c r="AG95" s="386">
        <f>IFERROR(SUMIF(服务费底表!$K:$K,服务费明细!$B95,服务费底表!$AG:$AG)/E95,0)</f>
        <v>650</v>
      </c>
      <c r="AH95" s="386">
        <f t="shared" si="184"/>
        <v>2600</v>
      </c>
      <c r="AI95" s="409" t="s">
        <v>1031</v>
      </c>
      <c r="AJ95" s="563">
        <f t="shared" si="187"/>
        <v>1</v>
      </c>
      <c r="AK95" s="564">
        <f>SUMIF(服务费底表!$K:$K,服务费明细!$B95,服务费底表!$AC:$AC)</f>
        <v>4</v>
      </c>
      <c r="AL95" s="166">
        <f>SUMIFS(服务费底表!$AC:$AC,服务费底表!$K:$K,服务费明细!$B95,服务费底表!$T:$T,AL$3)</f>
        <v>0</v>
      </c>
      <c r="AM95" s="166">
        <f>SUMIFS(服务费底表!$AC:$AC,服务费底表!$K:$K,服务费明细!$B95,服务费底表!$T:$T,AM$3)</f>
        <v>0</v>
      </c>
      <c r="AN95" s="166">
        <f>SUMIFS(服务费底表!$AC:$AC,服务费底表!$K:$K,服务费明细!$B95,服务费底表!$T:$T,AN$3)</f>
        <v>4</v>
      </c>
      <c r="AO95" s="166">
        <f>SUMIFS(服务费底表!$AC:$AC,服务费底表!$K:$K,服务费明细!$B95,服务费底表!$T:$T,AO$3)</f>
        <v>0</v>
      </c>
      <c r="AP95" s="166">
        <f>SUMIFS(服务费底表!$AC:$AC,服务费底表!$K:$K,服务费明细!$B95,服务费底表!$T:$T,AP$3)</f>
        <v>0</v>
      </c>
      <c r="AQ95" s="166">
        <f>SUMIFS(服务费底表!$AC:$AC,服务费底表!$K:$K,服务费明细!$B95,服务费底表!$T:$T,AQ$3)</f>
        <v>0</v>
      </c>
      <c r="AR95" s="166">
        <f>SUMIFS(服务费底表!$AC:$AC,服务费底表!$K:$K,服务费明细!$B95,服务费底表!$T:$T,AR$3)</f>
        <v>0</v>
      </c>
      <c r="AS95" s="166">
        <f>SUMIFS(服务费底表!$AC:$AC,服务费底表!$K:$K,服务费明细!$B95,服务费底表!$T:$T,AS$3)</f>
        <v>0</v>
      </c>
      <c r="AT95" s="166">
        <f>SUMIFS(服务费底表!$AC:$AC,服务费底表!$K:$K,服务费明细!$B95,服务费底表!$T:$T,AT$3)</f>
        <v>0</v>
      </c>
      <c r="AU95" s="166">
        <f>SUMIFS(服务费底表!$AC:$AC,服务费底表!$K:$K,服务费明细!$B95,服务费底表!$T:$T,AU$3)</f>
        <v>0</v>
      </c>
      <c r="AV95" s="166">
        <f>SUMIFS(服务费底表!$AC:$AC,服务费底表!$K:$K,服务费明细!$B95,服务费底表!$T:$T,AV$3)</f>
        <v>0</v>
      </c>
      <c r="AW95" s="166">
        <f>SUMIFS(服务费底表!$AC:$AC,服务费底表!$K:$K,服务费明细!$B95,服务费底表!$T:$T,AW$3)</f>
        <v>0</v>
      </c>
      <c r="AX95" s="166">
        <f>SUMIFS(服务费底表!$AC:$AC,服务费底表!$K:$K,服务费明细!$B95,服务费底表!$T:$T,AX$3)</f>
        <v>0</v>
      </c>
      <c r="AY95" s="166">
        <f>SUMIFS(服务费底表!$AC:$AC,服务费底表!$K:$K,服务费明细!$B95,服务费底表!$T:$T,AY$3)</f>
        <v>0</v>
      </c>
      <c r="AZ95" s="166">
        <f>SUMIFS(服务费底表!$AC:$AC,服务费底表!$K:$K,服务费明细!$B95,服务费底表!$T:$T,AZ$3)</f>
        <v>0</v>
      </c>
      <c r="BA95" s="166">
        <f>SUMIFS(服务费底表!$AC:$AC,服务费底表!$K:$K,服务费明细!$B95,服务费底表!$T:$T,BA$3)</f>
        <v>0</v>
      </c>
      <c r="BB95" s="166">
        <f>SUMIFS(服务费底表!$AC:$AC,服务费底表!$K:$K,服务费明细!$B95,服务费底表!$T:$T,BB$3)</f>
        <v>0</v>
      </c>
      <c r="BC95" s="166">
        <f>SUMIFS(服务费底表!$AC:$AC,服务费底表!$K:$K,服务费明细!$B95,服务费底表!$T:$T,BC$3)</f>
        <v>0</v>
      </c>
      <c r="BD95" s="166">
        <f>SUMIFS(服务费底表!$AC:$AC,服务费底表!$K:$K,服务费明细!$B95,服务费底表!$T:$T,BD$3)</f>
        <v>0</v>
      </c>
      <c r="BE95" s="166">
        <f>SUMIFS(服务费底表!$AC:$AC,服务费底表!$K:$K,服务费明细!$B95,服务费底表!$T:$T,BE$3)</f>
        <v>0</v>
      </c>
      <c r="BF95" s="166">
        <f>SUMIFS(服务费底表!$AC:$AC,服务费底表!$K:$K,服务费明细!$B95,服务费底表!$T:$T,BF$3)</f>
        <v>0</v>
      </c>
      <c r="BG95" s="166">
        <f>SUMIFS(服务费底表!$AC:$AC,服务费底表!$K:$K,服务费明细!$B95,服务费底表!$T:$T,BG$3)</f>
        <v>0</v>
      </c>
      <c r="BI95" s="388"/>
      <c r="BJ95" s="388"/>
      <c r="BK95" s="388"/>
      <c r="BL95" s="388"/>
      <c r="BM95" s="388"/>
      <c r="BN95" s="388"/>
      <c r="BO95" s="388"/>
      <c r="BQ95" s="389"/>
      <c r="BR95" s="389"/>
      <c r="BS95" s="389"/>
      <c r="BT95" s="389"/>
      <c r="BU95" s="389"/>
      <c r="BV95" s="389"/>
      <c r="BW95" s="389"/>
    </row>
    <row r="96" ht="39.6" spans="2:75">
      <c r="B96" s="89" t="s">
        <v>247</v>
      </c>
      <c r="C96" s="89" t="str">
        <f>INDEX(二三级标准!$C:$C,MATCH(服务费明细!$B96,二三级标准!$B:$B,0))</f>
        <v>文件移交至客户</v>
      </c>
      <c r="D96" s="166">
        <f>IF($D$70=1,1,0)</f>
        <v>1</v>
      </c>
      <c r="E96" s="166">
        <f>IF($D96=1,1,0)</f>
        <v>1</v>
      </c>
      <c r="F96" s="89" t="str">
        <f>INDEX(二三级标准!$G:$G,MATCH(服务费明细!$B96,二三级标准!$B:$B,0))</f>
        <v>次</v>
      </c>
      <c r="G96" s="166">
        <f t="shared" si="160"/>
        <v>16</v>
      </c>
      <c r="H96" s="166">
        <f t="shared" si="161"/>
        <v>40</v>
      </c>
      <c r="I96" s="166">
        <f t="shared" si="162"/>
        <v>24</v>
      </c>
      <c r="J96" s="166">
        <f t="shared" si="163"/>
        <v>0</v>
      </c>
      <c r="K96" s="166">
        <f t="shared" si="164"/>
        <v>0</v>
      </c>
      <c r="L96" s="166">
        <f t="shared" si="165"/>
        <v>0</v>
      </c>
      <c r="M96" s="166">
        <f t="shared" si="166"/>
        <v>0</v>
      </c>
      <c r="N96" s="166">
        <f t="shared" si="167"/>
        <v>0</v>
      </c>
      <c r="O96" s="166">
        <f t="shared" si="168"/>
        <v>0</v>
      </c>
      <c r="P96" s="166">
        <f t="shared" si="169"/>
        <v>0</v>
      </c>
      <c r="Q96" s="166">
        <f t="shared" si="170"/>
        <v>0</v>
      </c>
      <c r="R96" s="166">
        <f t="shared" si="171"/>
        <v>0</v>
      </c>
      <c r="S96" s="166">
        <f t="shared" si="172"/>
        <v>0</v>
      </c>
      <c r="T96" s="166">
        <f t="shared" si="173"/>
        <v>0</v>
      </c>
      <c r="U96" s="166">
        <f t="shared" si="174"/>
        <v>0</v>
      </c>
      <c r="V96" s="166">
        <f t="shared" si="175"/>
        <v>0</v>
      </c>
      <c r="W96" s="166">
        <f t="shared" si="176"/>
        <v>0</v>
      </c>
      <c r="X96" s="166">
        <f t="shared" si="177"/>
        <v>0</v>
      </c>
      <c r="Y96" s="166">
        <f t="shared" si="178"/>
        <v>0</v>
      </c>
      <c r="Z96" s="166">
        <f t="shared" si="179"/>
        <v>0</v>
      </c>
      <c r="AA96" s="166">
        <f t="shared" si="180"/>
        <v>0</v>
      </c>
      <c r="AB96" s="166">
        <f t="shared" si="181"/>
        <v>0</v>
      </c>
      <c r="AC96" s="166" cm="1">
        <f t="array" ref="AC96">SUMPRODUCT(G96:AB96,$G$4:$AB$4)</f>
        <v>29840</v>
      </c>
      <c r="AD96" s="89" t="b">
        <f t="shared" si="182"/>
        <v>1</v>
      </c>
      <c r="AE96" s="386">
        <f>IFERROR(SUMIF(服务费底表!$K:$K,服务费明细!$B96,服务费底表!$AD:$AD)/E96,0)</f>
        <v>29840</v>
      </c>
      <c r="AF96" s="386">
        <f t="shared" si="183"/>
        <v>29840</v>
      </c>
      <c r="AG96" s="386">
        <f>IFERROR(SUMIF(服务费底表!$K:$K,服务费明细!$B96,服务费底表!$AG:$AG)/E96,0)</f>
        <v>29840</v>
      </c>
      <c r="AH96" s="386">
        <f t="shared" si="184"/>
        <v>29840</v>
      </c>
      <c r="AI96" s="409" t="s">
        <v>1032</v>
      </c>
      <c r="AJ96" s="563">
        <f t="shared" si="187"/>
        <v>80</v>
      </c>
      <c r="AK96" s="564">
        <f>SUMIF(服务费底表!$K:$K,服务费明细!$B96,服务费底表!$AC:$AC)</f>
        <v>80</v>
      </c>
      <c r="AL96" s="166">
        <f>SUMIFS(服务费底表!$AC:$AC,服务费底表!$K:$K,服务费明细!$B96,服务费底表!$T:$T,AL$3)</f>
        <v>16</v>
      </c>
      <c r="AM96" s="166">
        <f>SUMIFS(服务费底表!$AC:$AC,服务费底表!$K:$K,服务费明细!$B96,服务费底表!$T:$T,AM$3)</f>
        <v>40</v>
      </c>
      <c r="AN96" s="166">
        <f>SUMIFS(服务费底表!$AC:$AC,服务费底表!$K:$K,服务费明细!$B96,服务费底表!$T:$T,AN$3)</f>
        <v>24</v>
      </c>
      <c r="AO96" s="166">
        <f>SUMIFS(服务费底表!$AC:$AC,服务费底表!$K:$K,服务费明细!$B96,服务费底表!$T:$T,AO$3)</f>
        <v>0</v>
      </c>
      <c r="AP96" s="166">
        <f>SUMIFS(服务费底表!$AC:$AC,服务费底表!$K:$K,服务费明细!$B96,服务费底表!$T:$T,AP$3)</f>
        <v>0</v>
      </c>
      <c r="AQ96" s="166">
        <f>SUMIFS(服务费底表!$AC:$AC,服务费底表!$K:$K,服务费明细!$B96,服务费底表!$T:$T,AQ$3)</f>
        <v>0</v>
      </c>
      <c r="AR96" s="166">
        <f>SUMIFS(服务费底表!$AC:$AC,服务费底表!$K:$K,服务费明细!$B96,服务费底表!$T:$T,AR$3)</f>
        <v>0</v>
      </c>
      <c r="AS96" s="166">
        <f>SUMIFS(服务费底表!$AC:$AC,服务费底表!$K:$K,服务费明细!$B96,服务费底表!$T:$T,AS$3)</f>
        <v>0</v>
      </c>
      <c r="AT96" s="166">
        <f>SUMIFS(服务费底表!$AC:$AC,服务费底表!$K:$K,服务费明细!$B96,服务费底表!$T:$T,AT$3)</f>
        <v>0</v>
      </c>
      <c r="AU96" s="166">
        <f>SUMIFS(服务费底表!$AC:$AC,服务费底表!$K:$K,服务费明细!$B96,服务费底表!$T:$T,AU$3)</f>
        <v>0</v>
      </c>
      <c r="AV96" s="166">
        <f>SUMIFS(服务费底表!$AC:$AC,服务费底表!$K:$K,服务费明细!$B96,服务费底表!$T:$T,AV$3)</f>
        <v>0</v>
      </c>
      <c r="AW96" s="166">
        <f>SUMIFS(服务费底表!$AC:$AC,服务费底表!$K:$K,服务费明细!$B96,服务费底表!$T:$T,AW$3)</f>
        <v>0</v>
      </c>
      <c r="AX96" s="166">
        <f>SUMIFS(服务费底表!$AC:$AC,服务费底表!$K:$K,服务费明细!$B96,服务费底表!$T:$T,AX$3)</f>
        <v>0</v>
      </c>
      <c r="AY96" s="166">
        <f>SUMIFS(服务费底表!$AC:$AC,服务费底表!$K:$K,服务费明细!$B96,服务费底表!$T:$T,AY$3)</f>
        <v>0</v>
      </c>
      <c r="AZ96" s="166">
        <f>SUMIFS(服务费底表!$AC:$AC,服务费底表!$K:$K,服务费明细!$B96,服务费底表!$T:$T,AZ$3)</f>
        <v>0</v>
      </c>
      <c r="BA96" s="166">
        <f>SUMIFS(服务费底表!$AC:$AC,服务费底表!$K:$K,服务费明细!$B96,服务费底表!$T:$T,BA$3)</f>
        <v>0</v>
      </c>
      <c r="BB96" s="166">
        <f>SUMIFS(服务费底表!$AC:$AC,服务费底表!$K:$K,服务费明细!$B96,服务费底表!$T:$T,BB$3)</f>
        <v>0</v>
      </c>
      <c r="BC96" s="166">
        <f>SUMIFS(服务费底表!$AC:$AC,服务费底表!$K:$K,服务费明细!$B96,服务费底表!$T:$T,BC$3)</f>
        <v>0</v>
      </c>
      <c r="BD96" s="166">
        <f>SUMIFS(服务费底表!$AC:$AC,服务费底表!$K:$K,服务费明细!$B96,服务费底表!$T:$T,BD$3)</f>
        <v>0</v>
      </c>
      <c r="BE96" s="166">
        <f>SUMIFS(服务费底表!$AC:$AC,服务费底表!$K:$K,服务费明细!$B96,服务费底表!$T:$T,BE$3)</f>
        <v>0</v>
      </c>
      <c r="BF96" s="166">
        <f>SUMIFS(服务费底表!$AC:$AC,服务费底表!$K:$K,服务费明细!$B96,服务费底表!$T:$T,BF$3)</f>
        <v>0</v>
      </c>
      <c r="BG96" s="166">
        <f>SUMIFS(服务费底表!$AC:$AC,服务费底表!$K:$K,服务费明细!$B96,服务费底表!$T:$T,BG$3)</f>
        <v>0</v>
      </c>
      <c r="BI96" s="388">
        <f>SUMIFS(服务费底表!$AC:$AC,服务费底表!$K:$K,服务费明细!$B96,服务费底表!$H:$H,服务费明细!BI$3)</f>
        <v>0</v>
      </c>
      <c r="BJ96" s="388">
        <f>SUMIFS(服务费底表!$AC:$AC,服务费底表!$K:$K,服务费明细!$B96,服务费底表!$H:$H,服务费明细!BJ$3)</f>
        <v>80</v>
      </c>
      <c r="BK96" s="388">
        <f>SUMIFS(服务费底表!$AC:$AC,服务费底表!$K:$K,服务费明细!$B96,服务费底表!$H:$H,服务费明细!BK$3)</f>
        <v>0</v>
      </c>
      <c r="BL96" s="388">
        <f>SUMIFS(服务费底表!$AC:$AC,服务费底表!$K:$K,服务费明细!$B96,服务费底表!$H:$H,服务费明细!BL$3)</f>
        <v>0</v>
      </c>
      <c r="BM96" s="388">
        <f>SUMIFS(服务费底表!$AC:$AC,服务费底表!$K:$K,服务费明细!$B96,服务费底表!$H:$H,服务费明细!BM$3)</f>
        <v>0</v>
      </c>
      <c r="BN96" s="388">
        <f>SUMIFS(服务费底表!$AC:$AC,服务费底表!$K:$K,服务费明细!$B96,服务费底表!$H:$H,服务费明细!BN$3)</f>
        <v>0</v>
      </c>
      <c r="BO96" s="388">
        <f>SUMIFS(服务费底表!$AC:$AC,服务费底表!$K:$K,服务费明细!$B96,服务费底表!$H:$H,服务费明细!BO$3)</f>
        <v>0</v>
      </c>
      <c r="BQ96" s="389">
        <f>SUMIFS(服务费底表!$AD:$AD,服务费底表!$K:$K,服务费明细!$B96,服务费底表!$H:$H,服务费明细!BQ$3)</f>
        <v>0</v>
      </c>
      <c r="BR96" s="389">
        <f>SUMIFS(服务费底表!$AD:$AD,服务费底表!$K:$K,服务费明细!$B96,服务费底表!$H:$H,服务费明细!BR$3)</f>
        <v>29840</v>
      </c>
      <c r="BS96" s="389">
        <f>SUMIFS(服务费底表!$AD:$AD,服务费底表!$K:$K,服务费明细!$B96,服务费底表!$H:$H,服务费明细!BS$3)</f>
        <v>0</v>
      </c>
      <c r="BT96" s="389">
        <f>SUMIFS(服务费底表!$AD:$AD,服务费底表!$K:$K,服务费明细!$B96,服务费底表!$H:$H,服务费明细!BT$3)</f>
        <v>0</v>
      </c>
      <c r="BU96" s="389">
        <f>SUMIFS(服务费底表!$AD:$AD,服务费底表!$K:$K,服务费明细!$B96,服务费底表!$H:$H,服务费明细!BU$3)</f>
        <v>0</v>
      </c>
      <c r="BV96" s="389">
        <f>SUMIFS(服务费底表!$AD:$AD,服务费底表!$K:$K,服务费明细!$B96,服务费底表!$H:$H,服务费明细!BV$3)</f>
        <v>0</v>
      </c>
      <c r="BW96" s="389">
        <f>SUMIFS(服务费底表!$AD:$AD,服务费底表!$K:$K,服务费明细!$B96,服务费底表!$H:$H,服务费明细!BW$3)</f>
        <v>0</v>
      </c>
    </row>
    <row r="97" ht="26.4" spans="2:75">
      <c r="B97" s="88" t="s">
        <v>922</v>
      </c>
      <c r="C97" s="88" t="str">
        <f>INDEX(二三级标准!$Q:$Q,MATCH(服务费明细!$B97,二三级标准!$O:$O,0))</f>
        <v>医学监查</v>
      </c>
      <c r="D97" s="376">
        <f>IF(医学监查YN=1,1,0)</f>
        <v>1</v>
      </c>
      <c r="E97" s="377"/>
      <c r="F97" s="378"/>
      <c r="G97" s="429">
        <f>SUM(G98:G112)</f>
        <v>0</v>
      </c>
      <c r="H97" s="429">
        <f t="shared" ref="H97:AB97" si="188">SUM(H98:H112)</f>
        <v>0</v>
      </c>
      <c r="I97" s="429">
        <f t="shared" si="188"/>
        <v>2</v>
      </c>
      <c r="J97" s="429">
        <f t="shared" si="188"/>
        <v>0</v>
      </c>
      <c r="K97" s="429">
        <f t="shared" si="188"/>
        <v>0</v>
      </c>
      <c r="L97" s="429">
        <f t="shared" si="188"/>
        <v>57.7</v>
      </c>
      <c r="M97" s="429">
        <f t="shared" si="188"/>
        <v>349</v>
      </c>
      <c r="N97" s="429">
        <f t="shared" si="188"/>
        <v>0</v>
      </c>
      <c r="O97" s="429">
        <f t="shared" si="188"/>
        <v>0</v>
      </c>
      <c r="P97" s="429">
        <f t="shared" si="188"/>
        <v>0</v>
      </c>
      <c r="Q97" s="429">
        <f t="shared" si="188"/>
        <v>0</v>
      </c>
      <c r="R97" s="429">
        <f t="shared" si="188"/>
        <v>0</v>
      </c>
      <c r="S97" s="429">
        <f t="shared" si="188"/>
        <v>0</v>
      </c>
      <c r="T97" s="429">
        <f t="shared" si="188"/>
        <v>0</v>
      </c>
      <c r="U97" s="429">
        <f t="shared" si="188"/>
        <v>0</v>
      </c>
      <c r="V97" s="429">
        <f t="shared" si="188"/>
        <v>0</v>
      </c>
      <c r="W97" s="429">
        <f t="shared" si="188"/>
        <v>0</v>
      </c>
      <c r="X97" s="429">
        <f t="shared" si="188"/>
        <v>0</v>
      </c>
      <c r="Y97" s="429">
        <f t="shared" si="188"/>
        <v>0</v>
      </c>
      <c r="Z97" s="429">
        <f t="shared" si="188"/>
        <v>0</v>
      </c>
      <c r="AA97" s="429">
        <f t="shared" si="188"/>
        <v>0</v>
      </c>
      <c r="AB97" s="429">
        <f t="shared" si="188"/>
        <v>0</v>
      </c>
      <c r="AC97" s="378"/>
      <c r="AD97" s="378">
        <f>SUM(G97:AB97)</f>
        <v>408.7</v>
      </c>
      <c r="AE97" s="379"/>
      <c r="AF97" s="380">
        <f>SUM(AF98:AF112)</f>
        <v>285273</v>
      </c>
      <c r="AG97" s="380"/>
      <c r="AH97" s="380">
        <f>SUM(AH98:AH112)</f>
        <v>285273</v>
      </c>
      <c r="AI97" s="580" t="s">
        <v>1033</v>
      </c>
      <c r="AJ97" s="566"/>
      <c r="AK97" s="559">
        <f>SUM(AK98:AK112)</f>
        <v>408.7</v>
      </c>
      <c r="AL97" s="571"/>
      <c r="AM97" s="572"/>
      <c r="AN97" s="572"/>
      <c r="AO97" s="572"/>
      <c r="AP97" s="572"/>
      <c r="AQ97" s="572"/>
      <c r="AR97" s="572"/>
      <c r="AS97" s="572"/>
      <c r="AT97" s="572"/>
      <c r="AU97" s="572"/>
      <c r="AV97" s="572"/>
      <c r="AW97" s="572"/>
      <c r="AX97" s="572"/>
      <c r="AY97" s="572"/>
      <c r="AZ97" s="572"/>
      <c r="BA97" s="572"/>
      <c r="BB97" s="572"/>
      <c r="BC97" s="572"/>
      <c r="BD97" s="572"/>
      <c r="BE97" s="572"/>
      <c r="BF97" s="572"/>
      <c r="BG97" s="572"/>
      <c r="BH97" s="572"/>
      <c r="BI97" s="568">
        <f t="shared" ref="BI97:BO97" si="189">SUM(BI98:BI112)</f>
        <v>406.7</v>
      </c>
      <c r="BJ97" s="568">
        <f t="shared" si="189"/>
        <v>2</v>
      </c>
      <c r="BK97" s="568">
        <f t="shared" si="189"/>
        <v>0</v>
      </c>
      <c r="BL97" s="568">
        <f t="shared" si="189"/>
        <v>0</v>
      </c>
      <c r="BM97" s="568">
        <f t="shared" si="189"/>
        <v>0</v>
      </c>
      <c r="BN97" s="568">
        <f t="shared" si="189"/>
        <v>0</v>
      </c>
      <c r="BO97" s="568">
        <f t="shared" si="189"/>
        <v>0</v>
      </c>
      <c r="BQ97" s="569">
        <f t="shared" ref="BQ97:BW97" si="190">SUM(BQ98:BQ112)</f>
        <v>239399</v>
      </c>
      <c r="BR97" s="569">
        <f t="shared" si="190"/>
        <v>1300</v>
      </c>
      <c r="BS97" s="569">
        <f t="shared" si="190"/>
        <v>0</v>
      </c>
      <c r="BT97" s="569">
        <f t="shared" si="190"/>
        <v>0</v>
      </c>
      <c r="BU97" s="569">
        <f t="shared" si="190"/>
        <v>0</v>
      </c>
      <c r="BV97" s="569">
        <f t="shared" si="190"/>
        <v>0</v>
      </c>
      <c r="BW97" s="569">
        <f t="shared" si="190"/>
        <v>0</v>
      </c>
    </row>
    <row r="98" ht="26.4" spans="2:75">
      <c r="B98" s="89" t="s">
        <v>249</v>
      </c>
      <c r="C98" s="89" t="str">
        <f>INDEX(二三级标准!$C:$C,MATCH(服务费明细!$B98,二三级标准!$B:$B,0))</f>
        <v>医学监查计划MMP撰写</v>
      </c>
      <c r="D98" s="166">
        <f t="shared" ref="D98:D101" si="191">IF($D$97=1,1,0)</f>
        <v>1</v>
      </c>
      <c r="E98" s="166">
        <f>IF($D98=1,1,0)</f>
        <v>1</v>
      </c>
      <c r="F98" s="89" t="str">
        <f>INDEX(二三级标准!$G:$G,MATCH(服务费明细!$B98,二三级标准!$B:$B,0))</f>
        <v>份</v>
      </c>
      <c r="G98" s="166">
        <f t="shared" ref="G98:AB98" si="192">AL98</f>
        <v>0</v>
      </c>
      <c r="H98" s="166">
        <f t="shared" si="192"/>
        <v>0</v>
      </c>
      <c r="I98" s="166">
        <f t="shared" si="192"/>
        <v>2</v>
      </c>
      <c r="J98" s="166">
        <f t="shared" si="192"/>
        <v>0</v>
      </c>
      <c r="K98" s="166">
        <f t="shared" si="192"/>
        <v>0</v>
      </c>
      <c r="L98" s="166">
        <f t="shared" si="192"/>
        <v>1</v>
      </c>
      <c r="M98" s="166">
        <f t="shared" si="192"/>
        <v>8</v>
      </c>
      <c r="N98" s="166">
        <f t="shared" si="192"/>
        <v>0</v>
      </c>
      <c r="O98" s="166">
        <f t="shared" si="192"/>
        <v>0</v>
      </c>
      <c r="P98" s="166">
        <f t="shared" si="192"/>
        <v>0</v>
      </c>
      <c r="Q98" s="166">
        <f t="shared" si="192"/>
        <v>0</v>
      </c>
      <c r="R98" s="166">
        <f t="shared" si="192"/>
        <v>0</v>
      </c>
      <c r="S98" s="166">
        <f t="shared" si="192"/>
        <v>0</v>
      </c>
      <c r="T98" s="166">
        <f t="shared" si="192"/>
        <v>0</v>
      </c>
      <c r="U98" s="166">
        <f t="shared" si="192"/>
        <v>0</v>
      </c>
      <c r="V98" s="166">
        <f t="shared" si="192"/>
        <v>0</v>
      </c>
      <c r="W98" s="166">
        <f t="shared" si="192"/>
        <v>0</v>
      </c>
      <c r="X98" s="166">
        <f t="shared" si="192"/>
        <v>0</v>
      </c>
      <c r="Y98" s="166">
        <f t="shared" si="192"/>
        <v>0</v>
      </c>
      <c r="Z98" s="166">
        <f t="shared" si="192"/>
        <v>0</v>
      </c>
      <c r="AA98" s="166">
        <f t="shared" si="192"/>
        <v>0</v>
      </c>
      <c r="AB98" s="166">
        <f t="shared" si="192"/>
        <v>0</v>
      </c>
      <c r="AC98" s="166" cm="1">
        <f t="array" ref="AC98">SUMPRODUCT(G98:AB98,$G$4:$AB$4)</f>
        <v>7490</v>
      </c>
      <c r="AD98" s="89" t="b">
        <f t="shared" ref="AD98:AD101" si="193">IF(AF98=AC98,TRUE,FALSE)</f>
        <v>1</v>
      </c>
      <c r="AE98" s="386">
        <f>IFERROR(SUMIF(服务费底表!$K:$K,服务费明细!$B98,服务费底表!$AD:$AD)/E98,0)</f>
        <v>7490</v>
      </c>
      <c r="AF98" s="386">
        <f t="shared" ref="AF98" si="194">E98*AE98</f>
        <v>7490</v>
      </c>
      <c r="AG98" s="386">
        <f>IFERROR(SUMIF(服务费底表!$K:$K,服务费明细!$B98,服务费底表!$AG:$AG)/E98,0)</f>
        <v>7490</v>
      </c>
      <c r="AH98" s="386">
        <f t="shared" ref="AH98:AH101" si="195">AG98*E98</f>
        <v>7490</v>
      </c>
      <c r="AI98" s="409" t="s">
        <v>1034</v>
      </c>
      <c r="AJ98" s="563">
        <f>IF(D98=1,AK98/E98,0)</f>
        <v>11</v>
      </c>
      <c r="AK98" s="564">
        <f>SUMIF(服务费底表!$K:$K,服务费明细!$B98,服务费底表!$AC:$AC)</f>
        <v>11</v>
      </c>
      <c r="AL98" s="166">
        <f>SUMIFS(服务费底表!$AC:$AC,服务费底表!$K:$K,服务费明细!$B98,服务费底表!$T:$T,AL$3)</f>
        <v>0</v>
      </c>
      <c r="AM98" s="166">
        <f>SUMIFS(服务费底表!$AC:$AC,服务费底表!$K:$K,服务费明细!$B98,服务费底表!$T:$T,AM$3)</f>
        <v>0</v>
      </c>
      <c r="AN98" s="166">
        <f>SUMIFS(服务费底表!$AC:$AC,服务费底表!$K:$K,服务费明细!$B98,服务费底表!$T:$T,AN$3)</f>
        <v>2</v>
      </c>
      <c r="AO98" s="166">
        <f>SUMIFS(服务费底表!$AC:$AC,服务费底表!$K:$K,服务费明细!$B98,服务费底表!$T:$T,AO$3)</f>
        <v>0</v>
      </c>
      <c r="AP98" s="166">
        <f>SUMIFS(服务费底表!$AC:$AC,服务费底表!$K:$K,服务费明细!$B98,服务费底表!$T:$T,AP$3)</f>
        <v>0</v>
      </c>
      <c r="AQ98" s="166">
        <f>SUMIFS(服务费底表!$AC:$AC,服务费底表!$K:$K,服务费明细!$B98,服务费底表!$T:$T,AQ$3)</f>
        <v>1</v>
      </c>
      <c r="AR98" s="166">
        <f>SUMIFS(服务费底表!$AC:$AC,服务费底表!$K:$K,服务费明细!$B98,服务费底表!$T:$T,AR$3)</f>
        <v>8</v>
      </c>
      <c r="AS98" s="166">
        <f>SUMIFS(服务费底表!$AC:$AC,服务费底表!$K:$K,服务费明细!$B98,服务费底表!$T:$T,AS$3)</f>
        <v>0</v>
      </c>
      <c r="AT98" s="166">
        <f>SUMIFS(服务费底表!$AC:$AC,服务费底表!$K:$K,服务费明细!$B98,服务费底表!$T:$T,AT$3)</f>
        <v>0</v>
      </c>
      <c r="AU98" s="166">
        <f>SUMIFS(服务费底表!$AC:$AC,服务费底表!$K:$K,服务费明细!$B98,服务费底表!$T:$T,AU$3)</f>
        <v>0</v>
      </c>
      <c r="AV98" s="166">
        <f>SUMIFS(服务费底表!$AC:$AC,服务费底表!$K:$K,服务费明细!$B98,服务费底表!$T:$T,AV$3)</f>
        <v>0</v>
      </c>
      <c r="AW98" s="166">
        <f>SUMIFS(服务费底表!$AC:$AC,服务费底表!$K:$K,服务费明细!$B98,服务费底表!$T:$T,AW$3)</f>
        <v>0</v>
      </c>
      <c r="AX98" s="166">
        <f>SUMIFS(服务费底表!$AC:$AC,服务费底表!$K:$K,服务费明细!$B98,服务费底表!$T:$T,AX$3)</f>
        <v>0</v>
      </c>
      <c r="AY98" s="166">
        <f>SUMIFS(服务费底表!$AC:$AC,服务费底表!$K:$K,服务费明细!$B98,服务费底表!$T:$T,AY$3)</f>
        <v>0</v>
      </c>
      <c r="AZ98" s="166">
        <f>SUMIFS(服务费底表!$AC:$AC,服务费底表!$K:$K,服务费明细!$B98,服务费底表!$T:$T,AZ$3)</f>
        <v>0</v>
      </c>
      <c r="BA98" s="166">
        <f>SUMIFS(服务费底表!$AC:$AC,服务费底表!$K:$K,服务费明细!$B98,服务费底表!$T:$T,BA$3)</f>
        <v>0</v>
      </c>
      <c r="BB98" s="166">
        <f>SUMIFS(服务费底表!$AC:$AC,服务费底表!$K:$K,服务费明细!$B98,服务费底表!$T:$T,BB$3)</f>
        <v>0</v>
      </c>
      <c r="BC98" s="166">
        <f>SUMIFS(服务费底表!$AC:$AC,服务费底表!$K:$K,服务费明细!$B98,服务费底表!$T:$T,BC$3)</f>
        <v>0</v>
      </c>
      <c r="BD98" s="166">
        <f>SUMIFS(服务费底表!$AC:$AC,服务费底表!$K:$K,服务费明细!$B98,服务费底表!$T:$T,BD$3)</f>
        <v>0</v>
      </c>
      <c r="BE98" s="166">
        <f>SUMIFS(服务费底表!$AC:$AC,服务费底表!$K:$K,服务费明细!$B98,服务费底表!$T:$T,BE$3)</f>
        <v>0</v>
      </c>
      <c r="BF98" s="166">
        <f>SUMIFS(服务费底表!$AC:$AC,服务费底表!$K:$K,服务费明细!$B98,服务费底表!$T:$T,BF$3)</f>
        <v>0</v>
      </c>
      <c r="BG98" s="166">
        <f>SUMIFS(服务费底表!$AC:$AC,服务费底表!$K:$K,服务费明细!$B98,服务费底表!$T:$T,BG$3)</f>
        <v>0</v>
      </c>
      <c r="BI98" s="388">
        <f>SUMIFS(服务费底表!$AC:$AC,服务费底表!$K:$K,服务费明细!$B98,服务费底表!$H:$H,服务费明细!BI$3)</f>
        <v>9</v>
      </c>
      <c r="BJ98" s="388">
        <f>SUMIFS(服务费底表!$AC:$AC,服务费底表!$K:$K,服务费明细!$B98,服务费底表!$H:$H,服务费明细!BJ$3)</f>
        <v>2</v>
      </c>
      <c r="BK98" s="388">
        <f>SUMIFS(服务费底表!$AC:$AC,服务费底表!$K:$K,服务费明细!$B98,服务费底表!$H:$H,服务费明细!BK$3)</f>
        <v>0</v>
      </c>
      <c r="BL98" s="388">
        <f>SUMIFS(服务费底表!$AC:$AC,服务费底表!$K:$K,服务费明细!$B98,服务费底表!$H:$H,服务费明细!BL$3)</f>
        <v>0</v>
      </c>
      <c r="BM98" s="388">
        <f>SUMIFS(服务费底表!$AC:$AC,服务费底表!$K:$K,服务费明细!$B98,服务费底表!$H:$H,服务费明细!BM$3)</f>
        <v>0</v>
      </c>
      <c r="BN98" s="388">
        <f>SUMIFS(服务费底表!$AC:$AC,服务费底表!$K:$K,服务费明细!$B98,服务费底表!$H:$H,服务费明细!BN$3)</f>
        <v>0</v>
      </c>
      <c r="BO98" s="388">
        <f>SUMIFS(服务费底表!$AC:$AC,服务费底表!$K:$K,服务费明细!$B98,服务费底表!$H:$H,服务费明细!BO$3)</f>
        <v>0</v>
      </c>
      <c r="BQ98" s="389">
        <f>SUMIFS(服务费底表!$AD:$AD,服务费底表!$K:$K,服务费明细!$B98,服务费底表!$H:$H,服务费明细!BQ$3)</f>
        <v>6190</v>
      </c>
      <c r="BR98" s="389">
        <f>SUMIFS(服务费底表!$AD:$AD,服务费底表!$K:$K,服务费明细!$B98,服务费底表!$H:$H,服务费明细!BR$3)</f>
        <v>1300</v>
      </c>
      <c r="BS98" s="389">
        <f>SUMIFS(服务费底表!$AD:$AD,服务费底表!$K:$K,服务费明细!$B98,服务费底表!$H:$H,服务费明细!BS$3)</f>
        <v>0</v>
      </c>
      <c r="BT98" s="389">
        <f>SUMIFS(服务费底表!$AD:$AD,服务费底表!$K:$K,服务费明细!$B98,服务费底表!$H:$H,服务费明细!BT$3)</f>
        <v>0</v>
      </c>
      <c r="BU98" s="389">
        <f>SUMIFS(服务费底表!$AD:$AD,服务费底表!$K:$K,服务费明细!$B98,服务费底表!$H:$H,服务费明细!BU$3)</f>
        <v>0</v>
      </c>
      <c r="BV98" s="389">
        <f>SUMIFS(服务费底表!$AD:$AD,服务费底表!$K:$K,服务费明细!$B98,服务费底表!$H:$H,服务费明细!BV$3)</f>
        <v>0</v>
      </c>
      <c r="BW98" s="389">
        <f>SUMIFS(服务费底表!$AD:$AD,服务费底表!$K:$K,服务费明细!$B98,服务费底表!$H:$H,服务费明细!BW$3)</f>
        <v>0</v>
      </c>
    </row>
    <row r="99" ht="31" customHeight="1" spans="2:75">
      <c r="B99" s="89" t="s">
        <v>251</v>
      </c>
      <c r="C99" s="89" t="str">
        <f>INDEX(二三级标准!$C:$C,MATCH(服务费明细!$B99,二三级标准!$B:$B,0))</f>
        <v>医学监查培训</v>
      </c>
      <c r="D99" s="166">
        <f t="shared" si="191"/>
        <v>1</v>
      </c>
      <c r="E99" s="166">
        <f>IF($D99=1,1,0)</f>
        <v>1</v>
      </c>
      <c r="F99" s="89" t="str">
        <f>INDEX(二三级标准!$G:$G,MATCH(服务费明细!$B99,二三级标准!$B:$B,0))</f>
        <v>次</v>
      </c>
      <c r="G99" s="166">
        <f t="shared" ref="G99:G112" si="196">AL99</f>
        <v>0</v>
      </c>
      <c r="H99" s="166">
        <f t="shared" ref="H99:H112" si="197">AM99</f>
        <v>0</v>
      </c>
      <c r="I99" s="166">
        <f t="shared" ref="I99:I112" si="198">AN99</f>
        <v>0</v>
      </c>
      <c r="J99" s="166">
        <f t="shared" ref="J99:J112" si="199">AO99</f>
        <v>0</v>
      </c>
      <c r="K99" s="166">
        <f t="shared" ref="K99:K112" si="200">AP99</f>
        <v>0</v>
      </c>
      <c r="L99" s="166">
        <f t="shared" ref="L99:L112" si="201">AQ99</f>
        <v>0</v>
      </c>
      <c r="M99" s="166">
        <f t="shared" ref="M99:M112" si="202">AR99</f>
        <v>8</v>
      </c>
      <c r="N99" s="166">
        <f t="shared" ref="N99:N112" si="203">AS99</f>
        <v>0</v>
      </c>
      <c r="O99" s="166">
        <f t="shared" ref="O99:O112" si="204">AT99</f>
        <v>0</v>
      </c>
      <c r="P99" s="166">
        <f t="shared" ref="P99:P112" si="205">AU99</f>
        <v>0</v>
      </c>
      <c r="Q99" s="166">
        <f t="shared" ref="Q99:Q112" si="206">AV99</f>
        <v>0</v>
      </c>
      <c r="R99" s="166">
        <f t="shared" ref="R99:R112" si="207">AW99</f>
        <v>0</v>
      </c>
      <c r="S99" s="166">
        <f t="shared" ref="S99:S112" si="208">AX99</f>
        <v>0</v>
      </c>
      <c r="T99" s="166">
        <f t="shared" ref="T99:T112" si="209">AY99</f>
        <v>0</v>
      </c>
      <c r="U99" s="166">
        <f t="shared" ref="U99:U112" si="210">AZ99</f>
        <v>0</v>
      </c>
      <c r="V99" s="166">
        <f t="shared" ref="V99:V112" si="211">BA99</f>
        <v>0</v>
      </c>
      <c r="W99" s="166">
        <f t="shared" ref="W99:W112" si="212">BB99</f>
        <v>0</v>
      </c>
      <c r="X99" s="166">
        <f t="shared" ref="X99:X112" si="213">BC99</f>
        <v>0</v>
      </c>
      <c r="Y99" s="166">
        <f t="shared" ref="Y99:Y112" si="214">BD99</f>
        <v>0</v>
      </c>
      <c r="Z99" s="166">
        <f t="shared" ref="Z99:Z112" si="215">BE99</f>
        <v>0</v>
      </c>
      <c r="AA99" s="166">
        <f t="shared" ref="AA99:AA112" si="216">BF99</f>
        <v>0</v>
      </c>
      <c r="AB99" s="166">
        <f t="shared" ref="AB99:AB112" si="217">BG99</f>
        <v>0</v>
      </c>
      <c r="AC99" s="166" cm="1">
        <f t="array" ref="AC99">SUMPRODUCT(G99:AB99,$G$4:$AB$4)</f>
        <v>5200</v>
      </c>
      <c r="AD99" s="89" t="b">
        <f t="shared" si="193"/>
        <v>1</v>
      </c>
      <c r="AE99" s="386">
        <f>IFERROR(SUMIF(服务费底表!$K:$K,服务费明细!$B99,服务费底表!$AD:$AD)/E99,0)</f>
        <v>5200</v>
      </c>
      <c r="AF99" s="386">
        <f t="shared" ref="AF99:AF101" si="218">E99*AE99</f>
        <v>5200</v>
      </c>
      <c r="AG99" s="386">
        <f>IFERROR(SUMIF(服务费底表!$K:$K,服务费明细!$B99,服务费底表!$AG:$AG)/E99,0)</f>
        <v>5200</v>
      </c>
      <c r="AH99" s="386">
        <f t="shared" si="195"/>
        <v>5200</v>
      </c>
      <c r="AI99" s="409"/>
      <c r="AJ99" s="563">
        <f>IF(D99=1,AK99/E99,0)</f>
        <v>8</v>
      </c>
      <c r="AK99" s="564">
        <f>SUMIF(服务费底表!$K:$K,服务费明细!$B99,服务费底表!$AC:$AC)</f>
        <v>8</v>
      </c>
      <c r="AL99" s="166">
        <f>SUMIFS(服务费底表!$AC:$AC,服务费底表!$K:$K,服务费明细!$B99,服务费底表!$T:$T,AL$3)</f>
        <v>0</v>
      </c>
      <c r="AM99" s="166">
        <f>SUMIFS(服务费底表!$AC:$AC,服务费底表!$K:$K,服务费明细!$B99,服务费底表!$T:$T,AM$3)</f>
        <v>0</v>
      </c>
      <c r="AN99" s="166">
        <f>SUMIFS(服务费底表!$AC:$AC,服务费底表!$K:$K,服务费明细!$B99,服务费底表!$T:$T,AN$3)</f>
        <v>0</v>
      </c>
      <c r="AO99" s="166">
        <f>SUMIFS(服务费底表!$AC:$AC,服务费底表!$K:$K,服务费明细!$B99,服务费底表!$T:$T,AO$3)</f>
        <v>0</v>
      </c>
      <c r="AP99" s="166">
        <f>SUMIFS(服务费底表!$AC:$AC,服务费底表!$K:$K,服务费明细!$B99,服务费底表!$T:$T,AP$3)</f>
        <v>0</v>
      </c>
      <c r="AQ99" s="166">
        <f>SUMIFS(服务费底表!$AC:$AC,服务费底表!$K:$K,服务费明细!$B99,服务费底表!$T:$T,AQ$3)</f>
        <v>0</v>
      </c>
      <c r="AR99" s="166">
        <f>SUMIFS(服务费底表!$AC:$AC,服务费底表!$K:$K,服务费明细!$B99,服务费底表!$T:$T,AR$3)</f>
        <v>8</v>
      </c>
      <c r="AS99" s="166">
        <f>SUMIFS(服务费底表!$AC:$AC,服务费底表!$K:$K,服务费明细!$B99,服务费底表!$T:$T,AS$3)</f>
        <v>0</v>
      </c>
      <c r="AT99" s="166">
        <f>SUMIFS(服务费底表!$AC:$AC,服务费底表!$K:$K,服务费明细!$B99,服务费底表!$T:$T,AT$3)</f>
        <v>0</v>
      </c>
      <c r="AU99" s="166">
        <f>SUMIFS(服务费底表!$AC:$AC,服务费底表!$K:$K,服务费明细!$B99,服务费底表!$T:$T,AU$3)</f>
        <v>0</v>
      </c>
      <c r="AV99" s="166">
        <f>SUMIFS(服务费底表!$AC:$AC,服务费底表!$K:$K,服务费明细!$B99,服务费底表!$T:$T,AV$3)</f>
        <v>0</v>
      </c>
      <c r="AW99" s="166">
        <f>SUMIFS(服务费底表!$AC:$AC,服务费底表!$K:$K,服务费明细!$B99,服务费底表!$T:$T,AW$3)</f>
        <v>0</v>
      </c>
      <c r="AX99" s="166">
        <f>SUMIFS(服务费底表!$AC:$AC,服务费底表!$K:$K,服务费明细!$B99,服务费底表!$T:$T,AX$3)</f>
        <v>0</v>
      </c>
      <c r="AY99" s="166">
        <f>SUMIFS(服务费底表!$AC:$AC,服务费底表!$K:$K,服务费明细!$B99,服务费底表!$T:$T,AY$3)</f>
        <v>0</v>
      </c>
      <c r="AZ99" s="166">
        <f>SUMIFS(服务费底表!$AC:$AC,服务费底表!$K:$K,服务费明细!$B99,服务费底表!$T:$T,AZ$3)</f>
        <v>0</v>
      </c>
      <c r="BA99" s="166">
        <f>SUMIFS(服务费底表!$AC:$AC,服务费底表!$K:$K,服务费明细!$B99,服务费底表!$T:$T,BA$3)</f>
        <v>0</v>
      </c>
      <c r="BB99" s="166">
        <f>SUMIFS(服务费底表!$AC:$AC,服务费底表!$K:$K,服务费明细!$B99,服务费底表!$T:$T,BB$3)</f>
        <v>0</v>
      </c>
      <c r="BC99" s="166">
        <f>SUMIFS(服务费底表!$AC:$AC,服务费底表!$K:$K,服务费明细!$B99,服务费底表!$T:$T,BC$3)</f>
        <v>0</v>
      </c>
      <c r="BD99" s="166">
        <f>SUMIFS(服务费底表!$AC:$AC,服务费底表!$K:$K,服务费明细!$B99,服务费底表!$T:$T,BD$3)</f>
        <v>0</v>
      </c>
      <c r="BE99" s="166">
        <f>SUMIFS(服务费底表!$AC:$AC,服务费底表!$K:$K,服务费明细!$B99,服务费底表!$T:$T,BE$3)</f>
        <v>0</v>
      </c>
      <c r="BF99" s="166">
        <f>SUMIFS(服务费底表!$AC:$AC,服务费底表!$K:$K,服务费明细!$B99,服务费底表!$T:$T,BF$3)</f>
        <v>0</v>
      </c>
      <c r="BG99" s="166">
        <f>SUMIFS(服务费底表!$AC:$AC,服务费底表!$K:$K,服务费明细!$B99,服务费底表!$T:$T,BG$3)</f>
        <v>0</v>
      </c>
      <c r="BI99" s="388">
        <f>SUMIFS(服务费底表!$AC:$AC,服务费底表!$K:$K,服务费明细!$B99,服务费底表!$H:$H,服务费明细!BI$3)</f>
        <v>8</v>
      </c>
      <c r="BJ99" s="388">
        <f>SUMIFS(服务费底表!$AC:$AC,服务费底表!$K:$K,服务费明细!$B99,服务费底表!$H:$H,服务费明细!BJ$3)</f>
        <v>0</v>
      </c>
      <c r="BK99" s="388">
        <f>SUMIFS(服务费底表!$AC:$AC,服务费底表!$K:$K,服务费明细!$B99,服务费底表!$H:$H,服务费明细!BK$3)</f>
        <v>0</v>
      </c>
      <c r="BL99" s="388">
        <f>SUMIFS(服务费底表!$AC:$AC,服务费底表!$K:$K,服务费明细!$B99,服务费底表!$H:$H,服务费明细!BL$3)</f>
        <v>0</v>
      </c>
      <c r="BM99" s="388">
        <f>SUMIFS(服务费底表!$AC:$AC,服务费底表!$K:$K,服务费明细!$B99,服务费底表!$H:$H,服务费明细!BM$3)</f>
        <v>0</v>
      </c>
      <c r="BN99" s="388">
        <f>SUMIFS(服务费底表!$AC:$AC,服务费底表!$K:$K,服务费明细!$B99,服务费底表!$H:$H,服务费明细!BN$3)</f>
        <v>0</v>
      </c>
      <c r="BO99" s="388">
        <f>SUMIFS(服务费底表!$AC:$AC,服务费底表!$K:$K,服务费明细!$B99,服务费底表!$H:$H,服务费明细!BO$3)</f>
        <v>0</v>
      </c>
      <c r="BQ99" s="389">
        <f>SUMIFS(服务费底表!$AD:$AD,服务费底表!$K:$K,服务费明细!$B99,服务费底表!$H:$H,服务费明细!BQ$3)</f>
        <v>5200</v>
      </c>
      <c r="BR99" s="389">
        <f>SUMIFS(服务费底表!$AD:$AD,服务费底表!$K:$K,服务费明细!$B99,服务费底表!$H:$H,服务费明细!BR$3)</f>
        <v>0</v>
      </c>
      <c r="BS99" s="389">
        <f>SUMIFS(服务费底表!$AD:$AD,服务费底表!$K:$K,服务费明细!$B99,服务费底表!$H:$H,服务费明细!BS$3)</f>
        <v>0</v>
      </c>
      <c r="BT99" s="389">
        <f>SUMIFS(服务费底表!$AD:$AD,服务费底表!$K:$K,服务费明细!$B99,服务费底表!$H:$H,服务费明细!BT$3)</f>
        <v>0</v>
      </c>
      <c r="BU99" s="389">
        <f>SUMIFS(服务费底表!$AD:$AD,服务费底表!$K:$K,服务费明细!$B99,服务费底表!$H:$H,服务费明细!BU$3)</f>
        <v>0</v>
      </c>
      <c r="BV99" s="389">
        <f>SUMIFS(服务费底表!$AD:$AD,服务费底表!$K:$K,服务费明细!$B99,服务费底表!$H:$H,服务费明细!BV$3)</f>
        <v>0</v>
      </c>
      <c r="BW99" s="389">
        <f>SUMIFS(服务费底表!$AD:$AD,服务费底表!$K:$K,服务费明细!$B99,服务费底表!$H:$H,服务费明细!BW$3)</f>
        <v>0</v>
      </c>
    </row>
    <row r="100" ht="66" spans="2:75">
      <c r="B100" s="202" t="s">
        <v>253</v>
      </c>
      <c r="C100" s="89" t="str">
        <f>INDEX(二三级标准!$C:$C,MATCH(服务费明细!$B100,二三级标准!$B:$B,0))</f>
        <v>CRA和中心的医学支持</v>
      </c>
      <c r="D100" s="166">
        <f t="shared" si="191"/>
        <v>1</v>
      </c>
      <c r="E100" s="166">
        <f>IF($D100=1,ROUND(SUM(筛选月+入组月+治疗月+随访月+长随访月+锁库月),0),0)</f>
        <v>14</v>
      </c>
      <c r="F100" s="89" t="str">
        <f>INDEX(二三级标准!$G:$G,MATCH(服务费明细!$B100,二三级标准!$B:$B,0))</f>
        <v>月</v>
      </c>
      <c r="G100" s="166">
        <f t="shared" si="196"/>
        <v>0</v>
      </c>
      <c r="H100" s="166">
        <f t="shared" si="197"/>
        <v>0</v>
      </c>
      <c r="I100" s="166">
        <f t="shared" si="198"/>
        <v>0</v>
      </c>
      <c r="J100" s="166">
        <f t="shared" si="199"/>
        <v>0</v>
      </c>
      <c r="K100" s="166">
        <f t="shared" si="200"/>
        <v>0</v>
      </c>
      <c r="L100" s="166">
        <f t="shared" si="201"/>
        <v>7</v>
      </c>
      <c r="M100" s="166">
        <f t="shared" si="202"/>
        <v>28</v>
      </c>
      <c r="N100" s="166">
        <f t="shared" si="203"/>
        <v>0</v>
      </c>
      <c r="O100" s="166">
        <f t="shared" si="204"/>
        <v>0</v>
      </c>
      <c r="P100" s="166">
        <f t="shared" si="205"/>
        <v>0</v>
      </c>
      <c r="Q100" s="166">
        <f t="shared" si="206"/>
        <v>0</v>
      </c>
      <c r="R100" s="166">
        <f t="shared" si="207"/>
        <v>0</v>
      </c>
      <c r="S100" s="166">
        <f t="shared" si="208"/>
        <v>0</v>
      </c>
      <c r="T100" s="166">
        <f t="shared" si="209"/>
        <v>0</v>
      </c>
      <c r="U100" s="166">
        <f t="shared" si="210"/>
        <v>0</v>
      </c>
      <c r="V100" s="166">
        <f t="shared" si="211"/>
        <v>0</v>
      </c>
      <c r="W100" s="166">
        <f t="shared" si="212"/>
        <v>0</v>
      </c>
      <c r="X100" s="166">
        <f t="shared" si="213"/>
        <v>0</v>
      </c>
      <c r="Y100" s="166">
        <f t="shared" si="214"/>
        <v>0</v>
      </c>
      <c r="Z100" s="166">
        <f t="shared" si="215"/>
        <v>0</v>
      </c>
      <c r="AA100" s="166">
        <f t="shared" si="216"/>
        <v>0</v>
      </c>
      <c r="AB100" s="166">
        <f t="shared" si="217"/>
        <v>0</v>
      </c>
      <c r="AC100" s="166" cm="1">
        <f t="array" ref="AC100">SUMPRODUCT(G100:AB100,$G$4:$AB$4)</f>
        <v>25130</v>
      </c>
      <c r="AD100" s="89" t="b">
        <f t="shared" si="193"/>
        <v>1</v>
      </c>
      <c r="AE100" s="386">
        <f>IFERROR(SUMIF(服务费底表!$K:$K,服务费明细!$B100,服务费底表!$AD:$AD)/E100,0)</f>
        <v>1795</v>
      </c>
      <c r="AF100" s="386">
        <f t="shared" si="218"/>
        <v>25130</v>
      </c>
      <c r="AG100" s="386">
        <f>IFERROR(SUMIF(服务费底表!$K:$K,服务费明细!$B100,服务费底表!$AG:$AG)/E100,0)</f>
        <v>1795</v>
      </c>
      <c r="AH100" s="386">
        <f t="shared" si="195"/>
        <v>25130</v>
      </c>
      <c r="AI100" s="409" t="s">
        <v>1035</v>
      </c>
      <c r="AJ100" s="563">
        <f>IF(D100=1,AK100/E100,0)</f>
        <v>2.5</v>
      </c>
      <c r="AK100" s="564">
        <f>SUMIF(服务费底表!$K:$K,服务费明细!$B100,服务费底表!$AC:$AC)</f>
        <v>35</v>
      </c>
      <c r="AL100" s="166">
        <f>SUMIFS(服务费底表!$AC:$AC,服务费底表!$K:$K,服务费明细!$B100,服务费底表!$T:$T,AL$3)</f>
        <v>0</v>
      </c>
      <c r="AM100" s="166">
        <f>SUMIFS(服务费底表!$AC:$AC,服务费底表!$K:$K,服务费明细!$B100,服务费底表!$T:$T,AM$3)</f>
        <v>0</v>
      </c>
      <c r="AN100" s="166">
        <f>SUMIFS(服务费底表!$AC:$AC,服务费底表!$K:$K,服务费明细!$B100,服务费底表!$T:$T,AN$3)</f>
        <v>0</v>
      </c>
      <c r="AO100" s="166">
        <f>SUMIFS(服务费底表!$AC:$AC,服务费底表!$K:$K,服务费明细!$B100,服务费底表!$T:$T,AO$3)</f>
        <v>0</v>
      </c>
      <c r="AP100" s="166">
        <f>SUMIFS(服务费底表!$AC:$AC,服务费底表!$K:$K,服务费明细!$B100,服务费底表!$T:$T,AP$3)</f>
        <v>0</v>
      </c>
      <c r="AQ100" s="166">
        <f>SUMIFS(服务费底表!$AC:$AC,服务费底表!$K:$K,服务费明细!$B100,服务费底表!$T:$T,AQ$3)</f>
        <v>7</v>
      </c>
      <c r="AR100" s="166">
        <f>SUMIFS(服务费底表!$AC:$AC,服务费底表!$K:$K,服务费明细!$B100,服务费底表!$T:$T,AR$3)</f>
        <v>28</v>
      </c>
      <c r="AS100" s="166">
        <f>SUMIFS(服务费底表!$AC:$AC,服务费底表!$K:$K,服务费明细!$B100,服务费底表!$T:$T,AS$3)</f>
        <v>0</v>
      </c>
      <c r="AT100" s="166">
        <f>SUMIFS(服务费底表!$AC:$AC,服务费底表!$K:$K,服务费明细!$B100,服务费底表!$T:$T,AT$3)</f>
        <v>0</v>
      </c>
      <c r="AU100" s="166">
        <f>SUMIFS(服务费底表!$AC:$AC,服务费底表!$K:$K,服务费明细!$B100,服务费底表!$T:$T,AU$3)</f>
        <v>0</v>
      </c>
      <c r="AV100" s="166">
        <f>SUMIFS(服务费底表!$AC:$AC,服务费底表!$K:$K,服务费明细!$B100,服务费底表!$T:$T,AV$3)</f>
        <v>0</v>
      </c>
      <c r="AW100" s="166">
        <f>SUMIFS(服务费底表!$AC:$AC,服务费底表!$K:$K,服务费明细!$B100,服务费底表!$T:$T,AW$3)</f>
        <v>0</v>
      </c>
      <c r="AX100" s="166">
        <f>SUMIFS(服务费底表!$AC:$AC,服务费底表!$K:$K,服务费明细!$B100,服务费底表!$T:$T,AX$3)</f>
        <v>0</v>
      </c>
      <c r="AY100" s="166">
        <f>SUMIFS(服务费底表!$AC:$AC,服务费底表!$K:$K,服务费明细!$B100,服务费底表!$T:$T,AY$3)</f>
        <v>0</v>
      </c>
      <c r="AZ100" s="166">
        <f>SUMIFS(服务费底表!$AC:$AC,服务费底表!$K:$K,服务费明细!$B100,服务费底表!$T:$T,AZ$3)</f>
        <v>0</v>
      </c>
      <c r="BA100" s="166">
        <f>SUMIFS(服务费底表!$AC:$AC,服务费底表!$K:$K,服务费明细!$B100,服务费底表!$T:$T,BA$3)</f>
        <v>0</v>
      </c>
      <c r="BB100" s="166">
        <f>SUMIFS(服务费底表!$AC:$AC,服务费底表!$K:$K,服务费明细!$B100,服务费底表!$T:$T,BB$3)</f>
        <v>0</v>
      </c>
      <c r="BC100" s="166">
        <f>SUMIFS(服务费底表!$AC:$AC,服务费底表!$K:$K,服务费明细!$B100,服务费底表!$T:$T,BC$3)</f>
        <v>0</v>
      </c>
      <c r="BD100" s="166">
        <f>SUMIFS(服务费底表!$AC:$AC,服务费底表!$K:$K,服务费明细!$B100,服务费底表!$T:$T,BD$3)</f>
        <v>0</v>
      </c>
      <c r="BE100" s="166">
        <f>SUMIFS(服务费底表!$AC:$AC,服务费底表!$K:$K,服务费明细!$B100,服务费底表!$T:$T,BE$3)</f>
        <v>0</v>
      </c>
      <c r="BF100" s="166">
        <f>SUMIFS(服务费底表!$AC:$AC,服务费底表!$K:$K,服务费明细!$B100,服务费底表!$T:$T,BF$3)</f>
        <v>0</v>
      </c>
      <c r="BG100" s="166">
        <f>SUMIFS(服务费底表!$AC:$AC,服务费底表!$K:$K,服务费明细!$B100,服务费底表!$T:$T,BG$3)</f>
        <v>0</v>
      </c>
      <c r="BI100" s="388">
        <f>SUMIFS(服务费底表!$AC:$AC,服务费底表!$K:$K,服务费明细!$B100,服务费底表!$H:$H,服务费明细!BI$3)</f>
        <v>35</v>
      </c>
      <c r="BJ100" s="388">
        <f>SUMIFS(服务费底表!$AC:$AC,服务费底表!$K:$K,服务费明细!$B100,服务费底表!$H:$H,服务费明细!BJ$3)</f>
        <v>0</v>
      </c>
      <c r="BK100" s="388">
        <f>SUMIFS(服务费底表!$AC:$AC,服务费底表!$K:$K,服务费明细!$B100,服务费底表!$H:$H,服务费明细!BK$3)</f>
        <v>0</v>
      </c>
      <c r="BL100" s="388">
        <f>SUMIFS(服务费底表!$AC:$AC,服务费底表!$K:$K,服务费明细!$B100,服务费底表!$H:$H,服务费明细!BL$3)</f>
        <v>0</v>
      </c>
      <c r="BM100" s="388">
        <f>SUMIFS(服务费底表!$AC:$AC,服务费底表!$K:$K,服务费明细!$B100,服务费底表!$H:$H,服务费明细!BM$3)</f>
        <v>0</v>
      </c>
      <c r="BN100" s="388">
        <f>SUMIFS(服务费底表!$AC:$AC,服务费底表!$K:$K,服务费明细!$B100,服务费底表!$H:$H,服务费明细!BN$3)</f>
        <v>0</v>
      </c>
      <c r="BO100" s="388">
        <f>SUMIFS(服务费底表!$AC:$AC,服务费底表!$K:$K,服务费明细!$B100,服务费底表!$H:$H,服务费明细!BO$3)</f>
        <v>0</v>
      </c>
      <c r="BQ100" s="389">
        <f>SUMIFS(服务费底表!$AD:$AD,服务费底表!$K:$K,服务费明细!$B100,服务费底表!$H:$H,服务费明细!BQ$3)</f>
        <v>25130</v>
      </c>
      <c r="BR100" s="389">
        <f>SUMIFS(服务费底表!$AD:$AD,服务费底表!$K:$K,服务费明细!$B100,服务费底表!$H:$H,服务费明细!BR$3)</f>
        <v>0</v>
      </c>
      <c r="BS100" s="389">
        <f>SUMIFS(服务费底表!$AD:$AD,服务费底表!$K:$K,服务费明细!$B100,服务费底表!$H:$H,服务费明细!BS$3)</f>
        <v>0</v>
      </c>
      <c r="BT100" s="389">
        <f>SUMIFS(服务费底表!$AD:$AD,服务费底表!$K:$K,服务费明细!$B100,服务费底表!$H:$H,服务费明细!BT$3)</f>
        <v>0</v>
      </c>
      <c r="BU100" s="389">
        <f>SUMIFS(服务费底表!$AD:$AD,服务费底表!$K:$K,服务费明细!$B100,服务费底表!$H:$H,服务费明细!BU$3)</f>
        <v>0</v>
      </c>
      <c r="BV100" s="389">
        <f>SUMIFS(服务费底表!$AD:$AD,服务费底表!$K:$K,服务费明细!$B100,服务费底表!$H:$H,服务费明细!BV$3)</f>
        <v>0</v>
      </c>
      <c r="BW100" s="389">
        <f>SUMIFS(服务费底表!$AD:$AD,服务费底表!$K:$K,服务费明细!$B100,服务费底表!$H:$H,服务费明细!BW$3)</f>
        <v>0</v>
      </c>
    </row>
    <row r="101" ht="31" customHeight="1" spans="2:75">
      <c r="B101" s="202" t="s">
        <v>1036</v>
      </c>
      <c r="C101" s="89" t="str">
        <f>INDEX(二三级标准!$C:$C,MATCH(服务费明细!$B101,二三级标准!$B:$B,0))</f>
        <v>试验参与者招募审核</v>
      </c>
      <c r="D101" s="166">
        <f t="shared" si="191"/>
        <v>1</v>
      </c>
      <c r="E101" s="166" cm="1">
        <f t="array" ref="E101">IF($D101=1,试验参与者预筛,0)</f>
        <v>76</v>
      </c>
      <c r="F101" s="89" t="str">
        <f>INDEX(二三级标准!$G:$G,MATCH(服务费明细!$B101,二三级标准!$B:$B,0))</f>
        <v>例</v>
      </c>
      <c r="G101" s="166">
        <f t="shared" si="196"/>
        <v>0</v>
      </c>
      <c r="H101" s="166">
        <f t="shared" si="197"/>
        <v>0</v>
      </c>
      <c r="I101" s="166">
        <f t="shared" si="198"/>
        <v>0</v>
      </c>
      <c r="J101" s="166">
        <f t="shared" si="199"/>
        <v>0</v>
      </c>
      <c r="K101" s="166">
        <f t="shared" si="200"/>
        <v>0</v>
      </c>
      <c r="L101" s="166">
        <f t="shared" si="201"/>
        <v>7.6</v>
      </c>
      <c r="M101" s="166">
        <f t="shared" si="202"/>
        <v>57</v>
      </c>
      <c r="N101" s="166">
        <f t="shared" si="203"/>
        <v>0</v>
      </c>
      <c r="O101" s="166">
        <f t="shared" si="204"/>
        <v>0</v>
      </c>
      <c r="P101" s="166">
        <f t="shared" si="205"/>
        <v>0</v>
      </c>
      <c r="Q101" s="166">
        <f t="shared" si="206"/>
        <v>0</v>
      </c>
      <c r="R101" s="166">
        <f t="shared" si="207"/>
        <v>0</v>
      </c>
      <c r="S101" s="166">
        <f t="shared" si="208"/>
        <v>0</v>
      </c>
      <c r="T101" s="166">
        <f t="shared" si="209"/>
        <v>0</v>
      </c>
      <c r="U101" s="166">
        <f t="shared" si="210"/>
        <v>0</v>
      </c>
      <c r="V101" s="166">
        <f t="shared" si="211"/>
        <v>0</v>
      </c>
      <c r="W101" s="166">
        <f t="shared" si="212"/>
        <v>0</v>
      </c>
      <c r="X101" s="166">
        <f t="shared" si="213"/>
        <v>0</v>
      </c>
      <c r="Y101" s="166">
        <f t="shared" si="214"/>
        <v>0</v>
      </c>
      <c r="Z101" s="166">
        <f t="shared" si="215"/>
        <v>0</v>
      </c>
      <c r="AA101" s="166">
        <f t="shared" si="216"/>
        <v>0</v>
      </c>
      <c r="AB101" s="166">
        <f t="shared" si="217"/>
        <v>0</v>
      </c>
      <c r="AC101" s="166" cm="1">
        <f t="array" ref="AC101">SUMPRODUCT(G101:AB101,$G$4:$AB$4)</f>
        <v>44574</v>
      </c>
      <c r="AD101" s="89" t="b">
        <f t="shared" si="193"/>
        <v>1</v>
      </c>
      <c r="AE101" s="386">
        <f>IFERROR(SUMIF(服务费底表!$K:$K,服务费明细!$B101,服务费底表!$AD:$AD)/E101,0)</f>
        <v>586.5</v>
      </c>
      <c r="AF101" s="386">
        <f t="shared" si="218"/>
        <v>44574</v>
      </c>
      <c r="AG101" s="386">
        <f>IFERROR(SUMIF(服务费底表!$K:$K,服务费明细!$B101,服务费底表!$AG:$AG)/E101,0)</f>
        <v>586.5</v>
      </c>
      <c r="AH101" s="386">
        <f t="shared" si="195"/>
        <v>44574</v>
      </c>
      <c r="AI101" s="409"/>
      <c r="AJ101" s="563">
        <f>IF(D101=1,AK101/E101,0)</f>
        <v>0.85</v>
      </c>
      <c r="AK101" s="564">
        <f>SUMIF(服务费底表!$K:$K,服务费明细!$B101,服务费底表!$AC:$AC)</f>
        <v>64.6</v>
      </c>
      <c r="AL101" s="166">
        <f>SUMIFS(服务费底表!$AC:$AC,服务费底表!$K:$K,服务费明细!$B101,服务费底表!$T:$T,AL$3)</f>
        <v>0</v>
      </c>
      <c r="AM101" s="166">
        <f>SUMIFS(服务费底表!$AC:$AC,服务费底表!$K:$K,服务费明细!$B101,服务费底表!$T:$T,AM$3)</f>
        <v>0</v>
      </c>
      <c r="AN101" s="166">
        <f>SUMIFS(服务费底表!$AC:$AC,服务费底表!$K:$K,服务费明细!$B101,服务费底表!$T:$T,AN$3)</f>
        <v>0</v>
      </c>
      <c r="AO101" s="166">
        <f>SUMIFS(服务费底表!$AC:$AC,服务费底表!$K:$K,服务费明细!$B101,服务费底表!$T:$T,AO$3)</f>
        <v>0</v>
      </c>
      <c r="AP101" s="166">
        <f>SUMIFS(服务费底表!$AC:$AC,服务费底表!$K:$K,服务费明细!$B101,服务费底表!$T:$T,AP$3)</f>
        <v>0</v>
      </c>
      <c r="AQ101" s="166">
        <f>SUMIFS(服务费底表!$AC:$AC,服务费底表!$K:$K,服务费明细!$B101,服务费底表!$T:$T,AQ$3)</f>
        <v>7.6</v>
      </c>
      <c r="AR101" s="166">
        <f>SUMIFS(服务费底表!$AC:$AC,服务费底表!$K:$K,服务费明细!$B101,服务费底表!$T:$T,AR$3)</f>
        <v>57</v>
      </c>
      <c r="AS101" s="166">
        <f>SUMIFS(服务费底表!$AC:$AC,服务费底表!$K:$K,服务费明细!$B101,服务费底表!$T:$T,AS$3)</f>
        <v>0</v>
      </c>
      <c r="AT101" s="166">
        <f>SUMIFS(服务费底表!$AC:$AC,服务费底表!$K:$K,服务费明细!$B101,服务费底表!$T:$T,AT$3)</f>
        <v>0</v>
      </c>
      <c r="AU101" s="166">
        <f>SUMIFS(服务费底表!$AC:$AC,服务费底表!$K:$K,服务费明细!$B101,服务费底表!$T:$T,AU$3)</f>
        <v>0</v>
      </c>
      <c r="AV101" s="166">
        <f>SUMIFS(服务费底表!$AC:$AC,服务费底表!$K:$K,服务费明细!$B101,服务费底表!$T:$T,AV$3)</f>
        <v>0</v>
      </c>
      <c r="AW101" s="166">
        <f>SUMIFS(服务费底表!$AC:$AC,服务费底表!$K:$K,服务费明细!$B101,服务费底表!$T:$T,AW$3)</f>
        <v>0</v>
      </c>
      <c r="AX101" s="166">
        <f>SUMIFS(服务费底表!$AC:$AC,服务费底表!$K:$K,服务费明细!$B101,服务费底表!$T:$T,AX$3)</f>
        <v>0</v>
      </c>
      <c r="AY101" s="166">
        <f>SUMIFS(服务费底表!$AC:$AC,服务费底表!$K:$K,服务费明细!$B101,服务费底表!$T:$T,AY$3)</f>
        <v>0</v>
      </c>
      <c r="AZ101" s="166">
        <f>SUMIFS(服务费底表!$AC:$AC,服务费底表!$K:$K,服务费明细!$B101,服务费底表!$T:$T,AZ$3)</f>
        <v>0</v>
      </c>
      <c r="BA101" s="166">
        <f>SUMIFS(服务费底表!$AC:$AC,服务费底表!$K:$K,服务费明细!$B101,服务费底表!$T:$T,BA$3)</f>
        <v>0</v>
      </c>
      <c r="BB101" s="166">
        <f>SUMIFS(服务费底表!$AC:$AC,服务费底表!$K:$K,服务费明细!$B101,服务费底表!$T:$T,BB$3)</f>
        <v>0</v>
      </c>
      <c r="BC101" s="166">
        <f>SUMIFS(服务费底表!$AC:$AC,服务费底表!$K:$K,服务费明细!$B101,服务费底表!$T:$T,BC$3)</f>
        <v>0</v>
      </c>
      <c r="BD101" s="166">
        <f>SUMIFS(服务费底表!$AC:$AC,服务费底表!$K:$K,服务费明细!$B101,服务费底表!$T:$T,BD$3)</f>
        <v>0</v>
      </c>
      <c r="BE101" s="166">
        <f>SUMIFS(服务费底表!$AC:$AC,服务费底表!$K:$K,服务费明细!$B101,服务费底表!$T:$T,BE$3)</f>
        <v>0</v>
      </c>
      <c r="BF101" s="166">
        <f>SUMIFS(服务费底表!$AC:$AC,服务费底表!$K:$K,服务费明细!$B101,服务费底表!$T:$T,BF$3)</f>
        <v>0</v>
      </c>
      <c r="BG101" s="166">
        <f>SUMIFS(服务费底表!$AC:$AC,服务费底表!$K:$K,服务费明细!$B101,服务费底表!$T:$T,BG$3)</f>
        <v>0</v>
      </c>
      <c r="BI101" s="388">
        <f>SUMIFS(服务费底表!$AC:$AC,服务费底表!$K:$K,服务费明细!$B101,服务费底表!$H:$H,服务费明细!BI$3)</f>
        <v>64.6</v>
      </c>
      <c r="BJ101" s="388">
        <f>SUMIFS(服务费底表!$AC:$AC,服务费底表!$K:$K,服务费明细!$B101,服务费底表!$H:$H,服务费明细!BJ$3)</f>
        <v>0</v>
      </c>
      <c r="BK101" s="388">
        <f>SUMIFS(服务费底表!$AC:$AC,服务费底表!$K:$K,服务费明细!$B101,服务费底表!$H:$H,服务费明细!BK$3)</f>
        <v>0</v>
      </c>
      <c r="BL101" s="388">
        <f>SUMIFS(服务费底表!$AC:$AC,服务费底表!$K:$K,服务费明细!$B101,服务费底表!$H:$H,服务费明细!BL$3)</f>
        <v>0</v>
      </c>
      <c r="BM101" s="388">
        <f>SUMIFS(服务费底表!$AC:$AC,服务费底表!$K:$K,服务费明细!$B101,服务费底表!$H:$H,服务费明细!BM$3)</f>
        <v>0</v>
      </c>
      <c r="BN101" s="388">
        <f>SUMIFS(服务费底表!$AC:$AC,服务费底表!$K:$K,服务费明细!$B101,服务费底表!$H:$H,服务费明细!BN$3)</f>
        <v>0</v>
      </c>
      <c r="BO101" s="388">
        <f>SUMIFS(服务费底表!$AC:$AC,服务费底表!$K:$K,服务费明细!$B101,服务费底表!$H:$H,服务费明细!BO$3)</f>
        <v>0</v>
      </c>
      <c r="BQ101" s="389"/>
      <c r="BR101" s="389"/>
      <c r="BS101" s="389"/>
      <c r="BT101" s="389"/>
      <c r="BU101" s="389"/>
      <c r="BV101" s="389"/>
      <c r="BW101" s="389"/>
    </row>
    <row r="102" ht="66" customHeight="1" spans="2:75">
      <c r="B102" s="202" t="s">
        <v>255</v>
      </c>
      <c r="C102" s="89" t="str">
        <f>INDEX(二三级标准!$C:$C,MATCH(服务费明细!$B102,二三级标准!$B:$B,0))</f>
        <v>入组失败试验参与者的招募评估</v>
      </c>
      <c r="D102" s="166">
        <f t="shared" ref="D102:D108" si="219">IF($D$97=1,1,0)</f>
        <v>1</v>
      </c>
      <c r="E102" s="166">
        <f>IF($D102=1,ROUND(入组试验参与者数*10%,0),0)</f>
        <v>3</v>
      </c>
      <c r="F102" s="89" t="str">
        <f>INDEX(二三级标准!$G:$G,MATCH(服务费明细!$B102,二三级标准!$B:$B,0))</f>
        <v>例</v>
      </c>
      <c r="G102" s="166">
        <f t="shared" si="196"/>
        <v>0</v>
      </c>
      <c r="H102" s="166">
        <f t="shared" si="197"/>
        <v>0</v>
      </c>
      <c r="I102" s="166">
        <f t="shared" si="198"/>
        <v>0</v>
      </c>
      <c r="J102" s="166">
        <f t="shared" si="199"/>
        <v>0</v>
      </c>
      <c r="K102" s="166">
        <f t="shared" si="200"/>
        <v>0</v>
      </c>
      <c r="L102" s="166">
        <f t="shared" si="201"/>
        <v>0</v>
      </c>
      <c r="M102" s="166">
        <f t="shared" si="202"/>
        <v>3</v>
      </c>
      <c r="N102" s="166">
        <f t="shared" si="203"/>
        <v>0</v>
      </c>
      <c r="O102" s="166">
        <f t="shared" si="204"/>
        <v>0</v>
      </c>
      <c r="P102" s="166">
        <f t="shared" si="205"/>
        <v>0</v>
      </c>
      <c r="Q102" s="166">
        <f t="shared" si="206"/>
        <v>0</v>
      </c>
      <c r="R102" s="166">
        <f t="shared" si="207"/>
        <v>0</v>
      </c>
      <c r="S102" s="166">
        <f t="shared" si="208"/>
        <v>0</v>
      </c>
      <c r="T102" s="166">
        <f t="shared" si="209"/>
        <v>0</v>
      </c>
      <c r="U102" s="166">
        <f t="shared" si="210"/>
        <v>0</v>
      </c>
      <c r="V102" s="166">
        <f t="shared" si="211"/>
        <v>0</v>
      </c>
      <c r="W102" s="166">
        <f t="shared" si="212"/>
        <v>0</v>
      </c>
      <c r="X102" s="166">
        <f t="shared" si="213"/>
        <v>0</v>
      </c>
      <c r="Y102" s="166">
        <f t="shared" si="214"/>
        <v>0</v>
      </c>
      <c r="Z102" s="166">
        <f t="shared" si="215"/>
        <v>0</v>
      </c>
      <c r="AA102" s="166">
        <f t="shared" si="216"/>
        <v>0</v>
      </c>
      <c r="AB102" s="166">
        <f t="shared" si="217"/>
        <v>0</v>
      </c>
      <c r="AC102" s="166" cm="1">
        <f t="array" ref="AC102">SUMPRODUCT(G102:AB102,$G$4:$AB$4)</f>
        <v>1950</v>
      </c>
      <c r="AD102" s="89" t="b">
        <f t="shared" ref="AD102:AD112" si="220">IF(AF102=AC102,TRUE,FALSE)</f>
        <v>1</v>
      </c>
      <c r="AE102" s="386">
        <f>IFERROR(SUMIF(服务费底表!$K:$K,服务费明细!$B102,服务费底表!$AD:$AD)/E102,0)</f>
        <v>650</v>
      </c>
      <c r="AF102" s="386">
        <f t="shared" ref="AF102:AF112" si="221">E102*AE102</f>
        <v>1950</v>
      </c>
      <c r="AG102" s="386">
        <f>IFERROR(SUMIF(服务费底表!$K:$K,服务费明细!$B102,服务费底表!$AG:$AG)/E102,0)</f>
        <v>650</v>
      </c>
      <c r="AH102" s="386">
        <f t="shared" ref="AH102:AH112" si="222">AG102*E102</f>
        <v>1950</v>
      </c>
      <c r="AI102" s="409" t="s">
        <v>1037</v>
      </c>
      <c r="AJ102" s="563">
        <f t="shared" ref="AJ102:AJ112" si="223">IF(D102=1,AK102/E102,0)</f>
        <v>1</v>
      </c>
      <c r="AK102" s="564">
        <f>SUMIF(服务费底表!$K:$K,服务费明细!$B102,服务费底表!$AC:$AC)</f>
        <v>3</v>
      </c>
      <c r="AL102" s="166">
        <f>SUMIFS(服务费底表!$AC:$AC,服务费底表!$K:$K,服务费明细!$B102,服务费底表!$T:$T,AL$3)</f>
        <v>0</v>
      </c>
      <c r="AM102" s="166">
        <f>SUMIFS(服务费底表!$AC:$AC,服务费底表!$K:$K,服务费明细!$B102,服务费底表!$T:$T,AM$3)</f>
        <v>0</v>
      </c>
      <c r="AN102" s="166">
        <f>SUMIFS(服务费底表!$AC:$AC,服务费底表!$K:$K,服务费明细!$B102,服务费底表!$T:$T,AN$3)</f>
        <v>0</v>
      </c>
      <c r="AO102" s="166">
        <f>SUMIFS(服务费底表!$AC:$AC,服务费底表!$K:$K,服务费明细!$B102,服务费底表!$T:$T,AO$3)</f>
        <v>0</v>
      </c>
      <c r="AP102" s="166">
        <f>SUMIFS(服务费底表!$AC:$AC,服务费底表!$K:$K,服务费明细!$B102,服务费底表!$T:$T,AP$3)</f>
        <v>0</v>
      </c>
      <c r="AQ102" s="166">
        <f>SUMIFS(服务费底表!$AC:$AC,服务费底表!$K:$K,服务费明细!$B102,服务费底表!$T:$T,AQ$3)</f>
        <v>0</v>
      </c>
      <c r="AR102" s="166">
        <f>SUMIFS(服务费底表!$AC:$AC,服务费底表!$K:$K,服务费明细!$B102,服务费底表!$T:$T,AR$3)</f>
        <v>3</v>
      </c>
      <c r="AS102" s="166">
        <f>SUMIFS(服务费底表!$AC:$AC,服务费底表!$K:$K,服务费明细!$B102,服务费底表!$T:$T,AS$3)</f>
        <v>0</v>
      </c>
      <c r="AT102" s="166">
        <f>SUMIFS(服务费底表!$AC:$AC,服务费底表!$K:$K,服务费明细!$B102,服务费底表!$T:$T,AT$3)</f>
        <v>0</v>
      </c>
      <c r="AU102" s="166">
        <f>SUMIFS(服务费底表!$AC:$AC,服务费底表!$K:$K,服务费明细!$B102,服务费底表!$T:$T,AU$3)</f>
        <v>0</v>
      </c>
      <c r="AV102" s="166">
        <f>SUMIFS(服务费底表!$AC:$AC,服务费底表!$K:$K,服务费明细!$B102,服务费底表!$T:$T,AV$3)</f>
        <v>0</v>
      </c>
      <c r="AW102" s="166">
        <f>SUMIFS(服务费底表!$AC:$AC,服务费底表!$K:$K,服务费明细!$B102,服务费底表!$T:$T,AW$3)</f>
        <v>0</v>
      </c>
      <c r="AX102" s="166">
        <f>SUMIFS(服务费底表!$AC:$AC,服务费底表!$K:$K,服务费明细!$B102,服务费底表!$T:$T,AX$3)</f>
        <v>0</v>
      </c>
      <c r="AY102" s="166">
        <f>SUMIFS(服务费底表!$AC:$AC,服务费底表!$K:$K,服务费明细!$B102,服务费底表!$T:$T,AY$3)</f>
        <v>0</v>
      </c>
      <c r="AZ102" s="166">
        <f>SUMIFS(服务费底表!$AC:$AC,服务费底表!$K:$K,服务费明细!$B102,服务费底表!$T:$T,AZ$3)</f>
        <v>0</v>
      </c>
      <c r="BA102" s="166">
        <f>SUMIFS(服务费底表!$AC:$AC,服务费底表!$K:$K,服务费明细!$B102,服务费底表!$T:$T,BA$3)</f>
        <v>0</v>
      </c>
      <c r="BB102" s="166">
        <f>SUMIFS(服务费底表!$AC:$AC,服务费底表!$K:$K,服务费明细!$B102,服务费底表!$T:$T,BB$3)</f>
        <v>0</v>
      </c>
      <c r="BC102" s="166">
        <f>SUMIFS(服务费底表!$AC:$AC,服务费底表!$K:$K,服务费明细!$B102,服务费底表!$T:$T,BC$3)</f>
        <v>0</v>
      </c>
      <c r="BD102" s="166">
        <f>SUMIFS(服务费底表!$AC:$AC,服务费底表!$K:$K,服务费明细!$B102,服务费底表!$T:$T,BD$3)</f>
        <v>0</v>
      </c>
      <c r="BE102" s="166">
        <f>SUMIFS(服务费底表!$AC:$AC,服务费底表!$K:$K,服务费明细!$B102,服务费底表!$T:$T,BE$3)</f>
        <v>0</v>
      </c>
      <c r="BF102" s="166">
        <f>SUMIFS(服务费底表!$AC:$AC,服务费底表!$K:$K,服务费明细!$B102,服务费底表!$T:$T,BF$3)</f>
        <v>0</v>
      </c>
      <c r="BG102" s="166">
        <f>SUMIFS(服务费底表!$AC:$AC,服务费底表!$K:$K,服务费明细!$B102,服务费底表!$T:$T,BG$3)</f>
        <v>0</v>
      </c>
      <c r="BI102" s="388">
        <f>SUMIFS(服务费底表!$AC:$AC,服务费底表!$K:$K,服务费明细!$B102,服务费底表!$H:$H,服务费明细!BI$3)</f>
        <v>3</v>
      </c>
      <c r="BJ102" s="388">
        <f>SUMIFS(服务费底表!$AC:$AC,服务费底表!$K:$K,服务费明细!$B102,服务费底表!$H:$H,服务费明细!BJ$3)</f>
        <v>0</v>
      </c>
      <c r="BK102" s="388">
        <f>SUMIFS(服务费底表!$AC:$AC,服务费底表!$K:$K,服务费明细!$B102,服务费底表!$H:$H,服务费明细!BK$3)</f>
        <v>0</v>
      </c>
      <c r="BL102" s="388">
        <f>SUMIFS(服务费底表!$AC:$AC,服务费底表!$K:$K,服务费明细!$B102,服务费底表!$H:$H,服务费明细!BL$3)</f>
        <v>0</v>
      </c>
      <c r="BM102" s="388">
        <f>SUMIFS(服务费底表!$AC:$AC,服务费底表!$K:$K,服务费明细!$B102,服务费底表!$H:$H,服务费明细!BM$3)</f>
        <v>0</v>
      </c>
      <c r="BN102" s="388">
        <f>SUMIFS(服务费底表!$AC:$AC,服务费底表!$K:$K,服务费明细!$B102,服务费底表!$H:$H,服务费明细!BN$3)</f>
        <v>0</v>
      </c>
      <c r="BO102" s="388">
        <f>SUMIFS(服务费底表!$AC:$AC,服务费底表!$K:$K,服务费明细!$B102,服务费底表!$H:$H,服务费明细!BO$3)</f>
        <v>0</v>
      </c>
      <c r="BQ102" s="389">
        <f>SUMIFS(服务费底表!$AD:$AD,服务费底表!$K:$K,服务费明细!$B102,服务费底表!$H:$H,服务费明细!BQ$3)</f>
        <v>1950</v>
      </c>
      <c r="BR102" s="389">
        <f>SUMIFS(服务费底表!$AD:$AD,服务费底表!$K:$K,服务费明细!$B102,服务费底表!$H:$H,服务费明细!BR$3)</f>
        <v>0</v>
      </c>
      <c r="BS102" s="389">
        <f>SUMIFS(服务费底表!$AD:$AD,服务费底表!$K:$K,服务费明细!$B102,服务费底表!$H:$H,服务费明细!BS$3)</f>
        <v>0</v>
      </c>
      <c r="BT102" s="389">
        <f>SUMIFS(服务费底表!$AD:$AD,服务费底表!$K:$K,服务费明细!$B102,服务费底表!$H:$H,服务费明细!BT$3)</f>
        <v>0</v>
      </c>
      <c r="BU102" s="389">
        <f>SUMIFS(服务费底表!$AD:$AD,服务费底表!$K:$K,服务费明细!$B102,服务费底表!$H:$H,服务费明细!BU$3)</f>
        <v>0</v>
      </c>
      <c r="BV102" s="389">
        <f>SUMIFS(服务费底表!$AD:$AD,服务费底表!$K:$K,服务费明细!$B102,服务费底表!$H:$H,服务费明细!BV$3)</f>
        <v>0</v>
      </c>
      <c r="BW102" s="389">
        <f>SUMIFS(服务费底表!$AD:$AD,服务费底表!$K:$K,服务费明细!$B102,服务费底表!$H:$H,服务费明细!BW$3)</f>
        <v>0</v>
      </c>
    </row>
    <row r="103" ht="42" customHeight="1" spans="2:75">
      <c r="B103" s="202" t="s">
        <v>257</v>
      </c>
      <c r="C103" s="89" t="str">
        <f>INDEX(二三级标准!$C:$C,MATCH(服务费明细!$B103,二三级标准!$B:$B,0))</f>
        <v>试验参与者合格性审核</v>
      </c>
      <c r="D103" s="166">
        <f t="shared" si="219"/>
        <v>1</v>
      </c>
      <c r="E103" s="166">
        <f>IF($D103=1,入组试验参与者数,0)</f>
        <v>30</v>
      </c>
      <c r="F103" s="89" t="str">
        <f>INDEX(二三级标准!$G:$G,MATCH(服务费明细!$B103,二三级标准!$B:$B,0))</f>
        <v>例</v>
      </c>
      <c r="G103" s="166">
        <f t="shared" si="196"/>
        <v>0</v>
      </c>
      <c r="H103" s="166">
        <f t="shared" si="197"/>
        <v>0</v>
      </c>
      <c r="I103" s="166">
        <f t="shared" si="198"/>
        <v>0</v>
      </c>
      <c r="J103" s="166">
        <f t="shared" si="199"/>
        <v>0</v>
      </c>
      <c r="K103" s="166">
        <f t="shared" si="200"/>
        <v>0</v>
      </c>
      <c r="L103" s="166">
        <f t="shared" si="201"/>
        <v>7.5</v>
      </c>
      <c r="M103" s="166">
        <f t="shared" si="202"/>
        <v>45</v>
      </c>
      <c r="N103" s="166">
        <f t="shared" si="203"/>
        <v>0</v>
      </c>
      <c r="O103" s="166">
        <f t="shared" si="204"/>
        <v>0</v>
      </c>
      <c r="P103" s="166">
        <f t="shared" si="205"/>
        <v>0</v>
      </c>
      <c r="Q103" s="166">
        <f t="shared" si="206"/>
        <v>0</v>
      </c>
      <c r="R103" s="166">
        <f t="shared" si="207"/>
        <v>0</v>
      </c>
      <c r="S103" s="166">
        <f t="shared" si="208"/>
        <v>0</v>
      </c>
      <c r="T103" s="166">
        <f t="shared" si="209"/>
        <v>0</v>
      </c>
      <c r="U103" s="166">
        <f t="shared" si="210"/>
        <v>0</v>
      </c>
      <c r="V103" s="166">
        <f t="shared" si="211"/>
        <v>0</v>
      </c>
      <c r="W103" s="166">
        <f t="shared" si="212"/>
        <v>0</v>
      </c>
      <c r="X103" s="166">
        <f t="shared" si="213"/>
        <v>0</v>
      </c>
      <c r="Y103" s="166">
        <f t="shared" si="214"/>
        <v>0</v>
      </c>
      <c r="Z103" s="166">
        <f t="shared" si="215"/>
        <v>0</v>
      </c>
      <c r="AA103" s="166">
        <f t="shared" si="216"/>
        <v>0</v>
      </c>
      <c r="AB103" s="166">
        <f t="shared" si="217"/>
        <v>0</v>
      </c>
      <c r="AC103" s="166" cm="1">
        <f t="array" ref="AC103">SUMPRODUCT(G103:AB103,$G$4:$AB$4)</f>
        <v>36675</v>
      </c>
      <c r="AD103" s="89" t="b">
        <f t="shared" si="220"/>
        <v>1</v>
      </c>
      <c r="AE103" s="386">
        <f>IFERROR(SUMIF(服务费底表!$K:$K,服务费明细!$B103,服务费底表!$AD:$AD)/E103,0)</f>
        <v>1222.5</v>
      </c>
      <c r="AF103" s="386">
        <f t="shared" si="221"/>
        <v>36675</v>
      </c>
      <c r="AG103" s="386">
        <f>IFERROR(SUMIF(服务费底表!$K:$K,服务费明细!$B103,服务费底表!$AG:$AG)/E103,0)</f>
        <v>1222.5</v>
      </c>
      <c r="AH103" s="386">
        <f t="shared" si="222"/>
        <v>36675</v>
      </c>
      <c r="AI103" s="409"/>
      <c r="AJ103" s="563">
        <f t="shared" si="223"/>
        <v>1.75</v>
      </c>
      <c r="AK103" s="564">
        <f>SUMIF(服务费底表!$K:$K,服务费明细!$B103,服务费底表!$AC:$AC)</f>
        <v>52.5</v>
      </c>
      <c r="AL103" s="166">
        <f>SUMIFS(服务费底表!$AC:$AC,服务费底表!$K:$K,服务费明细!$B103,服务费底表!$T:$T,AL$3)</f>
        <v>0</v>
      </c>
      <c r="AM103" s="166">
        <f>SUMIFS(服务费底表!$AC:$AC,服务费底表!$K:$K,服务费明细!$B103,服务费底表!$T:$T,AM$3)</f>
        <v>0</v>
      </c>
      <c r="AN103" s="166">
        <f>SUMIFS(服务费底表!$AC:$AC,服务费底表!$K:$K,服务费明细!$B103,服务费底表!$T:$T,AN$3)</f>
        <v>0</v>
      </c>
      <c r="AO103" s="166">
        <f>SUMIFS(服务费底表!$AC:$AC,服务费底表!$K:$K,服务费明细!$B103,服务费底表!$T:$T,AO$3)</f>
        <v>0</v>
      </c>
      <c r="AP103" s="166">
        <f>SUMIFS(服务费底表!$AC:$AC,服务费底表!$K:$K,服务费明细!$B103,服务费底表!$T:$T,AP$3)</f>
        <v>0</v>
      </c>
      <c r="AQ103" s="166">
        <f>SUMIFS(服务费底表!$AC:$AC,服务费底表!$K:$K,服务费明细!$B103,服务费底表!$T:$T,AQ$3)</f>
        <v>7.5</v>
      </c>
      <c r="AR103" s="166">
        <f>SUMIFS(服务费底表!$AC:$AC,服务费底表!$K:$K,服务费明细!$B103,服务费底表!$T:$T,AR$3)</f>
        <v>45</v>
      </c>
      <c r="AS103" s="166">
        <f>SUMIFS(服务费底表!$AC:$AC,服务费底表!$K:$K,服务费明细!$B103,服务费底表!$T:$T,AS$3)</f>
        <v>0</v>
      </c>
      <c r="AT103" s="166">
        <f>SUMIFS(服务费底表!$AC:$AC,服务费底表!$K:$K,服务费明细!$B103,服务费底表!$T:$T,AT$3)</f>
        <v>0</v>
      </c>
      <c r="AU103" s="166">
        <f>SUMIFS(服务费底表!$AC:$AC,服务费底表!$K:$K,服务费明细!$B103,服务费底表!$T:$T,AU$3)</f>
        <v>0</v>
      </c>
      <c r="AV103" s="166">
        <f>SUMIFS(服务费底表!$AC:$AC,服务费底表!$K:$K,服务费明细!$B103,服务费底表!$T:$T,AV$3)</f>
        <v>0</v>
      </c>
      <c r="AW103" s="166">
        <f>SUMIFS(服务费底表!$AC:$AC,服务费底表!$K:$K,服务费明细!$B103,服务费底表!$T:$T,AW$3)</f>
        <v>0</v>
      </c>
      <c r="AX103" s="166">
        <f>SUMIFS(服务费底表!$AC:$AC,服务费底表!$K:$K,服务费明细!$B103,服务费底表!$T:$T,AX$3)</f>
        <v>0</v>
      </c>
      <c r="AY103" s="166">
        <f>SUMIFS(服务费底表!$AC:$AC,服务费底表!$K:$K,服务费明细!$B103,服务费底表!$T:$T,AY$3)</f>
        <v>0</v>
      </c>
      <c r="AZ103" s="166">
        <f>SUMIFS(服务费底表!$AC:$AC,服务费底表!$K:$K,服务费明细!$B103,服务费底表!$T:$T,AZ$3)</f>
        <v>0</v>
      </c>
      <c r="BA103" s="166">
        <f>SUMIFS(服务费底表!$AC:$AC,服务费底表!$K:$K,服务费明细!$B103,服务费底表!$T:$T,BA$3)</f>
        <v>0</v>
      </c>
      <c r="BB103" s="166">
        <f>SUMIFS(服务费底表!$AC:$AC,服务费底表!$K:$K,服务费明细!$B103,服务费底表!$T:$T,BB$3)</f>
        <v>0</v>
      </c>
      <c r="BC103" s="166">
        <f>SUMIFS(服务费底表!$AC:$AC,服务费底表!$K:$K,服务费明细!$B103,服务费底表!$T:$T,BC$3)</f>
        <v>0</v>
      </c>
      <c r="BD103" s="166">
        <f>SUMIFS(服务费底表!$AC:$AC,服务费底表!$K:$K,服务费明细!$B103,服务费底表!$T:$T,BD$3)</f>
        <v>0</v>
      </c>
      <c r="BE103" s="166">
        <f>SUMIFS(服务费底表!$AC:$AC,服务费底表!$K:$K,服务费明细!$B103,服务费底表!$T:$T,BE$3)</f>
        <v>0</v>
      </c>
      <c r="BF103" s="166">
        <f>SUMIFS(服务费底表!$AC:$AC,服务费底表!$K:$K,服务费明细!$B103,服务费底表!$T:$T,BF$3)</f>
        <v>0</v>
      </c>
      <c r="BG103" s="166">
        <f>SUMIFS(服务费底表!$AC:$AC,服务费底表!$K:$K,服务费明细!$B103,服务费底表!$T:$T,BG$3)</f>
        <v>0</v>
      </c>
      <c r="BI103" s="388">
        <f>SUMIFS(服务费底表!$AC:$AC,服务费底表!$K:$K,服务费明细!$B103,服务费底表!$H:$H,服务费明细!BI$3)</f>
        <v>52.5</v>
      </c>
      <c r="BJ103" s="388">
        <f>SUMIFS(服务费底表!$AC:$AC,服务费底表!$K:$K,服务费明细!$B103,服务费底表!$H:$H,服务费明细!BJ$3)</f>
        <v>0</v>
      </c>
      <c r="BK103" s="388">
        <f>SUMIFS(服务费底表!$AC:$AC,服务费底表!$K:$K,服务费明细!$B103,服务费底表!$H:$H,服务费明细!BK$3)</f>
        <v>0</v>
      </c>
      <c r="BL103" s="388">
        <f>SUMIFS(服务费底表!$AC:$AC,服务费底表!$K:$K,服务费明细!$B103,服务费底表!$H:$H,服务费明细!BL$3)</f>
        <v>0</v>
      </c>
      <c r="BM103" s="388">
        <f>SUMIFS(服务费底表!$AC:$AC,服务费底表!$K:$K,服务费明细!$B103,服务费底表!$H:$H,服务费明细!BM$3)</f>
        <v>0</v>
      </c>
      <c r="BN103" s="388">
        <f>SUMIFS(服务费底表!$AC:$AC,服务费底表!$K:$K,服务费明细!$B103,服务费底表!$H:$H,服务费明细!BN$3)</f>
        <v>0</v>
      </c>
      <c r="BO103" s="388">
        <f>SUMIFS(服务费底表!$AC:$AC,服务费底表!$K:$K,服务费明细!$B103,服务费底表!$H:$H,服务费明细!BO$3)</f>
        <v>0</v>
      </c>
      <c r="BQ103" s="389">
        <f>SUMIFS(服务费底表!$AD:$AD,服务费底表!$K:$K,服务费明细!$B103,服务费底表!$H:$H,服务费明细!BQ$3)</f>
        <v>36675</v>
      </c>
      <c r="BR103" s="389">
        <f>SUMIFS(服务费底表!$AD:$AD,服务费底表!$K:$K,服务费明细!$B103,服务费底表!$H:$H,服务费明细!BR$3)</f>
        <v>0</v>
      </c>
      <c r="BS103" s="389">
        <f>SUMIFS(服务费底表!$AD:$AD,服务费底表!$K:$K,服务费明细!$B103,服务费底表!$H:$H,服务费明细!BS$3)</f>
        <v>0</v>
      </c>
      <c r="BT103" s="389">
        <f>SUMIFS(服务费底表!$AD:$AD,服务费底表!$K:$K,服务费明细!$B103,服务费底表!$H:$H,服务费明细!BT$3)</f>
        <v>0</v>
      </c>
      <c r="BU103" s="389">
        <f>SUMIFS(服务费底表!$AD:$AD,服务费底表!$K:$K,服务费明细!$B103,服务费底表!$H:$H,服务费明细!BU$3)</f>
        <v>0</v>
      </c>
      <c r="BV103" s="389">
        <f>SUMIFS(服务费底表!$AD:$AD,服务费底表!$K:$K,服务费明细!$B103,服务费底表!$H:$H,服务费明细!BV$3)</f>
        <v>0</v>
      </c>
      <c r="BW103" s="389">
        <f>SUMIFS(服务费底表!$AD:$AD,服务费底表!$K:$K,服务费明细!$B103,服务费底表!$H:$H,服务费明细!BW$3)</f>
        <v>0</v>
      </c>
    </row>
    <row r="104" ht="26.4" spans="2:75">
      <c r="B104" s="202" t="s">
        <v>259</v>
      </c>
      <c r="C104" s="89" t="str">
        <f>INDEX(二三级标准!$C:$C,MATCH(服务费明细!$B104,二三级标准!$B:$B,0))</f>
        <v>方案偏离审核</v>
      </c>
      <c r="D104" s="166">
        <f t="shared" si="219"/>
        <v>1</v>
      </c>
      <c r="E104" s="166">
        <f>IF($D104=1,ROUND(SUM(筛选月+入组月+治疗月+随访月+长随访月+锁库月),0),0)</f>
        <v>14</v>
      </c>
      <c r="F104" s="89" t="str">
        <f>INDEX(二三级标准!$G:$G,MATCH(服务费明细!$B104,二三级标准!$B:$B,0))</f>
        <v>月</v>
      </c>
      <c r="G104" s="166">
        <f t="shared" si="196"/>
        <v>0</v>
      </c>
      <c r="H104" s="166">
        <f t="shared" si="197"/>
        <v>0</v>
      </c>
      <c r="I104" s="166">
        <f t="shared" si="198"/>
        <v>0</v>
      </c>
      <c r="J104" s="166">
        <f t="shared" si="199"/>
        <v>0</v>
      </c>
      <c r="K104" s="166">
        <f t="shared" si="200"/>
        <v>0</v>
      </c>
      <c r="L104" s="166">
        <f t="shared" si="201"/>
        <v>7</v>
      </c>
      <c r="M104" s="166">
        <f t="shared" si="202"/>
        <v>42</v>
      </c>
      <c r="N104" s="166">
        <f t="shared" si="203"/>
        <v>0</v>
      </c>
      <c r="O104" s="166">
        <f t="shared" si="204"/>
        <v>0</v>
      </c>
      <c r="P104" s="166">
        <f t="shared" si="205"/>
        <v>0</v>
      </c>
      <c r="Q104" s="166">
        <f t="shared" si="206"/>
        <v>0</v>
      </c>
      <c r="R104" s="166">
        <f t="shared" si="207"/>
        <v>0</v>
      </c>
      <c r="S104" s="166">
        <f t="shared" si="208"/>
        <v>0</v>
      </c>
      <c r="T104" s="166">
        <f t="shared" si="209"/>
        <v>0</v>
      </c>
      <c r="U104" s="166">
        <f t="shared" si="210"/>
        <v>0</v>
      </c>
      <c r="V104" s="166">
        <f t="shared" si="211"/>
        <v>0</v>
      </c>
      <c r="W104" s="166">
        <f t="shared" si="212"/>
        <v>0</v>
      </c>
      <c r="X104" s="166">
        <f t="shared" si="213"/>
        <v>0</v>
      </c>
      <c r="Y104" s="166">
        <f t="shared" si="214"/>
        <v>0</v>
      </c>
      <c r="Z104" s="166">
        <f t="shared" si="215"/>
        <v>0</v>
      </c>
      <c r="AA104" s="166">
        <f t="shared" si="216"/>
        <v>0</v>
      </c>
      <c r="AB104" s="166">
        <f t="shared" si="217"/>
        <v>0</v>
      </c>
      <c r="AC104" s="166" cm="1">
        <f t="array" ref="AC104">SUMPRODUCT(G104:AB104,$G$4:$AB$4)</f>
        <v>34230</v>
      </c>
      <c r="AD104" s="89" t="b">
        <f t="shared" si="220"/>
        <v>1</v>
      </c>
      <c r="AE104" s="386">
        <f>IFERROR(SUMIF(服务费底表!$K:$K,服务费明细!$B104,服务费底表!$AD:$AD)/E104,0)</f>
        <v>2445</v>
      </c>
      <c r="AF104" s="386">
        <f t="shared" si="221"/>
        <v>34230</v>
      </c>
      <c r="AG104" s="386">
        <f>IFERROR(SUMIF(服务费底表!$K:$K,服务费明细!$B104,服务费底表!$AG:$AG)/E104,0)</f>
        <v>2445</v>
      </c>
      <c r="AH104" s="386">
        <f t="shared" si="222"/>
        <v>34230</v>
      </c>
      <c r="AI104" s="409" t="s">
        <v>1038</v>
      </c>
      <c r="AJ104" s="563">
        <f t="shared" si="223"/>
        <v>3.5</v>
      </c>
      <c r="AK104" s="564">
        <f>SUMIF(服务费底表!$K:$K,服务费明细!$B104,服务费底表!$AC:$AC)</f>
        <v>49</v>
      </c>
      <c r="AL104" s="166">
        <f>SUMIFS(服务费底表!$AC:$AC,服务费底表!$K:$K,服务费明细!$B104,服务费底表!$T:$T,AL$3)</f>
        <v>0</v>
      </c>
      <c r="AM104" s="166">
        <f>SUMIFS(服务费底表!$AC:$AC,服务费底表!$K:$K,服务费明细!$B104,服务费底表!$T:$T,AM$3)</f>
        <v>0</v>
      </c>
      <c r="AN104" s="166">
        <f>SUMIFS(服务费底表!$AC:$AC,服务费底表!$K:$K,服务费明细!$B104,服务费底表!$T:$T,AN$3)</f>
        <v>0</v>
      </c>
      <c r="AO104" s="166">
        <f>SUMIFS(服务费底表!$AC:$AC,服务费底表!$K:$K,服务费明细!$B104,服务费底表!$T:$T,AO$3)</f>
        <v>0</v>
      </c>
      <c r="AP104" s="166">
        <f>SUMIFS(服务费底表!$AC:$AC,服务费底表!$K:$K,服务费明细!$B104,服务费底表!$T:$T,AP$3)</f>
        <v>0</v>
      </c>
      <c r="AQ104" s="166">
        <f>SUMIFS(服务费底表!$AC:$AC,服务费底表!$K:$K,服务费明细!$B104,服务费底表!$T:$T,AQ$3)</f>
        <v>7</v>
      </c>
      <c r="AR104" s="166">
        <f>SUMIFS(服务费底表!$AC:$AC,服务费底表!$K:$K,服务费明细!$B104,服务费底表!$T:$T,AR$3)</f>
        <v>42</v>
      </c>
      <c r="AS104" s="166">
        <f>SUMIFS(服务费底表!$AC:$AC,服务费底表!$K:$K,服务费明细!$B104,服务费底表!$T:$T,AS$3)</f>
        <v>0</v>
      </c>
      <c r="AT104" s="166">
        <f>SUMIFS(服务费底表!$AC:$AC,服务费底表!$K:$K,服务费明细!$B104,服务费底表!$T:$T,AT$3)</f>
        <v>0</v>
      </c>
      <c r="AU104" s="166">
        <f>SUMIFS(服务费底表!$AC:$AC,服务费底表!$K:$K,服务费明细!$B104,服务费底表!$T:$T,AU$3)</f>
        <v>0</v>
      </c>
      <c r="AV104" s="166">
        <f>SUMIFS(服务费底表!$AC:$AC,服务费底表!$K:$K,服务费明细!$B104,服务费底表!$T:$T,AV$3)</f>
        <v>0</v>
      </c>
      <c r="AW104" s="166">
        <f>SUMIFS(服务费底表!$AC:$AC,服务费底表!$K:$K,服务费明细!$B104,服务费底表!$T:$T,AW$3)</f>
        <v>0</v>
      </c>
      <c r="AX104" s="166">
        <f>SUMIFS(服务费底表!$AC:$AC,服务费底表!$K:$K,服务费明细!$B104,服务费底表!$T:$T,AX$3)</f>
        <v>0</v>
      </c>
      <c r="AY104" s="166">
        <f>SUMIFS(服务费底表!$AC:$AC,服务费底表!$K:$K,服务费明细!$B104,服务费底表!$T:$T,AY$3)</f>
        <v>0</v>
      </c>
      <c r="AZ104" s="166">
        <f>SUMIFS(服务费底表!$AC:$AC,服务费底表!$K:$K,服务费明细!$B104,服务费底表!$T:$T,AZ$3)</f>
        <v>0</v>
      </c>
      <c r="BA104" s="166">
        <f>SUMIFS(服务费底表!$AC:$AC,服务费底表!$K:$K,服务费明细!$B104,服务费底表!$T:$T,BA$3)</f>
        <v>0</v>
      </c>
      <c r="BB104" s="166">
        <f>SUMIFS(服务费底表!$AC:$AC,服务费底表!$K:$K,服务费明细!$B104,服务费底表!$T:$T,BB$3)</f>
        <v>0</v>
      </c>
      <c r="BC104" s="166">
        <f>SUMIFS(服务费底表!$AC:$AC,服务费底表!$K:$K,服务费明细!$B104,服务费底表!$T:$T,BC$3)</f>
        <v>0</v>
      </c>
      <c r="BD104" s="166">
        <f>SUMIFS(服务费底表!$AC:$AC,服务费底表!$K:$K,服务费明细!$B104,服务费底表!$T:$T,BD$3)</f>
        <v>0</v>
      </c>
      <c r="BE104" s="166">
        <f>SUMIFS(服务费底表!$AC:$AC,服务费底表!$K:$K,服务费明细!$B104,服务费底表!$T:$T,BE$3)</f>
        <v>0</v>
      </c>
      <c r="BF104" s="166">
        <f>SUMIFS(服务费底表!$AC:$AC,服务费底表!$K:$K,服务费明细!$B104,服务费底表!$T:$T,BF$3)</f>
        <v>0</v>
      </c>
      <c r="BG104" s="166">
        <f>SUMIFS(服务费底表!$AC:$AC,服务费底表!$K:$K,服务费明细!$B104,服务费底表!$T:$T,BG$3)</f>
        <v>0</v>
      </c>
      <c r="BI104" s="388">
        <f>SUMIFS(服务费底表!$AC:$AC,服务费底表!$K:$K,服务费明细!$B104,服务费底表!$H:$H,服务费明细!BI$3)</f>
        <v>49</v>
      </c>
      <c r="BJ104" s="388">
        <f>SUMIFS(服务费底表!$AC:$AC,服务费底表!$K:$K,服务费明细!$B104,服务费底表!$H:$H,服务费明细!BJ$3)</f>
        <v>0</v>
      </c>
      <c r="BK104" s="388">
        <f>SUMIFS(服务费底表!$AC:$AC,服务费底表!$K:$K,服务费明细!$B104,服务费底表!$H:$H,服务费明细!BK$3)</f>
        <v>0</v>
      </c>
      <c r="BL104" s="388">
        <f>SUMIFS(服务费底表!$AC:$AC,服务费底表!$K:$K,服务费明细!$B104,服务费底表!$H:$H,服务费明细!BL$3)</f>
        <v>0</v>
      </c>
      <c r="BM104" s="388">
        <f>SUMIFS(服务费底表!$AC:$AC,服务费底表!$K:$K,服务费明细!$B104,服务费底表!$H:$H,服务费明细!BM$3)</f>
        <v>0</v>
      </c>
      <c r="BN104" s="388">
        <f>SUMIFS(服务费底表!$AC:$AC,服务费底表!$K:$K,服务费明细!$B104,服务费底表!$H:$H,服务费明细!BN$3)</f>
        <v>0</v>
      </c>
      <c r="BO104" s="388">
        <f>SUMIFS(服务费底表!$AC:$AC,服务费底表!$K:$K,服务费明细!$B104,服务费底表!$H:$H,服务费明细!BO$3)</f>
        <v>0</v>
      </c>
      <c r="BQ104" s="389">
        <f>SUMIFS(服务费底表!$AD:$AD,服务费底表!$K:$K,服务费明细!$B104,服务费底表!$H:$H,服务费明细!BQ$3)</f>
        <v>34230</v>
      </c>
      <c r="BR104" s="389">
        <f>SUMIFS(服务费底表!$AD:$AD,服务费底表!$K:$K,服务费明细!$B104,服务费底表!$H:$H,服务费明细!BR$3)</f>
        <v>0</v>
      </c>
      <c r="BS104" s="389">
        <f>SUMIFS(服务费底表!$AD:$AD,服务费底表!$K:$K,服务费明细!$B104,服务费底表!$H:$H,服务费明细!BS$3)</f>
        <v>0</v>
      </c>
      <c r="BT104" s="389">
        <f>SUMIFS(服务费底表!$AD:$AD,服务费底表!$K:$K,服务费明细!$B104,服务费底表!$H:$H,服务费明细!BT$3)</f>
        <v>0</v>
      </c>
      <c r="BU104" s="389">
        <f>SUMIFS(服务费底表!$AD:$AD,服务费底表!$K:$K,服务费明细!$B104,服务费底表!$H:$H,服务费明细!BU$3)</f>
        <v>0</v>
      </c>
      <c r="BV104" s="389">
        <f>SUMIFS(服务费底表!$AD:$AD,服务费底表!$K:$K,服务费明细!$B104,服务费底表!$H:$H,服务费明细!BV$3)</f>
        <v>0</v>
      </c>
      <c r="BW104" s="389">
        <f>SUMIFS(服务费底表!$AD:$AD,服务费底表!$K:$K,服务费明细!$B104,服务费底表!$H:$H,服务费明细!BW$3)</f>
        <v>0</v>
      </c>
    </row>
    <row r="105" ht="39.6" spans="2:75">
      <c r="B105" s="202" t="s">
        <v>261</v>
      </c>
      <c r="C105" s="89" t="str">
        <f>INDEX(二三级标准!$C:$C,MATCH(服务费明细!$B105,二三级标准!$B:$B,0))</f>
        <v>EDC数据列表审核</v>
      </c>
      <c r="D105" s="166">
        <f t="shared" si="219"/>
        <v>1</v>
      </c>
      <c r="E105" s="166">
        <f>IF($D105=1,ROUND(SUM(筛选月+入组月+治疗月+随访月+长随访月+锁库月),0),0)</f>
        <v>14</v>
      </c>
      <c r="F105" s="89" t="str">
        <f>INDEX(二三级标准!$G:$G,MATCH(服务费明细!$B105,二三级标准!$B:$B,0))</f>
        <v>月</v>
      </c>
      <c r="G105" s="166">
        <f t="shared" si="196"/>
        <v>0</v>
      </c>
      <c r="H105" s="166">
        <f t="shared" si="197"/>
        <v>0</v>
      </c>
      <c r="I105" s="166">
        <f t="shared" si="198"/>
        <v>0</v>
      </c>
      <c r="J105" s="166">
        <f t="shared" si="199"/>
        <v>0</v>
      </c>
      <c r="K105" s="166">
        <f t="shared" si="200"/>
        <v>0</v>
      </c>
      <c r="L105" s="166">
        <f t="shared" si="201"/>
        <v>14</v>
      </c>
      <c r="M105" s="166">
        <f t="shared" si="202"/>
        <v>77</v>
      </c>
      <c r="N105" s="166">
        <f t="shared" si="203"/>
        <v>0</v>
      </c>
      <c r="O105" s="166">
        <f t="shared" si="204"/>
        <v>0</v>
      </c>
      <c r="P105" s="166">
        <f t="shared" si="205"/>
        <v>0</v>
      </c>
      <c r="Q105" s="166">
        <f t="shared" si="206"/>
        <v>0</v>
      </c>
      <c r="R105" s="166">
        <f t="shared" si="207"/>
        <v>0</v>
      </c>
      <c r="S105" s="166">
        <f t="shared" si="208"/>
        <v>0</v>
      </c>
      <c r="T105" s="166">
        <f t="shared" si="209"/>
        <v>0</v>
      </c>
      <c r="U105" s="166">
        <f t="shared" si="210"/>
        <v>0</v>
      </c>
      <c r="V105" s="166">
        <f t="shared" si="211"/>
        <v>0</v>
      </c>
      <c r="W105" s="166">
        <f t="shared" si="212"/>
        <v>0</v>
      </c>
      <c r="X105" s="166">
        <f t="shared" si="213"/>
        <v>0</v>
      </c>
      <c r="Y105" s="166">
        <f t="shared" si="214"/>
        <v>0</v>
      </c>
      <c r="Z105" s="166">
        <f t="shared" si="215"/>
        <v>0</v>
      </c>
      <c r="AA105" s="166">
        <f t="shared" si="216"/>
        <v>0</v>
      </c>
      <c r="AB105" s="166">
        <f t="shared" si="217"/>
        <v>0</v>
      </c>
      <c r="AC105" s="166" cm="1">
        <f t="array" ref="AC105">SUMPRODUCT(G105:AB105,$G$4:$AB$4)</f>
        <v>63910</v>
      </c>
      <c r="AD105" s="89" t="b">
        <f t="shared" si="220"/>
        <v>1</v>
      </c>
      <c r="AE105" s="386">
        <f>IFERROR(SUMIF(服务费底表!$K:$K,服务费明细!$B105,服务费底表!$AD:$AD)/E105,0)</f>
        <v>4565</v>
      </c>
      <c r="AF105" s="386">
        <f t="shared" si="221"/>
        <v>63910</v>
      </c>
      <c r="AG105" s="386">
        <f>IFERROR(SUMIF(服务费底表!$K:$K,服务费明细!$B105,服务费底表!$AG:$AG)/E105,0)</f>
        <v>4565</v>
      </c>
      <c r="AH105" s="386">
        <f t="shared" si="222"/>
        <v>63910</v>
      </c>
      <c r="AI105" s="409" t="s">
        <v>1039</v>
      </c>
      <c r="AJ105" s="563">
        <f t="shared" si="223"/>
        <v>6.5</v>
      </c>
      <c r="AK105" s="564">
        <f>SUMIF(服务费底表!$K:$K,服务费明细!$B105,服务费底表!$AC:$AC)</f>
        <v>91</v>
      </c>
      <c r="AL105" s="166">
        <f>SUMIFS(服务费底表!$AC:$AC,服务费底表!$K:$K,服务费明细!$B105,服务费底表!$T:$T,AL$3)</f>
        <v>0</v>
      </c>
      <c r="AM105" s="166">
        <f>SUMIFS(服务费底表!$AC:$AC,服务费底表!$K:$K,服务费明细!$B105,服务费底表!$T:$T,AM$3)</f>
        <v>0</v>
      </c>
      <c r="AN105" s="166">
        <f>SUMIFS(服务费底表!$AC:$AC,服务费底表!$K:$K,服务费明细!$B105,服务费底表!$T:$T,AN$3)</f>
        <v>0</v>
      </c>
      <c r="AO105" s="166">
        <f>SUMIFS(服务费底表!$AC:$AC,服务费底表!$K:$K,服务费明细!$B105,服务费底表!$T:$T,AO$3)</f>
        <v>0</v>
      </c>
      <c r="AP105" s="166">
        <f>SUMIFS(服务费底表!$AC:$AC,服务费底表!$K:$K,服务费明细!$B105,服务费底表!$T:$T,AP$3)</f>
        <v>0</v>
      </c>
      <c r="AQ105" s="166">
        <f>SUMIFS(服务费底表!$AC:$AC,服务费底表!$K:$K,服务费明细!$B105,服务费底表!$T:$T,AQ$3)</f>
        <v>14</v>
      </c>
      <c r="AR105" s="166">
        <f>SUMIFS(服务费底表!$AC:$AC,服务费底表!$K:$K,服务费明细!$B105,服务费底表!$T:$T,AR$3)</f>
        <v>77</v>
      </c>
      <c r="AS105" s="166">
        <f>SUMIFS(服务费底表!$AC:$AC,服务费底表!$K:$K,服务费明细!$B105,服务费底表!$T:$T,AS$3)</f>
        <v>0</v>
      </c>
      <c r="AT105" s="166">
        <f>SUMIFS(服务费底表!$AC:$AC,服务费底表!$K:$K,服务费明细!$B105,服务费底表!$T:$T,AT$3)</f>
        <v>0</v>
      </c>
      <c r="AU105" s="166">
        <f>SUMIFS(服务费底表!$AC:$AC,服务费底表!$K:$K,服务费明细!$B105,服务费底表!$T:$T,AU$3)</f>
        <v>0</v>
      </c>
      <c r="AV105" s="166">
        <f>SUMIFS(服务费底表!$AC:$AC,服务费底表!$K:$K,服务费明细!$B105,服务费底表!$T:$T,AV$3)</f>
        <v>0</v>
      </c>
      <c r="AW105" s="166">
        <f>SUMIFS(服务费底表!$AC:$AC,服务费底表!$K:$K,服务费明细!$B105,服务费底表!$T:$T,AW$3)</f>
        <v>0</v>
      </c>
      <c r="AX105" s="166">
        <f>SUMIFS(服务费底表!$AC:$AC,服务费底表!$K:$K,服务费明细!$B105,服务费底表!$T:$T,AX$3)</f>
        <v>0</v>
      </c>
      <c r="AY105" s="166">
        <f>SUMIFS(服务费底表!$AC:$AC,服务费底表!$K:$K,服务费明细!$B105,服务费底表!$T:$T,AY$3)</f>
        <v>0</v>
      </c>
      <c r="AZ105" s="166">
        <f>SUMIFS(服务费底表!$AC:$AC,服务费底表!$K:$K,服务费明细!$B105,服务费底表!$T:$T,AZ$3)</f>
        <v>0</v>
      </c>
      <c r="BA105" s="166">
        <f>SUMIFS(服务费底表!$AC:$AC,服务费底表!$K:$K,服务费明细!$B105,服务费底表!$T:$T,BA$3)</f>
        <v>0</v>
      </c>
      <c r="BB105" s="166">
        <f>SUMIFS(服务费底表!$AC:$AC,服务费底表!$K:$K,服务费明细!$B105,服务费底表!$T:$T,BB$3)</f>
        <v>0</v>
      </c>
      <c r="BC105" s="166">
        <f>SUMIFS(服务费底表!$AC:$AC,服务费底表!$K:$K,服务费明细!$B105,服务费底表!$T:$T,BC$3)</f>
        <v>0</v>
      </c>
      <c r="BD105" s="166">
        <f>SUMIFS(服务费底表!$AC:$AC,服务费底表!$K:$K,服务费明细!$B105,服务费底表!$T:$T,BD$3)</f>
        <v>0</v>
      </c>
      <c r="BE105" s="166">
        <f>SUMIFS(服务费底表!$AC:$AC,服务费底表!$K:$K,服务费明细!$B105,服务费底表!$T:$T,BE$3)</f>
        <v>0</v>
      </c>
      <c r="BF105" s="166">
        <f>SUMIFS(服务费底表!$AC:$AC,服务费底表!$K:$K,服务费明细!$B105,服务费底表!$T:$T,BF$3)</f>
        <v>0</v>
      </c>
      <c r="BG105" s="166">
        <f>SUMIFS(服务费底表!$AC:$AC,服务费底表!$K:$K,服务费明细!$B105,服务费底表!$T:$T,BG$3)</f>
        <v>0</v>
      </c>
      <c r="BI105" s="388">
        <f>SUMIFS(服务费底表!$AC:$AC,服务费底表!$K:$K,服务费明细!$B105,服务费底表!$H:$H,服务费明细!BI$3)</f>
        <v>91</v>
      </c>
      <c r="BJ105" s="388">
        <f>SUMIFS(服务费底表!$AC:$AC,服务费底表!$K:$K,服务费明细!$B105,服务费底表!$H:$H,服务费明细!BJ$3)</f>
        <v>0</v>
      </c>
      <c r="BK105" s="388">
        <f>SUMIFS(服务费底表!$AC:$AC,服务费底表!$K:$K,服务费明细!$B105,服务费底表!$H:$H,服务费明细!BK$3)</f>
        <v>0</v>
      </c>
      <c r="BL105" s="388">
        <f>SUMIFS(服务费底表!$AC:$AC,服务费底表!$K:$K,服务费明细!$B105,服务费底表!$H:$H,服务费明细!BL$3)</f>
        <v>0</v>
      </c>
      <c r="BM105" s="388">
        <f>SUMIFS(服务费底表!$AC:$AC,服务费底表!$K:$K,服务费明细!$B105,服务费底表!$H:$H,服务费明细!BM$3)</f>
        <v>0</v>
      </c>
      <c r="BN105" s="388">
        <f>SUMIFS(服务费底表!$AC:$AC,服务费底表!$K:$K,服务费明细!$B105,服务费底表!$H:$H,服务费明细!BN$3)</f>
        <v>0</v>
      </c>
      <c r="BO105" s="388">
        <f>SUMIFS(服务费底表!$AC:$AC,服务费底表!$K:$K,服务费明细!$B105,服务费底表!$H:$H,服务费明细!BO$3)</f>
        <v>0</v>
      </c>
      <c r="BQ105" s="389">
        <f>SUMIFS(服务费底表!$AD:$AD,服务费底表!$K:$K,服务费明细!$B105,服务费底表!$H:$H,服务费明细!BQ$3)</f>
        <v>63910</v>
      </c>
      <c r="BR105" s="389">
        <f>SUMIFS(服务费底表!$AD:$AD,服务费底表!$K:$K,服务费明细!$B105,服务费底表!$H:$H,服务费明细!BR$3)</f>
        <v>0</v>
      </c>
      <c r="BS105" s="389">
        <f>SUMIFS(服务费底表!$AD:$AD,服务费底表!$K:$K,服务费明细!$B105,服务费底表!$H:$H,服务费明细!BS$3)</f>
        <v>0</v>
      </c>
      <c r="BT105" s="389">
        <f>SUMIFS(服务费底表!$AD:$AD,服务费底表!$K:$K,服务费明细!$B105,服务费底表!$H:$H,服务费明细!BT$3)</f>
        <v>0</v>
      </c>
      <c r="BU105" s="389">
        <f>SUMIFS(服务费底表!$AD:$AD,服务费底表!$K:$K,服务费明细!$B105,服务费底表!$H:$H,服务费明细!BU$3)</f>
        <v>0</v>
      </c>
      <c r="BV105" s="389">
        <f>SUMIFS(服务费底表!$AD:$AD,服务费底表!$K:$K,服务费明细!$B105,服务费底表!$H:$H,服务费明细!BV$3)</f>
        <v>0</v>
      </c>
      <c r="BW105" s="389">
        <f>SUMIFS(服务费底表!$AD:$AD,服务费底表!$K:$K,服务费明细!$B105,服务费底表!$H:$H,服务费明细!BW$3)</f>
        <v>0</v>
      </c>
    </row>
    <row r="106" ht="25" customHeight="1" spans="2:75">
      <c r="B106" s="202" t="s">
        <v>263</v>
      </c>
      <c r="C106" s="89" t="str">
        <f>INDEX(二三级标准!$C:$C,MATCH(服务费明细!$B106,二三级标准!$B:$B,0))</f>
        <v>医学编码审核</v>
      </c>
      <c r="D106" s="166">
        <f t="shared" si="219"/>
        <v>1</v>
      </c>
      <c r="E106" s="166">
        <f>IF($D106=1,ROUND(SUM(筛选月+入组月+治疗月+随访月+长随访月+锁库月),0),0)</f>
        <v>14</v>
      </c>
      <c r="F106" s="89" t="str">
        <f>INDEX(二三级标准!$G:$G,MATCH(服务费明细!$B106,二三级标准!$B:$B,0))</f>
        <v>月</v>
      </c>
      <c r="G106" s="166">
        <f t="shared" si="196"/>
        <v>0</v>
      </c>
      <c r="H106" s="166">
        <f t="shared" si="197"/>
        <v>0</v>
      </c>
      <c r="I106" s="166">
        <f t="shared" si="198"/>
        <v>0</v>
      </c>
      <c r="J106" s="166">
        <f t="shared" si="199"/>
        <v>0</v>
      </c>
      <c r="K106" s="166">
        <f t="shared" si="200"/>
        <v>0</v>
      </c>
      <c r="L106" s="166">
        <f t="shared" si="201"/>
        <v>2.8</v>
      </c>
      <c r="M106" s="166">
        <f t="shared" si="202"/>
        <v>14</v>
      </c>
      <c r="N106" s="166">
        <f t="shared" si="203"/>
        <v>0</v>
      </c>
      <c r="O106" s="166">
        <f t="shared" si="204"/>
        <v>0</v>
      </c>
      <c r="P106" s="166">
        <f t="shared" si="205"/>
        <v>0</v>
      </c>
      <c r="Q106" s="166">
        <f t="shared" si="206"/>
        <v>0</v>
      </c>
      <c r="R106" s="166">
        <f t="shared" si="207"/>
        <v>0</v>
      </c>
      <c r="S106" s="166">
        <f t="shared" si="208"/>
        <v>0</v>
      </c>
      <c r="T106" s="166">
        <f t="shared" si="209"/>
        <v>0</v>
      </c>
      <c r="U106" s="166">
        <f t="shared" si="210"/>
        <v>0</v>
      </c>
      <c r="V106" s="166">
        <f t="shared" si="211"/>
        <v>0</v>
      </c>
      <c r="W106" s="166">
        <f t="shared" si="212"/>
        <v>0</v>
      </c>
      <c r="X106" s="166">
        <f t="shared" si="213"/>
        <v>0</v>
      </c>
      <c r="Y106" s="166">
        <f t="shared" si="214"/>
        <v>0</v>
      </c>
      <c r="Z106" s="166">
        <f t="shared" si="215"/>
        <v>0</v>
      </c>
      <c r="AA106" s="166">
        <f t="shared" si="216"/>
        <v>0</v>
      </c>
      <c r="AB106" s="166">
        <f t="shared" si="217"/>
        <v>0</v>
      </c>
      <c r="AC106" s="166" cm="1">
        <f t="array" ref="AC106">SUMPRODUCT(G106:AB106,$G$4:$AB$4)</f>
        <v>11872</v>
      </c>
      <c r="AD106" s="89" t="b">
        <f t="shared" si="220"/>
        <v>1</v>
      </c>
      <c r="AE106" s="386">
        <f>IFERROR(SUMIF(服务费底表!$K:$K,服务费明细!$B106,服务费底表!$AD:$AD)/E106,0)</f>
        <v>848</v>
      </c>
      <c r="AF106" s="386">
        <f t="shared" si="221"/>
        <v>11872</v>
      </c>
      <c r="AG106" s="386">
        <f>IFERROR(SUMIF(服务费底表!$K:$K,服务费明细!$B106,服务费底表!$AG:$AG)/E106,0)</f>
        <v>848</v>
      </c>
      <c r="AH106" s="386">
        <f t="shared" si="222"/>
        <v>11872</v>
      </c>
      <c r="AI106" s="409" t="s">
        <v>1040</v>
      </c>
      <c r="AJ106" s="563">
        <f t="shared" si="223"/>
        <v>1.2</v>
      </c>
      <c r="AK106" s="564">
        <f>SUMIF(服务费底表!$K:$K,服务费明细!$B106,服务费底表!$AC:$AC)</f>
        <v>16.8</v>
      </c>
      <c r="AL106" s="166">
        <f>SUMIFS(服务费底表!$AC:$AC,服务费底表!$K:$K,服务费明细!$B106,服务费底表!$T:$T,AL$3)</f>
        <v>0</v>
      </c>
      <c r="AM106" s="166">
        <f>SUMIFS(服务费底表!$AC:$AC,服务费底表!$K:$K,服务费明细!$B106,服务费底表!$T:$T,AM$3)</f>
        <v>0</v>
      </c>
      <c r="AN106" s="166">
        <f>SUMIFS(服务费底表!$AC:$AC,服务费底表!$K:$K,服务费明细!$B106,服务费底表!$T:$T,AN$3)</f>
        <v>0</v>
      </c>
      <c r="AO106" s="166">
        <f>SUMIFS(服务费底表!$AC:$AC,服务费底表!$K:$K,服务费明细!$B106,服务费底表!$T:$T,AO$3)</f>
        <v>0</v>
      </c>
      <c r="AP106" s="166">
        <f>SUMIFS(服务费底表!$AC:$AC,服务费底表!$K:$K,服务费明细!$B106,服务费底表!$T:$T,AP$3)</f>
        <v>0</v>
      </c>
      <c r="AQ106" s="166">
        <f>SUMIFS(服务费底表!$AC:$AC,服务费底表!$K:$K,服务费明细!$B106,服务费底表!$T:$T,AQ$3)</f>
        <v>2.8</v>
      </c>
      <c r="AR106" s="166">
        <f>SUMIFS(服务费底表!$AC:$AC,服务费底表!$K:$K,服务费明细!$B106,服务费底表!$T:$T,AR$3)</f>
        <v>14</v>
      </c>
      <c r="AS106" s="166">
        <f>SUMIFS(服务费底表!$AC:$AC,服务费底表!$K:$K,服务费明细!$B106,服务费底表!$T:$T,AS$3)</f>
        <v>0</v>
      </c>
      <c r="AT106" s="166">
        <f>SUMIFS(服务费底表!$AC:$AC,服务费底表!$K:$K,服务费明细!$B106,服务费底表!$T:$T,AT$3)</f>
        <v>0</v>
      </c>
      <c r="AU106" s="166">
        <f>SUMIFS(服务费底表!$AC:$AC,服务费底表!$K:$K,服务费明细!$B106,服务费底表!$T:$T,AU$3)</f>
        <v>0</v>
      </c>
      <c r="AV106" s="166">
        <f>SUMIFS(服务费底表!$AC:$AC,服务费底表!$K:$K,服务费明细!$B106,服务费底表!$T:$T,AV$3)</f>
        <v>0</v>
      </c>
      <c r="AW106" s="166">
        <f>SUMIFS(服务费底表!$AC:$AC,服务费底表!$K:$K,服务费明细!$B106,服务费底表!$T:$T,AW$3)</f>
        <v>0</v>
      </c>
      <c r="AX106" s="166">
        <f>SUMIFS(服务费底表!$AC:$AC,服务费底表!$K:$K,服务费明细!$B106,服务费底表!$T:$T,AX$3)</f>
        <v>0</v>
      </c>
      <c r="AY106" s="166">
        <f>SUMIFS(服务费底表!$AC:$AC,服务费底表!$K:$K,服务费明细!$B106,服务费底表!$T:$T,AY$3)</f>
        <v>0</v>
      </c>
      <c r="AZ106" s="166">
        <f>SUMIFS(服务费底表!$AC:$AC,服务费底表!$K:$K,服务费明细!$B106,服务费底表!$T:$T,AZ$3)</f>
        <v>0</v>
      </c>
      <c r="BA106" s="166">
        <f>SUMIFS(服务费底表!$AC:$AC,服务费底表!$K:$K,服务费明细!$B106,服务费底表!$T:$T,BA$3)</f>
        <v>0</v>
      </c>
      <c r="BB106" s="166">
        <f>SUMIFS(服务费底表!$AC:$AC,服务费底表!$K:$K,服务费明细!$B106,服务费底表!$T:$T,BB$3)</f>
        <v>0</v>
      </c>
      <c r="BC106" s="166">
        <f>SUMIFS(服务费底表!$AC:$AC,服务费底表!$K:$K,服务费明细!$B106,服务费底表!$T:$T,BC$3)</f>
        <v>0</v>
      </c>
      <c r="BD106" s="166">
        <f>SUMIFS(服务费底表!$AC:$AC,服务费底表!$K:$K,服务费明细!$B106,服务费底表!$T:$T,BD$3)</f>
        <v>0</v>
      </c>
      <c r="BE106" s="166">
        <f>SUMIFS(服务费底表!$AC:$AC,服务费底表!$K:$K,服务费明细!$B106,服务费底表!$T:$T,BE$3)</f>
        <v>0</v>
      </c>
      <c r="BF106" s="166">
        <f>SUMIFS(服务费底表!$AC:$AC,服务费底表!$K:$K,服务费明细!$B106,服务费底表!$T:$T,BF$3)</f>
        <v>0</v>
      </c>
      <c r="BG106" s="166">
        <f>SUMIFS(服务费底表!$AC:$AC,服务费底表!$K:$K,服务费明细!$B106,服务费底表!$T:$T,BG$3)</f>
        <v>0</v>
      </c>
      <c r="BI106" s="388">
        <f>SUMIFS(服务费底表!$AC:$AC,服务费底表!$K:$K,服务费明细!$B106,服务费底表!$H:$H,服务费明细!BI$3)</f>
        <v>16.8</v>
      </c>
      <c r="BJ106" s="388">
        <f>SUMIFS(服务费底表!$AC:$AC,服务费底表!$K:$K,服务费明细!$B106,服务费底表!$H:$H,服务费明细!BJ$3)</f>
        <v>0</v>
      </c>
      <c r="BK106" s="388">
        <f>SUMIFS(服务费底表!$AC:$AC,服务费底表!$K:$K,服务费明细!$B106,服务费底表!$H:$H,服务费明细!BK$3)</f>
        <v>0</v>
      </c>
      <c r="BL106" s="388">
        <f>SUMIFS(服务费底表!$AC:$AC,服务费底表!$K:$K,服务费明细!$B106,服务费底表!$H:$H,服务费明细!BL$3)</f>
        <v>0</v>
      </c>
      <c r="BM106" s="388">
        <f>SUMIFS(服务费底表!$AC:$AC,服务费底表!$K:$K,服务费明细!$B106,服务费底表!$H:$H,服务费明细!BM$3)</f>
        <v>0</v>
      </c>
      <c r="BN106" s="388">
        <f>SUMIFS(服务费底表!$AC:$AC,服务费底表!$K:$K,服务费明细!$B106,服务费底表!$H:$H,服务费明细!BN$3)</f>
        <v>0</v>
      </c>
      <c r="BO106" s="388">
        <f>SUMIFS(服务费底表!$AC:$AC,服务费底表!$K:$K,服务费明细!$B106,服务费底表!$H:$H,服务费明细!BO$3)</f>
        <v>0</v>
      </c>
      <c r="BQ106" s="389">
        <f>SUMIFS(服务费底表!$AD:$AD,服务费底表!$K:$K,服务费明细!$B106,服务费底表!$H:$H,服务费明细!BQ$3)</f>
        <v>11872</v>
      </c>
      <c r="BR106" s="389">
        <f>SUMIFS(服务费底表!$AD:$AD,服务费底表!$K:$K,服务费明细!$B106,服务费底表!$H:$H,服务费明细!BR$3)</f>
        <v>0</v>
      </c>
      <c r="BS106" s="389">
        <f>SUMIFS(服务费底表!$AD:$AD,服务费底表!$K:$K,服务费明细!$B106,服务费底表!$H:$H,服务费明细!BS$3)</f>
        <v>0</v>
      </c>
      <c r="BT106" s="389">
        <f>SUMIFS(服务费底表!$AD:$AD,服务费底表!$K:$K,服务费明细!$B106,服务费底表!$H:$H,服务费明细!BT$3)</f>
        <v>0</v>
      </c>
      <c r="BU106" s="389">
        <f>SUMIFS(服务费底表!$AD:$AD,服务费底表!$K:$K,服务费明细!$B106,服务费底表!$H:$H,服务费明细!BU$3)</f>
        <v>0</v>
      </c>
      <c r="BV106" s="389">
        <f>SUMIFS(服务费底表!$AD:$AD,服务费底表!$K:$K,服务费明细!$B106,服务费底表!$H:$H,服务费明细!BV$3)</f>
        <v>0</v>
      </c>
      <c r="BW106" s="389">
        <f>SUMIFS(服务费底表!$AD:$AD,服务费底表!$K:$K,服务费明细!$B106,服务费底表!$H:$H,服务费明细!BW$3)</f>
        <v>0</v>
      </c>
    </row>
    <row r="107" ht="25" customHeight="1" spans="2:75">
      <c r="B107" s="202" t="s">
        <v>265</v>
      </c>
      <c r="C107" s="89" t="str">
        <f>INDEX(二三级标准!$C:$C,MATCH(服务费明细!$B107,二三级标准!$B:$B,0))</f>
        <v>药物或疾病编码审核</v>
      </c>
      <c r="D107" s="166">
        <f t="shared" si="219"/>
        <v>1</v>
      </c>
      <c r="E107" s="166">
        <f>IF($D107=1,ROUND(SUM(筛选月+入组月+治疗月+随访月+长随访月+锁库月),0),0)</f>
        <v>14</v>
      </c>
      <c r="F107" s="89" t="str">
        <f>INDEX(二三级标准!$G:$G,MATCH(服务费明细!$B107,二三级标准!$B:$B,0))</f>
        <v>月</v>
      </c>
      <c r="G107" s="166">
        <f t="shared" si="196"/>
        <v>0</v>
      </c>
      <c r="H107" s="166">
        <f t="shared" si="197"/>
        <v>0</v>
      </c>
      <c r="I107" s="166">
        <f t="shared" si="198"/>
        <v>0</v>
      </c>
      <c r="J107" s="166">
        <f t="shared" si="199"/>
        <v>0</v>
      </c>
      <c r="K107" s="166">
        <f t="shared" si="200"/>
        <v>0</v>
      </c>
      <c r="L107" s="166">
        <f t="shared" si="201"/>
        <v>2.8</v>
      </c>
      <c r="M107" s="166">
        <f t="shared" si="202"/>
        <v>14</v>
      </c>
      <c r="N107" s="166">
        <f t="shared" si="203"/>
        <v>0</v>
      </c>
      <c r="O107" s="166">
        <f t="shared" si="204"/>
        <v>0</v>
      </c>
      <c r="P107" s="166">
        <f t="shared" si="205"/>
        <v>0</v>
      </c>
      <c r="Q107" s="166">
        <f t="shared" si="206"/>
        <v>0</v>
      </c>
      <c r="R107" s="166">
        <f t="shared" si="207"/>
        <v>0</v>
      </c>
      <c r="S107" s="166">
        <f t="shared" si="208"/>
        <v>0</v>
      </c>
      <c r="T107" s="166">
        <f t="shared" si="209"/>
        <v>0</v>
      </c>
      <c r="U107" s="166">
        <f t="shared" si="210"/>
        <v>0</v>
      </c>
      <c r="V107" s="166">
        <f t="shared" si="211"/>
        <v>0</v>
      </c>
      <c r="W107" s="166">
        <f t="shared" si="212"/>
        <v>0</v>
      </c>
      <c r="X107" s="166">
        <f t="shared" si="213"/>
        <v>0</v>
      </c>
      <c r="Y107" s="166">
        <f t="shared" si="214"/>
        <v>0</v>
      </c>
      <c r="Z107" s="166">
        <f t="shared" si="215"/>
        <v>0</v>
      </c>
      <c r="AA107" s="166">
        <f t="shared" si="216"/>
        <v>0</v>
      </c>
      <c r="AB107" s="166">
        <f t="shared" si="217"/>
        <v>0</v>
      </c>
      <c r="AC107" s="166" cm="1">
        <f t="array" ref="AC107">SUMPRODUCT(G107:AB107,$G$4:$AB$4)</f>
        <v>11872</v>
      </c>
      <c r="AD107" s="89" t="b">
        <f t="shared" si="220"/>
        <v>1</v>
      </c>
      <c r="AE107" s="386">
        <f>IFERROR(SUMIF(服务费底表!$K:$K,服务费明细!$B107,服务费底表!$AD:$AD)/E107,0)</f>
        <v>848</v>
      </c>
      <c r="AF107" s="386">
        <f t="shared" si="221"/>
        <v>11872</v>
      </c>
      <c r="AG107" s="386">
        <f>IFERROR(SUMIF(服务费底表!$K:$K,服务费明细!$B107,服务费底表!$AG:$AG)/E107,0)</f>
        <v>848</v>
      </c>
      <c r="AH107" s="386">
        <f t="shared" si="222"/>
        <v>11872</v>
      </c>
      <c r="AI107" s="409"/>
      <c r="AJ107" s="563">
        <f t="shared" si="223"/>
        <v>1.2</v>
      </c>
      <c r="AK107" s="564">
        <f>SUMIF(服务费底表!$K:$K,服务费明细!$B107,服务费底表!$AC:$AC)</f>
        <v>16.8</v>
      </c>
      <c r="AL107" s="166">
        <f>SUMIFS(服务费底表!$AC:$AC,服务费底表!$K:$K,服务费明细!$B107,服务费底表!$T:$T,AL$3)</f>
        <v>0</v>
      </c>
      <c r="AM107" s="166">
        <f>SUMIFS(服务费底表!$AC:$AC,服务费底表!$K:$K,服务费明细!$B107,服务费底表!$T:$T,AM$3)</f>
        <v>0</v>
      </c>
      <c r="AN107" s="166">
        <f>SUMIFS(服务费底表!$AC:$AC,服务费底表!$K:$K,服务费明细!$B107,服务费底表!$T:$T,AN$3)</f>
        <v>0</v>
      </c>
      <c r="AO107" s="166">
        <f>SUMIFS(服务费底表!$AC:$AC,服务费底表!$K:$K,服务费明细!$B107,服务费底表!$T:$T,AO$3)</f>
        <v>0</v>
      </c>
      <c r="AP107" s="166">
        <f>SUMIFS(服务费底表!$AC:$AC,服务费底表!$K:$K,服务费明细!$B107,服务费底表!$T:$T,AP$3)</f>
        <v>0</v>
      </c>
      <c r="AQ107" s="166">
        <f>SUMIFS(服务费底表!$AC:$AC,服务费底表!$K:$K,服务费明细!$B107,服务费底表!$T:$T,AQ$3)</f>
        <v>2.8</v>
      </c>
      <c r="AR107" s="166">
        <f>SUMIFS(服务费底表!$AC:$AC,服务费底表!$K:$K,服务费明细!$B107,服务费底表!$T:$T,AR$3)</f>
        <v>14</v>
      </c>
      <c r="AS107" s="166">
        <f>SUMIFS(服务费底表!$AC:$AC,服务费底表!$K:$K,服务费明细!$B107,服务费底表!$T:$T,AS$3)</f>
        <v>0</v>
      </c>
      <c r="AT107" s="166">
        <f>SUMIFS(服务费底表!$AC:$AC,服务费底表!$K:$K,服务费明细!$B107,服务费底表!$T:$T,AT$3)</f>
        <v>0</v>
      </c>
      <c r="AU107" s="166">
        <f>SUMIFS(服务费底表!$AC:$AC,服务费底表!$K:$K,服务费明细!$B107,服务费底表!$T:$T,AU$3)</f>
        <v>0</v>
      </c>
      <c r="AV107" s="166">
        <f>SUMIFS(服务费底表!$AC:$AC,服务费底表!$K:$K,服务费明细!$B107,服务费底表!$T:$T,AV$3)</f>
        <v>0</v>
      </c>
      <c r="AW107" s="166">
        <f>SUMIFS(服务费底表!$AC:$AC,服务费底表!$K:$K,服务费明细!$B107,服务费底表!$T:$T,AW$3)</f>
        <v>0</v>
      </c>
      <c r="AX107" s="166">
        <f>SUMIFS(服务费底表!$AC:$AC,服务费底表!$K:$K,服务费明细!$B107,服务费底表!$T:$T,AX$3)</f>
        <v>0</v>
      </c>
      <c r="AY107" s="166">
        <f>SUMIFS(服务费底表!$AC:$AC,服务费底表!$K:$K,服务费明细!$B107,服务费底表!$T:$T,AY$3)</f>
        <v>0</v>
      </c>
      <c r="AZ107" s="166">
        <f>SUMIFS(服务费底表!$AC:$AC,服务费底表!$K:$K,服务费明细!$B107,服务费底表!$T:$T,AZ$3)</f>
        <v>0</v>
      </c>
      <c r="BA107" s="166">
        <f>SUMIFS(服务费底表!$AC:$AC,服务费底表!$K:$K,服务费明细!$B107,服务费底表!$T:$T,BA$3)</f>
        <v>0</v>
      </c>
      <c r="BB107" s="166">
        <f>SUMIFS(服务费底表!$AC:$AC,服务费底表!$K:$K,服务费明细!$B107,服务费底表!$T:$T,BB$3)</f>
        <v>0</v>
      </c>
      <c r="BC107" s="166">
        <f>SUMIFS(服务费底表!$AC:$AC,服务费底表!$K:$K,服务费明细!$B107,服务费底表!$T:$T,BC$3)</f>
        <v>0</v>
      </c>
      <c r="BD107" s="166">
        <f>SUMIFS(服务费底表!$AC:$AC,服务费底表!$K:$K,服务费明细!$B107,服务费底表!$T:$T,BD$3)</f>
        <v>0</v>
      </c>
      <c r="BE107" s="166">
        <f>SUMIFS(服务费底表!$AC:$AC,服务费底表!$K:$K,服务费明细!$B107,服务费底表!$T:$T,BE$3)</f>
        <v>0</v>
      </c>
      <c r="BF107" s="166">
        <f>SUMIFS(服务费底表!$AC:$AC,服务费底表!$K:$K,服务费明细!$B107,服务费底表!$T:$T,BF$3)</f>
        <v>0</v>
      </c>
      <c r="BG107" s="166">
        <f>SUMIFS(服务费底表!$AC:$AC,服务费底表!$K:$K,服务费明细!$B107,服务费底表!$T:$T,BG$3)</f>
        <v>0</v>
      </c>
      <c r="BI107" s="388">
        <f>SUMIFS(服务费底表!$AC:$AC,服务费底表!$K:$K,服务费明细!$B107,服务费底表!$H:$H,服务费明细!BI$3)</f>
        <v>16.8</v>
      </c>
      <c r="BJ107" s="388">
        <f>SUMIFS(服务费底表!$AC:$AC,服务费底表!$K:$K,服务费明细!$B107,服务费底表!$H:$H,服务费明细!BJ$3)</f>
        <v>0</v>
      </c>
      <c r="BK107" s="388">
        <f>SUMIFS(服务费底表!$AC:$AC,服务费底表!$K:$K,服务费明细!$B107,服务费底表!$H:$H,服务费明细!BK$3)</f>
        <v>0</v>
      </c>
      <c r="BL107" s="388">
        <f>SUMIFS(服务费底表!$AC:$AC,服务费底表!$K:$K,服务费明细!$B107,服务费底表!$H:$H,服务费明细!BL$3)</f>
        <v>0</v>
      </c>
      <c r="BM107" s="388">
        <f>SUMIFS(服务费底表!$AC:$AC,服务费底表!$K:$K,服务费明细!$B107,服务费底表!$H:$H,服务费明细!BM$3)</f>
        <v>0</v>
      </c>
      <c r="BN107" s="388">
        <f>SUMIFS(服务费底表!$AC:$AC,服务费底表!$K:$K,服务费明细!$B107,服务费底表!$H:$H,服务费明细!BN$3)</f>
        <v>0</v>
      </c>
      <c r="BO107" s="388">
        <f>SUMIFS(服务费底表!$AC:$AC,服务费底表!$K:$K,服务费明细!$B107,服务费底表!$H:$H,服务费明细!BO$3)</f>
        <v>0</v>
      </c>
      <c r="BQ107" s="389">
        <f>SUMIFS(服务费底表!$AD:$AD,服务费底表!$K:$K,服务费明细!$B107,服务费底表!$H:$H,服务费明细!BQ$3)</f>
        <v>11872</v>
      </c>
      <c r="BR107" s="389">
        <f>SUMIFS(服务费底表!$AD:$AD,服务费底表!$K:$K,服务费明细!$B107,服务费底表!$H:$H,服务费明细!BR$3)</f>
        <v>0</v>
      </c>
      <c r="BS107" s="389">
        <f>SUMIFS(服务费底表!$AD:$AD,服务费底表!$K:$K,服务费明细!$B107,服务费底表!$H:$H,服务费明细!BS$3)</f>
        <v>0</v>
      </c>
      <c r="BT107" s="389">
        <f>SUMIFS(服务费底表!$AD:$AD,服务费底表!$K:$K,服务费明细!$B107,服务费底表!$H:$H,服务费明细!BT$3)</f>
        <v>0</v>
      </c>
      <c r="BU107" s="389">
        <f>SUMIFS(服务费底表!$AD:$AD,服务费底表!$K:$K,服务费明细!$B107,服务费底表!$H:$H,服务费明细!BU$3)</f>
        <v>0</v>
      </c>
      <c r="BV107" s="389">
        <f>SUMIFS(服务费底表!$AD:$AD,服务费底表!$K:$K,服务费明细!$B107,服务费底表!$H:$H,服务费明细!BV$3)</f>
        <v>0</v>
      </c>
      <c r="BW107" s="389">
        <f>SUMIFS(服务费底表!$AD:$AD,服务费底表!$K:$K,服务费明细!$B107,服务费底表!$H:$H,服务费明细!BW$3)</f>
        <v>0</v>
      </c>
    </row>
    <row r="108" ht="26.4" spans="2:75">
      <c r="B108" s="89" t="s">
        <v>267</v>
      </c>
      <c r="C108" s="89" t="str">
        <f>INDEX(二三级标准!$C:$C,MATCH(服务费明细!$B108,二三级标准!$B:$B,0))</f>
        <v>医学监查报告撰写</v>
      </c>
      <c r="D108" s="166">
        <f t="shared" si="219"/>
        <v>1</v>
      </c>
      <c r="E108" s="166">
        <f>IF($D108=1,ROUND(SUM(项目时间计划!$G$11:$G$14)/3,0),0)</f>
        <v>4</v>
      </c>
      <c r="F108" s="89" t="str">
        <f>INDEX(二三级标准!$G:$G,MATCH(服务费明细!$B108,二三级标准!$B:$B,0))</f>
        <v>份</v>
      </c>
      <c r="G108" s="166">
        <f t="shared" si="196"/>
        <v>0</v>
      </c>
      <c r="H108" s="166">
        <f t="shared" si="197"/>
        <v>0</v>
      </c>
      <c r="I108" s="166">
        <f t="shared" si="198"/>
        <v>0</v>
      </c>
      <c r="J108" s="166">
        <f t="shared" si="199"/>
        <v>0</v>
      </c>
      <c r="K108" s="166">
        <f t="shared" si="200"/>
        <v>0</v>
      </c>
      <c r="L108" s="166">
        <f t="shared" si="201"/>
        <v>8</v>
      </c>
      <c r="M108" s="166">
        <f t="shared" si="202"/>
        <v>32</v>
      </c>
      <c r="N108" s="166">
        <f t="shared" si="203"/>
        <v>0</v>
      </c>
      <c r="O108" s="166">
        <f t="shared" si="204"/>
        <v>0</v>
      </c>
      <c r="P108" s="166">
        <f t="shared" si="205"/>
        <v>0</v>
      </c>
      <c r="Q108" s="166">
        <f t="shared" si="206"/>
        <v>0</v>
      </c>
      <c r="R108" s="166">
        <f t="shared" si="207"/>
        <v>0</v>
      </c>
      <c r="S108" s="166">
        <f t="shared" si="208"/>
        <v>0</v>
      </c>
      <c r="T108" s="166">
        <f t="shared" si="209"/>
        <v>0</v>
      </c>
      <c r="U108" s="166">
        <f t="shared" si="210"/>
        <v>0</v>
      </c>
      <c r="V108" s="166">
        <f t="shared" si="211"/>
        <v>0</v>
      </c>
      <c r="W108" s="166">
        <f t="shared" si="212"/>
        <v>0</v>
      </c>
      <c r="X108" s="166">
        <f t="shared" si="213"/>
        <v>0</v>
      </c>
      <c r="Y108" s="166">
        <f t="shared" si="214"/>
        <v>0</v>
      </c>
      <c r="Z108" s="166">
        <f t="shared" si="215"/>
        <v>0</v>
      </c>
      <c r="AA108" s="166">
        <f t="shared" si="216"/>
        <v>0</v>
      </c>
      <c r="AB108" s="166">
        <f t="shared" si="217"/>
        <v>0</v>
      </c>
      <c r="AC108" s="166" cm="1">
        <f t="array" ref="AC108">SUMPRODUCT(G108:AB108,$G$4:$AB$4)</f>
        <v>28720</v>
      </c>
      <c r="AD108" s="89" t="b">
        <f t="shared" si="220"/>
        <v>1</v>
      </c>
      <c r="AE108" s="386">
        <f>IFERROR(SUMIF(服务费底表!$K:$K,服务费明细!$B108,服务费底表!$AD:$AD)/E108,0)</f>
        <v>7180</v>
      </c>
      <c r="AF108" s="386">
        <f t="shared" si="221"/>
        <v>28720</v>
      </c>
      <c r="AG108" s="386">
        <f>IFERROR(SUMIF(服务费底表!$K:$K,服务费明细!$B108,服务费底表!$AG:$AG)/E108,0)</f>
        <v>7180</v>
      </c>
      <c r="AH108" s="386">
        <f t="shared" si="222"/>
        <v>28720</v>
      </c>
      <c r="AI108" s="409" t="s">
        <v>1041</v>
      </c>
      <c r="AJ108" s="563">
        <f t="shared" si="223"/>
        <v>10</v>
      </c>
      <c r="AK108" s="564">
        <f>SUMIF(服务费底表!$K:$K,服务费明细!$B108,服务费底表!$AC:$AC)</f>
        <v>40</v>
      </c>
      <c r="AL108" s="166">
        <f>SUMIFS(服务费底表!$AC:$AC,服务费底表!$K:$K,服务费明细!$B108,服务费底表!$T:$T,AL$3)</f>
        <v>0</v>
      </c>
      <c r="AM108" s="166">
        <f>SUMIFS(服务费底表!$AC:$AC,服务费底表!$K:$K,服务费明细!$B108,服务费底表!$T:$T,AM$3)</f>
        <v>0</v>
      </c>
      <c r="AN108" s="166">
        <f>SUMIFS(服务费底表!$AC:$AC,服务费底表!$K:$K,服务费明细!$B108,服务费底表!$T:$T,AN$3)</f>
        <v>0</v>
      </c>
      <c r="AO108" s="166">
        <f>SUMIFS(服务费底表!$AC:$AC,服务费底表!$K:$K,服务费明细!$B108,服务费底表!$T:$T,AO$3)</f>
        <v>0</v>
      </c>
      <c r="AP108" s="166">
        <f>SUMIFS(服务费底表!$AC:$AC,服务费底表!$K:$K,服务费明细!$B108,服务费底表!$T:$T,AP$3)</f>
        <v>0</v>
      </c>
      <c r="AQ108" s="166">
        <f>SUMIFS(服务费底表!$AC:$AC,服务费底表!$K:$K,服务费明细!$B108,服务费底表!$T:$T,AQ$3)</f>
        <v>8</v>
      </c>
      <c r="AR108" s="166">
        <f>SUMIFS(服务费底表!$AC:$AC,服务费底表!$K:$K,服务费明细!$B108,服务费底表!$T:$T,AR$3)</f>
        <v>32</v>
      </c>
      <c r="AS108" s="166">
        <f>SUMIFS(服务费底表!$AC:$AC,服务费底表!$K:$K,服务费明细!$B108,服务费底表!$T:$T,AS$3)</f>
        <v>0</v>
      </c>
      <c r="AT108" s="166">
        <f>SUMIFS(服务费底表!$AC:$AC,服务费底表!$K:$K,服务费明细!$B108,服务费底表!$T:$T,AT$3)</f>
        <v>0</v>
      </c>
      <c r="AU108" s="166">
        <f>SUMIFS(服务费底表!$AC:$AC,服务费底表!$K:$K,服务费明细!$B108,服务费底表!$T:$T,AU$3)</f>
        <v>0</v>
      </c>
      <c r="AV108" s="166">
        <f>SUMIFS(服务费底表!$AC:$AC,服务费底表!$K:$K,服务费明细!$B108,服务费底表!$T:$T,AV$3)</f>
        <v>0</v>
      </c>
      <c r="AW108" s="166">
        <f>SUMIFS(服务费底表!$AC:$AC,服务费底表!$K:$K,服务费明细!$B108,服务费底表!$T:$T,AW$3)</f>
        <v>0</v>
      </c>
      <c r="AX108" s="166">
        <f>SUMIFS(服务费底表!$AC:$AC,服务费底表!$K:$K,服务费明细!$B108,服务费底表!$T:$T,AX$3)</f>
        <v>0</v>
      </c>
      <c r="AY108" s="166">
        <f>SUMIFS(服务费底表!$AC:$AC,服务费底表!$K:$K,服务费明细!$B108,服务费底表!$T:$T,AY$3)</f>
        <v>0</v>
      </c>
      <c r="AZ108" s="166">
        <f>SUMIFS(服务费底表!$AC:$AC,服务费底表!$K:$K,服务费明细!$B108,服务费底表!$T:$T,AZ$3)</f>
        <v>0</v>
      </c>
      <c r="BA108" s="166">
        <f>SUMIFS(服务费底表!$AC:$AC,服务费底表!$K:$K,服务费明细!$B108,服务费底表!$T:$T,BA$3)</f>
        <v>0</v>
      </c>
      <c r="BB108" s="166">
        <f>SUMIFS(服务费底表!$AC:$AC,服务费底表!$K:$K,服务费明细!$B108,服务费底表!$T:$T,BB$3)</f>
        <v>0</v>
      </c>
      <c r="BC108" s="166">
        <f>SUMIFS(服务费底表!$AC:$AC,服务费底表!$K:$K,服务费明细!$B108,服务费底表!$T:$T,BC$3)</f>
        <v>0</v>
      </c>
      <c r="BD108" s="166">
        <f>SUMIFS(服务费底表!$AC:$AC,服务费底表!$K:$K,服务费明细!$B108,服务费底表!$T:$T,BD$3)</f>
        <v>0</v>
      </c>
      <c r="BE108" s="166">
        <f>SUMIFS(服务费底表!$AC:$AC,服务费底表!$K:$K,服务费明细!$B108,服务费底表!$T:$T,BE$3)</f>
        <v>0</v>
      </c>
      <c r="BF108" s="166">
        <f>SUMIFS(服务费底表!$AC:$AC,服务费底表!$K:$K,服务费明细!$B108,服务费底表!$T:$T,BF$3)</f>
        <v>0</v>
      </c>
      <c r="BG108" s="166">
        <f>SUMIFS(服务费底表!$AC:$AC,服务费底表!$K:$K,服务费明细!$B108,服务费底表!$T:$T,BG$3)</f>
        <v>0</v>
      </c>
      <c r="BI108" s="388">
        <f>SUMIFS(服务费底表!$AC:$AC,服务费底表!$K:$K,服务费明细!$B108,服务费底表!$H:$H,服务费明细!BI$3)</f>
        <v>40</v>
      </c>
      <c r="BJ108" s="388">
        <f>SUMIFS(服务费底表!$AC:$AC,服务费底表!$K:$K,服务费明细!$B108,服务费底表!$H:$H,服务费明细!BJ$3)</f>
        <v>0</v>
      </c>
      <c r="BK108" s="388">
        <f>SUMIFS(服务费底表!$AC:$AC,服务费底表!$K:$K,服务费明细!$B108,服务费底表!$H:$H,服务费明细!BK$3)</f>
        <v>0</v>
      </c>
      <c r="BL108" s="388">
        <f>SUMIFS(服务费底表!$AC:$AC,服务费底表!$K:$K,服务费明细!$B108,服务费底表!$H:$H,服务费明细!BL$3)</f>
        <v>0</v>
      </c>
      <c r="BM108" s="388">
        <f>SUMIFS(服务费底表!$AC:$AC,服务费底表!$K:$K,服务费明细!$B108,服务费底表!$H:$H,服务费明细!BM$3)</f>
        <v>0</v>
      </c>
      <c r="BN108" s="388">
        <f>SUMIFS(服务费底表!$AC:$AC,服务费底表!$K:$K,服务费明细!$B108,服务费底表!$H:$H,服务费明细!BN$3)</f>
        <v>0</v>
      </c>
      <c r="BO108" s="388">
        <f>SUMIFS(服务费底表!$AC:$AC,服务费底表!$K:$K,服务费明细!$B108,服务费底表!$H:$H,服务费明细!BO$3)</f>
        <v>0</v>
      </c>
      <c r="BQ108" s="389">
        <f>SUMIFS(服务费底表!$AD:$AD,服务费底表!$K:$K,服务费明细!$B108,服务费底表!$H:$H,服务费明细!BQ$3)</f>
        <v>28720</v>
      </c>
      <c r="BR108" s="389">
        <f>SUMIFS(服务费底表!$AD:$AD,服务费底表!$K:$K,服务费明细!$B108,服务费底表!$H:$H,服务费明细!BR$3)</f>
        <v>0</v>
      </c>
      <c r="BS108" s="389">
        <f>SUMIFS(服务费底表!$AD:$AD,服务费底表!$K:$K,服务费明细!$B108,服务费底表!$H:$H,服务费明细!BS$3)</f>
        <v>0</v>
      </c>
      <c r="BT108" s="389">
        <f>SUMIFS(服务费底表!$AD:$AD,服务费底表!$K:$K,服务费明细!$B108,服务费底表!$H:$H,服务费明细!BT$3)</f>
        <v>0</v>
      </c>
      <c r="BU108" s="389">
        <f>SUMIFS(服务费底表!$AD:$AD,服务费底表!$K:$K,服务费明细!$B108,服务费底表!$H:$H,服务费明细!BU$3)</f>
        <v>0</v>
      </c>
      <c r="BV108" s="389">
        <f>SUMIFS(服务费底表!$AD:$AD,服务费底表!$K:$K,服务费明细!$B108,服务费底表!$H:$H,服务费明细!BV$3)</f>
        <v>0</v>
      </c>
      <c r="BW108" s="389">
        <f>SUMIFS(服务费底表!$AD:$AD,服务费底表!$K:$K,服务费明细!$B108,服务费底表!$H:$H,服务费明细!BW$3)</f>
        <v>0</v>
      </c>
    </row>
    <row r="109" ht="20" customHeight="1" spans="2:75">
      <c r="B109" s="89" t="s">
        <v>269</v>
      </c>
      <c r="C109" s="89" t="str">
        <f>INDEX(二三级标准!$C:$C,MATCH(服务费明细!$B109,二三级标准!$B:$B,0))</f>
        <v>SAE报告医学审核</v>
      </c>
      <c r="D109" s="166">
        <v>0</v>
      </c>
      <c r="E109" s="166">
        <f>IF($D109=1,ROUNDUP(入组试验参与者数*SAE发生率,0),0)</f>
        <v>0</v>
      </c>
      <c r="F109" s="89" t="str">
        <f>INDEX(二三级标准!$G:$G,MATCH(服务费明细!$B109,二三级标准!$B:$B,0))</f>
        <v>次</v>
      </c>
      <c r="G109" s="166">
        <f t="shared" si="196"/>
        <v>0</v>
      </c>
      <c r="H109" s="166">
        <f t="shared" si="197"/>
        <v>0</v>
      </c>
      <c r="I109" s="166">
        <f t="shared" si="198"/>
        <v>0</v>
      </c>
      <c r="J109" s="166">
        <f t="shared" si="199"/>
        <v>0</v>
      </c>
      <c r="K109" s="166">
        <f t="shared" si="200"/>
        <v>0</v>
      </c>
      <c r="L109" s="166">
        <f t="shared" si="201"/>
        <v>0</v>
      </c>
      <c r="M109" s="166">
        <f t="shared" si="202"/>
        <v>0</v>
      </c>
      <c r="N109" s="166">
        <f t="shared" si="203"/>
        <v>0</v>
      </c>
      <c r="O109" s="166">
        <f t="shared" si="204"/>
        <v>0</v>
      </c>
      <c r="P109" s="166">
        <f t="shared" si="205"/>
        <v>0</v>
      </c>
      <c r="Q109" s="166">
        <f t="shared" si="206"/>
        <v>0</v>
      </c>
      <c r="R109" s="166">
        <f t="shared" si="207"/>
        <v>0</v>
      </c>
      <c r="S109" s="166">
        <f t="shared" si="208"/>
        <v>0</v>
      </c>
      <c r="T109" s="166">
        <f t="shared" si="209"/>
        <v>0</v>
      </c>
      <c r="U109" s="166">
        <f t="shared" si="210"/>
        <v>0</v>
      </c>
      <c r="V109" s="166">
        <f t="shared" si="211"/>
        <v>0</v>
      </c>
      <c r="W109" s="166">
        <f t="shared" si="212"/>
        <v>0</v>
      </c>
      <c r="X109" s="166">
        <f t="shared" si="213"/>
        <v>0</v>
      </c>
      <c r="Y109" s="166">
        <f t="shared" si="214"/>
        <v>0</v>
      </c>
      <c r="Z109" s="166">
        <f t="shared" si="215"/>
        <v>0</v>
      </c>
      <c r="AA109" s="166">
        <f t="shared" si="216"/>
        <v>0</v>
      </c>
      <c r="AB109" s="166">
        <f t="shared" si="217"/>
        <v>0</v>
      </c>
      <c r="AC109" s="166" cm="1">
        <f t="array" ref="AC109">SUMPRODUCT(G109:AB109,$G$4:$AB$4)</f>
        <v>0</v>
      </c>
      <c r="AD109" s="89" t="b">
        <f t="shared" si="220"/>
        <v>1</v>
      </c>
      <c r="AE109" s="386">
        <f>IFERROR(SUMIF(服务费底表!$K:$K,服务费明细!$B109,服务费底表!$AD:$AD)/E109,0)</f>
        <v>0</v>
      </c>
      <c r="AF109" s="386">
        <f t="shared" si="221"/>
        <v>0</v>
      </c>
      <c r="AG109" s="386">
        <f>IFERROR(SUMIF(服务费底表!$K:$K,服务费明细!$B109,服务费底表!$AG:$AG)/E109,0)</f>
        <v>0</v>
      </c>
      <c r="AH109" s="386">
        <f t="shared" si="222"/>
        <v>0</v>
      </c>
      <c r="AI109" s="409"/>
      <c r="AJ109" s="563">
        <f t="shared" si="223"/>
        <v>0</v>
      </c>
      <c r="AK109" s="564">
        <f>SUMIF(服务费底表!$K:$K,服务费明细!$B109,服务费底表!$AC:$AC)</f>
        <v>0</v>
      </c>
      <c r="AL109" s="166">
        <f>SUMIFS(服务费底表!$AC:$AC,服务费底表!$K:$K,服务费明细!$B109,服务费底表!$T:$T,AL$3)</f>
        <v>0</v>
      </c>
      <c r="AM109" s="166">
        <f>SUMIFS(服务费底表!$AC:$AC,服务费底表!$K:$K,服务费明细!$B109,服务费底表!$T:$T,AM$3)</f>
        <v>0</v>
      </c>
      <c r="AN109" s="166">
        <f>SUMIFS(服务费底表!$AC:$AC,服务费底表!$K:$K,服务费明细!$B109,服务费底表!$T:$T,AN$3)</f>
        <v>0</v>
      </c>
      <c r="AO109" s="166">
        <f>SUMIFS(服务费底表!$AC:$AC,服务费底表!$K:$K,服务费明细!$B109,服务费底表!$T:$T,AO$3)</f>
        <v>0</v>
      </c>
      <c r="AP109" s="166">
        <f>SUMIFS(服务费底表!$AC:$AC,服务费底表!$K:$K,服务费明细!$B109,服务费底表!$T:$T,AP$3)</f>
        <v>0</v>
      </c>
      <c r="AQ109" s="166">
        <f>SUMIFS(服务费底表!$AC:$AC,服务费底表!$K:$K,服务费明细!$B109,服务费底表!$T:$T,AQ$3)</f>
        <v>0</v>
      </c>
      <c r="AR109" s="166">
        <f>SUMIFS(服务费底表!$AC:$AC,服务费底表!$K:$K,服务费明细!$B109,服务费底表!$T:$T,AR$3)</f>
        <v>0</v>
      </c>
      <c r="AS109" s="166">
        <f>SUMIFS(服务费底表!$AC:$AC,服务费底表!$K:$K,服务费明细!$B109,服务费底表!$T:$T,AS$3)</f>
        <v>0</v>
      </c>
      <c r="AT109" s="166">
        <f>SUMIFS(服务费底表!$AC:$AC,服务费底表!$K:$K,服务费明细!$B109,服务费底表!$T:$T,AT$3)</f>
        <v>0</v>
      </c>
      <c r="AU109" s="166">
        <f>SUMIFS(服务费底表!$AC:$AC,服务费底表!$K:$K,服务费明细!$B109,服务费底表!$T:$T,AU$3)</f>
        <v>0</v>
      </c>
      <c r="AV109" s="166">
        <f>SUMIFS(服务费底表!$AC:$AC,服务费底表!$K:$K,服务费明细!$B109,服务费底表!$T:$T,AV$3)</f>
        <v>0</v>
      </c>
      <c r="AW109" s="166">
        <f>SUMIFS(服务费底表!$AC:$AC,服务费底表!$K:$K,服务费明细!$B109,服务费底表!$T:$T,AW$3)</f>
        <v>0</v>
      </c>
      <c r="AX109" s="166">
        <f>SUMIFS(服务费底表!$AC:$AC,服务费底表!$K:$K,服务费明细!$B109,服务费底表!$T:$T,AX$3)</f>
        <v>0</v>
      </c>
      <c r="AY109" s="166">
        <f>SUMIFS(服务费底表!$AC:$AC,服务费底表!$K:$K,服务费明细!$B109,服务费底表!$T:$T,AY$3)</f>
        <v>0</v>
      </c>
      <c r="AZ109" s="166">
        <f>SUMIFS(服务费底表!$AC:$AC,服务费底表!$K:$K,服务费明细!$B109,服务费底表!$T:$T,AZ$3)</f>
        <v>0</v>
      </c>
      <c r="BA109" s="166">
        <f>SUMIFS(服务费底表!$AC:$AC,服务费底表!$K:$K,服务费明细!$B109,服务费底表!$T:$T,BA$3)</f>
        <v>0</v>
      </c>
      <c r="BB109" s="166">
        <f>SUMIFS(服务费底表!$AC:$AC,服务费底表!$K:$K,服务费明细!$B109,服务费底表!$T:$T,BB$3)</f>
        <v>0</v>
      </c>
      <c r="BC109" s="166">
        <f>SUMIFS(服务费底表!$AC:$AC,服务费底表!$K:$K,服务费明细!$B109,服务费底表!$T:$T,BC$3)</f>
        <v>0</v>
      </c>
      <c r="BD109" s="166">
        <f>SUMIFS(服务费底表!$AC:$AC,服务费底表!$K:$K,服务费明细!$B109,服务费底表!$T:$T,BD$3)</f>
        <v>0</v>
      </c>
      <c r="BE109" s="166">
        <f>SUMIFS(服务费底表!$AC:$AC,服务费底表!$K:$K,服务费明细!$B109,服务费底表!$T:$T,BE$3)</f>
        <v>0</v>
      </c>
      <c r="BF109" s="166">
        <f>SUMIFS(服务费底表!$AC:$AC,服务费底表!$K:$K,服务费明细!$B109,服务费底表!$T:$T,BF$3)</f>
        <v>0</v>
      </c>
      <c r="BG109" s="166">
        <f>SUMIFS(服务费底表!$AC:$AC,服务费底表!$K:$K,服务费明细!$B109,服务费底表!$T:$T,BG$3)</f>
        <v>0</v>
      </c>
      <c r="BI109" s="388">
        <f>SUMIFS(服务费底表!$AC:$AC,服务费底表!$K:$K,服务费明细!$B109,服务费底表!$H:$H,服务费明细!BI$3)</f>
        <v>0</v>
      </c>
      <c r="BJ109" s="388">
        <f>SUMIFS(服务费底表!$AC:$AC,服务费底表!$K:$K,服务费明细!$B109,服务费底表!$H:$H,服务费明细!BJ$3)</f>
        <v>0</v>
      </c>
      <c r="BK109" s="388">
        <f>SUMIFS(服务费底表!$AC:$AC,服务费底表!$K:$K,服务费明细!$B109,服务费底表!$H:$H,服务费明细!BK$3)</f>
        <v>0</v>
      </c>
      <c r="BL109" s="388">
        <f>SUMIFS(服务费底表!$AC:$AC,服务费底表!$K:$K,服务费明细!$B109,服务费底表!$H:$H,服务费明细!BL$3)</f>
        <v>0</v>
      </c>
      <c r="BM109" s="388">
        <f>SUMIFS(服务费底表!$AC:$AC,服务费底表!$K:$K,服务费明细!$B109,服务费底表!$H:$H,服务费明细!BM$3)</f>
        <v>0</v>
      </c>
      <c r="BN109" s="388">
        <f>SUMIFS(服务费底表!$AC:$AC,服务费底表!$K:$K,服务费明细!$B109,服务费底表!$H:$H,服务费明细!BN$3)</f>
        <v>0</v>
      </c>
      <c r="BO109" s="388">
        <f>SUMIFS(服务费底表!$AC:$AC,服务费底表!$K:$K,服务费明细!$B109,服务费底表!$H:$H,服务费明细!BO$3)</f>
        <v>0</v>
      </c>
      <c r="BQ109" s="389">
        <f>SUMIFS(服务费底表!$AD:$AD,服务费底表!$K:$K,服务费明细!$B109,服务费底表!$H:$H,服务费明细!BQ$3)</f>
        <v>0</v>
      </c>
      <c r="BR109" s="389">
        <f>SUMIFS(服务费底表!$AD:$AD,服务费底表!$K:$K,服务费明细!$B109,服务费底表!$H:$H,服务费明细!BR$3)</f>
        <v>0</v>
      </c>
      <c r="BS109" s="389">
        <f>SUMIFS(服务费底表!$AD:$AD,服务费底表!$K:$K,服务费明细!$B109,服务费底表!$H:$H,服务费明细!BS$3)</f>
        <v>0</v>
      </c>
      <c r="BT109" s="389">
        <f>SUMIFS(服务费底表!$AD:$AD,服务费底表!$K:$K,服务费明细!$B109,服务费底表!$H:$H,服务费明细!BT$3)</f>
        <v>0</v>
      </c>
      <c r="BU109" s="389">
        <f>SUMIFS(服务费底表!$AD:$AD,服务费底表!$K:$K,服务费明细!$B109,服务费底表!$H:$H,服务费明细!BU$3)</f>
        <v>0</v>
      </c>
      <c r="BV109" s="389">
        <f>SUMIFS(服务费底表!$AD:$AD,服务费底表!$K:$K,服务费明细!$B109,服务费底表!$H:$H,服务费明细!BV$3)</f>
        <v>0</v>
      </c>
      <c r="BW109" s="389">
        <f>SUMIFS(服务费底表!$AD:$AD,服务费底表!$K:$K,服务费明细!$B109,服务费底表!$H:$H,服务费明细!BW$3)</f>
        <v>0</v>
      </c>
    </row>
    <row r="110" ht="20" customHeight="1" spans="2:75">
      <c r="B110" s="89" t="s">
        <v>271</v>
      </c>
      <c r="C110" s="89" t="str">
        <f>INDEX(二三级标准!$C:$C,MATCH(服务费明细!$B110,二三级标准!$B:$B,0))</f>
        <v>DSUR医学审核</v>
      </c>
      <c r="D110" s="166">
        <v>0</v>
      </c>
      <c r="E110" s="166">
        <f>IF($D110=1,1,0)</f>
        <v>0</v>
      </c>
      <c r="F110" s="89" t="str">
        <f>INDEX(二三级标准!$G:$G,MATCH(服务费明细!$B110,二三级标准!$B:$B,0))</f>
        <v>次</v>
      </c>
      <c r="G110" s="166">
        <f t="shared" si="196"/>
        <v>0</v>
      </c>
      <c r="H110" s="166">
        <f t="shared" si="197"/>
        <v>0</v>
      </c>
      <c r="I110" s="166">
        <f t="shared" si="198"/>
        <v>0</v>
      </c>
      <c r="J110" s="166">
        <f t="shared" si="199"/>
        <v>0</v>
      </c>
      <c r="K110" s="166">
        <f t="shared" si="200"/>
        <v>0</v>
      </c>
      <c r="L110" s="166">
        <f t="shared" si="201"/>
        <v>0</v>
      </c>
      <c r="M110" s="166">
        <f t="shared" si="202"/>
        <v>0</v>
      </c>
      <c r="N110" s="166">
        <f t="shared" si="203"/>
        <v>0</v>
      </c>
      <c r="O110" s="166">
        <f t="shared" si="204"/>
        <v>0</v>
      </c>
      <c r="P110" s="166">
        <f t="shared" si="205"/>
        <v>0</v>
      </c>
      <c r="Q110" s="166">
        <f t="shared" si="206"/>
        <v>0</v>
      </c>
      <c r="R110" s="166">
        <f t="shared" si="207"/>
        <v>0</v>
      </c>
      <c r="S110" s="166">
        <f t="shared" si="208"/>
        <v>0</v>
      </c>
      <c r="T110" s="166">
        <f t="shared" si="209"/>
        <v>0</v>
      </c>
      <c r="U110" s="166">
        <f t="shared" si="210"/>
        <v>0</v>
      </c>
      <c r="V110" s="166">
        <f t="shared" si="211"/>
        <v>0</v>
      </c>
      <c r="W110" s="166">
        <f t="shared" si="212"/>
        <v>0</v>
      </c>
      <c r="X110" s="166">
        <f t="shared" si="213"/>
        <v>0</v>
      </c>
      <c r="Y110" s="166">
        <f t="shared" si="214"/>
        <v>0</v>
      </c>
      <c r="Z110" s="166">
        <f t="shared" si="215"/>
        <v>0</v>
      </c>
      <c r="AA110" s="166">
        <f t="shared" si="216"/>
        <v>0</v>
      </c>
      <c r="AB110" s="166">
        <f t="shared" si="217"/>
        <v>0</v>
      </c>
      <c r="AC110" s="166" cm="1">
        <f t="array" ref="AC110">SUMPRODUCT(G110:AB110,$G$4:$AB$4)</f>
        <v>0</v>
      </c>
      <c r="AD110" s="89" t="b">
        <f t="shared" si="220"/>
        <v>1</v>
      </c>
      <c r="AE110" s="386">
        <f>IFERROR(SUMIF(服务费底表!$K:$K,服务费明细!$B110,服务费底表!$AD:$AD)/E110,0)</f>
        <v>0</v>
      </c>
      <c r="AF110" s="386">
        <f t="shared" si="221"/>
        <v>0</v>
      </c>
      <c r="AG110" s="386">
        <f>IFERROR(SUMIF(服务费底表!$K:$K,服务费明细!$B110,服务费底表!$AG:$AG)/E110,0)</f>
        <v>0</v>
      </c>
      <c r="AH110" s="386">
        <f t="shared" si="222"/>
        <v>0</v>
      </c>
      <c r="AI110" s="409"/>
      <c r="AJ110" s="563">
        <f t="shared" si="223"/>
        <v>0</v>
      </c>
      <c r="AK110" s="564">
        <f>SUMIF(服务费底表!$K:$K,服务费明细!$B110,服务费底表!$AC:$AC)</f>
        <v>0</v>
      </c>
      <c r="AL110" s="166">
        <f>SUMIFS(服务费底表!$AC:$AC,服务费底表!$K:$K,服务费明细!$B110,服务费底表!$T:$T,AL$3)</f>
        <v>0</v>
      </c>
      <c r="AM110" s="166">
        <f>SUMIFS(服务费底表!$AC:$AC,服务费底表!$K:$K,服务费明细!$B110,服务费底表!$T:$T,AM$3)</f>
        <v>0</v>
      </c>
      <c r="AN110" s="166">
        <f>SUMIFS(服务费底表!$AC:$AC,服务费底表!$K:$K,服务费明细!$B110,服务费底表!$T:$T,AN$3)</f>
        <v>0</v>
      </c>
      <c r="AO110" s="166">
        <f>SUMIFS(服务费底表!$AC:$AC,服务费底表!$K:$K,服务费明细!$B110,服务费底表!$T:$T,AO$3)</f>
        <v>0</v>
      </c>
      <c r="AP110" s="166">
        <f>SUMIFS(服务费底表!$AC:$AC,服务费底表!$K:$K,服务费明细!$B110,服务费底表!$T:$T,AP$3)</f>
        <v>0</v>
      </c>
      <c r="AQ110" s="166">
        <f>SUMIFS(服务费底表!$AC:$AC,服务费底表!$K:$K,服务费明细!$B110,服务费底表!$T:$T,AQ$3)</f>
        <v>0</v>
      </c>
      <c r="AR110" s="166">
        <f>SUMIFS(服务费底表!$AC:$AC,服务费底表!$K:$K,服务费明细!$B110,服务费底表!$T:$T,AR$3)</f>
        <v>0</v>
      </c>
      <c r="AS110" s="166">
        <f>SUMIFS(服务费底表!$AC:$AC,服务费底表!$K:$K,服务费明细!$B110,服务费底表!$T:$T,AS$3)</f>
        <v>0</v>
      </c>
      <c r="AT110" s="166">
        <f>SUMIFS(服务费底表!$AC:$AC,服务费底表!$K:$K,服务费明细!$B110,服务费底表!$T:$T,AT$3)</f>
        <v>0</v>
      </c>
      <c r="AU110" s="166">
        <f>SUMIFS(服务费底表!$AC:$AC,服务费底表!$K:$K,服务费明细!$B110,服务费底表!$T:$T,AU$3)</f>
        <v>0</v>
      </c>
      <c r="AV110" s="166">
        <f>SUMIFS(服务费底表!$AC:$AC,服务费底表!$K:$K,服务费明细!$B110,服务费底表!$T:$T,AV$3)</f>
        <v>0</v>
      </c>
      <c r="AW110" s="166">
        <f>SUMIFS(服务费底表!$AC:$AC,服务费底表!$K:$K,服务费明细!$B110,服务费底表!$T:$T,AW$3)</f>
        <v>0</v>
      </c>
      <c r="AX110" s="166">
        <f>SUMIFS(服务费底表!$AC:$AC,服务费底表!$K:$K,服务费明细!$B110,服务费底表!$T:$T,AX$3)</f>
        <v>0</v>
      </c>
      <c r="AY110" s="166">
        <f>SUMIFS(服务费底表!$AC:$AC,服务费底表!$K:$K,服务费明细!$B110,服务费底表!$T:$T,AY$3)</f>
        <v>0</v>
      </c>
      <c r="AZ110" s="166">
        <f>SUMIFS(服务费底表!$AC:$AC,服务费底表!$K:$K,服务费明细!$B110,服务费底表!$T:$T,AZ$3)</f>
        <v>0</v>
      </c>
      <c r="BA110" s="166">
        <f>SUMIFS(服务费底表!$AC:$AC,服务费底表!$K:$K,服务费明细!$B110,服务费底表!$T:$T,BA$3)</f>
        <v>0</v>
      </c>
      <c r="BB110" s="166">
        <f>SUMIFS(服务费底表!$AC:$AC,服务费底表!$K:$K,服务费明细!$B110,服务费底表!$T:$T,BB$3)</f>
        <v>0</v>
      </c>
      <c r="BC110" s="166">
        <f>SUMIFS(服务费底表!$AC:$AC,服务费底表!$K:$K,服务费明细!$B110,服务费底表!$T:$T,BC$3)</f>
        <v>0</v>
      </c>
      <c r="BD110" s="166">
        <f>SUMIFS(服务费底表!$AC:$AC,服务费底表!$K:$K,服务费明细!$B110,服务费底表!$T:$T,BD$3)</f>
        <v>0</v>
      </c>
      <c r="BE110" s="166">
        <f>SUMIFS(服务费底表!$AC:$AC,服务费底表!$K:$K,服务费明细!$B110,服务费底表!$T:$T,BE$3)</f>
        <v>0</v>
      </c>
      <c r="BF110" s="166">
        <f>SUMIFS(服务费底表!$AC:$AC,服务费底表!$K:$K,服务费明细!$B110,服务费底表!$T:$T,BF$3)</f>
        <v>0</v>
      </c>
      <c r="BG110" s="166">
        <f>SUMIFS(服务费底表!$AC:$AC,服务费底表!$K:$K,服务费明细!$B110,服务费底表!$T:$T,BG$3)</f>
        <v>0</v>
      </c>
      <c r="BI110" s="388">
        <f>SUMIFS(服务费底表!$AC:$AC,服务费底表!$K:$K,服务费明细!$B110,服务费底表!$H:$H,服务费明细!BI$3)</f>
        <v>0</v>
      </c>
      <c r="BJ110" s="388">
        <f>SUMIFS(服务费底表!$AC:$AC,服务费底表!$K:$K,服务费明细!$B110,服务费底表!$H:$H,服务费明细!BJ$3)</f>
        <v>0</v>
      </c>
      <c r="BK110" s="388">
        <f>SUMIFS(服务费底表!$AC:$AC,服务费底表!$K:$K,服务费明细!$B110,服务费底表!$H:$H,服务费明细!BK$3)</f>
        <v>0</v>
      </c>
      <c r="BL110" s="388">
        <f>SUMIFS(服务费底表!$AC:$AC,服务费底表!$K:$K,服务费明细!$B110,服务费底表!$H:$H,服务费明细!BL$3)</f>
        <v>0</v>
      </c>
      <c r="BM110" s="388">
        <f>SUMIFS(服务费底表!$AC:$AC,服务费底表!$K:$K,服务费明细!$B110,服务费底表!$H:$H,服务费明细!BM$3)</f>
        <v>0</v>
      </c>
      <c r="BN110" s="388">
        <f>SUMIFS(服务费底表!$AC:$AC,服务费底表!$K:$K,服务费明细!$B110,服务费底表!$H:$H,服务费明细!BN$3)</f>
        <v>0</v>
      </c>
      <c r="BO110" s="388">
        <f>SUMIFS(服务费底表!$AC:$AC,服务费底表!$K:$K,服务费明细!$B110,服务费底表!$H:$H,服务费明细!BO$3)</f>
        <v>0</v>
      </c>
      <c r="BQ110" s="389">
        <f>SUMIFS(服务费底表!$AD:$AD,服务费底表!$K:$K,服务费明细!$B110,服务费底表!$H:$H,服务费明细!BQ$3)</f>
        <v>0</v>
      </c>
      <c r="BR110" s="389">
        <f>SUMIFS(服务费底表!$AD:$AD,服务费底表!$K:$K,服务费明细!$B110,服务费底表!$H:$H,服务费明细!BR$3)</f>
        <v>0</v>
      </c>
      <c r="BS110" s="389">
        <f>SUMIFS(服务费底表!$AD:$AD,服务费底表!$K:$K,服务费明细!$B110,服务费底表!$H:$H,服务费明细!BS$3)</f>
        <v>0</v>
      </c>
      <c r="BT110" s="389">
        <f>SUMIFS(服务费底表!$AD:$AD,服务费底表!$K:$K,服务费明细!$B110,服务费底表!$H:$H,服务费明细!BT$3)</f>
        <v>0</v>
      </c>
      <c r="BU110" s="389">
        <f>SUMIFS(服务费底表!$AD:$AD,服务费底表!$K:$K,服务费明细!$B110,服务费底表!$H:$H,服务费明细!BU$3)</f>
        <v>0</v>
      </c>
      <c r="BV110" s="389">
        <f>SUMIFS(服务费底表!$AD:$AD,服务费底表!$K:$K,服务费明细!$B110,服务费底表!$H:$H,服务费明细!BV$3)</f>
        <v>0</v>
      </c>
      <c r="BW110" s="389">
        <f>SUMIFS(服务费底表!$AD:$AD,服务费底表!$K:$K,服务费明细!$B110,服务费底表!$H:$H,服务费明细!BW$3)</f>
        <v>0</v>
      </c>
    </row>
    <row r="111" ht="20" customHeight="1" spans="2:75">
      <c r="B111" s="89" t="s">
        <v>1042</v>
      </c>
      <c r="C111" s="89" t="str">
        <f>INDEX(二三级标准!$C:$C,MATCH(服务费明细!$B111,二三级标准!$B:$B,0))</f>
        <v>翻译服务</v>
      </c>
      <c r="D111" s="166">
        <v>0</v>
      </c>
      <c r="E111" s="166">
        <f>IF($D111=1,1,0)</f>
        <v>0</v>
      </c>
      <c r="F111" s="89" t="str">
        <f>INDEX(二三级标准!$G:$G,MATCH(服务费明细!$B111,二三级标准!$B:$B,0))</f>
        <v>份</v>
      </c>
      <c r="G111" s="166">
        <f t="shared" si="196"/>
        <v>0</v>
      </c>
      <c r="H111" s="166">
        <f t="shared" si="197"/>
        <v>0</v>
      </c>
      <c r="I111" s="166">
        <f t="shared" si="198"/>
        <v>0</v>
      </c>
      <c r="J111" s="166">
        <f t="shared" si="199"/>
        <v>0</v>
      </c>
      <c r="K111" s="166">
        <f t="shared" si="200"/>
        <v>0</v>
      </c>
      <c r="L111" s="166">
        <f t="shared" si="201"/>
        <v>0</v>
      </c>
      <c r="M111" s="166">
        <f t="shared" si="202"/>
        <v>0</v>
      </c>
      <c r="N111" s="166">
        <f t="shared" si="203"/>
        <v>0</v>
      </c>
      <c r="O111" s="166">
        <f t="shared" si="204"/>
        <v>0</v>
      </c>
      <c r="P111" s="166">
        <f t="shared" si="205"/>
        <v>0</v>
      </c>
      <c r="Q111" s="166">
        <f t="shared" si="206"/>
        <v>0</v>
      </c>
      <c r="R111" s="166">
        <f t="shared" si="207"/>
        <v>0</v>
      </c>
      <c r="S111" s="166">
        <f t="shared" si="208"/>
        <v>0</v>
      </c>
      <c r="T111" s="166">
        <f t="shared" si="209"/>
        <v>0</v>
      </c>
      <c r="U111" s="166">
        <f t="shared" si="210"/>
        <v>0</v>
      </c>
      <c r="V111" s="166">
        <f t="shared" si="211"/>
        <v>0</v>
      </c>
      <c r="W111" s="166">
        <f t="shared" si="212"/>
        <v>0</v>
      </c>
      <c r="X111" s="166">
        <f t="shared" si="213"/>
        <v>0</v>
      </c>
      <c r="Y111" s="166">
        <f t="shared" si="214"/>
        <v>0</v>
      </c>
      <c r="Z111" s="166">
        <f t="shared" si="215"/>
        <v>0</v>
      </c>
      <c r="AA111" s="166">
        <f t="shared" si="216"/>
        <v>0</v>
      </c>
      <c r="AB111" s="166">
        <f t="shared" si="217"/>
        <v>0</v>
      </c>
      <c r="AC111" s="166" cm="1">
        <f t="array" ref="AC111">SUMPRODUCT(G111:AB111,$G$4:$AB$4)</f>
        <v>0</v>
      </c>
      <c r="AD111" s="89" t="b">
        <f t="shared" si="220"/>
        <v>1</v>
      </c>
      <c r="AE111" s="386">
        <f>IFERROR(SUMIF(服务费底表!$K:$K,服务费明细!$B111,服务费底表!$AD:$AD)/E111,0)</f>
        <v>0</v>
      </c>
      <c r="AF111" s="386">
        <f t="shared" si="221"/>
        <v>0</v>
      </c>
      <c r="AG111" s="386">
        <f>IFERROR(SUMIF(服务费底表!$K:$K,服务费明细!$B111,服务费底表!$AG:$AG)/E111,0)</f>
        <v>0</v>
      </c>
      <c r="AH111" s="386">
        <f t="shared" si="222"/>
        <v>0</v>
      </c>
      <c r="AI111" s="409" t="s">
        <v>1043</v>
      </c>
      <c r="AJ111" s="563">
        <f t="shared" si="223"/>
        <v>0</v>
      </c>
      <c r="AK111" s="564">
        <f>SUMIF(服务费底表!$K:$K,服务费明细!$B111,服务费底表!$AC:$AC)</f>
        <v>0</v>
      </c>
      <c r="AL111" s="166">
        <f>SUMIFS(服务费底表!$AC:$AC,服务费底表!$K:$K,服务费明细!$B111,服务费底表!$T:$T,AL$3)</f>
        <v>0</v>
      </c>
      <c r="AM111" s="166">
        <f>SUMIFS(服务费底表!$AC:$AC,服务费底表!$K:$K,服务费明细!$B111,服务费底表!$T:$T,AM$3)</f>
        <v>0</v>
      </c>
      <c r="AN111" s="166">
        <f>SUMIFS(服务费底表!$AC:$AC,服务费底表!$K:$K,服务费明细!$B111,服务费底表!$T:$T,AN$3)</f>
        <v>0</v>
      </c>
      <c r="AO111" s="166">
        <f>SUMIFS(服务费底表!$AC:$AC,服务费底表!$K:$K,服务费明细!$B111,服务费底表!$T:$T,AO$3)</f>
        <v>0</v>
      </c>
      <c r="AP111" s="166">
        <f>SUMIFS(服务费底表!$AC:$AC,服务费底表!$K:$K,服务费明细!$B111,服务费底表!$T:$T,AP$3)</f>
        <v>0</v>
      </c>
      <c r="AQ111" s="166">
        <f>SUMIFS(服务费底表!$AC:$AC,服务费底表!$K:$K,服务费明细!$B111,服务费底表!$T:$T,AQ$3)</f>
        <v>0</v>
      </c>
      <c r="AR111" s="166">
        <f>SUMIFS(服务费底表!$AC:$AC,服务费底表!$K:$K,服务费明细!$B111,服务费底表!$T:$T,AR$3)</f>
        <v>0</v>
      </c>
      <c r="AS111" s="166">
        <f>SUMIFS(服务费底表!$AC:$AC,服务费底表!$K:$K,服务费明细!$B111,服务费底表!$T:$T,AS$3)</f>
        <v>0</v>
      </c>
      <c r="AT111" s="166">
        <f>SUMIFS(服务费底表!$AC:$AC,服务费底表!$K:$K,服务费明细!$B111,服务费底表!$T:$T,AT$3)</f>
        <v>0</v>
      </c>
      <c r="AU111" s="166">
        <f>SUMIFS(服务费底表!$AC:$AC,服务费底表!$K:$K,服务费明细!$B111,服务费底表!$T:$T,AU$3)</f>
        <v>0</v>
      </c>
      <c r="AV111" s="166">
        <f>SUMIFS(服务费底表!$AC:$AC,服务费底表!$K:$K,服务费明细!$B111,服务费底表!$T:$T,AV$3)</f>
        <v>0</v>
      </c>
      <c r="AW111" s="166">
        <f>SUMIFS(服务费底表!$AC:$AC,服务费底表!$K:$K,服务费明细!$B111,服务费底表!$T:$T,AW$3)</f>
        <v>0</v>
      </c>
      <c r="AX111" s="166">
        <f>SUMIFS(服务费底表!$AC:$AC,服务费底表!$K:$K,服务费明细!$B111,服务费底表!$T:$T,AX$3)</f>
        <v>0</v>
      </c>
      <c r="AY111" s="166">
        <f>SUMIFS(服务费底表!$AC:$AC,服务费底表!$K:$K,服务费明细!$B111,服务费底表!$T:$T,AY$3)</f>
        <v>0</v>
      </c>
      <c r="AZ111" s="166">
        <f>SUMIFS(服务费底表!$AC:$AC,服务费底表!$K:$K,服务费明细!$B111,服务费底表!$T:$T,AZ$3)</f>
        <v>0</v>
      </c>
      <c r="BA111" s="166">
        <f>SUMIFS(服务费底表!$AC:$AC,服务费底表!$K:$K,服务费明细!$B111,服务费底表!$T:$T,BA$3)</f>
        <v>0</v>
      </c>
      <c r="BB111" s="166">
        <f>SUMIFS(服务费底表!$AC:$AC,服务费底表!$K:$K,服务费明细!$B111,服务费底表!$T:$T,BB$3)</f>
        <v>0</v>
      </c>
      <c r="BC111" s="166">
        <f>SUMIFS(服务费底表!$AC:$AC,服务费底表!$K:$K,服务费明细!$B111,服务费底表!$T:$T,BC$3)</f>
        <v>0</v>
      </c>
      <c r="BD111" s="166">
        <f>SUMIFS(服务费底表!$AC:$AC,服务费底表!$K:$K,服务费明细!$B111,服务费底表!$T:$T,BD$3)</f>
        <v>0</v>
      </c>
      <c r="BE111" s="166">
        <f>SUMIFS(服务费底表!$AC:$AC,服务费底表!$K:$K,服务费明细!$B111,服务费底表!$T:$T,BE$3)</f>
        <v>0</v>
      </c>
      <c r="BF111" s="166">
        <f>SUMIFS(服务费底表!$AC:$AC,服务费底表!$K:$K,服务费明细!$B111,服务费底表!$T:$T,BF$3)</f>
        <v>0</v>
      </c>
      <c r="BG111" s="166">
        <f>SUMIFS(服务费底表!$AC:$AC,服务费底表!$K:$K,服务费明细!$B111,服务费底表!$T:$T,BG$3)</f>
        <v>0</v>
      </c>
      <c r="BI111" s="388">
        <f>SUMIFS(服务费底表!$AC:$AC,服务费底表!$K:$K,服务费明细!$B111,服务费底表!$H:$H,服务费明细!BI$3)</f>
        <v>0</v>
      </c>
      <c r="BJ111" s="388">
        <f>SUMIFS(服务费底表!$AC:$AC,服务费底表!$K:$K,服务费明细!$B111,服务费底表!$H:$H,服务费明细!BJ$3)</f>
        <v>0</v>
      </c>
      <c r="BK111" s="388">
        <f>SUMIFS(服务费底表!$AC:$AC,服务费底表!$K:$K,服务费明细!$B111,服务费底表!$H:$H,服务费明细!BK$3)</f>
        <v>0</v>
      </c>
      <c r="BL111" s="388">
        <f>SUMIFS(服务费底表!$AC:$AC,服务费底表!$K:$K,服务费明细!$B111,服务费底表!$H:$H,服务费明细!BL$3)</f>
        <v>0</v>
      </c>
      <c r="BM111" s="388">
        <f>SUMIFS(服务费底表!$AC:$AC,服务费底表!$K:$K,服务费明细!$B111,服务费底表!$H:$H,服务费明细!BM$3)</f>
        <v>0</v>
      </c>
      <c r="BN111" s="388">
        <f>SUMIFS(服务费底表!$AC:$AC,服务费底表!$K:$K,服务费明细!$B111,服务费底表!$H:$H,服务费明细!BN$3)</f>
        <v>0</v>
      </c>
      <c r="BO111" s="388">
        <f>SUMIFS(服务费底表!$AC:$AC,服务费底表!$K:$K,服务费明细!$B111,服务费底表!$H:$H,服务费明细!BO$3)</f>
        <v>0</v>
      </c>
      <c r="BQ111" s="389">
        <f>SUMIFS(服务费底表!$AD:$AD,服务费底表!$K:$K,服务费明细!$B111,服务费底表!$H:$H,服务费明细!BQ$3)</f>
        <v>0</v>
      </c>
      <c r="BR111" s="389">
        <f>SUMIFS(服务费底表!$AD:$AD,服务费底表!$K:$K,服务费明细!$B111,服务费底表!$H:$H,服务费明细!BR$3)</f>
        <v>0</v>
      </c>
      <c r="BS111" s="389">
        <f>SUMIFS(服务费底表!$AD:$AD,服务费底表!$K:$K,服务费明细!$B111,服务费底表!$H:$H,服务费明细!BS$3)</f>
        <v>0</v>
      </c>
      <c r="BT111" s="389">
        <f>SUMIFS(服务费底表!$AD:$AD,服务费底表!$K:$K,服务费明细!$B111,服务费底表!$H:$H,服务费明细!BT$3)</f>
        <v>0</v>
      </c>
      <c r="BU111" s="389">
        <f>SUMIFS(服务费底表!$AD:$AD,服务费底表!$K:$K,服务费明细!$B111,服务费底表!$H:$H,服务费明细!BU$3)</f>
        <v>0</v>
      </c>
      <c r="BV111" s="389">
        <f>SUMIFS(服务费底表!$AD:$AD,服务费底表!$K:$K,服务费明细!$B111,服务费底表!$H:$H,服务费明细!BV$3)</f>
        <v>0</v>
      </c>
      <c r="BW111" s="389">
        <f>SUMIFS(服务费底表!$AD:$AD,服务费底表!$K:$K,服务费明细!$B111,服务费底表!$H:$H,服务费明细!BW$3)</f>
        <v>0</v>
      </c>
    </row>
    <row r="112" ht="27" customHeight="1" spans="2:75">
      <c r="B112" s="89" t="s">
        <v>273</v>
      </c>
      <c r="C112" s="89" t="str">
        <f>INDEX(二三级标准!$C:$C,MATCH(服务费明细!$B112,二三级标准!$B:$B,0))</f>
        <v>医学项目管理</v>
      </c>
      <c r="D112" s="166">
        <f>IF($D$97=1,1,0)</f>
        <v>1</v>
      </c>
      <c r="E112" s="166">
        <f>IF($D112=1,ROUND(SUM(筛选月+入组月+治疗月+随访月+长随访月+锁库月),0),0)</f>
        <v>14</v>
      </c>
      <c r="F112" s="89" t="str">
        <f>INDEX(二三级标准!$G:$G,MATCH(服务费明细!$B112,二三级标准!$B:$B,0))</f>
        <v>月</v>
      </c>
      <c r="G112" s="166">
        <f t="shared" si="196"/>
        <v>0</v>
      </c>
      <c r="H112" s="166">
        <f t="shared" si="197"/>
        <v>0</v>
      </c>
      <c r="I112" s="166">
        <f t="shared" si="198"/>
        <v>0</v>
      </c>
      <c r="J112" s="166">
        <f t="shared" si="199"/>
        <v>0</v>
      </c>
      <c r="K112" s="166">
        <f t="shared" si="200"/>
        <v>0</v>
      </c>
      <c r="L112" s="166">
        <f t="shared" si="201"/>
        <v>0</v>
      </c>
      <c r="M112" s="166">
        <f t="shared" si="202"/>
        <v>21</v>
      </c>
      <c r="N112" s="166">
        <f t="shared" si="203"/>
        <v>0</v>
      </c>
      <c r="O112" s="166">
        <f t="shared" si="204"/>
        <v>0</v>
      </c>
      <c r="P112" s="166">
        <f t="shared" si="205"/>
        <v>0</v>
      </c>
      <c r="Q112" s="166">
        <f t="shared" si="206"/>
        <v>0</v>
      </c>
      <c r="R112" s="166">
        <f t="shared" si="207"/>
        <v>0</v>
      </c>
      <c r="S112" s="166">
        <f t="shared" si="208"/>
        <v>0</v>
      </c>
      <c r="T112" s="166">
        <f t="shared" si="209"/>
        <v>0</v>
      </c>
      <c r="U112" s="166">
        <f t="shared" si="210"/>
        <v>0</v>
      </c>
      <c r="V112" s="166">
        <f t="shared" si="211"/>
        <v>0</v>
      </c>
      <c r="W112" s="166">
        <f t="shared" si="212"/>
        <v>0</v>
      </c>
      <c r="X112" s="166">
        <f t="shared" si="213"/>
        <v>0</v>
      </c>
      <c r="Y112" s="166">
        <f t="shared" si="214"/>
        <v>0</v>
      </c>
      <c r="Z112" s="166">
        <f t="shared" si="215"/>
        <v>0</v>
      </c>
      <c r="AA112" s="166">
        <f t="shared" si="216"/>
        <v>0</v>
      </c>
      <c r="AB112" s="166">
        <f t="shared" si="217"/>
        <v>0</v>
      </c>
      <c r="AC112" s="166" cm="1">
        <f t="array" ref="AC112">SUMPRODUCT(G112:AB112,$G$4:$AB$4)</f>
        <v>13650</v>
      </c>
      <c r="AD112" s="89" t="b">
        <f t="shared" si="220"/>
        <v>1</v>
      </c>
      <c r="AE112" s="386">
        <f>IFERROR(SUMIF(服务费底表!$K:$K,服务费明细!$B112,服务费底表!$AD:$AD)/E112,0)</f>
        <v>975</v>
      </c>
      <c r="AF112" s="386">
        <f t="shared" si="221"/>
        <v>13650</v>
      </c>
      <c r="AG112" s="386">
        <f>IFERROR(SUMIF(服务费底表!$K:$K,服务费明细!$B112,服务费底表!$AG:$AG)/E112,0)</f>
        <v>975</v>
      </c>
      <c r="AH112" s="386">
        <f t="shared" si="222"/>
        <v>13650</v>
      </c>
      <c r="AI112" s="409" t="s">
        <v>1044</v>
      </c>
      <c r="AJ112" s="563">
        <f t="shared" si="223"/>
        <v>1.5</v>
      </c>
      <c r="AK112" s="564">
        <f>SUMIF(服务费底表!$K:$K,服务费明细!$B112,服务费底表!$AC:$AC)</f>
        <v>21</v>
      </c>
      <c r="AL112" s="166">
        <f>SUMIFS(服务费底表!$AC:$AC,服务费底表!$K:$K,服务费明细!$B112,服务费底表!$T:$T,AL$3)</f>
        <v>0</v>
      </c>
      <c r="AM112" s="166">
        <f>SUMIFS(服务费底表!$AC:$AC,服务费底表!$K:$K,服务费明细!$B112,服务费底表!$T:$T,AM$3)</f>
        <v>0</v>
      </c>
      <c r="AN112" s="166">
        <f>SUMIFS(服务费底表!$AC:$AC,服务费底表!$K:$K,服务费明细!$B112,服务费底表!$T:$T,AN$3)</f>
        <v>0</v>
      </c>
      <c r="AO112" s="166">
        <f>SUMIFS(服务费底表!$AC:$AC,服务费底表!$K:$K,服务费明细!$B112,服务费底表!$T:$T,AO$3)</f>
        <v>0</v>
      </c>
      <c r="AP112" s="166">
        <f>SUMIFS(服务费底表!$AC:$AC,服务费底表!$K:$K,服务费明细!$B112,服务费底表!$T:$T,AP$3)</f>
        <v>0</v>
      </c>
      <c r="AQ112" s="166">
        <f>SUMIFS(服务费底表!$AC:$AC,服务费底表!$K:$K,服务费明细!$B112,服务费底表!$T:$T,AQ$3)</f>
        <v>0</v>
      </c>
      <c r="AR112" s="166">
        <f>SUMIFS(服务费底表!$AC:$AC,服务费底表!$K:$K,服务费明细!$B112,服务费底表!$T:$T,AR$3)</f>
        <v>21</v>
      </c>
      <c r="AS112" s="166">
        <f>SUMIFS(服务费底表!$AC:$AC,服务费底表!$K:$K,服务费明细!$B112,服务费底表!$T:$T,AS$3)</f>
        <v>0</v>
      </c>
      <c r="AT112" s="166">
        <f>SUMIFS(服务费底表!$AC:$AC,服务费底表!$K:$K,服务费明细!$B112,服务费底表!$T:$T,AT$3)</f>
        <v>0</v>
      </c>
      <c r="AU112" s="166">
        <f>SUMIFS(服务费底表!$AC:$AC,服务费底表!$K:$K,服务费明细!$B112,服务费底表!$T:$T,AU$3)</f>
        <v>0</v>
      </c>
      <c r="AV112" s="166">
        <f>SUMIFS(服务费底表!$AC:$AC,服务费底表!$K:$K,服务费明细!$B112,服务费底表!$T:$T,AV$3)</f>
        <v>0</v>
      </c>
      <c r="AW112" s="166">
        <f>SUMIFS(服务费底表!$AC:$AC,服务费底表!$K:$K,服务费明细!$B112,服务费底表!$T:$T,AW$3)</f>
        <v>0</v>
      </c>
      <c r="AX112" s="166">
        <f>SUMIFS(服务费底表!$AC:$AC,服务费底表!$K:$K,服务费明细!$B112,服务费底表!$T:$T,AX$3)</f>
        <v>0</v>
      </c>
      <c r="AY112" s="166">
        <f>SUMIFS(服务费底表!$AC:$AC,服务费底表!$K:$K,服务费明细!$B112,服务费底表!$T:$T,AY$3)</f>
        <v>0</v>
      </c>
      <c r="AZ112" s="166">
        <f>SUMIFS(服务费底表!$AC:$AC,服务费底表!$K:$K,服务费明细!$B112,服务费底表!$T:$T,AZ$3)</f>
        <v>0</v>
      </c>
      <c r="BA112" s="166">
        <f>SUMIFS(服务费底表!$AC:$AC,服务费底表!$K:$K,服务费明细!$B112,服务费底表!$T:$T,BA$3)</f>
        <v>0</v>
      </c>
      <c r="BB112" s="166">
        <f>SUMIFS(服务费底表!$AC:$AC,服务费底表!$K:$K,服务费明细!$B112,服务费底表!$T:$T,BB$3)</f>
        <v>0</v>
      </c>
      <c r="BC112" s="166">
        <f>SUMIFS(服务费底表!$AC:$AC,服务费底表!$K:$K,服务费明细!$B112,服务费底表!$T:$T,BC$3)</f>
        <v>0</v>
      </c>
      <c r="BD112" s="166">
        <f>SUMIFS(服务费底表!$AC:$AC,服务费底表!$K:$K,服务费明细!$B112,服务费底表!$T:$T,BD$3)</f>
        <v>0</v>
      </c>
      <c r="BE112" s="166">
        <f>SUMIFS(服务费底表!$AC:$AC,服务费底表!$K:$K,服务费明细!$B112,服务费底表!$T:$T,BE$3)</f>
        <v>0</v>
      </c>
      <c r="BF112" s="166">
        <f>SUMIFS(服务费底表!$AC:$AC,服务费底表!$K:$K,服务费明细!$B112,服务费底表!$T:$T,BF$3)</f>
        <v>0</v>
      </c>
      <c r="BG112" s="166">
        <f>SUMIFS(服务费底表!$AC:$AC,服务费底表!$K:$K,服务费明细!$B112,服务费底表!$T:$T,BG$3)</f>
        <v>0</v>
      </c>
      <c r="BI112" s="388">
        <f>SUMIFS(服务费底表!$AC:$AC,服务费底表!$K:$K,服务费明细!$B112,服务费底表!$H:$H,服务费明细!BI$3)</f>
        <v>21</v>
      </c>
      <c r="BJ112" s="388">
        <f>SUMIFS(服务费底表!$AC:$AC,服务费底表!$K:$K,服务费明细!$B112,服务费底表!$H:$H,服务费明细!BJ$3)</f>
        <v>0</v>
      </c>
      <c r="BK112" s="388">
        <f>SUMIFS(服务费底表!$AC:$AC,服务费底表!$K:$K,服务费明细!$B112,服务费底表!$H:$H,服务费明细!BK$3)</f>
        <v>0</v>
      </c>
      <c r="BL112" s="388">
        <f>SUMIFS(服务费底表!$AC:$AC,服务费底表!$K:$K,服务费明细!$B112,服务费底表!$H:$H,服务费明细!BL$3)</f>
        <v>0</v>
      </c>
      <c r="BM112" s="388">
        <f>SUMIFS(服务费底表!$AC:$AC,服务费底表!$K:$K,服务费明细!$B112,服务费底表!$H:$H,服务费明细!BM$3)</f>
        <v>0</v>
      </c>
      <c r="BN112" s="388">
        <f>SUMIFS(服务费底表!$AC:$AC,服务费底表!$K:$K,服务费明细!$B112,服务费底表!$H:$H,服务费明细!BN$3)</f>
        <v>0</v>
      </c>
      <c r="BO112" s="388">
        <f>SUMIFS(服务费底表!$AC:$AC,服务费底表!$K:$K,服务费明细!$B112,服务费底表!$H:$H,服务费明细!BO$3)</f>
        <v>0</v>
      </c>
      <c r="BQ112" s="389">
        <f>SUMIFS(服务费底表!$AD:$AD,服务费底表!$K:$K,服务费明细!$B112,服务费底表!$H:$H,服务费明细!BQ$3)</f>
        <v>13650</v>
      </c>
      <c r="BR112" s="389">
        <f>SUMIFS(服务费底表!$AD:$AD,服务费底表!$K:$K,服务费明细!$B112,服务费底表!$H:$H,服务费明细!BR$3)</f>
        <v>0</v>
      </c>
      <c r="BS112" s="389">
        <f>SUMIFS(服务费底表!$AD:$AD,服务费底表!$K:$K,服务费明细!$B112,服务费底表!$H:$H,服务费明细!BS$3)</f>
        <v>0</v>
      </c>
      <c r="BT112" s="389">
        <f>SUMIFS(服务费底表!$AD:$AD,服务费底表!$K:$K,服务费明细!$B112,服务费底表!$H:$H,服务费明细!BT$3)</f>
        <v>0</v>
      </c>
      <c r="BU112" s="389">
        <f>SUMIFS(服务费底表!$AD:$AD,服务费底表!$K:$K,服务费明细!$B112,服务费底表!$H:$H,服务费明细!BU$3)</f>
        <v>0</v>
      </c>
      <c r="BV112" s="389">
        <f>SUMIFS(服务费底表!$AD:$AD,服务费底表!$K:$K,服务费明细!$B112,服务费底表!$H:$H,服务费明细!BV$3)</f>
        <v>0</v>
      </c>
      <c r="BW112" s="389">
        <f>SUMIFS(服务费底表!$AD:$AD,服务费底表!$K:$K,服务费明细!$B112,服务费底表!$H:$H,服务费明细!BW$3)</f>
        <v>0</v>
      </c>
    </row>
    <row r="113" ht="15.6" spans="2:75">
      <c r="B113" s="88" t="s">
        <v>923</v>
      </c>
      <c r="C113" s="88" t="str">
        <f>INDEX(二三级标准!$Q:$Q,MATCH(服务费明细!$B113,二三级标准!$O:$O,0))</f>
        <v>数据管理</v>
      </c>
      <c r="D113" s="376">
        <f>IF(数据管理YN=1,1,0)</f>
        <v>1</v>
      </c>
      <c r="E113" s="377"/>
      <c r="F113" s="378"/>
      <c r="G113" s="429">
        <f>SUM(G114:G142)</f>
        <v>0</v>
      </c>
      <c r="H113" s="429">
        <f t="shared" ref="H113:AB113" si="224">SUM(H114:H142)</f>
        <v>0</v>
      </c>
      <c r="I113" s="429">
        <f t="shared" si="224"/>
        <v>3</v>
      </c>
      <c r="J113" s="429">
        <f t="shared" si="224"/>
        <v>0</v>
      </c>
      <c r="K113" s="429">
        <f t="shared" si="224"/>
        <v>0</v>
      </c>
      <c r="L113" s="429">
        <f t="shared" si="224"/>
        <v>0</v>
      </c>
      <c r="M113" s="429">
        <f t="shared" si="224"/>
        <v>6.5</v>
      </c>
      <c r="N113" s="429">
        <f t="shared" si="224"/>
        <v>0</v>
      </c>
      <c r="O113" s="429">
        <f t="shared" si="224"/>
        <v>6</v>
      </c>
      <c r="P113" s="429">
        <f t="shared" si="224"/>
        <v>0</v>
      </c>
      <c r="Q113" s="556">
        <f t="shared" si="224"/>
        <v>108.35</v>
      </c>
      <c r="R113" s="556">
        <f t="shared" si="224"/>
        <v>494.2</v>
      </c>
      <c r="S113" s="556">
        <f t="shared" si="224"/>
        <v>135.9</v>
      </c>
      <c r="T113" s="556">
        <f t="shared" si="224"/>
        <v>30.4</v>
      </c>
      <c r="U113" s="429">
        <f t="shared" si="224"/>
        <v>2</v>
      </c>
      <c r="V113" s="429">
        <f t="shared" si="224"/>
        <v>11.5</v>
      </c>
      <c r="W113" s="429">
        <f t="shared" si="224"/>
        <v>0</v>
      </c>
      <c r="X113" s="429">
        <f t="shared" si="224"/>
        <v>5</v>
      </c>
      <c r="Y113" s="429">
        <f t="shared" si="224"/>
        <v>0</v>
      </c>
      <c r="Z113" s="429">
        <f t="shared" si="224"/>
        <v>0</v>
      </c>
      <c r="AA113" s="429">
        <f t="shared" si="224"/>
        <v>0</v>
      </c>
      <c r="AB113" s="429">
        <f t="shared" si="224"/>
        <v>0</v>
      </c>
      <c r="AC113" s="378"/>
      <c r="AD113" s="378">
        <f>SUM(G113:AB113)</f>
        <v>802.85</v>
      </c>
      <c r="AE113" s="379"/>
      <c r="AF113" s="581">
        <f>SUM(AF114:AF142)</f>
        <v>204684</v>
      </c>
      <c r="AG113" s="581"/>
      <c r="AH113" s="581">
        <f>SUM(AH114:AH142)</f>
        <v>204684</v>
      </c>
      <c r="AI113" s="582"/>
      <c r="AJ113" s="558"/>
      <c r="AK113" s="559">
        <f>SUM(AK114:AK142)</f>
        <v>802.85</v>
      </c>
      <c r="AL113" s="583"/>
      <c r="AM113" s="560"/>
      <c r="AN113" s="560"/>
      <c r="AO113" s="560"/>
      <c r="AP113" s="560"/>
      <c r="AQ113" s="560"/>
      <c r="AR113" s="560"/>
      <c r="AS113" s="560"/>
      <c r="AT113" s="560"/>
      <c r="AU113" s="560"/>
      <c r="AV113" s="560"/>
      <c r="AW113" s="560"/>
      <c r="AX113" s="560"/>
      <c r="AY113" s="560"/>
      <c r="AZ113" s="560"/>
      <c r="BA113" s="560"/>
      <c r="BB113" s="560"/>
      <c r="BC113" s="560"/>
      <c r="BD113" s="560"/>
      <c r="BE113" s="560"/>
      <c r="BF113" s="560"/>
      <c r="BG113" s="560"/>
      <c r="BH113" s="560"/>
      <c r="BI113" s="561">
        <f t="shared" ref="BI113:BO113" si="225">SUM(BI114:BI142)</f>
        <v>6.5</v>
      </c>
      <c r="BJ113" s="561">
        <f t="shared" si="225"/>
        <v>3</v>
      </c>
      <c r="BK113" s="561">
        <f t="shared" si="225"/>
        <v>738.45</v>
      </c>
      <c r="BL113" s="561">
        <f t="shared" si="225"/>
        <v>43.9</v>
      </c>
      <c r="BM113" s="561">
        <f t="shared" si="225"/>
        <v>6</v>
      </c>
      <c r="BN113" s="561">
        <f t="shared" si="225"/>
        <v>5</v>
      </c>
      <c r="BO113" s="561">
        <f t="shared" si="225"/>
        <v>0</v>
      </c>
      <c r="BQ113" s="562">
        <f t="shared" ref="BQ113:BW113" si="226">SUM(BQ114:BQ142)</f>
        <v>4225</v>
      </c>
      <c r="BR113" s="562">
        <f t="shared" si="226"/>
        <v>1950</v>
      </c>
      <c r="BS113" s="562">
        <f t="shared" si="226"/>
        <v>180269</v>
      </c>
      <c r="BT113" s="562">
        <f t="shared" si="226"/>
        <v>12340</v>
      </c>
      <c r="BU113" s="562">
        <f t="shared" si="226"/>
        <v>3000</v>
      </c>
      <c r="BV113" s="562">
        <f t="shared" si="226"/>
        <v>2900</v>
      </c>
      <c r="BW113" s="562">
        <f t="shared" si="226"/>
        <v>0</v>
      </c>
    </row>
    <row r="114" ht="26.4" spans="2:75">
      <c r="B114" s="89" t="s">
        <v>1045</v>
      </c>
      <c r="C114" s="89" t="str">
        <f>INDEX(二三级标准!$C:$C,MATCH(服务费明细!$B114,二三级标准!$B:$B,0))</f>
        <v>撰写DMP</v>
      </c>
      <c r="D114" s="166">
        <f t="shared" ref="D114:D120" si="227">IF($D$113=1,1,0)</f>
        <v>1</v>
      </c>
      <c r="E114" s="166">
        <f t="shared" ref="E114:E118" si="228">IF($D114=1,1,0)</f>
        <v>1</v>
      </c>
      <c r="F114" s="89" t="str">
        <f>INDEX(二三级标准!$G:$G,MATCH(服务费明细!$B114,二三级标准!$B:$B,0))</f>
        <v>份</v>
      </c>
      <c r="G114" s="166">
        <f t="shared" ref="G114:G142" si="229">AL114</f>
        <v>0</v>
      </c>
      <c r="H114" s="166">
        <f t="shared" ref="H114:H142" si="230">AM114</f>
        <v>0</v>
      </c>
      <c r="I114" s="166">
        <f t="shared" ref="I114:I142" si="231">AN114</f>
        <v>1</v>
      </c>
      <c r="J114" s="166">
        <f t="shared" ref="J114:J142" si="232">AO114</f>
        <v>0</v>
      </c>
      <c r="K114" s="166">
        <f t="shared" ref="K114:K142" si="233">AP114</f>
        <v>0</v>
      </c>
      <c r="L114" s="166">
        <f t="shared" ref="L114:L142" si="234">AQ114</f>
        <v>0</v>
      </c>
      <c r="M114" s="166">
        <f t="shared" ref="M114:M142" si="235">AR114</f>
        <v>1.5</v>
      </c>
      <c r="N114" s="166">
        <f t="shared" ref="N114:N142" si="236">AS114</f>
        <v>0</v>
      </c>
      <c r="O114" s="166">
        <f t="shared" ref="O114:O142" si="237">AT114</f>
        <v>1</v>
      </c>
      <c r="P114" s="166">
        <f t="shared" ref="P114:P142" si="238">AU114</f>
        <v>0</v>
      </c>
      <c r="Q114" s="166">
        <f t="shared" ref="Q114:Q142" si="239">AV114</f>
        <v>0</v>
      </c>
      <c r="R114" s="166">
        <f t="shared" ref="R114:R142" si="240">AW114</f>
        <v>9</v>
      </c>
      <c r="S114" s="166">
        <f t="shared" ref="S114:S142" si="241">AX114</f>
        <v>3</v>
      </c>
      <c r="T114" s="166">
        <f t="shared" ref="T114:T142" si="242">AY114</f>
        <v>0</v>
      </c>
      <c r="U114" s="166">
        <f t="shared" ref="U114:U142" si="243">AZ114</f>
        <v>0</v>
      </c>
      <c r="V114" s="166">
        <f t="shared" ref="V114:V142" si="244">BA114</f>
        <v>0</v>
      </c>
      <c r="W114" s="166">
        <f t="shared" ref="W114:W142" si="245">BB114</f>
        <v>0</v>
      </c>
      <c r="X114" s="166">
        <f t="shared" ref="X114:X142" si="246">BC114</f>
        <v>0</v>
      </c>
      <c r="Y114" s="166">
        <f t="shared" ref="Y114:Y142" si="247">BD114</f>
        <v>0</v>
      </c>
      <c r="Z114" s="166">
        <f t="shared" ref="Z114:Z142" si="248">BE114</f>
        <v>0</v>
      </c>
      <c r="AA114" s="166">
        <f t="shared" ref="AA114:AA142" si="249">BF114</f>
        <v>0</v>
      </c>
      <c r="AB114" s="166">
        <f t="shared" ref="AB114:AB142" si="250">BG114</f>
        <v>0</v>
      </c>
      <c r="AC114" s="166" cm="1">
        <f t="array" ref="AC114">SUMPRODUCT(G114:AB114,$G$4:$AB$4)</f>
        <v>5005</v>
      </c>
      <c r="AD114" s="89" t="b">
        <f t="shared" ref="AD114:AD120" si="251">IF(AF114=AC114,TRUE,FALSE)</f>
        <v>1</v>
      </c>
      <c r="AE114" s="386">
        <f>IFERROR(SUMIF(服务费底表!$K:$K,服务费明细!$B114,服务费底表!$AD:$AD)/E114,0)</f>
        <v>5005</v>
      </c>
      <c r="AF114" s="386">
        <f t="shared" ref="AF114" si="252">E114*AE114</f>
        <v>5005</v>
      </c>
      <c r="AG114" s="386">
        <f>IFERROR(SUMIF(服务费底表!$K:$K,服务费明细!$B114,服务费底表!$AG:$AG)/E114,0)</f>
        <v>5005</v>
      </c>
      <c r="AH114" s="386">
        <f t="shared" ref="AH114" si="253">AG114*E114</f>
        <v>5005</v>
      </c>
      <c r="AI114" s="584" t="s">
        <v>1046</v>
      </c>
      <c r="AJ114" s="563">
        <f t="shared" ref="AJ114:AJ123" si="254">IF(D114=1,AK114/E114,0)</f>
        <v>15.5</v>
      </c>
      <c r="AK114" s="564">
        <f>SUMIF(服务费底表!$K:$K,服务费明细!$B114,服务费底表!$AC:$AC)</f>
        <v>15.5</v>
      </c>
      <c r="AL114" s="166">
        <f>SUMIFS(服务费底表!$AC:$AC,服务费底表!$K:$K,服务费明细!$B114,服务费底表!$T:$T,AL$3)</f>
        <v>0</v>
      </c>
      <c r="AM114" s="166">
        <f>SUMIFS(服务费底表!$AC:$AC,服务费底表!$K:$K,服务费明细!$B114,服务费底表!$T:$T,AM$3)</f>
        <v>0</v>
      </c>
      <c r="AN114" s="166">
        <f>SUMIFS(服务费底表!$AC:$AC,服务费底表!$K:$K,服务费明细!$B114,服务费底表!$T:$T,AN$3)</f>
        <v>1</v>
      </c>
      <c r="AO114" s="166">
        <f>SUMIFS(服务费底表!$AC:$AC,服务费底表!$K:$K,服务费明细!$B114,服务费底表!$T:$T,AO$3)</f>
        <v>0</v>
      </c>
      <c r="AP114" s="166">
        <f>SUMIFS(服务费底表!$AC:$AC,服务费底表!$K:$K,服务费明细!$B114,服务费底表!$T:$T,AP$3)</f>
        <v>0</v>
      </c>
      <c r="AQ114" s="166">
        <f>SUMIFS(服务费底表!$AC:$AC,服务费底表!$K:$K,服务费明细!$B114,服务费底表!$T:$T,AQ$3)</f>
        <v>0</v>
      </c>
      <c r="AR114" s="166">
        <f>SUMIFS(服务费底表!$AC:$AC,服务费底表!$K:$K,服务费明细!$B114,服务费底表!$T:$T,AR$3)</f>
        <v>1.5</v>
      </c>
      <c r="AS114" s="166">
        <f>SUMIFS(服务费底表!$AC:$AC,服务费底表!$K:$K,服务费明细!$B114,服务费底表!$T:$T,AS$3)</f>
        <v>0</v>
      </c>
      <c r="AT114" s="166">
        <f>SUMIFS(服务费底表!$AC:$AC,服务费底表!$K:$K,服务费明细!$B114,服务费底表!$T:$T,AT$3)</f>
        <v>1</v>
      </c>
      <c r="AU114" s="166">
        <f>SUMIFS(服务费底表!$AC:$AC,服务费底表!$K:$K,服务费明细!$B114,服务费底表!$T:$T,AU$3)</f>
        <v>0</v>
      </c>
      <c r="AV114" s="166">
        <f>SUMIFS(服务费底表!$AC:$AC,服务费底表!$K:$K,服务费明细!$B114,服务费底表!$T:$T,AV$3)</f>
        <v>0</v>
      </c>
      <c r="AW114" s="166">
        <f>SUMIFS(服务费底表!$AC:$AC,服务费底表!$K:$K,服务费明细!$B114,服务费底表!$T:$T,AW$3)</f>
        <v>9</v>
      </c>
      <c r="AX114" s="166">
        <f>SUMIFS(服务费底表!$AC:$AC,服务费底表!$K:$K,服务费明细!$B114,服务费底表!$T:$T,AX$3)</f>
        <v>3</v>
      </c>
      <c r="AY114" s="166">
        <f>SUMIFS(服务费底表!$AC:$AC,服务费底表!$K:$K,服务费明细!$B114,服务费底表!$T:$T,AY$3)</f>
        <v>0</v>
      </c>
      <c r="AZ114" s="166">
        <f>SUMIFS(服务费底表!$AC:$AC,服务费底表!$K:$K,服务费明细!$B114,服务费底表!$T:$T,AZ$3)</f>
        <v>0</v>
      </c>
      <c r="BA114" s="166">
        <f>SUMIFS(服务费底表!$AC:$AC,服务费底表!$K:$K,服务费明细!$B114,服务费底表!$T:$T,BA$3)</f>
        <v>0</v>
      </c>
      <c r="BB114" s="166">
        <f>SUMIFS(服务费底表!$AC:$AC,服务费底表!$K:$K,服务费明细!$B114,服务费底表!$T:$T,BB$3)</f>
        <v>0</v>
      </c>
      <c r="BC114" s="166">
        <f>SUMIFS(服务费底表!$AC:$AC,服务费底表!$K:$K,服务费明细!$B114,服务费底表!$T:$T,BC$3)</f>
        <v>0</v>
      </c>
      <c r="BD114" s="166">
        <f>SUMIFS(服务费底表!$AC:$AC,服务费底表!$K:$K,服务费明细!$B114,服务费底表!$T:$T,BD$3)</f>
        <v>0</v>
      </c>
      <c r="BE114" s="166">
        <f>SUMIFS(服务费底表!$AC:$AC,服务费底表!$K:$K,服务费明细!$B114,服务费底表!$T:$T,BE$3)</f>
        <v>0</v>
      </c>
      <c r="BF114" s="166">
        <f>SUMIFS(服务费底表!$AC:$AC,服务费底表!$K:$K,服务费明细!$B114,服务费底表!$T:$T,BF$3)</f>
        <v>0</v>
      </c>
      <c r="BG114" s="166">
        <f>SUMIFS(服务费底表!$AC:$AC,服务费底表!$K:$K,服务费明细!$B114,服务费底表!$T:$T,BG$3)</f>
        <v>0</v>
      </c>
      <c r="BI114" s="388">
        <f>SUMIFS(服务费底表!$AC:$AC,服务费底表!$K:$K,服务费明细!$B114,服务费底表!$H:$H,服务费明细!BI$3)</f>
        <v>1.5</v>
      </c>
      <c r="BJ114" s="388">
        <f>SUMIFS(服务费底表!$AC:$AC,服务费底表!$K:$K,服务费明细!$B114,服务费底表!$H:$H,服务费明细!BJ$3)</f>
        <v>1</v>
      </c>
      <c r="BK114" s="388">
        <f>SUMIFS(服务费底表!$AC:$AC,服务费底表!$K:$K,服务费明细!$B114,服务费底表!$H:$H,服务费明细!BK$3)</f>
        <v>12</v>
      </c>
      <c r="BL114" s="388">
        <f>SUMIFS(服务费底表!$AC:$AC,服务费底表!$K:$K,服务费明细!$B114,服务费底表!$H:$H,服务费明细!BL$3)</f>
        <v>0</v>
      </c>
      <c r="BM114" s="388">
        <f>SUMIFS(服务费底表!$AC:$AC,服务费底表!$K:$K,服务费明细!$B114,服务费底表!$H:$H,服务费明细!BM$3)</f>
        <v>1</v>
      </c>
      <c r="BN114" s="388">
        <f>SUMIFS(服务费底表!$AC:$AC,服务费底表!$K:$K,服务费明细!$B114,服务费底表!$H:$H,服务费明细!BN$3)</f>
        <v>0</v>
      </c>
      <c r="BO114" s="388">
        <f>SUMIFS(服务费底表!$AC:$AC,服务费底表!$K:$K,服务费明细!$B114,服务费底表!$H:$H,服务费明细!BO$3)</f>
        <v>0</v>
      </c>
      <c r="BQ114" s="389">
        <f>SUMIFS(服务费底表!$AD:$AD,服务费底表!$K:$K,服务费明细!$B114,服务费底表!$H:$H,服务费明细!BQ$3)</f>
        <v>975</v>
      </c>
      <c r="BR114" s="389">
        <f>SUMIFS(服务费底表!$AD:$AD,服务费底表!$K:$K,服务费明细!$B114,服务费底表!$H:$H,服务费明细!BR$3)</f>
        <v>650</v>
      </c>
      <c r="BS114" s="389">
        <f>SUMIFS(服务费底表!$AD:$AD,服务费底表!$K:$K,服务费明细!$B114,服务费底表!$H:$H,服务费明细!BS$3)</f>
        <v>2880</v>
      </c>
      <c r="BT114" s="389">
        <f>SUMIFS(服务费底表!$AD:$AD,服务费底表!$K:$K,服务费明细!$B114,服务费底表!$H:$H,服务费明细!BT$3)</f>
        <v>0</v>
      </c>
      <c r="BU114" s="389">
        <f>SUMIFS(服务费底表!$AD:$AD,服务费底表!$K:$K,服务费明细!$B114,服务费底表!$H:$H,服务费明细!BU$3)</f>
        <v>500</v>
      </c>
      <c r="BV114" s="389">
        <f>SUMIFS(服务费底表!$AD:$AD,服务费底表!$K:$K,服务费明细!$B114,服务费底表!$H:$H,服务费明细!BV$3)</f>
        <v>0</v>
      </c>
      <c r="BW114" s="389">
        <f>SUMIFS(服务费底表!$AD:$AD,服务费底表!$K:$K,服务费明细!$B114,服务费底表!$H:$H,服务费明细!BW$3)</f>
        <v>0</v>
      </c>
    </row>
    <row r="115" spans="2:75">
      <c r="B115" s="89" t="s">
        <v>1047</v>
      </c>
      <c r="C115" s="89" t="str">
        <f>INDEX(二三级标准!$C:$C,MATCH(服务费明细!$B115,二三级标准!$B:$B,0))</f>
        <v>撰写CCG</v>
      </c>
      <c r="D115" s="166">
        <f t="shared" si="227"/>
        <v>1</v>
      </c>
      <c r="E115" s="166">
        <f t="shared" si="228"/>
        <v>1</v>
      </c>
      <c r="F115" s="89" t="str">
        <f>INDEX(二三级标准!$G:$G,MATCH(服务费明细!$B115,二三级标准!$B:$B,0))</f>
        <v>份</v>
      </c>
      <c r="G115" s="166">
        <f t="shared" si="229"/>
        <v>0</v>
      </c>
      <c r="H115" s="166">
        <f t="shared" si="230"/>
        <v>0</v>
      </c>
      <c r="I115" s="166">
        <f t="shared" si="231"/>
        <v>0</v>
      </c>
      <c r="J115" s="166">
        <f t="shared" si="232"/>
        <v>0</v>
      </c>
      <c r="K115" s="166">
        <f t="shared" si="233"/>
        <v>0</v>
      </c>
      <c r="L115" s="166">
        <f t="shared" si="234"/>
        <v>0</v>
      </c>
      <c r="M115" s="166">
        <f t="shared" si="235"/>
        <v>0</v>
      </c>
      <c r="N115" s="166">
        <f t="shared" si="236"/>
        <v>0</v>
      </c>
      <c r="O115" s="166">
        <f t="shared" si="237"/>
        <v>0</v>
      </c>
      <c r="P115" s="166">
        <f t="shared" si="238"/>
        <v>0</v>
      </c>
      <c r="Q115" s="166">
        <f t="shared" si="239"/>
        <v>0</v>
      </c>
      <c r="R115" s="166">
        <f t="shared" si="240"/>
        <v>10</v>
      </c>
      <c r="S115" s="166">
        <f t="shared" si="241"/>
        <v>2</v>
      </c>
      <c r="T115" s="166">
        <f t="shared" si="242"/>
        <v>0</v>
      </c>
      <c r="U115" s="166">
        <f t="shared" si="243"/>
        <v>0</v>
      </c>
      <c r="V115" s="166">
        <f t="shared" si="244"/>
        <v>0</v>
      </c>
      <c r="W115" s="166">
        <f t="shared" si="245"/>
        <v>0</v>
      </c>
      <c r="X115" s="166">
        <f t="shared" si="246"/>
        <v>0</v>
      </c>
      <c r="Y115" s="166">
        <f t="shared" si="247"/>
        <v>0</v>
      </c>
      <c r="Z115" s="166">
        <f t="shared" si="248"/>
        <v>0</v>
      </c>
      <c r="AA115" s="166">
        <f t="shared" si="249"/>
        <v>0</v>
      </c>
      <c r="AB115" s="166">
        <f t="shared" si="250"/>
        <v>0</v>
      </c>
      <c r="AC115" s="166" cm="1">
        <f t="array" ref="AC115">SUMPRODUCT(G115:AB115,$G$4:$AB$4)</f>
        <v>2720</v>
      </c>
      <c r="AD115" s="89" t="b">
        <f t="shared" si="251"/>
        <v>1</v>
      </c>
      <c r="AE115" s="386">
        <f>IFERROR(SUMIF(服务费底表!$K:$K,服务费明细!$B115,服务费底表!$AD:$AD)/E115,0)</f>
        <v>2720</v>
      </c>
      <c r="AF115" s="386">
        <f t="shared" ref="AF115:AF120" si="255">E115*AE115</f>
        <v>2720</v>
      </c>
      <c r="AG115" s="386">
        <f>IFERROR(SUMIF(服务费底表!$K:$K,服务费明细!$B115,服务费底表!$AG:$AG)/E115,0)</f>
        <v>2720</v>
      </c>
      <c r="AH115" s="386">
        <f t="shared" ref="AH115:AH120" si="256">AG115*E115</f>
        <v>2720</v>
      </c>
      <c r="AI115" s="577" t="s">
        <v>1048</v>
      </c>
      <c r="AJ115" s="563">
        <f t="shared" si="254"/>
        <v>12</v>
      </c>
      <c r="AK115" s="564">
        <f>SUMIF(服务费底表!$K:$K,服务费明细!$B115,服务费底表!$AC:$AC)</f>
        <v>12</v>
      </c>
      <c r="AL115" s="166">
        <f>SUMIFS(服务费底表!$AC:$AC,服务费底表!$K:$K,服务费明细!$B115,服务费底表!$T:$T,AL$3)</f>
        <v>0</v>
      </c>
      <c r="AM115" s="166">
        <f>SUMIFS(服务费底表!$AC:$AC,服务费底表!$K:$K,服务费明细!$B115,服务费底表!$T:$T,AM$3)</f>
        <v>0</v>
      </c>
      <c r="AN115" s="166">
        <f>SUMIFS(服务费底表!$AC:$AC,服务费底表!$K:$K,服务费明细!$B115,服务费底表!$T:$T,AN$3)</f>
        <v>0</v>
      </c>
      <c r="AO115" s="166">
        <f>SUMIFS(服务费底表!$AC:$AC,服务费底表!$K:$K,服务费明细!$B115,服务费底表!$T:$T,AO$3)</f>
        <v>0</v>
      </c>
      <c r="AP115" s="166">
        <f>SUMIFS(服务费底表!$AC:$AC,服务费底表!$K:$K,服务费明细!$B115,服务费底表!$T:$T,AP$3)</f>
        <v>0</v>
      </c>
      <c r="AQ115" s="166">
        <f>SUMIFS(服务费底表!$AC:$AC,服务费底表!$K:$K,服务费明细!$B115,服务费底表!$T:$T,AQ$3)</f>
        <v>0</v>
      </c>
      <c r="AR115" s="166">
        <f>SUMIFS(服务费底表!$AC:$AC,服务费底表!$K:$K,服务费明细!$B115,服务费底表!$T:$T,AR$3)</f>
        <v>0</v>
      </c>
      <c r="AS115" s="166">
        <f>SUMIFS(服务费底表!$AC:$AC,服务费底表!$K:$K,服务费明细!$B115,服务费底表!$T:$T,AS$3)</f>
        <v>0</v>
      </c>
      <c r="AT115" s="166">
        <f>SUMIFS(服务费底表!$AC:$AC,服务费底表!$K:$K,服务费明细!$B115,服务费底表!$T:$T,AT$3)</f>
        <v>0</v>
      </c>
      <c r="AU115" s="166">
        <f>SUMIFS(服务费底表!$AC:$AC,服务费底表!$K:$K,服务费明细!$B115,服务费底表!$T:$T,AU$3)</f>
        <v>0</v>
      </c>
      <c r="AV115" s="166">
        <f>SUMIFS(服务费底表!$AC:$AC,服务费底表!$K:$K,服务费明细!$B115,服务费底表!$T:$T,AV$3)</f>
        <v>0</v>
      </c>
      <c r="AW115" s="166">
        <f>SUMIFS(服务费底表!$AC:$AC,服务费底表!$K:$K,服务费明细!$B115,服务费底表!$T:$T,AW$3)</f>
        <v>10</v>
      </c>
      <c r="AX115" s="166">
        <f>SUMIFS(服务费底表!$AC:$AC,服务费底表!$K:$K,服务费明细!$B115,服务费底表!$T:$T,AX$3)</f>
        <v>2</v>
      </c>
      <c r="AY115" s="166">
        <f>SUMIFS(服务费底表!$AC:$AC,服务费底表!$K:$K,服务费明细!$B115,服务费底表!$T:$T,AY$3)</f>
        <v>0</v>
      </c>
      <c r="AZ115" s="166">
        <f>SUMIFS(服务费底表!$AC:$AC,服务费底表!$K:$K,服务费明细!$B115,服务费底表!$T:$T,AZ$3)</f>
        <v>0</v>
      </c>
      <c r="BA115" s="166">
        <f>SUMIFS(服务费底表!$AC:$AC,服务费底表!$K:$K,服务费明细!$B115,服务费底表!$T:$T,BA$3)</f>
        <v>0</v>
      </c>
      <c r="BB115" s="166">
        <f>SUMIFS(服务费底表!$AC:$AC,服务费底表!$K:$K,服务费明细!$B115,服务费底表!$T:$T,BB$3)</f>
        <v>0</v>
      </c>
      <c r="BC115" s="166">
        <f>SUMIFS(服务费底表!$AC:$AC,服务费底表!$K:$K,服务费明细!$B115,服务费底表!$T:$T,BC$3)</f>
        <v>0</v>
      </c>
      <c r="BD115" s="166">
        <f>SUMIFS(服务费底表!$AC:$AC,服务费底表!$K:$K,服务费明细!$B115,服务费底表!$T:$T,BD$3)</f>
        <v>0</v>
      </c>
      <c r="BE115" s="166">
        <f>SUMIFS(服务费底表!$AC:$AC,服务费底表!$K:$K,服务费明细!$B115,服务费底表!$T:$T,BE$3)</f>
        <v>0</v>
      </c>
      <c r="BF115" s="166">
        <f>SUMIFS(服务费底表!$AC:$AC,服务费底表!$K:$K,服务费明细!$B115,服务费底表!$T:$T,BF$3)</f>
        <v>0</v>
      </c>
      <c r="BG115" s="166">
        <f>SUMIFS(服务费底表!$AC:$AC,服务费底表!$K:$K,服务费明细!$B115,服务费底表!$T:$T,BG$3)</f>
        <v>0</v>
      </c>
      <c r="BI115" s="388">
        <f>SUMIFS(服务费底表!$AC:$AC,服务费底表!$K:$K,服务费明细!$B115,服务费底表!$H:$H,服务费明细!BI$3)</f>
        <v>0</v>
      </c>
      <c r="BJ115" s="388">
        <f>SUMIFS(服务费底表!$AC:$AC,服务费底表!$K:$K,服务费明细!$B115,服务费底表!$H:$H,服务费明细!BJ$3)</f>
        <v>0</v>
      </c>
      <c r="BK115" s="388">
        <f>SUMIFS(服务费底表!$AC:$AC,服务费底表!$K:$K,服务费明细!$B115,服务费底表!$H:$H,服务费明细!BK$3)</f>
        <v>12</v>
      </c>
      <c r="BL115" s="388">
        <f>SUMIFS(服务费底表!$AC:$AC,服务费底表!$K:$K,服务费明细!$B115,服务费底表!$H:$H,服务费明细!BL$3)</f>
        <v>0</v>
      </c>
      <c r="BM115" s="388">
        <f>SUMIFS(服务费底表!$AC:$AC,服务费底表!$K:$K,服务费明细!$B115,服务费底表!$H:$H,服务费明细!BM$3)</f>
        <v>0</v>
      </c>
      <c r="BN115" s="388">
        <f>SUMIFS(服务费底表!$AC:$AC,服务费底表!$K:$K,服务费明细!$B115,服务费底表!$H:$H,服务费明细!BN$3)</f>
        <v>0</v>
      </c>
      <c r="BO115" s="388">
        <f>SUMIFS(服务费底表!$AC:$AC,服务费底表!$K:$K,服务费明细!$B115,服务费底表!$H:$H,服务费明细!BO$3)</f>
        <v>0</v>
      </c>
      <c r="BQ115" s="389">
        <f>SUMIFS(服务费底表!$AD:$AD,服务费底表!$K:$K,服务费明细!$B115,服务费底表!$H:$H,服务费明细!BQ$3)</f>
        <v>0</v>
      </c>
      <c r="BR115" s="389">
        <f>SUMIFS(服务费底表!$AD:$AD,服务费底表!$K:$K,服务费明细!$B115,服务费底表!$H:$H,服务费明细!BR$3)</f>
        <v>0</v>
      </c>
      <c r="BS115" s="389">
        <f>SUMIFS(服务费底表!$AD:$AD,服务费底表!$K:$K,服务费明细!$B115,服务费底表!$H:$H,服务费明细!BS$3)</f>
        <v>2720</v>
      </c>
      <c r="BT115" s="389">
        <f>SUMIFS(服务费底表!$AD:$AD,服务费底表!$K:$K,服务费明细!$B115,服务费底表!$H:$H,服务费明细!BT$3)</f>
        <v>0</v>
      </c>
      <c r="BU115" s="389">
        <f>SUMIFS(服务费底表!$AD:$AD,服务费底表!$K:$K,服务费明细!$B115,服务费底表!$H:$H,服务费明细!BU$3)</f>
        <v>0</v>
      </c>
      <c r="BV115" s="389">
        <f>SUMIFS(服务费底表!$AD:$AD,服务费底表!$K:$K,服务费明细!$B115,服务费底表!$H:$H,服务费明细!BV$3)</f>
        <v>0</v>
      </c>
      <c r="BW115" s="389">
        <f>SUMIFS(服务费底表!$AD:$AD,服务费底表!$K:$K,服务费明细!$B115,服务费底表!$H:$H,服务费明细!BW$3)</f>
        <v>0</v>
      </c>
    </row>
    <row r="116" spans="2:75">
      <c r="B116" s="89" t="s">
        <v>1049</v>
      </c>
      <c r="C116" s="89" t="str">
        <f>INDEX(二三级标准!$C:$C,MATCH(服务费明细!$B116,二三级标准!$B:$B,0))</f>
        <v>撰写DVP</v>
      </c>
      <c r="D116" s="166">
        <f t="shared" si="227"/>
        <v>1</v>
      </c>
      <c r="E116" s="166">
        <f t="shared" si="228"/>
        <v>1</v>
      </c>
      <c r="F116" s="89" t="str">
        <f>INDEX(二三级标准!$G:$G,MATCH(服务费明细!$B116,二三级标准!$B:$B,0))</f>
        <v>份</v>
      </c>
      <c r="G116" s="166">
        <f t="shared" si="229"/>
        <v>0</v>
      </c>
      <c r="H116" s="166">
        <f t="shared" si="230"/>
        <v>0</v>
      </c>
      <c r="I116" s="166">
        <f t="shared" si="231"/>
        <v>1</v>
      </c>
      <c r="J116" s="166">
        <f t="shared" si="232"/>
        <v>0</v>
      </c>
      <c r="K116" s="166">
        <f t="shared" si="233"/>
        <v>0</v>
      </c>
      <c r="L116" s="166">
        <f t="shared" si="234"/>
        <v>0</v>
      </c>
      <c r="M116" s="166">
        <f t="shared" si="235"/>
        <v>0</v>
      </c>
      <c r="N116" s="166">
        <f t="shared" si="236"/>
        <v>0</v>
      </c>
      <c r="O116" s="166">
        <f t="shared" si="237"/>
        <v>0</v>
      </c>
      <c r="P116" s="166">
        <f t="shared" si="238"/>
        <v>0</v>
      </c>
      <c r="Q116" s="585">
        <f t="shared" si="239"/>
        <v>0.3</v>
      </c>
      <c r="R116" s="585">
        <f t="shared" si="240"/>
        <v>26.8</v>
      </c>
      <c r="S116" s="585">
        <f t="shared" si="241"/>
        <v>2</v>
      </c>
      <c r="T116" s="166">
        <f t="shared" si="242"/>
        <v>0</v>
      </c>
      <c r="U116" s="166">
        <f t="shared" si="243"/>
        <v>0</v>
      </c>
      <c r="V116" s="166">
        <f t="shared" si="244"/>
        <v>0</v>
      </c>
      <c r="W116" s="166">
        <f t="shared" si="245"/>
        <v>0</v>
      </c>
      <c r="X116" s="166">
        <f t="shared" si="246"/>
        <v>0</v>
      </c>
      <c r="Y116" s="166">
        <f t="shared" si="247"/>
        <v>0</v>
      </c>
      <c r="Z116" s="166">
        <f t="shared" si="248"/>
        <v>0</v>
      </c>
      <c r="AA116" s="166">
        <f t="shared" si="249"/>
        <v>0</v>
      </c>
      <c r="AB116" s="166">
        <f t="shared" si="250"/>
        <v>0</v>
      </c>
      <c r="AC116" s="166" cm="1">
        <f t="array" ref="AC116">SUMPRODUCT(G116:AB116,$G$4:$AB$4)</f>
        <v>6820</v>
      </c>
      <c r="AD116" s="89" t="b">
        <f t="shared" si="251"/>
        <v>1</v>
      </c>
      <c r="AE116" s="386">
        <f>IFERROR(SUMIF(服务费底表!$K:$K,服务费明细!$B116,服务费底表!$AD:$AD)/E116,0)</f>
        <v>6820</v>
      </c>
      <c r="AF116" s="386">
        <f t="shared" si="255"/>
        <v>6820</v>
      </c>
      <c r="AG116" s="386">
        <f>IFERROR(SUMIF(服务费底表!$K:$K,服务费明细!$B116,服务费底表!$AG:$AG)/E116,0)</f>
        <v>6820</v>
      </c>
      <c r="AH116" s="386">
        <f t="shared" si="256"/>
        <v>6820</v>
      </c>
      <c r="AI116" s="577" t="s">
        <v>1050</v>
      </c>
      <c r="AJ116" s="563">
        <f t="shared" si="254"/>
        <v>30.1</v>
      </c>
      <c r="AK116" s="564">
        <f>SUMIF(服务费底表!$K:$K,服务费明细!$B116,服务费底表!$AC:$AC)</f>
        <v>30.1</v>
      </c>
      <c r="AL116" s="166">
        <f>SUMIFS(服务费底表!$AC:$AC,服务费底表!$K:$K,服务费明细!$B116,服务费底表!$T:$T,AL$3)</f>
        <v>0</v>
      </c>
      <c r="AM116" s="166">
        <f>SUMIFS(服务费底表!$AC:$AC,服务费底表!$K:$K,服务费明细!$B116,服务费底表!$T:$T,AM$3)</f>
        <v>0</v>
      </c>
      <c r="AN116" s="166">
        <f>SUMIFS(服务费底表!$AC:$AC,服务费底表!$K:$K,服务费明细!$B116,服务费底表!$T:$T,AN$3)</f>
        <v>1</v>
      </c>
      <c r="AO116" s="166">
        <f>SUMIFS(服务费底表!$AC:$AC,服务费底表!$K:$K,服务费明细!$B116,服务费底表!$T:$T,AO$3)</f>
        <v>0</v>
      </c>
      <c r="AP116" s="166">
        <f>SUMIFS(服务费底表!$AC:$AC,服务费底表!$K:$K,服务费明细!$B116,服务费底表!$T:$T,AP$3)</f>
        <v>0</v>
      </c>
      <c r="AQ116" s="166">
        <f>SUMIFS(服务费底表!$AC:$AC,服务费底表!$K:$K,服务费明细!$B116,服务费底表!$T:$T,AQ$3)</f>
        <v>0</v>
      </c>
      <c r="AR116" s="166">
        <f>SUMIFS(服务费底表!$AC:$AC,服务费底表!$K:$K,服务费明细!$B116,服务费底表!$T:$T,AR$3)</f>
        <v>0</v>
      </c>
      <c r="AS116" s="166">
        <f>SUMIFS(服务费底表!$AC:$AC,服务费底表!$K:$K,服务费明细!$B116,服务费底表!$T:$T,AS$3)</f>
        <v>0</v>
      </c>
      <c r="AT116" s="166">
        <f>SUMIFS(服务费底表!$AC:$AC,服务费底表!$K:$K,服务费明细!$B116,服务费底表!$T:$T,AT$3)</f>
        <v>0</v>
      </c>
      <c r="AU116" s="166">
        <f>SUMIFS(服务费底表!$AC:$AC,服务费底表!$K:$K,服务费明细!$B116,服务费底表!$T:$T,AU$3)</f>
        <v>0</v>
      </c>
      <c r="AV116" s="166">
        <f>SUMIFS(服务费底表!$AC:$AC,服务费底表!$K:$K,服务费明细!$B116,服务费底表!$T:$T,AV$3)</f>
        <v>0.3</v>
      </c>
      <c r="AW116" s="166">
        <f>SUMIFS(服务费底表!$AC:$AC,服务费底表!$K:$K,服务费明细!$B116,服务费底表!$T:$T,AW$3)</f>
        <v>26.8</v>
      </c>
      <c r="AX116" s="166">
        <f>SUMIFS(服务费底表!$AC:$AC,服务费底表!$K:$K,服务费明细!$B116,服务费底表!$T:$T,AX$3)</f>
        <v>2</v>
      </c>
      <c r="AY116" s="166">
        <f>SUMIFS(服务费底表!$AC:$AC,服务费底表!$K:$K,服务费明细!$B116,服务费底表!$T:$T,AY$3)</f>
        <v>0</v>
      </c>
      <c r="AZ116" s="166">
        <f>SUMIFS(服务费底表!$AC:$AC,服务费底表!$K:$K,服务费明细!$B116,服务费底表!$T:$T,AZ$3)</f>
        <v>0</v>
      </c>
      <c r="BA116" s="166">
        <f>SUMIFS(服务费底表!$AC:$AC,服务费底表!$K:$K,服务费明细!$B116,服务费底表!$T:$T,BA$3)</f>
        <v>0</v>
      </c>
      <c r="BB116" s="166">
        <f>SUMIFS(服务费底表!$AC:$AC,服务费底表!$K:$K,服务费明细!$B116,服务费底表!$T:$T,BB$3)</f>
        <v>0</v>
      </c>
      <c r="BC116" s="166">
        <f>SUMIFS(服务费底表!$AC:$AC,服务费底表!$K:$K,服务费明细!$B116,服务费底表!$T:$T,BC$3)</f>
        <v>0</v>
      </c>
      <c r="BD116" s="166">
        <f>SUMIFS(服务费底表!$AC:$AC,服务费底表!$K:$K,服务费明细!$B116,服务费底表!$T:$T,BD$3)</f>
        <v>0</v>
      </c>
      <c r="BE116" s="166">
        <f>SUMIFS(服务费底表!$AC:$AC,服务费底表!$K:$K,服务费明细!$B116,服务费底表!$T:$T,BE$3)</f>
        <v>0</v>
      </c>
      <c r="BF116" s="166">
        <f>SUMIFS(服务费底表!$AC:$AC,服务费底表!$K:$K,服务费明细!$B116,服务费底表!$T:$T,BF$3)</f>
        <v>0</v>
      </c>
      <c r="BG116" s="166">
        <f>SUMIFS(服务费底表!$AC:$AC,服务费底表!$K:$K,服务费明细!$B116,服务费底表!$T:$T,BG$3)</f>
        <v>0</v>
      </c>
      <c r="BI116" s="388">
        <f>SUMIFS(服务费底表!$AC:$AC,服务费底表!$K:$K,服务费明细!$B116,服务费底表!$H:$H,服务费明细!BI$3)</f>
        <v>0</v>
      </c>
      <c r="BJ116" s="388">
        <f>SUMIFS(服务费底表!$AC:$AC,服务费底表!$K:$K,服务费明细!$B116,服务费底表!$H:$H,服务费明细!BJ$3)</f>
        <v>1</v>
      </c>
      <c r="BK116" s="388">
        <f>SUMIFS(服务费底表!$AC:$AC,服务费底表!$K:$K,服务费明细!$B116,服务费底表!$H:$H,服务费明细!BK$3)</f>
        <v>29.1</v>
      </c>
      <c r="BL116" s="388">
        <f>SUMIFS(服务费底表!$AC:$AC,服务费底表!$K:$K,服务费明细!$B116,服务费底表!$H:$H,服务费明细!BL$3)</f>
        <v>0</v>
      </c>
      <c r="BM116" s="388">
        <f>SUMIFS(服务费底表!$AC:$AC,服务费底表!$K:$K,服务费明细!$B116,服务费底表!$H:$H,服务费明细!BM$3)</f>
        <v>0</v>
      </c>
      <c r="BN116" s="388">
        <f>SUMIFS(服务费底表!$AC:$AC,服务费底表!$K:$K,服务费明细!$B116,服务费底表!$H:$H,服务费明细!BN$3)</f>
        <v>0</v>
      </c>
      <c r="BO116" s="388">
        <f>SUMIFS(服务费底表!$AC:$AC,服务费底表!$K:$K,服务费明细!$B116,服务费底表!$H:$H,服务费明细!BO$3)</f>
        <v>0</v>
      </c>
      <c r="BQ116" s="389">
        <f>SUMIFS(服务费底表!$AD:$AD,服务费底表!$K:$K,服务费明细!$B116,服务费底表!$H:$H,服务费明细!BQ$3)</f>
        <v>0</v>
      </c>
      <c r="BR116" s="389">
        <f>SUMIFS(服务费底表!$AD:$AD,服务费底表!$K:$K,服务费明细!$B116,服务费底表!$H:$H,服务费明细!BR$3)</f>
        <v>650</v>
      </c>
      <c r="BS116" s="389">
        <f>SUMIFS(服务费底表!$AD:$AD,服务费底表!$K:$K,服务费明细!$B116,服务费底表!$H:$H,服务费明细!BS$3)</f>
        <v>6170</v>
      </c>
      <c r="BT116" s="389">
        <f>SUMIFS(服务费底表!$AD:$AD,服务费底表!$K:$K,服务费明细!$B116,服务费底表!$H:$H,服务费明细!BT$3)</f>
        <v>0</v>
      </c>
      <c r="BU116" s="389">
        <f>SUMIFS(服务费底表!$AD:$AD,服务费底表!$K:$K,服务费明细!$B116,服务费底表!$H:$H,服务费明细!BU$3)</f>
        <v>0</v>
      </c>
      <c r="BV116" s="389">
        <f>SUMIFS(服务费底表!$AD:$AD,服务费底表!$K:$K,服务费明细!$B116,服务费底表!$H:$H,服务费明细!BV$3)</f>
        <v>0</v>
      </c>
      <c r="BW116" s="389">
        <f>SUMIFS(服务费底表!$AD:$AD,服务费底表!$K:$K,服务费明细!$B116,服务费底表!$H:$H,服务费明细!BW$3)</f>
        <v>0</v>
      </c>
    </row>
    <row r="117" spans="2:75">
      <c r="B117" s="89" t="s">
        <v>1051</v>
      </c>
      <c r="C117" s="89" t="str">
        <f>INDEX(二三级标准!$C:$C,MATCH(服务费明细!$B117,二三级标准!$B:$B,0))</f>
        <v>撰写人工审核计划</v>
      </c>
      <c r="D117" s="166">
        <f t="shared" si="227"/>
        <v>1</v>
      </c>
      <c r="E117" s="166">
        <f t="shared" si="228"/>
        <v>1</v>
      </c>
      <c r="F117" s="89" t="str">
        <f>INDEX(二三级标准!$G:$G,MATCH(服务费明细!$B117,二三级标准!$B:$B,0))</f>
        <v>份</v>
      </c>
      <c r="G117" s="166">
        <f t="shared" si="229"/>
        <v>0</v>
      </c>
      <c r="H117" s="166">
        <f t="shared" si="230"/>
        <v>0</v>
      </c>
      <c r="I117" s="166">
        <f t="shared" si="231"/>
        <v>0</v>
      </c>
      <c r="J117" s="166">
        <f t="shared" si="232"/>
        <v>0</v>
      </c>
      <c r="K117" s="166">
        <f t="shared" si="233"/>
        <v>0</v>
      </c>
      <c r="L117" s="166">
        <f t="shared" si="234"/>
        <v>0</v>
      </c>
      <c r="M117" s="166">
        <f t="shared" si="235"/>
        <v>0</v>
      </c>
      <c r="N117" s="166">
        <f t="shared" si="236"/>
        <v>0</v>
      </c>
      <c r="O117" s="166">
        <f t="shared" si="237"/>
        <v>0</v>
      </c>
      <c r="P117" s="166">
        <f t="shared" si="238"/>
        <v>0</v>
      </c>
      <c r="Q117" s="166">
        <f t="shared" si="239"/>
        <v>0</v>
      </c>
      <c r="R117" s="166">
        <f t="shared" si="240"/>
        <v>4</v>
      </c>
      <c r="S117" s="166">
        <f t="shared" si="241"/>
        <v>1</v>
      </c>
      <c r="T117" s="166">
        <f t="shared" si="242"/>
        <v>0.4</v>
      </c>
      <c r="U117" s="166">
        <f t="shared" si="243"/>
        <v>0</v>
      </c>
      <c r="V117" s="166">
        <f t="shared" si="244"/>
        <v>0</v>
      </c>
      <c r="W117" s="166">
        <f t="shared" si="245"/>
        <v>0</v>
      </c>
      <c r="X117" s="166">
        <f t="shared" si="246"/>
        <v>0</v>
      </c>
      <c r="Y117" s="166">
        <f t="shared" si="247"/>
        <v>0</v>
      </c>
      <c r="Z117" s="166">
        <f t="shared" si="248"/>
        <v>0</v>
      </c>
      <c r="AA117" s="166">
        <f t="shared" si="249"/>
        <v>0</v>
      </c>
      <c r="AB117" s="166">
        <f t="shared" si="250"/>
        <v>0</v>
      </c>
      <c r="AC117" s="166" cm="1">
        <f t="array" ref="AC117">SUMPRODUCT(G117:AB117,$G$4:$AB$4)</f>
        <v>1250</v>
      </c>
      <c r="AD117" s="89" t="b">
        <f t="shared" si="251"/>
        <v>1</v>
      </c>
      <c r="AE117" s="386">
        <f>IFERROR(SUMIF(服务费底表!$K:$K,服务费明细!$B117,服务费底表!$AD:$AD)/E117,0)</f>
        <v>1250</v>
      </c>
      <c r="AF117" s="386">
        <f t="shared" si="255"/>
        <v>1250</v>
      </c>
      <c r="AG117" s="386">
        <f>IFERROR(SUMIF(服务费底表!$K:$K,服务费明细!$B117,服务费底表!$AG:$AG)/E117,0)</f>
        <v>1250</v>
      </c>
      <c r="AH117" s="386">
        <f t="shared" si="256"/>
        <v>1250</v>
      </c>
      <c r="AI117" s="577"/>
      <c r="AJ117" s="563">
        <f t="shared" si="254"/>
        <v>5.4</v>
      </c>
      <c r="AK117" s="564">
        <f>SUMIF(服务费底表!$K:$K,服务费明细!$B117,服务费底表!$AC:$AC)</f>
        <v>5.4</v>
      </c>
      <c r="AL117" s="166">
        <f>SUMIFS(服务费底表!$AC:$AC,服务费底表!$K:$K,服务费明细!$B117,服务费底表!$T:$T,AL$3)</f>
        <v>0</v>
      </c>
      <c r="AM117" s="166">
        <f>SUMIFS(服务费底表!$AC:$AC,服务费底表!$K:$K,服务费明细!$B117,服务费底表!$T:$T,AM$3)</f>
        <v>0</v>
      </c>
      <c r="AN117" s="166">
        <f>SUMIFS(服务费底表!$AC:$AC,服务费底表!$K:$K,服务费明细!$B117,服务费底表!$T:$T,AN$3)</f>
        <v>0</v>
      </c>
      <c r="AO117" s="166">
        <f>SUMIFS(服务费底表!$AC:$AC,服务费底表!$K:$K,服务费明细!$B117,服务费底表!$T:$T,AO$3)</f>
        <v>0</v>
      </c>
      <c r="AP117" s="166">
        <f>SUMIFS(服务费底表!$AC:$AC,服务费底表!$K:$K,服务费明细!$B117,服务费底表!$T:$T,AP$3)</f>
        <v>0</v>
      </c>
      <c r="AQ117" s="166">
        <f>SUMIFS(服务费底表!$AC:$AC,服务费底表!$K:$K,服务费明细!$B117,服务费底表!$T:$T,AQ$3)</f>
        <v>0</v>
      </c>
      <c r="AR117" s="166">
        <f>SUMIFS(服务费底表!$AC:$AC,服务费底表!$K:$K,服务费明细!$B117,服务费底表!$T:$T,AR$3)</f>
        <v>0</v>
      </c>
      <c r="AS117" s="166">
        <f>SUMIFS(服务费底表!$AC:$AC,服务费底表!$K:$K,服务费明细!$B117,服务费底表!$T:$T,AS$3)</f>
        <v>0</v>
      </c>
      <c r="AT117" s="166">
        <f>SUMIFS(服务费底表!$AC:$AC,服务费底表!$K:$K,服务费明细!$B117,服务费底表!$T:$T,AT$3)</f>
        <v>0</v>
      </c>
      <c r="AU117" s="166">
        <f>SUMIFS(服务费底表!$AC:$AC,服务费底表!$K:$K,服务费明细!$B117,服务费底表!$T:$T,AU$3)</f>
        <v>0</v>
      </c>
      <c r="AV117" s="166">
        <f>SUMIFS(服务费底表!$AC:$AC,服务费底表!$K:$K,服务费明细!$B117,服务费底表!$T:$T,AV$3)</f>
        <v>0</v>
      </c>
      <c r="AW117" s="166">
        <f>SUMIFS(服务费底表!$AC:$AC,服务费底表!$K:$K,服务费明细!$B117,服务费底表!$T:$T,AW$3)</f>
        <v>4</v>
      </c>
      <c r="AX117" s="166">
        <f>SUMIFS(服务费底表!$AC:$AC,服务费底表!$K:$K,服务费明细!$B117,服务费底表!$T:$T,AX$3)</f>
        <v>1</v>
      </c>
      <c r="AY117" s="166">
        <f>SUMIFS(服务费底表!$AC:$AC,服务费底表!$K:$K,服务费明细!$B117,服务费底表!$T:$T,AY$3)</f>
        <v>0.4</v>
      </c>
      <c r="AZ117" s="166">
        <f>SUMIFS(服务费底表!$AC:$AC,服务费底表!$K:$K,服务费明细!$B117,服务费底表!$T:$T,AZ$3)</f>
        <v>0</v>
      </c>
      <c r="BA117" s="166">
        <f>SUMIFS(服务费底表!$AC:$AC,服务费底表!$K:$K,服务费明细!$B117,服务费底表!$T:$T,BA$3)</f>
        <v>0</v>
      </c>
      <c r="BB117" s="166">
        <f>SUMIFS(服务费底表!$AC:$AC,服务费底表!$K:$K,服务费明细!$B117,服务费底表!$T:$T,BB$3)</f>
        <v>0</v>
      </c>
      <c r="BC117" s="166">
        <f>SUMIFS(服务费底表!$AC:$AC,服务费底表!$K:$K,服务费明细!$B117,服务费底表!$T:$T,BC$3)</f>
        <v>0</v>
      </c>
      <c r="BD117" s="166">
        <f>SUMIFS(服务费底表!$AC:$AC,服务费底表!$K:$K,服务费明细!$B117,服务费底表!$T:$T,BD$3)</f>
        <v>0</v>
      </c>
      <c r="BE117" s="166">
        <f>SUMIFS(服务费底表!$AC:$AC,服务费底表!$K:$K,服务费明细!$B117,服务费底表!$T:$T,BE$3)</f>
        <v>0</v>
      </c>
      <c r="BF117" s="166">
        <f>SUMIFS(服务费底表!$AC:$AC,服务费底表!$K:$K,服务费明细!$B117,服务费底表!$T:$T,BF$3)</f>
        <v>0</v>
      </c>
      <c r="BG117" s="166">
        <f>SUMIFS(服务费底表!$AC:$AC,服务费底表!$K:$K,服务费明细!$B117,服务费底表!$T:$T,BG$3)</f>
        <v>0</v>
      </c>
      <c r="BI117" s="388">
        <f>SUMIFS(服务费底表!$AC:$AC,服务费底表!$K:$K,服务费明细!$B117,服务费底表!$H:$H,服务费明细!BI$3)</f>
        <v>0</v>
      </c>
      <c r="BJ117" s="388">
        <f>SUMIFS(服务费底表!$AC:$AC,服务费底表!$K:$K,服务费明细!$B117,服务费底表!$H:$H,服务费明细!BJ$3)</f>
        <v>0</v>
      </c>
      <c r="BK117" s="388">
        <f>SUMIFS(服务费底表!$AC:$AC,服务费底表!$K:$K,服务费明细!$B117,服务费底表!$H:$H,服务费明细!BK$3)</f>
        <v>5</v>
      </c>
      <c r="BL117" s="388">
        <f>SUMIFS(服务费底表!$AC:$AC,服务费底表!$K:$K,服务费明细!$B117,服务费底表!$H:$H,服务费明细!BL$3)</f>
        <v>0.4</v>
      </c>
      <c r="BM117" s="388">
        <f>SUMIFS(服务费底表!$AC:$AC,服务费底表!$K:$K,服务费明细!$B117,服务费底表!$H:$H,服务费明细!BM$3)</f>
        <v>0</v>
      </c>
      <c r="BN117" s="388">
        <f>SUMIFS(服务费底表!$AC:$AC,服务费底表!$K:$K,服务费明细!$B117,服务费底表!$H:$H,服务费明细!BN$3)</f>
        <v>0</v>
      </c>
      <c r="BO117" s="388">
        <f>SUMIFS(服务费底表!$AC:$AC,服务费底表!$K:$K,服务费明细!$B117,服务费底表!$H:$H,服务费明细!BO$3)</f>
        <v>0</v>
      </c>
      <c r="BQ117" s="389">
        <f>SUMIFS(服务费底表!$AD:$AD,服务费底表!$K:$K,服务费明细!$B117,服务费底表!$H:$H,服务费明细!BQ$3)</f>
        <v>0</v>
      </c>
      <c r="BR117" s="389">
        <f>SUMIFS(服务费底表!$AD:$AD,服务费底表!$K:$K,服务费明细!$B117,服务费底表!$H:$H,服务费明细!BR$3)</f>
        <v>0</v>
      </c>
      <c r="BS117" s="389">
        <f>SUMIFS(服务费底表!$AD:$AD,服务费底表!$K:$K,服务费明细!$B117,服务费底表!$H:$H,服务费明细!BS$3)</f>
        <v>1160</v>
      </c>
      <c r="BT117" s="389">
        <f>SUMIFS(服务费底表!$AD:$AD,服务费底表!$K:$K,服务费明细!$B117,服务费底表!$H:$H,服务费明细!BT$3)</f>
        <v>90</v>
      </c>
      <c r="BU117" s="389">
        <f>SUMIFS(服务费底表!$AD:$AD,服务费底表!$K:$K,服务费明细!$B117,服务费底表!$H:$H,服务费明细!BU$3)</f>
        <v>0</v>
      </c>
      <c r="BV117" s="389">
        <f>SUMIFS(服务费底表!$AD:$AD,服务费底表!$K:$K,服务费明细!$B117,服务费底表!$H:$H,服务费明细!BV$3)</f>
        <v>0</v>
      </c>
      <c r="BW117" s="389">
        <f>SUMIFS(服务费底表!$AD:$AD,服务费底表!$K:$K,服务费明细!$B117,服务费底表!$H:$H,服务费明细!BW$3)</f>
        <v>0</v>
      </c>
    </row>
    <row r="118" spans="2:75">
      <c r="B118" s="89" t="s">
        <v>277</v>
      </c>
      <c r="C118" s="89" t="str">
        <f>INDEX(二三级标准!$C:$C,MATCH(服务费明细!$B118,二三级标准!$B:$B,0))</f>
        <v>搭建数据库界面</v>
      </c>
      <c r="D118" s="166">
        <f t="shared" si="227"/>
        <v>1</v>
      </c>
      <c r="E118" s="166">
        <f t="shared" si="228"/>
        <v>1</v>
      </c>
      <c r="F118" s="89" t="str">
        <f>INDEX(二三级标准!$G:$G,MATCH(服务费明细!$B118,二三级标准!$B:$B,0))</f>
        <v>项目</v>
      </c>
      <c r="G118" s="166">
        <f t="shared" si="229"/>
        <v>0</v>
      </c>
      <c r="H118" s="166">
        <f t="shared" si="230"/>
        <v>0</v>
      </c>
      <c r="I118" s="166">
        <f t="shared" si="231"/>
        <v>0</v>
      </c>
      <c r="J118" s="166">
        <f t="shared" si="232"/>
        <v>0</v>
      </c>
      <c r="K118" s="166">
        <f t="shared" si="233"/>
        <v>0</v>
      </c>
      <c r="L118" s="166">
        <f t="shared" si="234"/>
        <v>0</v>
      </c>
      <c r="M118" s="166">
        <f t="shared" si="235"/>
        <v>0</v>
      </c>
      <c r="N118" s="166">
        <f t="shared" si="236"/>
        <v>0</v>
      </c>
      <c r="O118" s="166">
        <f t="shared" si="237"/>
        <v>0</v>
      </c>
      <c r="P118" s="166">
        <f t="shared" si="238"/>
        <v>0</v>
      </c>
      <c r="Q118" s="166">
        <f t="shared" si="239"/>
        <v>56.9</v>
      </c>
      <c r="R118" s="166">
        <f t="shared" si="240"/>
        <v>29.5</v>
      </c>
      <c r="S118" s="166">
        <f t="shared" si="241"/>
        <v>1</v>
      </c>
      <c r="T118" s="166">
        <f t="shared" si="242"/>
        <v>0</v>
      </c>
      <c r="U118" s="166">
        <f t="shared" si="243"/>
        <v>0</v>
      </c>
      <c r="V118" s="166">
        <f t="shared" si="244"/>
        <v>0</v>
      </c>
      <c r="W118" s="166">
        <f t="shared" si="245"/>
        <v>0</v>
      </c>
      <c r="X118" s="166">
        <f t="shared" si="246"/>
        <v>0</v>
      </c>
      <c r="Y118" s="166">
        <f t="shared" si="247"/>
        <v>0</v>
      </c>
      <c r="Z118" s="166">
        <f t="shared" si="248"/>
        <v>0</v>
      </c>
      <c r="AA118" s="166">
        <f t="shared" si="249"/>
        <v>0</v>
      </c>
      <c r="AB118" s="166">
        <f t="shared" si="250"/>
        <v>0</v>
      </c>
      <c r="AC118" s="166" cm="1">
        <f t="array" ref="AC118">SUMPRODUCT(G118:AB118,$G$4:$AB$4)</f>
        <v>23330</v>
      </c>
      <c r="AD118" s="89" t="b">
        <f t="shared" si="251"/>
        <v>1</v>
      </c>
      <c r="AE118" s="386">
        <f>IFERROR(SUMIF(服务费底表!$K:$K,服务费明细!$B118,服务费底表!$AD:$AD)/E118,0)</f>
        <v>23330</v>
      </c>
      <c r="AF118" s="386">
        <f t="shared" si="255"/>
        <v>23330</v>
      </c>
      <c r="AG118" s="386">
        <f>IFERROR(SUMIF(服务费底表!$K:$K,服务费明细!$B118,服务费底表!$AG:$AG)/E118,0)</f>
        <v>23330</v>
      </c>
      <c r="AH118" s="386">
        <f t="shared" si="256"/>
        <v>23330</v>
      </c>
      <c r="AI118" s="577"/>
      <c r="AJ118" s="563">
        <f t="shared" si="254"/>
        <v>87.4</v>
      </c>
      <c r="AK118" s="564">
        <f>SUMIF(服务费底表!$K:$K,服务费明细!$B118,服务费底表!$AC:$AC)</f>
        <v>87.4</v>
      </c>
      <c r="AL118" s="166">
        <f>SUMIFS(服务费底表!$AC:$AC,服务费底表!$K:$K,服务费明细!$B118,服务费底表!$T:$T,AL$3)</f>
        <v>0</v>
      </c>
      <c r="AM118" s="166">
        <f>SUMIFS(服务费底表!$AC:$AC,服务费底表!$K:$K,服务费明细!$B118,服务费底表!$T:$T,AM$3)</f>
        <v>0</v>
      </c>
      <c r="AN118" s="166">
        <f>SUMIFS(服务费底表!$AC:$AC,服务费底表!$K:$K,服务费明细!$B118,服务费底表!$T:$T,AN$3)</f>
        <v>0</v>
      </c>
      <c r="AO118" s="166">
        <f>SUMIFS(服务费底表!$AC:$AC,服务费底表!$K:$K,服务费明细!$B118,服务费底表!$T:$T,AO$3)</f>
        <v>0</v>
      </c>
      <c r="AP118" s="166">
        <f>SUMIFS(服务费底表!$AC:$AC,服务费底表!$K:$K,服务费明细!$B118,服务费底表!$T:$T,AP$3)</f>
        <v>0</v>
      </c>
      <c r="AQ118" s="166">
        <f>SUMIFS(服务费底表!$AC:$AC,服务费底表!$K:$K,服务费明细!$B118,服务费底表!$T:$T,AQ$3)</f>
        <v>0</v>
      </c>
      <c r="AR118" s="166">
        <f>SUMIFS(服务费底表!$AC:$AC,服务费底表!$K:$K,服务费明细!$B118,服务费底表!$T:$T,AR$3)</f>
        <v>0</v>
      </c>
      <c r="AS118" s="166">
        <f>SUMIFS(服务费底表!$AC:$AC,服务费底表!$K:$K,服务费明细!$B118,服务费底表!$T:$T,AS$3)</f>
        <v>0</v>
      </c>
      <c r="AT118" s="166">
        <f>SUMIFS(服务费底表!$AC:$AC,服务费底表!$K:$K,服务费明细!$B118,服务费底表!$T:$T,AT$3)</f>
        <v>0</v>
      </c>
      <c r="AU118" s="166">
        <f>SUMIFS(服务费底表!$AC:$AC,服务费底表!$K:$K,服务费明细!$B118,服务费底表!$T:$T,AU$3)</f>
        <v>0</v>
      </c>
      <c r="AV118" s="166">
        <f>SUMIFS(服务费底表!$AC:$AC,服务费底表!$K:$K,服务费明细!$B118,服务费底表!$T:$T,AV$3)</f>
        <v>56.9</v>
      </c>
      <c r="AW118" s="166">
        <f>SUMIFS(服务费底表!$AC:$AC,服务费底表!$K:$K,服务费明细!$B118,服务费底表!$T:$T,AW$3)</f>
        <v>29.5</v>
      </c>
      <c r="AX118" s="166">
        <f>SUMIFS(服务费底表!$AC:$AC,服务费底表!$K:$K,服务费明细!$B118,服务费底表!$T:$T,AX$3)</f>
        <v>1</v>
      </c>
      <c r="AY118" s="166">
        <f>SUMIFS(服务费底表!$AC:$AC,服务费底表!$K:$K,服务费明细!$B118,服务费底表!$T:$T,AY$3)</f>
        <v>0</v>
      </c>
      <c r="AZ118" s="166">
        <f>SUMIFS(服务费底表!$AC:$AC,服务费底表!$K:$K,服务费明细!$B118,服务费底表!$T:$T,AZ$3)</f>
        <v>0</v>
      </c>
      <c r="BA118" s="166">
        <f>SUMIFS(服务费底表!$AC:$AC,服务费底表!$K:$K,服务费明细!$B118,服务费底表!$T:$T,BA$3)</f>
        <v>0</v>
      </c>
      <c r="BB118" s="166">
        <f>SUMIFS(服务费底表!$AC:$AC,服务费底表!$K:$K,服务费明细!$B118,服务费底表!$T:$T,BB$3)</f>
        <v>0</v>
      </c>
      <c r="BC118" s="166">
        <f>SUMIFS(服务费底表!$AC:$AC,服务费底表!$K:$K,服务费明细!$B118,服务费底表!$T:$T,BC$3)</f>
        <v>0</v>
      </c>
      <c r="BD118" s="166">
        <f>SUMIFS(服务费底表!$AC:$AC,服务费底表!$K:$K,服务费明细!$B118,服务费底表!$T:$T,BD$3)</f>
        <v>0</v>
      </c>
      <c r="BE118" s="166">
        <f>SUMIFS(服务费底表!$AC:$AC,服务费底表!$K:$K,服务费明细!$B118,服务费底表!$T:$T,BE$3)</f>
        <v>0</v>
      </c>
      <c r="BF118" s="166">
        <f>SUMIFS(服务费底表!$AC:$AC,服务费底表!$K:$K,服务费明细!$B118,服务费底表!$T:$T,BF$3)</f>
        <v>0</v>
      </c>
      <c r="BG118" s="166">
        <f>SUMIFS(服务费底表!$AC:$AC,服务费底表!$K:$K,服务费明细!$B118,服务费底表!$T:$T,BG$3)</f>
        <v>0</v>
      </c>
      <c r="BI118" s="388">
        <f>SUMIFS(服务费底表!$AC:$AC,服务费底表!$K:$K,服务费明细!$B118,服务费底表!$H:$H,服务费明细!BI$3)</f>
        <v>0</v>
      </c>
      <c r="BJ118" s="388">
        <f>SUMIFS(服务费底表!$AC:$AC,服务费底表!$K:$K,服务费明细!$B118,服务费底表!$H:$H,服务费明细!BJ$3)</f>
        <v>0</v>
      </c>
      <c r="BK118" s="388">
        <f>SUMIFS(服务费底表!$AC:$AC,服务费底表!$K:$K,服务费明细!$B118,服务费底表!$H:$H,服务费明细!BK$3)</f>
        <v>87.4</v>
      </c>
      <c r="BL118" s="388">
        <f>SUMIFS(服务费底表!$AC:$AC,服务费底表!$K:$K,服务费明细!$B118,服务费底表!$H:$H,服务费明细!BL$3)</f>
        <v>0</v>
      </c>
      <c r="BM118" s="388">
        <f>SUMIFS(服务费底表!$AC:$AC,服务费底表!$K:$K,服务费明细!$B118,服务费底表!$H:$H,服务费明细!BM$3)</f>
        <v>0</v>
      </c>
      <c r="BN118" s="388">
        <f>SUMIFS(服务费底表!$AC:$AC,服务费底表!$K:$K,服务费明细!$B118,服务费底表!$H:$H,服务费明细!BN$3)</f>
        <v>0</v>
      </c>
      <c r="BO118" s="388">
        <f>SUMIFS(服务费底表!$AC:$AC,服务费底表!$K:$K,服务费明细!$B118,服务费底表!$H:$H,服务费明细!BO$3)</f>
        <v>0</v>
      </c>
      <c r="BQ118" s="389">
        <f>SUMIFS(服务费底表!$AD:$AD,服务费底表!$K:$K,服务费明细!$B118,服务费底表!$H:$H,服务费明细!BQ$3)</f>
        <v>0</v>
      </c>
      <c r="BR118" s="389">
        <f>SUMIFS(服务费底表!$AD:$AD,服务费底表!$K:$K,服务费明细!$B118,服务费底表!$H:$H,服务费明细!BR$3)</f>
        <v>0</v>
      </c>
      <c r="BS118" s="389">
        <f>SUMIFS(服务费底表!$AD:$AD,服务费底表!$K:$K,服务费明细!$B118,服务费底表!$H:$H,服务费明细!BS$3)</f>
        <v>23330</v>
      </c>
      <c r="BT118" s="389">
        <f>SUMIFS(服务费底表!$AD:$AD,服务费底表!$K:$K,服务费明细!$B118,服务费底表!$H:$H,服务费明细!BT$3)</f>
        <v>0</v>
      </c>
      <c r="BU118" s="389">
        <f>SUMIFS(服务费底表!$AD:$AD,服务费底表!$K:$K,服务费明细!$B118,服务费底表!$H:$H,服务费明细!BU$3)</f>
        <v>0</v>
      </c>
      <c r="BV118" s="389">
        <f>SUMIFS(服务费底表!$AD:$AD,服务费底表!$K:$K,服务费明细!$B118,服务费底表!$H:$H,服务费明细!BV$3)</f>
        <v>0</v>
      </c>
      <c r="BW118" s="389">
        <f>SUMIFS(服务费底表!$AD:$AD,服务费底表!$K:$K,服务费明细!$B118,服务费底表!$H:$H,服务费明细!BW$3)</f>
        <v>0</v>
      </c>
    </row>
    <row r="119" spans="2:75">
      <c r="B119" s="89" t="s">
        <v>279</v>
      </c>
      <c r="C119" s="89" t="str">
        <f>INDEX(二三级标准!$C:$C,MATCH(服务费明细!$B119,二三级标准!$B:$B,0))</f>
        <v>设置数据核查程序</v>
      </c>
      <c r="D119" s="166">
        <f t="shared" si="227"/>
        <v>1</v>
      </c>
      <c r="E119" s="166">
        <f>IF($D119=1,逻辑核查总数,0)</f>
        <v>630</v>
      </c>
      <c r="F119" s="89" t="str">
        <f>INDEX(二三级标准!$G:$G,MATCH(服务费明细!$B119,二三级标准!$B:$B,0))</f>
        <v>条</v>
      </c>
      <c r="G119" s="166">
        <f t="shared" si="229"/>
        <v>0</v>
      </c>
      <c r="H119" s="166">
        <f t="shared" si="230"/>
        <v>0</v>
      </c>
      <c r="I119" s="166">
        <f t="shared" si="231"/>
        <v>0</v>
      </c>
      <c r="J119" s="166">
        <f t="shared" si="232"/>
        <v>0</v>
      </c>
      <c r="K119" s="166">
        <f t="shared" si="233"/>
        <v>0</v>
      </c>
      <c r="L119" s="166">
        <f t="shared" si="234"/>
        <v>0</v>
      </c>
      <c r="M119" s="166">
        <f t="shared" si="235"/>
        <v>0</v>
      </c>
      <c r="N119" s="166">
        <f t="shared" si="236"/>
        <v>0</v>
      </c>
      <c r="O119" s="166">
        <f t="shared" si="237"/>
        <v>0</v>
      </c>
      <c r="P119" s="166">
        <f t="shared" si="238"/>
        <v>0</v>
      </c>
      <c r="Q119" s="166">
        <f t="shared" si="239"/>
        <v>34.65</v>
      </c>
      <c r="R119" s="166">
        <f t="shared" si="240"/>
        <v>63</v>
      </c>
      <c r="S119" s="166">
        <f t="shared" si="241"/>
        <v>0</v>
      </c>
      <c r="T119" s="166">
        <f t="shared" si="242"/>
        <v>0</v>
      </c>
      <c r="U119" s="166">
        <f t="shared" si="243"/>
        <v>0</v>
      </c>
      <c r="V119" s="166">
        <f t="shared" si="244"/>
        <v>0</v>
      </c>
      <c r="W119" s="166">
        <f t="shared" si="245"/>
        <v>0</v>
      </c>
      <c r="X119" s="166">
        <f t="shared" si="246"/>
        <v>0</v>
      </c>
      <c r="Y119" s="166">
        <f t="shared" si="247"/>
        <v>0</v>
      </c>
      <c r="Z119" s="166">
        <f t="shared" si="248"/>
        <v>0</v>
      </c>
      <c r="AA119" s="166">
        <f t="shared" si="249"/>
        <v>0</v>
      </c>
      <c r="AB119" s="166">
        <f t="shared" si="250"/>
        <v>0</v>
      </c>
      <c r="AC119" s="166" cm="1">
        <f t="array" ref="AC119">SUMPRODUCT(G119:AB119,$G$4:$AB$4)</f>
        <v>22995</v>
      </c>
      <c r="AD119" s="89" t="b">
        <f t="shared" si="251"/>
        <v>1</v>
      </c>
      <c r="AE119" s="386">
        <f>IFERROR(SUMIF(服务费底表!$K:$K,服务费明细!$B119,服务费底表!$AD:$AD)/E119,0)</f>
        <v>36.5</v>
      </c>
      <c r="AF119" s="386">
        <f t="shared" si="255"/>
        <v>22995</v>
      </c>
      <c r="AG119" s="386">
        <f>IFERROR(SUMIF(服务费底表!$K:$K,服务费明细!$B119,服务费底表!$AG:$AG)/E119,0)</f>
        <v>36.5</v>
      </c>
      <c r="AH119" s="386">
        <f t="shared" si="256"/>
        <v>22995</v>
      </c>
      <c r="AI119" s="577"/>
      <c r="AJ119" s="563">
        <f t="shared" si="254"/>
        <v>0.155</v>
      </c>
      <c r="AK119" s="564">
        <f>SUMIF(服务费底表!$K:$K,服务费明细!$B119,服务费底表!$AC:$AC)</f>
        <v>97.65</v>
      </c>
      <c r="AL119" s="166">
        <f>SUMIFS(服务费底表!$AC:$AC,服务费底表!$K:$K,服务费明细!$B119,服务费底表!$T:$T,AL$3)</f>
        <v>0</v>
      </c>
      <c r="AM119" s="166">
        <f>SUMIFS(服务费底表!$AC:$AC,服务费底表!$K:$K,服务费明细!$B119,服务费底表!$T:$T,AM$3)</f>
        <v>0</v>
      </c>
      <c r="AN119" s="166">
        <f>SUMIFS(服务费底表!$AC:$AC,服务费底表!$K:$K,服务费明细!$B119,服务费底表!$T:$T,AN$3)</f>
        <v>0</v>
      </c>
      <c r="AO119" s="166">
        <f>SUMIFS(服务费底表!$AC:$AC,服务费底表!$K:$K,服务费明细!$B119,服务费底表!$T:$T,AO$3)</f>
        <v>0</v>
      </c>
      <c r="AP119" s="166">
        <f>SUMIFS(服务费底表!$AC:$AC,服务费底表!$K:$K,服务费明细!$B119,服务费底表!$T:$T,AP$3)</f>
        <v>0</v>
      </c>
      <c r="AQ119" s="166">
        <f>SUMIFS(服务费底表!$AC:$AC,服务费底表!$K:$K,服务费明细!$B119,服务费底表!$T:$T,AQ$3)</f>
        <v>0</v>
      </c>
      <c r="AR119" s="166">
        <f>SUMIFS(服务费底表!$AC:$AC,服务费底表!$K:$K,服务费明细!$B119,服务费底表!$T:$T,AR$3)</f>
        <v>0</v>
      </c>
      <c r="AS119" s="166">
        <f>SUMIFS(服务费底表!$AC:$AC,服务费底表!$K:$K,服务费明细!$B119,服务费底表!$T:$T,AS$3)</f>
        <v>0</v>
      </c>
      <c r="AT119" s="166">
        <f>SUMIFS(服务费底表!$AC:$AC,服务费底表!$K:$K,服务费明细!$B119,服务费底表!$T:$T,AT$3)</f>
        <v>0</v>
      </c>
      <c r="AU119" s="166">
        <f>SUMIFS(服务费底表!$AC:$AC,服务费底表!$K:$K,服务费明细!$B119,服务费底表!$T:$T,AU$3)</f>
        <v>0</v>
      </c>
      <c r="AV119" s="166">
        <f>SUMIFS(服务费底表!$AC:$AC,服务费底表!$K:$K,服务费明细!$B119,服务费底表!$T:$T,AV$3)</f>
        <v>34.65</v>
      </c>
      <c r="AW119" s="166">
        <f>SUMIFS(服务费底表!$AC:$AC,服务费底表!$K:$K,服务费明细!$B119,服务费底表!$T:$T,AW$3)</f>
        <v>63</v>
      </c>
      <c r="AX119" s="166">
        <f>SUMIFS(服务费底表!$AC:$AC,服务费底表!$K:$K,服务费明细!$B119,服务费底表!$T:$T,AX$3)</f>
        <v>0</v>
      </c>
      <c r="AY119" s="166">
        <f>SUMIFS(服务费底表!$AC:$AC,服务费底表!$K:$K,服务费明细!$B119,服务费底表!$T:$T,AY$3)</f>
        <v>0</v>
      </c>
      <c r="AZ119" s="166">
        <f>SUMIFS(服务费底表!$AC:$AC,服务费底表!$K:$K,服务费明细!$B119,服务费底表!$T:$T,AZ$3)</f>
        <v>0</v>
      </c>
      <c r="BA119" s="166">
        <f>SUMIFS(服务费底表!$AC:$AC,服务费底表!$K:$K,服务费明细!$B119,服务费底表!$T:$T,BA$3)</f>
        <v>0</v>
      </c>
      <c r="BB119" s="166">
        <f>SUMIFS(服务费底表!$AC:$AC,服务费底表!$K:$K,服务费明细!$B119,服务费底表!$T:$T,BB$3)</f>
        <v>0</v>
      </c>
      <c r="BC119" s="166">
        <f>SUMIFS(服务费底表!$AC:$AC,服务费底表!$K:$K,服务费明细!$B119,服务费底表!$T:$T,BC$3)</f>
        <v>0</v>
      </c>
      <c r="BD119" s="166">
        <f>SUMIFS(服务费底表!$AC:$AC,服务费底表!$K:$K,服务费明细!$B119,服务费底表!$T:$T,BD$3)</f>
        <v>0</v>
      </c>
      <c r="BE119" s="166">
        <f>SUMIFS(服务费底表!$AC:$AC,服务费底表!$K:$K,服务费明细!$B119,服务费底表!$T:$T,BE$3)</f>
        <v>0</v>
      </c>
      <c r="BF119" s="166">
        <f>SUMIFS(服务费底表!$AC:$AC,服务费底表!$K:$K,服务费明细!$B119,服务费底表!$T:$T,BF$3)</f>
        <v>0</v>
      </c>
      <c r="BG119" s="166">
        <f>SUMIFS(服务费底表!$AC:$AC,服务费底表!$K:$K,服务费明细!$B119,服务费底表!$T:$T,BG$3)</f>
        <v>0</v>
      </c>
      <c r="BI119" s="388">
        <f>SUMIFS(服务费底表!$AC:$AC,服务费底表!$K:$K,服务费明细!$B119,服务费底表!$H:$H,服务费明细!BI$3)</f>
        <v>0</v>
      </c>
      <c r="BJ119" s="388">
        <f>SUMIFS(服务费底表!$AC:$AC,服务费底表!$K:$K,服务费明细!$B119,服务费底表!$H:$H,服务费明细!BJ$3)</f>
        <v>0</v>
      </c>
      <c r="BK119" s="388">
        <f>SUMIFS(服务费底表!$AC:$AC,服务费底表!$K:$K,服务费明细!$B119,服务费底表!$H:$H,服务费明细!BK$3)</f>
        <v>97.65</v>
      </c>
      <c r="BL119" s="388">
        <f>SUMIFS(服务费底表!$AC:$AC,服务费底表!$K:$K,服务费明细!$B119,服务费底表!$H:$H,服务费明细!BL$3)</f>
        <v>0</v>
      </c>
      <c r="BM119" s="388">
        <f>SUMIFS(服务费底表!$AC:$AC,服务费底表!$K:$K,服务费明细!$B119,服务费底表!$H:$H,服务费明细!BM$3)</f>
        <v>0</v>
      </c>
      <c r="BN119" s="388">
        <f>SUMIFS(服务费底表!$AC:$AC,服务费底表!$K:$K,服务费明细!$B119,服务费底表!$H:$H,服务费明细!BN$3)</f>
        <v>0</v>
      </c>
      <c r="BO119" s="388">
        <f>SUMIFS(服务费底表!$AC:$AC,服务费底表!$K:$K,服务费明细!$B119,服务费底表!$H:$H,服务费明细!BO$3)</f>
        <v>0</v>
      </c>
      <c r="BQ119" s="389">
        <f>SUMIFS(服务费底表!$AD:$AD,服务费底表!$K:$K,服务费明细!$B119,服务费底表!$H:$H,服务费明细!BQ$3)</f>
        <v>0</v>
      </c>
      <c r="BR119" s="389">
        <f>SUMIFS(服务费底表!$AD:$AD,服务费底表!$K:$K,服务费明细!$B119,服务费底表!$H:$H,服务费明细!BR$3)</f>
        <v>0</v>
      </c>
      <c r="BS119" s="389">
        <f>SUMIFS(服务费底表!$AD:$AD,服务费底表!$K:$K,服务费明细!$B119,服务费底表!$H:$H,服务费明细!BS$3)</f>
        <v>22995</v>
      </c>
      <c r="BT119" s="389">
        <f>SUMIFS(服务费底表!$AD:$AD,服务费底表!$K:$K,服务费明细!$B119,服务费底表!$H:$H,服务费明细!BT$3)</f>
        <v>0</v>
      </c>
      <c r="BU119" s="389">
        <f>SUMIFS(服务费底表!$AD:$AD,服务费底表!$K:$K,服务费明细!$B119,服务费底表!$H:$H,服务费明细!BU$3)</f>
        <v>0</v>
      </c>
      <c r="BV119" s="389">
        <f>SUMIFS(服务费底表!$AD:$AD,服务费底表!$K:$K,服务费明细!$B119,服务费底表!$H:$H,服务费明细!BV$3)</f>
        <v>0</v>
      </c>
      <c r="BW119" s="389">
        <f>SUMIFS(服务费底表!$AD:$AD,服务费底表!$K:$K,服务费明细!$B119,服务费底表!$H:$H,服务费明细!BW$3)</f>
        <v>0</v>
      </c>
    </row>
    <row r="120" spans="2:75">
      <c r="B120" s="89" t="s">
        <v>281</v>
      </c>
      <c r="C120" s="89" t="str">
        <f>INDEX(二三级标准!$C:$C,MATCH(服务费明细!$B120,二三级标准!$B:$B,0))</f>
        <v>用户接受性测试(UAT)</v>
      </c>
      <c r="D120" s="166">
        <f t="shared" si="227"/>
        <v>1</v>
      </c>
      <c r="E120" s="166">
        <f>IF($D120=1,1,0)</f>
        <v>1</v>
      </c>
      <c r="F120" s="89" t="str">
        <f>INDEX(二三级标准!$G:$G,MATCH(服务费明细!$B120,二三级标准!$B:$B,0))</f>
        <v>次</v>
      </c>
      <c r="G120" s="166">
        <f t="shared" si="229"/>
        <v>0</v>
      </c>
      <c r="H120" s="166">
        <f t="shared" si="230"/>
        <v>0</v>
      </c>
      <c r="I120" s="166">
        <f t="shared" si="231"/>
        <v>0</v>
      </c>
      <c r="J120" s="166">
        <f t="shared" si="232"/>
        <v>0</v>
      </c>
      <c r="K120" s="166">
        <f t="shared" si="233"/>
        <v>0</v>
      </c>
      <c r="L120" s="166">
        <f t="shared" si="234"/>
        <v>0</v>
      </c>
      <c r="M120" s="166">
        <f t="shared" si="235"/>
        <v>0</v>
      </c>
      <c r="N120" s="166">
        <f t="shared" si="236"/>
        <v>0</v>
      </c>
      <c r="O120" s="166">
        <f t="shared" si="237"/>
        <v>0</v>
      </c>
      <c r="P120" s="166">
        <f t="shared" si="238"/>
        <v>0</v>
      </c>
      <c r="Q120" s="166">
        <f t="shared" si="239"/>
        <v>2</v>
      </c>
      <c r="R120" s="166">
        <f t="shared" si="240"/>
        <v>2</v>
      </c>
      <c r="S120" s="166">
        <f t="shared" si="241"/>
        <v>2</v>
      </c>
      <c r="T120" s="166">
        <f t="shared" si="242"/>
        <v>0</v>
      </c>
      <c r="U120" s="166">
        <f t="shared" si="243"/>
        <v>0</v>
      </c>
      <c r="V120" s="166">
        <f t="shared" si="244"/>
        <v>0</v>
      </c>
      <c r="W120" s="166">
        <f t="shared" si="245"/>
        <v>0</v>
      </c>
      <c r="X120" s="166">
        <f t="shared" si="246"/>
        <v>0</v>
      </c>
      <c r="Y120" s="166">
        <f t="shared" si="247"/>
        <v>0</v>
      </c>
      <c r="Z120" s="166">
        <f t="shared" si="248"/>
        <v>0</v>
      </c>
      <c r="AA120" s="166">
        <f t="shared" si="249"/>
        <v>0</v>
      </c>
      <c r="AB120" s="166">
        <f t="shared" si="250"/>
        <v>0</v>
      </c>
      <c r="AC120" s="166" cm="1">
        <f t="array" ref="AC120">SUMPRODUCT(G120:AB120,$G$4:$AB$4)</f>
        <v>1720</v>
      </c>
      <c r="AD120" s="89" t="b">
        <f t="shared" si="251"/>
        <v>1</v>
      </c>
      <c r="AE120" s="386">
        <f>IFERROR(SUMIF(服务费底表!$K:$K,服务费明细!$B120,服务费底表!$AD:$AD)/E120,0)</f>
        <v>1720</v>
      </c>
      <c r="AF120" s="386">
        <f t="shared" si="255"/>
        <v>1720</v>
      </c>
      <c r="AG120" s="386">
        <f>IFERROR(SUMIF(服务费底表!$K:$K,服务费明细!$B120,服务费底表!$AG:$AG)/E120,0)</f>
        <v>1720</v>
      </c>
      <c r="AH120" s="386">
        <f t="shared" si="256"/>
        <v>1720</v>
      </c>
      <c r="AI120" s="577"/>
      <c r="AJ120" s="563">
        <f t="shared" si="254"/>
        <v>6</v>
      </c>
      <c r="AK120" s="564">
        <f>SUMIF(服务费底表!$K:$K,服务费明细!$B120,服务费底表!$AC:$AC)</f>
        <v>6</v>
      </c>
      <c r="AL120" s="166">
        <f>SUMIFS(服务费底表!$AC:$AC,服务费底表!$K:$K,服务费明细!$B120,服务费底表!$T:$T,AL$3)</f>
        <v>0</v>
      </c>
      <c r="AM120" s="166">
        <f>SUMIFS(服务费底表!$AC:$AC,服务费底表!$K:$K,服务费明细!$B120,服务费底表!$T:$T,AM$3)</f>
        <v>0</v>
      </c>
      <c r="AN120" s="166">
        <f>SUMIFS(服务费底表!$AC:$AC,服务费底表!$K:$K,服务费明细!$B120,服务费底表!$T:$T,AN$3)</f>
        <v>0</v>
      </c>
      <c r="AO120" s="166">
        <f>SUMIFS(服务费底表!$AC:$AC,服务费底表!$K:$K,服务费明细!$B120,服务费底表!$T:$T,AO$3)</f>
        <v>0</v>
      </c>
      <c r="AP120" s="166">
        <f>SUMIFS(服务费底表!$AC:$AC,服务费底表!$K:$K,服务费明细!$B120,服务费底表!$T:$T,AP$3)</f>
        <v>0</v>
      </c>
      <c r="AQ120" s="166">
        <f>SUMIFS(服务费底表!$AC:$AC,服务费底表!$K:$K,服务费明细!$B120,服务费底表!$T:$T,AQ$3)</f>
        <v>0</v>
      </c>
      <c r="AR120" s="166">
        <f>SUMIFS(服务费底表!$AC:$AC,服务费底表!$K:$K,服务费明细!$B120,服务费底表!$T:$T,AR$3)</f>
        <v>0</v>
      </c>
      <c r="AS120" s="166">
        <f>SUMIFS(服务费底表!$AC:$AC,服务费底表!$K:$K,服务费明细!$B120,服务费底表!$T:$T,AS$3)</f>
        <v>0</v>
      </c>
      <c r="AT120" s="166">
        <f>SUMIFS(服务费底表!$AC:$AC,服务费底表!$K:$K,服务费明细!$B120,服务费底表!$T:$T,AT$3)</f>
        <v>0</v>
      </c>
      <c r="AU120" s="166">
        <f>SUMIFS(服务费底表!$AC:$AC,服务费底表!$K:$K,服务费明细!$B120,服务费底表!$T:$T,AU$3)</f>
        <v>0</v>
      </c>
      <c r="AV120" s="166">
        <f>SUMIFS(服务费底表!$AC:$AC,服务费底表!$K:$K,服务费明细!$B120,服务费底表!$T:$T,AV$3)</f>
        <v>2</v>
      </c>
      <c r="AW120" s="166">
        <f>SUMIFS(服务费底表!$AC:$AC,服务费底表!$K:$K,服务费明细!$B120,服务费底表!$T:$T,AW$3)</f>
        <v>2</v>
      </c>
      <c r="AX120" s="166">
        <f>SUMIFS(服务费底表!$AC:$AC,服务费底表!$K:$K,服务费明细!$B120,服务费底表!$T:$T,AX$3)</f>
        <v>2</v>
      </c>
      <c r="AY120" s="166">
        <f>SUMIFS(服务费底表!$AC:$AC,服务费底表!$K:$K,服务费明细!$B120,服务费底表!$T:$T,AY$3)</f>
        <v>0</v>
      </c>
      <c r="AZ120" s="166">
        <f>SUMIFS(服务费底表!$AC:$AC,服务费底表!$K:$K,服务费明细!$B120,服务费底表!$T:$T,AZ$3)</f>
        <v>0</v>
      </c>
      <c r="BA120" s="166">
        <f>SUMIFS(服务费底表!$AC:$AC,服务费底表!$K:$K,服务费明细!$B120,服务费底表!$T:$T,BA$3)</f>
        <v>0</v>
      </c>
      <c r="BB120" s="166">
        <f>SUMIFS(服务费底表!$AC:$AC,服务费底表!$K:$K,服务费明细!$B120,服务费底表!$T:$T,BB$3)</f>
        <v>0</v>
      </c>
      <c r="BC120" s="166">
        <f>SUMIFS(服务费底表!$AC:$AC,服务费底表!$K:$K,服务费明细!$B120,服务费底表!$T:$T,BC$3)</f>
        <v>0</v>
      </c>
      <c r="BD120" s="166">
        <f>SUMIFS(服务费底表!$AC:$AC,服务费底表!$K:$K,服务费明细!$B120,服务费底表!$T:$T,BD$3)</f>
        <v>0</v>
      </c>
      <c r="BE120" s="166">
        <f>SUMIFS(服务费底表!$AC:$AC,服务费底表!$K:$K,服务费明细!$B120,服务费底表!$T:$T,BE$3)</f>
        <v>0</v>
      </c>
      <c r="BF120" s="166">
        <f>SUMIFS(服务费底表!$AC:$AC,服务费底表!$K:$K,服务费明细!$B120,服务费底表!$T:$T,BF$3)</f>
        <v>0</v>
      </c>
      <c r="BG120" s="166">
        <f>SUMIFS(服务费底表!$AC:$AC,服务费底表!$K:$K,服务费明细!$B120,服务费底表!$T:$T,BG$3)</f>
        <v>0</v>
      </c>
      <c r="BI120" s="388">
        <f>SUMIFS(服务费底表!$AC:$AC,服务费底表!$K:$K,服务费明细!$B120,服务费底表!$H:$H,服务费明细!BI$3)</f>
        <v>0</v>
      </c>
      <c r="BJ120" s="388">
        <f>SUMIFS(服务费底表!$AC:$AC,服务费底表!$K:$K,服务费明细!$B120,服务费底表!$H:$H,服务费明细!BJ$3)</f>
        <v>0</v>
      </c>
      <c r="BK120" s="388">
        <f>SUMIFS(服务费底表!$AC:$AC,服务费底表!$K:$K,服务费明细!$B120,服务费底表!$H:$H,服务费明细!BK$3)</f>
        <v>6</v>
      </c>
      <c r="BL120" s="388">
        <f>SUMIFS(服务费底表!$AC:$AC,服务费底表!$K:$K,服务费明细!$B120,服务费底表!$H:$H,服务费明细!BL$3)</f>
        <v>0</v>
      </c>
      <c r="BM120" s="388">
        <f>SUMIFS(服务费底表!$AC:$AC,服务费底表!$K:$K,服务费明细!$B120,服务费底表!$H:$H,服务费明细!BM$3)</f>
        <v>0</v>
      </c>
      <c r="BN120" s="388">
        <f>SUMIFS(服务费底表!$AC:$AC,服务费底表!$K:$K,服务费明细!$B120,服务费底表!$H:$H,服务费明细!BN$3)</f>
        <v>0</v>
      </c>
      <c r="BO120" s="388">
        <f>SUMIFS(服务费底表!$AC:$AC,服务费底表!$K:$K,服务费明细!$B120,服务费底表!$H:$H,服务费明细!BO$3)</f>
        <v>0</v>
      </c>
      <c r="BQ120" s="389">
        <f>SUMIFS(服务费底表!$AD:$AD,服务费底表!$K:$K,服务费明细!$B120,服务费底表!$H:$H,服务费明细!BQ$3)</f>
        <v>0</v>
      </c>
      <c r="BR120" s="389">
        <f>SUMIFS(服务费底表!$AD:$AD,服务费底表!$K:$K,服务费明细!$B120,服务费底表!$H:$H,服务费明细!BR$3)</f>
        <v>0</v>
      </c>
      <c r="BS120" s="389">
        <f>SUMIFS(服务费底表!$AD:$AD,服务费底表!$K:$K,服务费明细!$B120,服务费底表!$H:$H,服务费明细!BS$3)</f>
        <v>1720</v>
      </c>
      <c r="BT120" s="389">
        <f>SUMIFS(服务费底表!$AD:$AD,服务费底表!$K:$K,服务费明细!$B120,服务费底表!$H:$H,服务费明细!BT$3)</f>
        <v>0</v>
      </c>
      <c r="BU120" s="389">
        <f>SUMIFS(服务费底表!$AD:$AD,服务费底表!$K:$K,服务费明细!$B120,服务费底表!$H:$H,服务费明细!BU$3)</f>
        <v>0</v>
      </c>
      <c r="BV120" s="389">
        <f>SUMIFS(服务费底表!$AD:$AD,服务费底表!$K:$K,服务费明细!$B120,服务费底表!$H:$H,服务费明细!BV$3)</f>
        <v>0</v>
      </c>
      <c r="BW120" s="389">
        <f>SUMIFS(服务费底表!$AD:$AD,服务费底表!$K:$K,服务费明细!$B120,服务费底表!$H:$H,服务费明细!BW$3)</f>
        <v>0</v>
      </c>
    </row>
    <row r="121" spans="2:75">
      <c r="B121" s="89" t="s">
        <v>283</v>
      </c>
      <c r="C121" s="89" t="str">
        <f>INDEX(二三级标准!$C:$C,MATCH(服务费明细!$B121,二三级标准!$B:$B,0))</f>
        <v>搭建随机发药系统</v>
      </c>
      <c r="D121" s="166">
        <f>IF(AND($D$113=1,随机化设计="系统随机"),1,0)</f>
        <v>0</v>
      </c>
      <c r="E121" s="166">
        <f>IF($D121=1,1,0)</f>
        <v>0</v>
      </c>
      <c r="F121" s="89" t="str">
        <f>INDEX(二三级标准!$G:$G,MATCH(服务费明细!$B121,二三级标准!$B:$B,0))</f>
        <v>个</v>
      </c>
      <c r="G121" s="166">
        <f t="shared" si="229"/>
        <v>0</v>
      </c>
      <c r="H121" s="166">
        <f t="shared" si="230"/>
        <v>0</v>
      </c>
      <c r="I121" s="166">
        <f t="shared" si="231"/>
        <v>0</v>
      </c>
      <c r="J121" s="166">
        <f t="shared" si="232"/>
        <v>0</v>
      </c>
      <c r="K121" s="166">
        <f t="shared" si="233"/>
        <v>0</v>
      </c>
      <c r="L121" s="166">
        <f t="shared" si="234"/>
        <v>0</v>
      </c>
      <c r="M121" s="166">
        <f t="shared" si="235"/>
        <v>0</v>
      </c>
      <c r="N121" s="166">
        <f t="shared" si="236"/>
        <v>0</v>
      </c>
      <c r="O121" s="166">
        <f t="shared" si="237"/>
        <v>0</v>
      </c>
      <c r="P121" s="166">
        <f t="shared" si="238"/>
        <v>0</v>
      </c>
      <c r="Q121" s="166">
        <f t="shared" si="239"/>
        <v>0</v>
      </c>
      <c r="R121" s="166">
        <f t="shared" si="240"/>
        <v>0</v>
      </c>
      <c r="S121" s="166">
        <f t="shared" si="241"/>
        <v>0</v>
      </c>
      <c r="T121" s="166">
        <f t="shared" si="242"/>
        <v>0</v>
      </c>
      <c r="U121" s="166">
        <f t="shared" si="243"/>
        <v>0</v>
      </c>
      <c r="V121" s="166">
        <f t="shared" si="244"/>
        <v>0</v>
      </c>
      <c r="W121" s="166">
        <f t="shared" si="245"/>
        <v>0</v>
      </c>
      <c r="X121" s="166">
        <f t="shared" si="246"/>
        <v>0</v>
      </c>
      <c r="Y121" s="166">
        <f t="shared" si="247"/>
        <v>0</v>
      </c>
      <c r="Z121" s="166">
        <f t="shared" si="248"/>
        <v>0</v>
      </c>
      <c r="AA121" s="166">
        <f t="shared" si="249"/>
        <v>0</v>
      </c>
      <c r="AB121" s="166">
        <f t="shared" si="250"/>
        <v>0</v>
      </c>
      <c r="AC121" s="166" cm="1">
        <f t="array" ref="AC121">SUMPRODUCT(G121:AB121,$G$4:$AB$4)</f>
        <v>0</v>
      </c>
      <c r="AD121" s="89" t="b">
        <f t="shared" ref="AD121:AD125" si="257">IF(AF121=AC121,TRUE,FALSE)</f>
        <v>1</v>
      </c>
      <c r="AE121" s="386">
        <f>IFERROR(SUMIF(服务费底表!$K:$K,服务费明细!$B121,服务费底表!$AD:$AD)/E121,0)</f>
        <v>0</v>
      </c>
      <c r="AF121" s="386">
        <f t="shared" ref="AF121:AF125" si="258">E121*AE121</f>
        <v>0</v>
      </c>
      <c r="AG121" s="386">
        <f>IFERROR(SUMIF(服务费底表!$K:$K,服务费明细!$B121,服务费底表!$AG:$AG)/E121,0)</f>
        <v>0</v>
      </c>
      <c r="AH121" s="386">
        <f t="shared" ref="AH121:AH125" si="259">AG121*E121</f>
        <v>0</v>
      </c>
      <c r="AI121" s="577"/>
      <c r="AJ121" s="563">
        <f t="shared" si="254"/>
        <v>0</v>
      </c>
      <c r="AK121" s="564">
        <f>SUMIF(服务费底表!$K:$K,服务费明细!$B121,服务费底表!$AC:$AC)</f>
        <v>0</v>
      </c>
      <c r="AL121" s="166">
        <f>SUMIFS(服务费底表!$AC:$AC,服务费底表!$K:$K,服务费明细!$B121,服务费底表!$T:$T,AL$3)</f>
        <v>0</v>
      </c>
      <c r="AM121" s="166">
        <f>SUMIFS(服务费底表!$AC:$AC,服务费底表!$K:$K,服务费明细!$B121,服务费底表!$T:$T,AM$3)</f>
        <v>0</v>
      </c>
      <c r="AN121" s="166">
        <f>SUMIFS(服务费底表!$AC:$AC,服务费底表!$K:$K,服务费明细!$B121,服务费底表!$T:$T,AN$3)</f>
        <v>0</v>
      </c>
      <c r="AO121" s="166">
        <f>SUMIFS(服务费底表!$AC:$AC,服务费底表!$K:$K,服务费明细!$B121,服务费底表!$T:$T,AO$3)</f>
        <v>0</v>
      </c>
      <c r="AP121" s="166">
        <f>SUMIFS(服务费底表!$AC:$AC,服务费底表!$K:$K,服务费明细!$B121,服务费底表!$T:$T,AP$3)</f>
        <v>0</v>
      </c>
      <c r="AQ121" s="166">
        <f>SUMIFS(服务费底表!$AC:$AC,服务费底表!$K:$K,服务费明细!$B121,服务费底表!$T:$T,AQ$3)</f>
        <v>0</v>
      </c>
      <c r="AR121" s="166">
        <f>SUMIFS(服务费底表!$AC:$AC,服务费底表!$K:$K,服务费明细!$B121,服务费底表!$T:$T,AR$3)</f>
        <v>0</v>
      </c>
      <c r="AS121" s="166">
        <f>SUMIFS(服务费底表!$AC:$AC,服务费底表!$K:$K,服务费明细!$B121,服务费底表!$T:$T,AS$3)</f>
        <v>0</v>
      </c>
      <c r="AT121" s="166">
        <f>SUMIFS(服务费底表!$AC:$AC,服务费底表!$K:$K,服务费明细!$B121,服务费底表!$T:$T,AT$3)</f>
        <v>0</v>
      </c>
      <c r="AU121" s="166">
        <f>SUMIFS(服务费底表!$AC:$AC,服务费底表!$K:$K,服务费明细!$B121,服务费底表!$T:$T,AU$3)</f>
        <v>0</v>
      </c>
      <c r="AV121" s="166">
        <f>SUMIFS(服务费底表!$AC:$AC,服务费底表!$K:$K,服务费明细!$B121,服务费底表!$T:$T,AV$3)</f>
        <v>0</v>
      </c>
      <c r="AW121" s="166">
        <f>SUMIFS(服务费底表!$AC:$AC,服务费底表!$K:$K,服务费明细!$B121,服务费底表!$T:$T,AW$3)</f>
        <v>0</v>
      </c>
      <c r="AX121" s="166">
        <f>SUMIFS(服务费底表!$AC:$AC,服务费底表!$K:$K,服务费明细!$B121,服务费底表!$T:$T,AX$3)</f>
        <v>0</v>
      </c>
      <c r="AY121" s="166">
        <f>SUMIFS(服务费底表!$AC:$AC,服务费底表!$K:$K,服务费明细!$B121,服务费底表!$T:$T,AY$3)</f>
        <v>0</v>
      </c>
      <c r="AZ121" s="166">
        <f>SUMIFS(服务费底表!$AC:$AC,服务费底表!$K:$K,服务费明细!$B121,服务费底表!$T:$T,AZ$3)</f>
        <v>0</v>
      </c>
      <c r="BA121" s="166">
        <f>SUMIFS(服务费底表!$AC:$AC,服务费底表!$K:$K,服务费明细!$B121,服务费底表!$T:$T,BA$3)</f>
        <v>0</v>
      </c>
      <c r="BB121" s="166">
        <f>SUMIFS(服务费底表!$AC:$AC,服务费底表!$K:$K,服务费明细!$B121,服务费底表!$T:$T,BB$3)</f>
        <v>0</v>
      </c>
      <c r="BC121" s="166">
        <f>SUMIFS(服务费底表!$AC:$AC,服务费底表!$K:$K,服务费明细!$B121,服务费底表!$T:$T,BC$3)</f>
        <v>0</v>
      </c>
      <c r="BD121" s="166">
        <f>SUMIFS(服务费底表!$AC:$AC,服务费底表!$K:$K,服务费明细!$B121,服务费底表!$T:$T,BD$3)</f>
        <v>0</v>
      </c>
      <c r="BE121" s="166">
        <f>SUMIFS(服务费底表!$AC:$AC,服务费底表!$K:$K,服务费明细!$B121,服务费底表!$T:$T,BE$3)</f>
        <v>0</v>
      </c>
      <c r="BF121" s="166">
        <f>SUMIFS(服务费底表!$AC:$AC,服务费底表!$K:$K,服务费明细!$B121,服务费底表!$T:$T,BF$3)</f>
        <v>0</v>
      </c>
      <c r="BG121" s="166">
        <f>SUMIFS(服务费底表!$AC:$AC,服务费底表!$K:$K,服务费明细!$B121,服务费底表!$T:$T,BG$3)</f>
        <v>0</v>
      </c>
      <c r="BI121" s="388">
        <f>SUMIFS(服务费底表!$AC:$AC,服务费底表!$K:$K,服务费明细!$B121,服务费底表!$H:$H,服务费明细!BI$3)</f>
        <v>0</v>
      </c>
      <c r="BJ121" s="388">
        <f>SUMIFS(服务费底表!$AC:$AC,服务费底表!$K:$K,服务费明细!$B121,服务费底表!$H:$H,服务费明细!BJ$3)</f>
        <v>0</v>
      </c>
      <c r="BK121" s="388">
        <f>SUMIFS(服务费底表!$AC:$AC,服务费底表!$K:$K,服务费明细!$B121,服务费底表!$H:$H,服务费明细!BK$3)</f>
        <v>0</v>
      </c>
      <c r="BL121" s="388">
        <f>SUMIFS(服务费底表!$AC:$AC,服务费底表!$K:$K,服务费明细!$B121,服务费底表!$H:$H,服务费明细!BL$3)</f>
        <v>0</v>
      </c>
      <c r="BM121" s="388">
        <f>SUMIFS(服务费底表!$AC:$AC,服务费底表!$K:$K,服务费明细!$B121,服务费底表!$H:$H,服务费明细!BM$3)</f>
        <v>0</v>
      </c>
      <c r="BN121" s="388">
        <f>SUMIFS(服务费底表!$AC:$AC,服务费底表!$K:$K,服务费明细!$B121,服务费底表!$H:$H,服务费明细!BN$3)</f>
        <v>0</v>
      </c>
      <c r="BO121" s="388">
        <f>SUMIFS(服务费底表!$AC:$AC,服务费底表!$K:$K,服务费明细!$B121,服务费底表!$H:$H,服务费明细!BO$3)</f>
        <v>0</v>
      </c>
      <c r="BQ121" s="389">
        <f>SUMIFS(服务费底表!$AD:$AD,服务费底表!$K:$K,服务费明细!$B121,服务费底表!$H:$H,服务费明细!BQ$3)</f>
        <v>0</v>
      </c>
      <c r="BR121" s="389">
        <f>SUMIFS(服务费底表!$AD:$AD,服务费底表!$K:$K,服务费明细!$B121,服务费底表!$H:$H,服务费明细!BR$3)</f>
        <v>0</v>
      </c>
      <c r="BS121" s="389">
        <f>SUMIFS(服务费底表!$AD:$AD,服务费底表!$K:$K,服务费明细!$B121,服务费底表!$H:$H,服务费明细!BS$3)</f>
        <v>0</v>
      </c>
      <c r="BT121" s="389">
        <f>SUMIFS(服务费底表!$AD:$AD,服务费底表!$K:$K,服务费明细!$B121,服务费底表!$H:$H,服务费明细!BT$3)</f>
        <v>0</v>
      </c>
      <c r="BU121" s="389">
        <f>SUMIFS(服务费底表!$AD:$AD,服务费底表!$K:$K,服务费明细!$B121,服务费底表!$H:$H,服务费明细!BU$3)</f>
        <v>0</v>
      </c>
      <c r="BV121" s="389">
        <f>SUMIFS(服务费底表!$AD:$AD,服务费底表!$K:$K,服务费明细!$B121,服务费底表!$H:$H,服务费明细!BV$3)</f>
        <v>0</v>
      </c>
      <c r="BW121" s="389">
        <f>SUMIFS(服务费底表!$AD:$AD,服务费底表!$K:$K,服务费明细!$B121,服务费底表!$H:$H,服务费明细!BW$3)</f>
        <v>0</v>
      </c>
    </row>
    <row r="122" spans="2:75">
      <c r="B122" s="89" t="s">
        <v>285</v>
      </c>
      <c r="C122" s="89" t="str">
        <f>INDEX(二三级标准!$C:$C,MATCH(服务费明细!$B122,二三级标准!$B:$B,0))</f>
        <v>系统自动质疑管理</v>
      </c>
      <c r="D122" s="166">
        <f t="shared" ref="D122:D125" si="260">IF($D$113=1,1,0)</f>
        <v>1</v>
      </c>
      <c r="E122" s="166">
        <f>IF($D122=1,系统质疑数*入组试验参与者数,0)</f>
        <v>900</v>
      </c>
      <c r="F122" s="89" t="str">
        <f>INDEX(二三级标准!$G:$G,MATCH(服务费明细!$B122,二三级标准!$B:$B,0))</f>
        <v>条</v>
      </c>
      <c r="G122" s="166">
        <f t="shared" si="229"/>
        <v>0</v>
      </c>
      <c r="H122" s="166">
        <f t="shared" si="230"/>
        <v>0</v>
      </c>
      <c r="I122" s="166">
        <f t="shared" si="231"/>
        <v>0</v>
      </c>
      <c r="J122" s="166">
        <f t="shared" si="232"/>
        <v>0</v>
      </c>
      <c r="K122" s="166">
        <f t="shared" si="233"/>
        <v>0</v>
      </c>
      <c r="L122" s="166">
        <f t="shared" si="234"/>
        <v>0</v>
      </c>
      <c r="M122" s="166">
        <f t="shared" si="235"/>
        <v>0</v>
      </c>
      <c r="N122" s="166">
        <f t="shared" si="236"/>
        <v>0</v>
      </c>
      <c r="O122" s="166">
        <f t="shared" si="237"/>
        <v>0</v>
      </c>
      <c r="P122" s="166">
        <f t="shared" si="238"/>
        <v>0</v>
      </c>
      <c r="Q122" s="166">
        <f t="shared" si="239"/>
        <v>0</v>
      </c>
      <c r="R122" s="166">
        <f t="shared" si="240"/>
        <v>45</v>
      </c>
      <c r="S122" s="166">
        <f t="shared" si="241"/>
        <v>0</v>
      </c>
      <c r="T122" s="166">
        <f t="shared" si="242"/>
        <v>0</v>
      </c>
      <c r="U122" s="166">
        <f t="shared" si="243"/>
        <v>0</v>
      </c>
      <c r="V122" s="166">
        <f t="shared" si="244"/>
        <v>0</v>
      </c>
      <c r="W122" s="166">
        <f t="shared" si="245"/>
        <v>0</v>
      </c>
      <c r="X122" s="166">
        <f t="shared" si="246"/>
        <v>0</v>
      </c>
      <c r="Y122" s="166">
        <f t="shared" si="247"/>
        <v>0</v>
      </c>
      <c r="Z122" s="166">
        <f t="shared" si="248"/>
        <v>0</v>
      </c>
      <c r="AA122" s="166">
        <f t="shared" si="249"/>
        <v>0</v>
      </c>
      <c r="AB122" s="166">
        <f t="shared" si="250"/>
        <v>0</v>
      </c>
      <c r="AC122" s="166" cm="1">
        <f t="array" ref="AC122">SUMPRODUCT(G122:AB122,$G$4:$AB$4)</f>
        <v>9000</v>
      </c>
      <c r="AD122" s="89" t="b">
        <f t="shared" si="257"/>
        <v>1</v>
      </c>
      <c r="AE122" s="386">
        <f>IFERROR(SUMIF(服务费底表!$K:$K,服务费明细!$B122,服务费底表!$AD:$AD)/E122,0)</f>
        <v>10</v>
      </c>
      <c r="AF122" s="386">
        <f t="shared" si="258"/>
        <v>9000</v>
      </c>
      <c r="AG122" s="386">
        <f>IFERROR(SUMIF(服务费底表!$K:$K,服务费明细!$B122,服务费底表!$AG:$AG)/E122,0)</f>
        <v>10</v>
      </c>
      <c r="AH122" s="386">
        <f t="shared" si="259"/>
        <v>9000</v>
      </c>
      <c r="AI122" s="584" t="s">
        <v>1052</v>
      </c>
      <c r="AJ122" s="563">
        <f t="shared" si="254"/>
        <v>0.05</v>
      </c>
      <c r="AK122" s="564">
        <f>SUMIF(服务费底表!$K:$K,服务费明细!$B122,服务费底表!$AC:$AC)</f>
        <v>45</v>
      </c>
      <c r="AL122" s="166">
        <f>SUMIFS(服务费底表!$AC:$AC,服务费底表!$K:$K,服务费明细!$B122,服务费底表!$T:$T,AL$3)</f>
        <v>0</v>
      </c>
      <c r="AM122" s="166">
        <f>SUMIFS(服务费底表!$AC:$AC,服务费底表!$K:$K,服务费明细!$B122,服务费底表!$T:$T,AM$3)</f>
        <v>0</v>
      </c>
      <c r="AN122" s="166">
        <f>SUMIFS(服务费底表!$AC:$AC,服务费底表!$K:$K,服务费明细!$B122,服务费底表!$T:$T,AN$3)</f>
        <v>0</v>
      </c>
      <c r="AO122" s="166">
        <f>SUMIFS(服务费底表!$AC:$AC,服务费底表!$K:$K,服务费明细!$B122,服务费底表!$T:$T,AO$3)</f>
        <v>0</v>
      </c>
      <c r="AP122" s="166">
        <f>SUMIFS(服务费底表!$AC:$AC,服务费底表!$K:$K,服务费明细!$B122,服务费底表!$T:$T,AP$3)</f>
        <v>0</v>
      </c>
      <c r="AQ122" s="166">
        <f>SUMIFS(服务费底表!$AC:$AC,服务费底表!$K:$K,服务费明细!$B122,服务费底表!$T:$T,AQ$3)</f>
        <v>0</v>
      </c>
      <c r="AR122" s="166">
        <f>SUMIFS(服务费底表!$AC:$AC,服务费底表!$K:$K,服务费明细!$B122,服务费底表!$T:$T,AR$3)</f>
        <v>0</v>
      </c>
      <c r="AS122" s="166">
        <f>SUMIFS(服务费底表!$AC:$AC,服务费底表!$K:$K,服务费明细!$B122,服务费底表!$T:$T,AS$3)</f>
        <v>0</v>
      </c>
      <c r="AT122" s="166">
        <f>SUMIFS(服务费底表!$AC:$AC,服务费底表!$K:$K,服务费明细!$B122,服务费底表!$T:$T,AT$3)</f>
        <v>0</v>
      </c>
      <c r="AU122" s="166">
        <f>SUMIFS(服务费底表!$AC:$AC,服务费底表!$K:$K,服务费明细!$B122,服务费底表!$T:$T,AU$3)</f>
        <v>0</v>
      </c>
      <c r="AV122" s="166">
        <f>SUMIFS(服务费底表!$AC:$AC,服务费底表!$K:$K,服务费明细!$B122,服务费底表!$T:$T,AV$3)</f>
        <v>0</v>
      </c>
      <c r="AW122" s="166">
        <f>SUMIFS(服务费底表!$AC:$AC,服务费底表!$K:$K,服务费明细!$B122,服务费底表!$T:$T,AW$3)</f>
        <v>45</v>
      </c>
      <c r="AX122" s="166">
        <f>SUMIFS(服务费底表!$AC:$AC,服务费底表!$K:$K,服务费明细!$B122,服务费底表!$T:$T,AX$3)</f>
        <v>0</v>
      </c>
      <c r="AY122" s="166">
        <f>SUMIFS(服务费底表!$AC:$AC,服务费底表!$K:$K,服务费明细!$B122,服务费底表!$T:$T,AY$3)</f>
        <v>0</v>
      </c>
      <c r="AZ122" s="166">
        <f>SUMIFS(服务费底表!$AC:$AC,服务费底表!$K:$K,服务费明细!$B122,服务费底表!$T:$T,AZ$3)</f>
        <v>0</v>
      </c>
      <c r="BA122" s="166">
        <f>SUMIFS(服务费底表!$AC:$AC,服务费底表!$K:$K,服务费明细!$B122,服务费底表!$T:$T,BA$3)</f>
        <v>0</v>
      </c>
      <c r="BB122" s="166">
        <f>SUMIFS(服务费底表!$AC:$AC,服务费底表!$K:$K,服务费明细!$B122,服务费底表!$T:$T,BB$3)</f>
        <v>0</v>
      </c>
      <c r="BC122" s="166">
        <f>SUMIFS(服务费底表!$AC:$AC,服务费底表!$K:$K,服务费明细!$B122,服务费底表!$T:$T,BC$3)</f>
        <v>0</v>
      </c>
      <c r="BD122" s="166">
        <f>SUMIFS(服务费底表!$AC:$AC,服务费底表!$K:$K,服务费明细!$B122,服务费底表!$T:$T,BD$3)</f>
        <v>0</v>
      </c>
      <c r="BE122" s="166">
        <f>SUMIFS(服务费底表!$AC:$AC,服务费底表!$K:$K,服务费明细!$B122,服务费底表!$T:$T,BE$3)</f>
        <v>0</v>
      </c>
      <c r="BF122" s="166">
        <f>SUMIFS(服务费底表!$AC:$AC,服务费底表!$K:$K,服务费明细!$B122,服务费底表!$T:$T,BF$3)</f>
        <v>0</v>
      </c>
      <c r="BG122" s="166">
        <f>SUMIFS(服务费底表!$AC:$AC,服务费底表!$K:$K,服务费明细!$B122,服务费底表!$T:$T,BG$3)</f>
        <v>0</v>
      </c>
      <c r="BI122" s="388">
        <f>SUMIFS(服务费底表!$AC:$AC,服务费底表!$K:$K,服务费明细!$B122,服务费底表!$H:$H,服务费明细!BI$3)</f>
        <v>0</v>
      </c>
      <c r="BJ122" s="388">
        <f>SUMIFS(服务费底表!$AC:$AC,服务费底表!$K:$K,服务费明细!$B122,服务费底表!$H:$H,服务费明细!BJ$3)</f>
        <v>0</v>
      </c>
      <c r="BK122" s="388">
        <f>SUMIFS(服务费底表!$AC:$AC,服务费底表!$K:$K,服务费明细!$B122,服务费底表!$H:$H,服务费明细!BK$3)</f>
        <v>45</v>
      </c>
      <c r="BL122" s="388">
        <f>SUMIFS(服务费底表!$AC:$AC,服务费底表!$K:$K,服务费明细!$B122,服务费底表!$H:$H,服务费明细!BL$3)</f>
        <v>0</v>
      </c>
      <c r="BM122" s="388">
        <f>SUMIFS(服务费底表!$AC:$AC,服务费底表!$K:$K,服务费明细!$B122,服务费底表!$H:$H,服务费明细!BM$3)</f>
        <v>0</v>
      </c>
      <c r="BN122" s="388">
        <f>SUMIFS(服务费底表!$AC:$AC,服务费底表!$K:$K,服务费明细!$B122,服务费底表!$H:$H,服务费明细!BN$3)</f>
        <v>0</v>
      </c>
      <c r="BO122" s="388">
        <f>SUMIFS(服务费底表!$AC:$AC,服务费底表!$K:$K,服务费明细!$B122,服务费底表!$H:$H,服务费明细!BO$3)</f>
        <v>0</v>
      </c>
      <c r="BQ122" s="389">
        <f>SUMIFS(服务费底表!$AD:$AD,服务费底表!$K:$K,服务费明细!$B122,服务费底表!$H:$H,服务费明细!BQ$3)</f>
        <v>0</v>
      </c>
      <c r="BR122" s="389">
        <f>SUMIFS(服务费底表!$AD:$AD,服务费底表!$K:$K,服务费明细!$B122,服务费底表!$H:$H,服务费明细!BR$3)</f>
        <v>0</v>
      </c>
      <c r="BS122" s="389">
        <f>SUMIFS(服务费底表!$AD:$AD,服务费底表!$K:$K,服务费明细!$B122,服务费底表!$H:$H,服务费明细!BS$3)</f>
        <v>9000</v>
      </c>
      <c r="BT122" s="389">
        <f>SUMIFS(服务费底表!$AD:$AD,服务费底表!$K:$K,服务费明细!$B122,服务费底表!$H:$H,服务费明细!BT$3)</f>
        <v>0</v>
      </c>
      <c r="BU122" s="389">
        <f>SUMIFS(服务费底表!$AD:$AD,服务费底表!$K:$K,服务费明细!$B122,服务费底表!$H:$H,服务费明细!BU$3)</f>
        <v>0</v>
      </c>
      <c r="BV122" s="389">
        <f>SUMIFS(服务费底表!$AD:$AD,服务费底表!$K:$K,服务费明细!$B122,服务费底表!$H:$H,服务费明细!BV$3)</f>
        <v>0</v>
      </c>
      <c r="BW122" s="389">
        <f>SUMIFS(服务费底表!$AD:$AD,服务费底表!$K:$K,服务费明细!$B122,服务费底表!$H:$H,服务费明细!BW$3)</f>
        <v>0</v>
      </c>
    </row>
    <row r="123" spans="2:75">
      <c r="B123" s="89" t="s">
        <v>1053</v>
      </c>
      <c r="C123" s="89" t="str">
        <f>INDEX(二三级标准!$C:$C,MATCH(服务费明细!$B123,二三级标准!$B:$B,0))</f>
        <v>人工数据审核</v>
      </c>
      <c r="D123" s="166">
        <f t="shared" si="260"/>
        <v>1</v>
      </c>
      <c r="E123" s="166">
        <f>IF($D123=1,ROUNDUP((入组月+治疗月+随访月+长随访月+锁库月)/人工数据线下列表运行频次,0),0)</f>
        <v>14</v>
      </c>
      <c r="F123" s="89" t="str">
        <f>INDEX(二三级标准!$G:$G,MATCH(服务费明细!$B123,二三级标准!$B:$B,0))</f>
        <v>次</v>
      </c>
      <c r="G123" s="166">
        <f t="shared" si="229"/>
        <v>0</v>
      </c>
      <c r="H123" s="166">
        <f t="shared" si="230"/>
        <v>0</v>
      </c>
      <c r="I123" s="166">
        <f t="shared" si="231"/>
        <v>0</v>
      </c>
      <c r="J123" s="166">
        <f t="shared" si="232"/>
        <v>0</v>
      </c>
      <c r="K123" s="166">
        <f t="shared" si="233"/>
        <v>0</v>
      </c>
      <c r="L123" s="166">
        <f t="shared" si="234"/>
        <v>0</v>
      </c>
      <c r="M123" s="166">
        <f t="shared" si="235"/>
        <v>0</v>
      </c>
      <c r="N123" s="166">
        <f t="shared" si="236"/>
        <v>0</v>
      </c>
      <c r="O123" s="166">
        <f t="shared" si="237"/>
        <v>0</v>
      </c>
      <c r="P123" s="166">
        <f t="shared" si="238"/>
        <v>0</v>
      </c>
      <c r="Q123" s="166">
        <f t="shared" si="239"/>
        <v>0</v>
      </c>
      <c r="R123" s="166">
        <f t="shared" si="240"/>
        <v>84</v>
      </c>
      <c r="S123" s="166">
        <f t="shared" si="241"/>
        <v>0</v>
      </c>
      <c r="T123" s="166">
        <f t="shared" si="242"/>
        <v>7</v>
      </c>
      <c r="U123" s="166">
        <f t="shared" si="243"/>
        <v>0</v>
      </c>
      <c r="V123" s="166">
        <f t="shared" si="244"/>
        <v>0</v>
      </c>
      <c r="W123" s="166">
        <f t="shared" si="245"/>
        <v>0</v>
      </c>
      <c r="X123" s="166">
        <f t="shared" si="246"/>
        <v>0</v>
      </c>
      <c r="Y123" s="166">
        <f t="shared" si="247"/>
        <v>0</v>
      </c>
      <c r="Z123" s="166">
        <f t="shared" si="248"/>
        <v>0</v>
      </c>
      <c r="AA123" s="166">
        <f t="shared" si="249"/>
        <v>0</v>
      </c>
      <c r="AB123" s="166">
        <f t="shared" si="250"/>
        <v>0</v>
      </c>
      <c r="AC123" s="166" cm="1">
        <f t="array" ref="AC123">SUMPRODUCT(G123:AB123,$G$4:$AB$4)</f>
        <v>18375</v>
      </c>
      <c r="AD123" s="89" t="b">
        <f t="shared" si="257"/>
        <v>1</v>
      </c>
      <c r="AE123" s="386">
        <f>IFERROR(SUMIF(服务费底表!$K:$K,服务费明细!$B123,服务费底表!$AD:$AD)/E123,0)</f>
        <v>1312.5</v>
      </c>
      <c r="AF123" s="386">
        <f t="shared" si="258"/>
        <v>18375</v>
      </c>
      <c r="AG123" s="386">
        <f>IFERROR(SUMIF(服务费底表!$K:$K,服务费明细!$B123,服务费底表!$AG:$AG)/E123,0)</f>
        <v>1312.5</v>
      </c>
      <c r="AH123" s="386">
        <f t="shared" si="259"/>
        <v>18375</v>
      </c>
      <c r="AI123" s="584" t="s">
        <v>1054</v>
      </c>
      <c r="AJ123" s="563">
        <f t="shared" si="254"/>
        <v>6.5</v>
      </c>
      <c r="AK123" s="564">
        <f>SUMIF(服务费底表!$K:$K,服务费明细!$B123,服务费底表!$AC:$AC)</f>
        <v>91</v>
      </c>
      <c r="AL123" s="166">
        <f>SUMIFS(服务费底表!$AC:$AC,服务费底表!$K:$K,服务费明细!$B123,服务费底表!$T:$T,AL$3)</f>
        <v>0</v>
      </c>
      <c r="AM123" s="166">
        <f>SUMIFS(服务费底表!$AC:$AC,服务费底表!$K:$K,服务费明细!$B123,服务费底表!$T:$T,AM$3)</f>
        <v>0</v>
      </c>
      <c r="AN123" s="166">
        <f>SUMIFS(服务费底表!$AC:$AC,服务费底表!$K:$K,服务费明细!$B123,服务费底表!$T:$T,AN$3)</f>
        <v>0</v>
      </c>
      <c r="AO123" s="166">
        <f>SUMIFS(服务费底表!$AC:$AC,服务费底表!$K:$K,服务费明细!$B123,服务费底表!$T:$T,AO$3)</f>
        <v>0</v>
      </c>
      <c r="AP123" s="166">
        <f>SUMIFS(服务费底表!$AC:$AC,服务费底表!$K:$K,服务费明细!$B123,服务费底表!$T:$T,AP$3)</f>
        <v>0</v>
      </c>
      <c r="AQ123" s="166">
        <f>SUMIFS(服务费底表!$AC:$AC,服务费底表!$K:$K,服务费明细!$B123,服务费底表!$T:$T,AQ$3)</f>
        <v>0</v>
      </c>
      <c r="AR123" s="166">
        <f>SUMIFS(服务费底表!$AC:$AC,服务费底表!$K:$K,服务费明细!$B123,服务费底表!$T:$T,AR$3)</f>
        <v>0</v>
      </c>
      <c r="AS123" s="166">
        <f>SUMIFS(服务费底表!$AC:$AC,服务费底表!$K:$K,服务费明细!$B123,服务费底表!$T:$T,AS$3)</f>
        <v>0</v>
      </c>
      <c r="AT123" s="166">
        <f>SUMIFS(服务费底表!$AC:$AC,服务费底表!$K:$K,服务费明细!$B123,服务费底表!$T:$T,AT$3)</f>
        <v>0</v>
      </c>
      <c r="AU123" s="166">
        <f>SUMIFS(服务费底表!$AC:$AC,服务费底表!$K:$K,服务费明细!$B123,服务费底表!$T:$T,AU$3)</f>
        <v>0</v>
      </c>
      <c r="AV123" s="166">
        <f>SUMIFS(服务费底表!$AC:$AC,服务费底表!$K:$K,服务费明细!$B123,服务费底表!$T:$T,AV$3)</f>
        <v>0</v>
      </c>
      <c r="AW123" s="166">
        <f>SUMIFS(服务费底表!$AC:$AC,服务费底表!$K:$K,服务费明细!$B123,服务费底表!$T:$T,AW$3)</f>
        <v>84</v>
      </c>
      <c r="AX123" s="166">
        <f>SUMIFS(服务费底表!$AC:$AC,服务费底表!$K:$K,服务费明细!$B123,服务费底表!$T:$T,AX$3)</f>
        <v>0</v>
      </c>
      <c r="AY123" s="166">
        <f>SUMIFS(服务费底表!$AC:$AC,服务费底表!$K:$K,服务费明细!$B123,服务费底表!$T:$T,AY$3)</f>
        <v>7</v>
      </c>
      <c r="AZ123" s="166">
        <f>SUMIFS(服务费底表!$AC:$AC,服务费底表!$K:$K,服务费明细!$B123,服务费底表!$T:$T,AZ$3)</f>
        <v>0</v>
      </c>
      <c r="BA123" s="166">
        <f>SUMIFS(服务费底表!$AC:$AC,服务费底表!$K:$K,服务费明细!$B123,服务费底表!$T:$T,BA$3)</f>
        <v>0</v>
      </c>
      <c r="BB123" s="166">
        <f>SUMIFS(服务费底表!$AC:$AC,服务费底表!$K:$K,服务费明细!$B123,服务费底表!$T:$T,BB$3)</f>
        <v>0</v>
      </c>
      <c r="BC123" s="166">
        <f>SUMIFS(服务费底表!$AC:$AC,服务费底表!$K:$K,服务费明细!$B123,服务费底表!$T:$T,BC$3)</f>
        <v>0</v>
      </c>
      <c r="BD123" s="166">
        <f>SUMIFS(服务费底表!$AC:$AC,服务费底表!$K:$K,服务费明细!$B123,服务费底表!$T:$T,BD$3)</f>
        <v>0</v>
      </c>
      <c r="BE123" s="166">
        <f>SUMIFS(服务费底表!$AC:$AC,服务费底表!$K:$K,服务费明细!$B123,服务费底表!$T:$T,BE$3)</f>
        <v>0</v>
      </c>
      <c r="BF123" s="166">
        <f>SUMIFS(服务费底表!$AC:$AC,服务费底表!$K:$K,服务费明细!$B123,服务费底表!$T:$T,BF$3)</f>
        <v>0</v>
      </c>
      <c r="BG123" s="166">
        <f>SUMIFS(服务费底表!$AC:$AC,服务费底表!$K:$K,服务费明细!$B123,服务费底表!$T:$T,BG$3)</f>
        <v>0</v>
      </c>
      <c r="BI123" s="388">
        <f>SUMIFS(服务费底表!$AC:$AC,服务费底表!$K:$K,服务费明细!$B123,服务费底表!$H:$H,服务费明细!BI$3)</f>
        <v>0</v>
      </c>
      <c r="BJ123" s="388">
        <f>SUMIFS(服务费底表!$AC:$AC,服务费底表!$K:$K,服务费明细!$B123,服务费底表!$H:$H,服务费明细!BJ$3)</f>
        <v>0</v>
      </c>
      <c r="BK123" s="388">
        <f>SUMIFS(服务费底表!$AC:$AC,服务费底表!$K:$K,服务费明细!$B123,服务费底表!$H:$H,服务费明细!BK$3)</f>
        <v>84</v>
      </c>
      <c r="BL123" s="388">
        <f>SUMIFS(服务费底表!$AC:$AC,服务费底表!$K:$K,服务费明细!$B123,服务费底表!$H:$H,服务费明细!BL$3)</f>
        <v>7</v>
      </c>
      <c r="BM123" s="388">
        <f>SUMIFS(服务费底表!$AC:$AC,服务费底表!$K:$K,服务费明细!$B123,服务费底表!$H:$H,服务费明细!BM$3)</f>
        <v>0</v>
      </c>
      <c r="BN123" s="388">
        <f>SUMIFS(服务费底表!$AC:$AC,服务费底表!$K:$K,服务费明细!$B123,服务费底表!$H:$H,服务费明细!BN$3)</f>
        <v>0</v>
      </c>
      <c r="BO123" s="388">
        <f>SUMIFS(服务费底表!$AC:$AC,服务费底表!$K:$K,服务费明细!$B123,服务费底表!$H:$H,服务费明细!BO$3)</f>
        <v>0</v>
      </c>
      <c r="BQ123" s="389">
        <f>SUMIFS(服务费底表!$AD:$AD,服务费底表!$K:$K,服务费明细!$B123,服务费底表!$H:$H,服务费明细!BQ$3)</f>
        <v>0</v>
      </c>
      <c r="BR123" s="389">
        <f>SUMIFS(服务费底表!$AD:$AD,服务费底表!$K:$K,服务费明细!$B123,服务费底表!$H:$H,服务费明细!BR$3)</f>
        <v>0</v>
      </c>
      <c r="BS123" s="389">
        <f>SUMIFS(服务费底表!$AD:$AD,服务费底表!$K:$K,服务费明细!$B123,服务费底表!$H:$H,服务费明细!BS$3)</f>
        <v>16800</v>
      </c>
      <c r="BT123" s="389">
        <f>SUMIFS(服务费底表!$AD:$AD,服务费底表!$K:$K,服务费明细!$B123,服务费底表!$H:$H,服务费明细!BT$3)</f>
        <v>1575</v>
      </c>
      <c r="BU123" s="389">
        <f>SUMIFS(服务费底表!$AD:$AD,服务费底表!$K:$K,服务费明细!$B123,服务费底表!$H:$H,服务费明细!BU$3)</f>
        <v>0</v>
      </c>
      <c r="BV123" s="389">
        <f>SUMIFS(服务费底表!$AD:$AD,服务费底表!$K:$K,服务费明细!$B123,服务费底表!$H:$H,服务费明细!BV$3)</f>
        <v>0</v>
      </c>
      <c r="BW123" s="389">
        <f>SUMIFS(服务费底表!$AD:$AD,服务费底表!$K:$K,服务费明细!$B123,服务费底表!$H:$H,服务费明细!BW$3)</f>
        <v>0</v>
      </c>
    </row>
    <row r="124" spans="2:75">
      <c r="B124" s="89" t="s">
        <v>1055</v>
      </c>
      <c r="C124" s="89" t="str">
        <f>INDEX(二三级标准!$C:$C,MATCH(服务费明细!$B124,二三级标准!$B:$B,0))</f>
        <v>人工质疑管理</v>
      </c>
      <c r="D124" s="166">
        <f t="shared" si="260"/>
        <v>1</v>
      </c>
      <c r="E124" s="166">
        <f>IF($D124=1,人工质疑数*入组试验参与者数,0)</f>
        <v>750</v>
      </c>
      <c r="F124" s="89" t="str">
        <f>INDEX(二三级标准!$G:$G,MATCH(服务费明细!$B124,二三级标准!$B:$B,0))</f>
        <v>条</v>
      </c>
      <c r="G124" s="166">
        <f t="shared" si="229"/>
        <v>0</v>
      </c>
      <c r="H124" s="166">
        <f t="shared" si="230"/>
        <v>0</v>
      </c>
      <c r="I124" s="166">
        <f t="shared" si="231"/>
        <v>0</v>
      </c>
      <c r="J124" s="166">
        <f t="shared" si="232"/>
        <v>0</v>
      </c>
      <c r="K124" s="166">
        <f t="shared" si="233"/>
        <v>0</v>
      </c>
      <c r="L124" s="166">
        <f t="shared" si="234"/>
        <v>0</v>
      </c>
      <c r="M124" s="166">
        <f t="shared" si="235"/>
        <v>0</v>
      </c>
      <c r="N124" s="166">
        <f t="shared" si="236"/>
        <v>0</v>
      </c>
      <c r="O124" s="166">
        <f t="shared" si="237"/>
        <v>0</v>
      </c>
      <c r="P124" s="166">
        <f t="shared" si="238"/>
        <v>0</v>
      </c>
      <c r="Q124" s="166">
        <f t="shared" si="239"/>
        <v>0</v>
      </c>
      <c r="R124" s="166">
        <f t="shared" si="240"/>
        <v>52.5</v>
      </c>
      <c r="S124" s="166">
        <f t="shared" si="241"/>
        <v>0</v>
      </c>
      <c r="T124" s="166">
        <f t="shared" si="242"/>
        <v>0</v>
      </c>
      <c r="U124" s="166">
        <f t="shared" si="243"/>
        <v>0</v>
      </c>
      <c r="V124" s="166">
        <f t="shared" si="244"/>
        <v>0</v>
      </c>
      <c r="W124" s="166">
        <f t="shared" si="245"/>
        <v>0</v>
      </c>
      <c r="X124" s="166">
        <f t="shared" si="246"/>
        <v>0</v>
      </c>
      <c r="Y124" s="166">
        <f t="shared" si="247"/>
        <v>0</v>
      </c>
      <c r="Z124" s="166">
        <f t="shared" si="248"/>
        <v>0</v>
      </c>
      <c r="AA124" s="166">
        <f t="shared" si="249"/>
        <v>0</v>
      </c>
      <c r="AB124" s="166">
        <f t="shared" si="250"/>
        <v>0</v>
      </c>
      <c r="AC124" s="166" cm="1">
        <f t="array" ref="AC124">SUMPRODUCT(G124:AB124,$G$4:$AB$4)</f>
        <v>10500</v>
      </c>
      <c r="AD124" s="89" t="b">
        <f t="shared" si="257"/>
        <v>1</v>
      </c>
      <c r="AE124" s="386">
        <f>IFERROR(SUMIF(服务费底表!$K:$K,服务费明细!$B124,服务费底表!$AD:$AD)/E124,0)</f>
        <v>14</v>
      </c>
      <c r="AF124" s="386">
        <f t="shared" si="258"/>
        <v>10500</v>
      </c>
      <c r="AG124" s="386">
        <f>IFERROR(SUMIF(服务费底表!$K:$K,服务费明细!$B124,服务费底表!$AG:$AG)/E124,0)</f>
        <v>14</v>
      </c>
      <c r="AH124" s="386">
        <f t="shared" si="259"/>
        <v>10500</v>
      </c>
      <c r="AI124" s="584" t="s">
        <v>1056</v>
      </c>
      <c r="AJ124" s="563">
        <f t="shared" ref="AJ124:AJ142" si="261">IF(D124=1,AK124/E124,0)</f>
        <v>0.07</v>
      </c>
      <c r="AK124" s="564">
        <f>SUMIF(服务费底表!$K:$K,服务费明细!$B124,服务费底表!$AC:$AC)</f>
        <v>52.5</v>
      </c>
      <c r="AL124" s="166">
        <f>SUMIFS(服务费底表!$AC:$AC,服务费底表!$K:$K,服务费明细!$B124,服务费底表!$T:$T,AL$3)</f>
        <v>0</v>
      </c>
      <c r="AM124" s="166">
        <f>SUMIFS(服务费底表!$AC:$AC,服务费底表!$K:$K,服务费明细!$B124,服务费底表!$T:$T,AM$3)</f>
        <v>0</v>
      </c>
      <c r="AN124" s="166">
        <f>SUMIFS(服务费底表!$AC:$AC,服务费底表!$K:$K,服务费明细!$B124,服务费底表!$T:$T,AN$3)</f>
        <v>0</v>
      </c>
      <c r="AO124" s="166">
        <f>SUMIFS(服务费底表!$AC:$AC,服务费底表!$K:$K,服务费明细!$B124,服务费底表!$T:$T,AO$3)</f>
        <v>0</v>
      </c>
      <c r="AP124" s="166">
        <f>SUMIFS(服务费底表!$AC:$AC,服务费底表!$K:$K,服务费明细!$B124,服务费底表!$T:$T,AP$3)</f>
        <v>0</v>
      </c>
      <c r="AQ124" s="166">
        <f>SUMIFS(服务费底表!$AC:$AC,服务费底表!$K:$K,服务费明细!$B124,服务费底表!$T:$T,AQ$3)</f>
        <v>0</v>
      </c>
      <c r="AR124" s="166">
        <f>SUMIFS(服务费底表!$AC:$AC,服务费底表!$K:$K,服务费明细!$B124,服务费底表!$T:$T,AR$3)</f>
        <v>0</v>
      </c>
      <c r="AS124" s="166">
        <f>SUMIFS(服务费底表!$AC:$AC,服务费底表!$K:$K,服务费明细!$B124,服务费底表!$T:$T,AS$3)</f>
        <v>0</v>
      </c>
      <c r="AT124" s="166">
        <f>SUMIFS(服务费底表!$AC:$AC,服务费底表!$K:$K,服务费明细!$B124,服务费底表!$T:$T,AT$3)</f>
        <v>0</v>
      </c>
      <c r="AU124" s="166">
        <f>SUMIFS(服务费底表!$AC:$AC,服务费底表!$K:$K,服务费明细!$B124,服务费底表!$T:$T,AU$3)</f>
        <v>0</v>
      </c>
      <c r="AV124" s="166">
        <f>SUMIFS(服务费底表!$AC:$AC,服务费底表!$K:$K,服务费明细!$B124,服务费底表!$T:$T,AV$3)</f>
        <v>0</v>
      </c>
      <c r="AW124" s="166">
        <f>SUMIFS(服务费底表!$AC:$AC,服务费底表!$K:$K,服务费明细!$B124,服务费底表!$T:$T,AW$3)</f>
        <v>52.5</v>
      </c>
      <c r="AX124" s="166">
        <f>SUMIFS(服务费底表!$AC:$AC,服务费底表!$K:$K,服务费明细!$B124,服务费底表!$T:$T,AX$3)</f>
        <v>0</v>
      </c>
      <c r="AY124" s="166">
        <f>SUMIFS(服务费底表!$AC:$AC,服务费底表!$K:$K,服务费明细!$B124,服务费底表!$T:$T,AY$3)</f>
        <v>0</v>
      </c>
      <c r="AZ124" s="166">
        <f>SUMIFS(服务费底表!$AC:$AC,服务费底表!$K:$K,服务费明细!$B124,服务费底表!$T:$T,AZ$3)</f>
        <v>0</v>
      </c>
      <c r="BA124" s="166">
        <f>SUMIFS(服务费底表!$AC:$AC,服务费底表!$K:$K,服务费明细!$B124,服务费底表!$T:$T,BA$3)</f>
        <v>0</v>
      </c>
      <c r="BB124" s="166">
        <f>SUMIFS(服务费底表!$AC:$AC,服务费底表!$K:$K,服务费明细!$B124,服务费底表!$T:$T,BB$3)</f>
        <v>0</v>
      </c>
      <c r="BC124" s="166">
        <f>SUMIFS(服务费底表!$AC:$AC,服务费底表!$K:$K,服务费明细!$B124,服务费底表!$T:$T,BC$3)</f>
        <v>0</v>
      </c>
      <c r="BD124" s="166">
        <f>SUMIFS(服务费底表!$AC:$AC,服务费底表!$K:$K,服务费明细!$B124,服务费底表!$T:$T,BD$3)</f>
        <v>0</v>
      </c>
      <c r="BE124" s="166">
        <f>SUMIFS(服务费底表!$AC:$AC,服务费底表!$K:$K,服务费明细!$B124,服务费底表!$T:$T,BE$3)</f>
        <v>0</v>
      </c>
      <c r="BF124" s="166">
        <f>SUMIFS(服务费底表!$AC:$AC,服务费底表!$K:$K,服务费明细!$B124,服务费底表!$T:$T,BF$3)</f>
        <v>0</v>
      </c>
      <c r="BG124" s="166">
        <f>SUMIFS(服务费底表!$AC:$AC,服务费底表!$K:$K,服务费明细!$B124,服务费底表!$T:$T,BG$3)</f>
        <v>0</v>
      </c>
      <c r="BI124" s="388">
        <f>SUMIFS(服务费底表!$AC:$AC,服务费底表!$K:$K,服务费明细!$B124,服务费底表!$H:$H,服务费明细!BI$3)</f>
        <v>0</v>
      </c>
      <c r="BJ124" s="388">
        <f>SUMIFS(服务费底表!$AC:$AC,服务费底表!$K:$K,服务费明细!$B124,服务费底表!$H:$H,服务费明细!BJ$3)</f>
        <v>0</v>
      </c>
      <c r="BK124" s="388">
        <f>SUMIFS(服务费底表!$AC:$AC,服务费底表!$K:$K,服务费明细!$B124,服务费底表!$H:$H,服务费明细!BK$3)</f>
        <v>52.5</v>
      </c>
      <c r="BL124" s="388">
        <f>SUMIFS(服务费底表!$AC:$AC,服务费底表!$K:$K,服务费明细!$B124,服务费底表!$H:$H,服务费明细!BL$3)</f>
        <v>0</v>
      </c>
      <c r="BM124" s="388">
        <f>SUMIFS(服务费底表!$AC:$AC,服务费底表!$K:$K,服务费明细!$B124,服务费底表!$H:$H,服务费明细!BM$3)</f>
        <v>0</v>
      </c>
      <c r="BN124" s="388">
        <f>SUMIFS(服务费底表!$AC:$AC,服务费底表!$K:$K,服务费明细!$B124,服务费底表!$H:$H,服务费明细!BN$3)</f>
        <v>0</v>
      </c>
      <c r="BO124" s="388">
        <f>SUMIFS(服务费底表!$AC:$AC,服务费底表!$K:$K,服务费明细!$B124,服务费底表!$H:$H,服务费明细!BO$3)</f>
        <v>0</v>
      </c>
      <c r="BQ124" s="389">
        <f>SUMIFS(服务费底表!$AD:$AD,服务费底表!$K:$K,服务费明细!$B124,服务费底表!$H:$H,服务费明细!BQ$3)</f>
        <v>0</v>
      </c>
      <c r="BR124" s="389">
        <f>SUMIFS(服务费底表!$AD:$AD,服务费底表!$K:$K,服务费明细!$B124,服务费底表!$H:$H,服务费明细!BR$3)</f>
        <v>0</v>
      </c>
      <c r="BS124" s="389">
        <f>SUMIFS(服务费底表!$AD:$AD,服务费底表!$K:$K,服务费明细!$B124,服务费底表!$H:$H,服务费明细!BS$3)</f>
        <v>10500</v>
      </c>
      <c r="BT124" s="389">
        <f>SUMIFS(服务费底表!$AD:$AD,服务费底表!$K:$K,服务费明细!$B124,服务费底表!$H:$H,服务费明细!BT$3)</f>
        <v>0</v>
      </c>
      <c r="BU124" s="389">
        <f>SUMIFS(服务费底表!$AD:$AD,服务费底表!$K:$K,服务费明细!$B124,服务费底表!$H:$H,服务费明细!BU$3)</f>
        <v>0</v>
      </c>
      <c r="BV124" s="389">
        <f>SUMIFS(服务费底表!$AD:$AD,服务费底表!$K:$K,服务费明细!$B124,服务费底表!$H:$H,服务费明细!BV$3)</f>
        <v>0</v>
      </c>
      <c r="BW124" s="389">
        <f>SUMIFS(服务费底表!$AD:$AD,服务费底表!$K:$K,服务费明细!$B124,服务费底表!$H:$H,服务费明细!BW$3)</f>
        <v>0</v>
      </c>
    </row>
    <row r="125" spans="2:75">
      <c r="B125" s="89" t="s">
        <v>1057</v>
      </c>
      <c r="C125" s="89" t="str">
        <f>INDEX(二三级标准!$C:$C,MATCH(服务费明细!$B125,二三级标准!$B:$B,0))</f>
        <v>撰写DTA</v>
      </c>
      <c r="D125" s="166">
        <f t="shared" si="260"/>
        <v>1</v>
      </c>
      <c r="E125" s="166">
        <f>IF($D125=1,IFERROR(服务费底表!P347,0),0)</f>
        <v>2</v>
      </c>
      <c r="F125" s="89" t="str">
        <f>INDEX(二三级标准!$G:$G,MATCH(服务费明细!$B125,二三级标准!$B:$B,0))</f>
        <v>份</v>
      </c>
      <c r="G125" s="166">
        <f t="shared" si="229"/>
        <v>0</v>
      </c>
      <c r="H125" s="166">
        <f t="shared" si="230"/>
        <v>0</v>
      </c>
      <c r="I125" s="166">
        <f t="shared" si="231"/>
        <v>0</v>
      </c>
      <c r="J125" s="166">
        <f t="shared" si="232"/>
        <v>0</v>
      </c>
      <c r="K125" s="166">
        <f t="shared" si="233"/>
        <v>0</v>
      </c>
      <c r="L125" s="166">
        <f t="shared" si="234"/>
        <v>0</v>
      </c>
      <c r="M125" s="166">
        <f t="shared" si="235"/>
        <v>0</v>
      </c>
      <c r="N125" s="166">
        <f t="shared" si="236"/>
        <v>0</v>
      </c>
      <c r="O125" s="166">
        <f t="shared" si="237"/>
        <v>0</v>
      </c>
      <c r="P125" s="166">
        <f t="shared" si="238"/>
        <v>0</v>
      </c>
      <c r="Q125" s="166">
        <f t="shared" si="239"/>
        <v>0</v>
      </c>
      <c r="R125" s="166">
        <f t="shared" si="240"/>
        <v>9</v>
      </c>
      <c r="S125" s="166">
        <f t="shared" si="241"/>
        <v>0</v>
      </c>
      <c r="T125" s="166">
        <f t="shared" si="242"/>
        <v>0</v>
      </c>
      <c r="U125" s="166">
        <f t="shared" si="243"/>
        <v>1</v>
      </c>
      <c r="V125" s="166">
        <f t="shared" si="244"/>
        <v>0</v>
      </c>
      <c r="W125" s="166">
        <f t="shared" si="245"/>
        <v>0</v>
      </c>
      <c r="X125" s="166">
        <f t="shared" si="246"/>
        <v>0</v>
      </c>
      <c r="Y125" s="166">
        <f t="shared" si="247"/>
        <v>0</v>
      </c>
      <c r="Z125" s="166">
        <f t="shared" si="248"/>
        <v>0</v>
      </c>
      <c r="AA125" s="166">
        <f t="shared" si="249"/>
        <v>0</v>
      </c>
      <c r="AB125" s="166">
        <f t="shared" si="250"/>
        <v>0</v>
      </c>
      <c r="AC125" s="166" cm="1">
        <f t="array" ref="AC125">SUMPRODUCT(G125:AB125,$G$4:$AB$4)</f>
        <v>2250</v>
      </c>
      <c r="AD125" s="89" t="b">
        <f t="shared" si="257"/>
        <v>1</v>
      </c>
      <c r="AE125" s="386">
        <f>IFERROR(SUMIF(服务费底表!$K:$K,服务费明细!$B125,服务费底表!$AD:$AD)/E125,0)</f>
        <v>1125</v>
      </c>
      <c r="AF125" s="386">
        <f t="shared" si="258"/>
        <v>2250</v>
      </c>
      <c r="AG125" s="386">
        <f>IFERROR(SUMIF(服务费底表!$K:$K,服务费明细!$B125,服务费底表!$AG:$AG)/E125,0)</f>
        <v>1125</v>
      </c>
      <c r="AH125" s="386">
        <f t="shared" si="259"/>
        <v>2250</v>
      </c>
      <c r="AI125" s="409" t="s">
        <v>1058</v>
      </c>
      <c r="AJ125" s="563">
        <f t="shared" si="261"/>
        <v>5</v>
      </c>
      <c r="AK125" s="564">
        <f>SUMIF(服务费底表!$K:$K,服务费明细!$B125,服务费底表!$AC:$AC)</f>
        <v>10</v>
      </c>
      <c r="AL125" s="166">
        <f>SUMIFS(服务费底表!$AC:$AC,服务费底表!$K:$K,服务费明细!$B125,服务费底表!$T:$T,AL$3)</f>
        <v>0</v>
      </c>
      <c r="AM125" s="166">
        <f>SUMIFS(服务费底表!$AC:$AC,服务费底表!$K:$K,服务费明细!$B125,服务费底表!$T:$T,AM$3)</f>
        <v>0</v>
      </c>
      <c r="AN125" s="166">
        <f>SUMIFS(服务费底表!$AC:$AC,服务费底表!$K:$K,服务费明细!$B125,服务费底表!$T:$T,AN$3)</f>
        <v>0</v>
      </c>
      <c r="AO125" s="166">
        <f>SUMIFS(服务费底表!$AC:$AC,服务费底表!$K:$K,服务费明细!$B125,服务费底表!$T:$T,AO$3)</f>
        <v>0</v>
      </c>
      <c r="AP125" s="166">
        <f>SUMIFS(服务费底表!$AC:$AC,服务费底表!$K:$K,服务费明细!$B125,服务费底表!$T:$T,AP$3)</f>
        <v>0</v>
      </c>
      <c r="AQ125" s="166">
        <f>SUMIFS(服务费底表!$AC:$AC,服务费底表!$K:$K,服务费明细!$B125,服务费底表!$T:$T,AQ$3)</f>
        <v>0</v>
      </c>
      <c r="AR125" s="166">
        <f>SUMIFS(服务费底表!$AC:$AC,服务费底表!$K:$K,服务费明细!$B125,服务费底表!$T:$T,AR$3)</f>
        <v>0</v>
      </c>
      <c r="AS125" s="166">
        <f>SUMIFS(服务费底表!$AC:$AC,服务费底表!$K:$K,服务费明细!$B125,服务费底表!$T:$T,AS$3)</f>
        <v>0</v>
      </c>
      <c r="AT125" s="166">
        <f>SUMIFS(服务费底表!$AC:$AC,服务费底表!$K:$K,服务费明细!$B125,服务费底表!$T:$T,AT$3)</f>
        <v>0</v>
      </c>
      <c r="AU125" s="166">
        <f>SUMIFS(服务费底表!$AC:$AC,服务费底表!$K:$K,服务费明细!$B125,服务费底表!$T:$T,AU$3)</f>
        <v>0</v>
      </c>
      <c r="AV125" s="166">
        <f>SUMIFS(服务费底表!$AC:$AC,服务费底表!$K:$K,服务费明细!$B125,服务费底表!$T:$T,AV$3)</f>
        <v>0</v>
      </c>
      <c r="AW125" s="166">
        <f>SUMIFS(服务费底表!$AC:$AC,服务费底表!$K:$K,服务费明细!$B125,服务费底表!$T:$T,AW$3)</f>
        <v>9</v>
      </c>
      <c r="AX125" s="166">
        <f>SUMIFS(服务费底表!$AC:$AC,服务费底表!$K:$K,服务费明细!$B125,服务费底表!$T:$T,AX$3)</f>
        <v>0</v>
      </c>
      <c r="AY125" s="166">
        <f>SUMIFS(服务费底表!$AC:$AC,服务费底表!$K:$K,服务费明细!$B125,服务费底表!$T:$T,AY$3)</f>
        <v>0</v>
      </c>
      <c r="AZ125" s="166">
        <f>SUMIFS(服务费底表!$AC:$AC,服务费底表!$K:$K,服务费明细!$B125,服务费底表!$T:$T,AZ$3)</f>
        <v>1</v>
      </c>
      <c r="BA125" s="166">
        <f>SUMIFS(服务费底表!$AC:$AC,服务费底表!$K:$K,服务费明细!$B125,服务费底表!$T:$T,BA$3)</f>
        <v>0</v>
      </c>
      <c r="BB125" s="166">
        <f>SUMIFS(服务费底表!$AC:$AC,服务费底表!$K:$K,服务费明细!$B125,服务费底表!$T:$T,BB$3)</f>
        <v>0</v>
      </c>
      <c r="BC125" s="166">
        <f>SUMIFS(服务费底表!$AC:$AC,服务费底表!$K:$K,服务费明细!$B125,服务费底表!$T:$T,BC$3)</f>
        <v>0</v>
      </c>
      <c r="BD125" s="166">
        <f>SUMIFS(服务费底表!$AC:$AC,服务费底表!$K:$K,服务费明细!$B125,服务费底表!$T:$T,BD$3)</f>
        <v>0</v>
      </c>
      <c r="BE125" s="166">
        <f>SUMIFS(服务费底表!$AC:$AC,服务费底表!$K:$K,服务费明细!$B125,服务费底表!$T:$T,BE$3)</f>
        <v>0</v>
      </c>
      <c r="BF125" s="166">
        <f>SUMIFS(服务费底表!$AC:$AC,服务费底表!$K:$K,服务费明细!$B125,服务费底表!$T:$T,BF$3)</f>
        <v>0</v>
      </c>
      <c r="BG125" s="166">
        <f>SUMIFS(服务费底表!$AC:$AC,服务费底表!$K:$K,服务费明细!$B125,服务费底表!$T:$T,BG$3)</f>
        <v>0</v>
      </c>
      <c r="BI125" s="388">
        <f>SUMIFS(服务费底表!$AC:$AC,服务费底表!$K:$K,服务费明细!$B125,服务费底表!$H:$H,服务费明细!BI$3)</f>
        <v>0</v>
      </c>
      <c r="BJ125" s="388">
        <f>SUMIFS(服务费底表!$AC:$AC,服务费底表!$K:$K,服务费明细!$B125,服务费底表!$H:$H,服务费明细!BJ$3)</f>
        <v>0</v>
      </c>
      <c r="BK125" s="388">
        <f>SUMIFS(服务费底表!$AC:$AC,服务费底表!$K:$K,服务费明细!$B125,服务费底表!$H:$H,服务费明细!BK$3)</f>
        <v>9</v>
      </c>
      <c r="BL125" s="388">
        <f>SUMIFS(服务费底表!$AC:$AC,服务费底表!$K:$K,服务费明细!$B125,服务费底表!$H:$H,服务费明细!BL$3)</f>
        <v>1</v>
      </c>
      <c r="BM125" s="388">
        <f>SUMIFS(服务费底表!$AC:$AC,服务费底表!$K:$K,服务费明细!$B125,服务费底表!$H:$H,服务费明细!BM$3)</f>
        <v>0</v>
      </c>
      <c r="BN125" s="388">
        <f>SUMIFS(服务费底表!$AC:$AC,服务费底表!$K:$K,服务费明细!$B125,服务费底表!$H:$H,服务费明细!BN$3)</f>
        <v>0</v>
      </c>
      <c r="BO125" s="388">
        <f>SUMIFS(服务费底表!$AC:$AC,服务费底表!$K:$K,服务费明细!$B125,服务费底表!$H:$H,服务费明细!BO$3)</f>
        <v>0</v>
      </c>
      <c r="BQ125" s="389">
        <f>SUMIFS(服务费底表!$AD:$AD,服务费底表!$K:$K,服务费明细!$B125,服务费底表!$H:$H,服务费明细!BQ$3)</f>
        <v>0</v>
      </c>
      <c r="BR125" s="389">
        <f>SUMIFS(服务费底表!$AD:$AD,服务费底表!$K:$K,服务费明细!$B125,服务费底表!$H:$H,服务费明细!BR$3)</f>
        <v>0</v>
      </c>
      <c r="BS125" s="389">
        <f>SUMIFS(服务费底表!$AD:$AD,服务费底表!$K:$K,服务费明细!$B125,服务费底表!$H:$H,服务费明细!BS$3)</f>
        <v>1800</v>
      </c>
      <c r="BT125" s="389">
        <f>SUMIFS(服务费底表!$AD:$AD,服务费底表!$K:$K,服务费明细!$B125,服务费底表!$H:$H,服务费明细!BT$3)</f>
        <v>450</v>
      </c>
      <c r="BU125" s="389">
        <f>SUMIFS(服务费底表!$AD:$AD,服务费底表!$K:$K,服务费明细!$B125,服务费底表!$H:$H,服务费明细!BU$3)</f>
        <v>0</v>
      </c>
      <c r="BV125" s="389">
        <f>SUMIFS(服务费底表!$AD:$AD,服务费底表!$K:$K,服务费明细!$B125,服务费底表!$H:$H,服务费明细!BV$3)</f>
        <v>0</v>
      </c>
      <c r="BW125" s="389">
        <f>SUMIFS(服务费底表!$AD:$AD,服务费底表!$K:$K,服务费明细!$B125,服务费底表!$H:$H,服务费明细!BW$3)</f>
        <v>0</v>
      </c>
    </row>
    <row r="126" ht="39.6" spans="2:75">
      <c r="B126" s="89" t="s">
        <v>289</v>
      </c>
      <c r="C126" s="89" t="str">
        <f>INDEX(二三级标准!$C:$C,MATCH(服务费明细!$B126,二三级标准!$B:$B,0))</f>
        <v>核查外部数据一致性</v>
      </c>
      <c r="D126" s="166">
        <f t="shared" ref="D126:D131" si="262">IF($D$113=1,1,0)</f>
        <v>1</v>
      </c>
      <c r="E126" s="166">
        <f>IF(D126=1,IFERROR(ROUNDUP((入组月+治疗月+随访月+长随访月+锁库月)/外部数据一致性核查频次,0)*外部数据供应商数,0),0)</f>
        <v>10</v>
      </c>
      <c r="F126" s="89" t="str">
        <f>INDEX(二三级标准!$G:$G,MATCH(服务费明细!$B126,二三级标准!$B:$B,0))</f>
        <v>次</v>
      </c>
      <c r="G126" s="166">
        <f t="shared" si="229"/>
        <v>0</v>
      </c>
      <c r="H126" s="166">
        <f t="shared" si="230"/>
        <v>0</v>
      </c>
      <c r="I126" s="166">
        <f t="shared" si="231"/>
        <v>0</v>
      </c>
      <c r="J126" s="166">
        <f t="shared" si="232"/>
        <v>0</v>
      </c>
      <c r="K126" s="166">
        <f t="shared" si="233"/>
        <v>0</v>
      </c>
      <c r="L126" s="166">
        <f t="shared" si="234"/>
        <v>0</v>
      </c>
      <c r="M126" s="166">
        <f t="shared" si="235"/>
        <v>0</v>
      </c>
      <c r="N126" s="166">
        <f t="shared" si="236"/>
        <v>0</v>
      </c>
      <c r="O126" s="166">
        <f t="shared" si="237"/>
        <v>0</v>
      </c>
      <c r="P126" s="166">
        <f t="shared" si="238"/>
        <v>0</v>
      </c>
      <c r="Q126" s="166">
        <f t="shared" si="239"/>
        <v>0</v>
      </c>
      <c r="R126" s="166">
        <f t="shared" si="240"/>
        <v>10</v>
      </c>
      <c r="S126" s="166">
        <f t="shared" si="241"/>
        <v>0</v>
      </c>
      <c r="T126" s="166">
        <f t="shared" si="242"/>
        <v>0</v>
      </c>
      <c r="U126" s="166">
        <f t="shared" si="243"/>
        <v>0</v>
      </c>
      <c r="V126" s="166">
        <f t="shared" si="244"/>
        <v>0</v>
      </c>
      <c r="W126" s="166">
        <f t="shared" si="245"/>
        <v>0</v>
      </c>
      <c r="X126" s="166">
        <f t="shared" si="246"/>
        <v>0</v>
      </c>
      <c r="Y126" s="166">
        <f t="shared" si="247"/>
        <v>0</v>
      </c>
      <c r="Z126" s="166">
        <f t="shared" si="248"/>
        <v>0</v>
      </c>
      <c r="AA126" s="166">
        <f t="shared" si="249"/>
        <v>0</v>
      </c>
      <c r="AB126" s="166">
        <f t="shared" si="250"/>
        <v>0</v>
      </c>
      <c r="AC126" s="166" cm="1">
        <f t="array" ref="AC126">SUMPRODUCT(G126:AB126,$G$4:$AB$4)</f>
        <v>2000</v>
      </c>
      <c r="AD126" s="89" t="b">
        <f t="shared" ref="AD126:AD129" si="263">IF(AF126=AC126,TRUE,FALSE)</f>
        <v>1</v>
      </c>
      <c r="AE126" s="386">
        <f>IFERROR(SUMIF(服务费底表!$K:$K,服务费明细!$B126,服务费底表!$AD:$AD)/E126,0)</f>
        <v>200</v>
      </c>
      <c r="AF126" s="386">
        <f t="shared" ref="AF126:AF129" si="264">E126*AE126</f>
        <v>2000</v>
      </c>
      <c r="AG126" s="386">
        <f>IFERROR(SUMIF(服务费底表!$K:$K,服务费明细!$B126,服务费底表!$AG:$AG)/E126,0)</f>
        <v>200</v>
      </c>
      <c r="AH126" s="386">
        <f t="shared" ref="AH126:AH129" si="265">AG126*E126</f>
        <v>2000</v>
      </c>
      <c r="AI126" s="584" t="s">
        <v>1059</v>
      </c>
      <c r="AJ126" s="563">
        <f t="shared" si="261"/>
        <v>1</v>
      </c>
      <c r="AK126" s="564">
        <f>SUMIF(服务费底表!$K:$K,服务费明细!$B126,服务费底表!$AC:$AC)</f>
        <v>10</v>
      </c>
      <c r="AL126" s="166">
        <f>SUMIFS(服务费底表!$AC:$AC,服务费底表!$K:$K,服务费明细!$B126,服务费底表!$T:$T,AL$3)</f>
        <v>0</v>
      </c>
      <c r="AM126" s="166">
        <f>SUMIFS(服务费底表!$AC:$AC,服务费底表!$K:$K,服务费明细!$B126,服务费底表!$T:$T,AM$3)</f>
        <v>0</v>
      </c>
      <c r="AN126" s="166">
        <f>SUMIFS(服务费底表!$AC:$AC,服务费底表!$K:$K,服务费明细!$B126,服务费底表!$T:$T,AN$3)</f>
        <v>0</v>
      </c>
      <c r="AO126" s="166">
        <f>SUMIFS(服务费底表!$AC:$AC,服务费底表!$K:$K,服务费明细!$B126,服务费底表!$T:$T,AO$3)</f>
        <v>0</v>
      </c>
      <c r="AP126" s="166">
        <f>SUMIFS(服务费底表!$AC:$AC,服务费底表!$K:$K,服务费明细!$B126,服务费底表!$T:$T,AP$3)</f>
        <v>0</v>
      </c>
      <c r="AQ126" s="166">
        <f>SUMIFS(服务费底表!$AC:$AC,服务费底表!$K:$K,服务费明细!$B126,服务费底表!$T:$T,AQ$3)</f>
        <v>0</v>
      </c>
      <c r="AR126" s="166">
        <f>SUMIFS(服务费底表!$AC:$AC,服务费底表!$K:$K,服务费明细!$B126,服务费底表!$T:$T,AR$3)</f>
        <v>0</v>
      </c>
      <c r="AS126" s="166">
        <f>SUMIFS(服务费底表!$AC:$AC,服务费底表!$K:$K,服务费明细!$B126,服务费底表!$T:$T,AS$3)</f>
        <v>0</v>
      </c>
      <c r="AT126" s="166">
        <f>SUMIFS(服务费底表!$AC:$AC,服务费底表!$K:$K,服务费明细!$B126,服务费底表!$T:$T,AT$3)</f>
        <v>0</v>
      </c>
      <c r="AU126" s="166">
        <f>SUMIFS(服务费底表!$AC:$AC,服务费底表!$K:$K,服务费明细!$B126,服务费底表!$T:$T,AU$3)</f>
        <v>0</v>
      </c>
      <c r="AV126" s="166">
        <f>SUMIFS(服务费底表!$AC:$AC,服务费底表!$K:$K,服务费明细!$B126,服务费底表!$T:$T,AV$3)</f>
        <v>0</v>
      </c>
      <c r="AW126" s="166">
        <f>SUMIFS(服务费底表!$AC:$AC,服务费底表!$K:$K,服务费明细!$B126,服务费底表!$T:$T,AW$3)</f>
        <v>10</v>
      </c>
      <c r="AX126" s="166">
        <f>SUMIFS(服务费底表!$AC:$AC,服务费底表!$K:$K,服务费明细!$B126,服务费底表!$T:$T,AX$3)</f>
        <v>0</v>
      </c>
      <c r="AY126" s="166">
        <f>SUMIFS(服务费底表!$AC:$AC,服务费底表!$K:$K,服务费明细!$B126,服务费底表!$T:$T,AY$3)</f>
        <v>0</v>
      </c>
      <c r="AZ126" s="166">
        <f>SUMIFS(服务费底表!$AC:$AC,服务费底表!$K:$K,服务费明细!$B126,服务费底表!$T:$T,AZ$3)</f>
        <v>0</v>
      </c>
      <c r="BA126" s="166">
        <f>SUMIFS(服务费底表!$AC:$AC,服务费底表!$K:$K,服务费明细!$B126,服务费底表!$T:$T,BA$3)</f>
        <v>0</v>
      </c>
      <c r="BB126" s="166">
        <f>SUMIFS(服务费底表!$AC:$AC,服务费底表!$K:$K,服务费明细!$B126,服务费底表!$T:$T,BB$3)</f>
        <v>0</v>
      </c>
      <c r="BC126" s="166">
        <f>SUMIFS(服务费底表!$AC:$AC,服务费底表!$K:$K,服务费明细!$B126,服务费底表!$T:$T,BC$3)</f>
        <v>0</v>
      </c>
      <c r="BD126" s="166">
        <f>SUMIFS(服务费底表!$AC:$AC,服务费底表!$K:$K,服务费明细!$B126,服务费底表!$T:$T,BD$3)</f>
        <v>0</v>
      </c>
      <c r="BE126" s="166">
        <f>SUMIFS(服务费底表!$AC:$AC,服务费底表!$K:$K,服务费明细!$B126,服务费底表!$T:$T,BE$3)</f>
        <v>0</v>
      </c>
      <c r="BF126" s="166">
        <f>SUMIFS(服务费底表!$AC:$AC,服务费底表!$K:$K,服务费明细!$B126,服务费底表!$T:$T,BF$3)</f>
        <v>0</v>
      </c>
      <c r="BG126" s="166">
        <f>SUMIFS(服务费底表!$AC:$AC,服务费底表!$K:$K,服务费明细!$B126,服务费底表!$T:$T,BG$3)</f>
        <v>0</v>
      </c>
      <c r="BI126" s="388">
        <f>SUMIFS(服务费底表!$AC:$AC,服务费底表!$K:$K,服务费明细!$B126,服务费底表!$H:$H,服务费明细!BI$3)</f>
        <v>0</v>
      </c>
      <c r="BJ126" s="388">
        <f>SUMIFS(服务费底表!$AC:$AC,服务费底表!$K:$K,服务费明细!$B126,服务费底表!$H:$H,服务费明细!BJ$3)</f>
        <v>0</v>
      </c>
      <c r="BK126" s="388">
        <f>SUMIFS(服务费底表!$AC:$AC,服务费底表!$K:$K,服务费明细!$B126,服务费底表!$H:$H,服务费明细!BK$3)</f>
        <v>10</v>
      </c>
      <c r="BL126" s="388">
        <f>SUMIFS(服务费底表!$AC:$AC,服务费底表!$K:$K,服务费明细!$B126,服务费底表!$H:$H,服务费明细!BL$3)</f>
        <v>0</v>
      </c>
      <c r="BM126" s="388">
        <f>SUMIFS(服务费底表!$AC:$AC,服务费底表!$K:$K,服务费明细!$B126,服务费底表!$H:$H,服务费明细!BM$3)</f>
        <v>0</v>
      </c>
      <c r="BN126" s="388">
        <f>SUMIFS(服务费底表!$AC:$AC,服务费底表!$K:$K,服务费明细!$B126,服务费底表!$H:$H,服务费明细!BN$3)</f>
        <v>0</v>
      </c>
      <c r="BO126" s="388">
        <f>SUMIFS(服务费底表!$AC:$AC,服务费底表!$K:$K,服务费明细!$B126,服务费底表!$H:$H,服务费明细!BO$3)</f>
        <v>0</v>
      </c>
      <c r="BQ126" s="389">
        <f>SUMIFS(服务费底表!$AD:$AD,服务费底表!$K:$K,服务费明细!$B126,服务费底表!$H:$H,服务费明细!BQ$3)</f>
        <v>0</v>
      </c>
      <c r="BR126" s="389">
        <f>SUMIFS(服务费底表!$AD:$AD,服务费底表!$K:$K,服务费明细!$B126,服务费底表!$H:$H,服务费明细!BR$3)</f>
        <v>0</v>
      </c>
      <c r="BS126" s="389">
        <f>SUMIFS(服务费底表!$AD:$AD,服务费底表!$K:$K,服务费明细!$B126,服务费底表!$H:$H,服务费明细!BS$3)</f>
        <v>2000</v>
      </c>
      <c r="BT126" s="389">
        <f>SUMIFS(服务费底表!$AD:$AD,服务费底表!$K:$K,服务费明细!$B126,服务费底表!$H:$H,服务费明细!BT$3)</f>
        <v>0</v>
      </c>
      <c r="BU126" s="389">
        <f>SUMIFS(服务费底表!$AD:$AD,服务费底表!$K:$K,服务费明细!$B126,服务费底表!$H:$H,服务费明细!BU$3)</f>
        <v>0</v>
      </c>
      <c r="BV126" s="389">
        <f>SUMIFS(服务费底表!$AD:$AD,服务费底表!$K:$K,服务费明细!$B126,服务费底表!$H:$H,服务费明细!BV$3)</f>
        <v>0</v>
      </c>
      <c r="BW126" s="389">
        <f>SUMIFS(服务费底表!$AD:$AD,服务费底表!$K:$K,服务费明细!$B126,服务费底表!$H:$H,服务费明细!BW$3)</f>
        <v>0</v>
      </c>
    </row>
    <row r="127" spans="2:75">
      <c r="B127" s="89" t="s">
        <v>1060</v>
      </c>
      <c r="C127" s="89" t="str">
        <f>INDEX(二三级标准!$C:$C,MATCH(服务费明细!$B127,二三级标准!$B:$B,0))</f>
        <v>医学编码MedDRA</v>
      </c>
      <c r="D127" s="166">
        <f t="shared" si="262"/>
        <v>1</v>
      </c>
      <c r="E127" s="166">
        <f>IF($D127=1,(医学编码MedDRA)*入组试验参与者数,0)</f>
        <v>240</v>
      </c>
      <c r="F127" s="89" t="str">
        <f>INDEX(二三级标准!$G:$G,MATCH(服务费明细!$B127,二三级标准!$B:$B,0))</f>
        <v>条</v>
      </c>
      <c r="G127" s="166">
        <f t="shared" si="229"/>
        <v>0</v>
      </c>
      <c r="H127" s="166">
        <f t="shared" si="230"/>
        <v>0</v>
      </c>
      <c r="I127" s="166">
        <f t="shared" si="231"/>
        <v>0</v>
      </c>
      <c r="J127" s="166">
        <f t="shared" si="232"/>
        <v>0</v>
      </c>
      <c r="K127" s="166">
        <f t="shared" si="233"/>
        <v>0</v>
      </c>
      <c r="L127" s="166">
        <f t="shared" si="234"/>
        <v>0</v>
      </c>
      <c r="M127" s="166">
        <f t="shared" si="235"/>
        <v>0</v>
      </c>
      <c r="N127" s="166">
        <f t="shared" si="236"/>
        <v>0</v>
      </c>
      <c r="O127" s="166">
        <f t="shared" si="237"/>
        <v>0</v>
      </c>
      <c r="P127" s="166">
        <f t="shared" si="238"/>
        <v>0</v>
      </c>
      <c r="Q127" s="166">
        <f t="shared" si="239"/>
        <v>0</v>
      </c>
      <c r="R127" s="166">
        <f t="shared" si="240"/>
        <v>26.4</v>
      </c>
      <c r="S127" s="166">
        <f t="shared" si="241"/>
        <v>0</v>
      </c>
      <c r="T127" s="166">
        <f t="shared" si="242"/>
        <v>0</v>
      </c>
      <c r="U127" s="166">
        <f t="shared" si="243"/>
        <v>0</v>
      </c>
      <c r="V127" s="166">
        <f t="shared" si="244"/>
        <v>0</v>
      </c>
      <c r="W127" s="166">
        <f t="shared" si="245"/>
        <v>0</v>
      </c>
      <c r="X127" s="166">
        <f t="shared" si="246"/>
        <v>0</v>
      </c>
      <c r="Y127" s="166">
        <f t="shared" si="247"/>
        <v>0</v>
      </c>
      <c r="Z127" s="166">
        <f t="shared" si="248"/>
        <v>0</v>
      </c>
      <c r="AA127" s="166">
        <f t="shared" si="249"/>
        <v>0</v>
      </c>
      <c r="AB127" s="166">
        <f t="shared" si="250"/>
        <v>0</v>
      </c>
      <c r="AC127" s="166" cm="1">
        <f t="array" ref="AC127">SUMPRODUCT(G127:AB127,$G$4:$AB$4)</f>
        <v>5280</v>
      </c>
      <c r="AD127" s="89" t="b">
        <f t="shared" si="263"/>
        <v>1</v>
      </c>
      <c r="AE127" s="386">
        <f>IFERROR(SUMIF(服务费底表!$K:$K,服务费明细!$B127,服务费底表!$AD:$AD)/E127,0)</f>
        <v>22</v>
      </c>
      <c r="AF127" s="386">
        <f t="shared" si="264"/>
        <v>5280</v>
      </c>
      <c r="AG127" s="386">
        <f>IFERROR(SUMIF(服务费底表!$K:$K,服务费明细!$B127,服务费底表!$AG:$AG)/E127,0)</f>
        <v>22</v>
      </c>
      <c r="AH127" s="386">
        <f t="shared" si="265"/>
        <v>5280</v>
      </c>
      <c r="AI127" s="577"/>
      <c r="AJ127" s="563">
        <f t="shared" si="261"/>
        <v>0.11</v>
      </c>
      <c r="AK127" s="564">
        <f>SUMIF(服务费底表!$K:$K,服务费明细!$B127,服务费底表!$AC:$AC)</f>
        <v>26.4</v>
      </c>
      <c r="AL127" s="166">
        <f>SUMIFS(服务费底表!$AC:$AC,服务费底表!$K:$K,服务费明细!$B127,服务费底表!$T:$T,AL$3)</f>
        <v>0</v>
      </c>
      <c r="AM127" s="166">
        <f>SUMIFS(服务费底表!$AC:$AC,服务费底表!$K:$K,服务费明细!$B127,服务费底表!$T:$T,AM$3)</f>
        <v>0</v>
      </c>
      <c r="AN127" s="166">
        <f>SUMIFS(服务费底表!$AC:$AC,服务费底表!$K:$K,服务费明细!$B127,服务费底表!$T:$T,AN$3)</f>
        <v>0</v>
      </c>
      <c r="AO127" s="166">
        <f>SUMIFS(服务费底表!$AC:$AC,服务费底表!$K:$K,服务费明细!$B127,服务费底表!$T:$T,AO$3)</f>
        <v>0</v>
      </c>
      <c r="AP127" s="166">
        <f>SUMIFS(服务费底表!$AC:$AC,服务费底表!$K:$K,服务费明细!$B127,服务费底表!$T:$T,AP$3)</f>
        <v>0</v>
      </c>
      <c r="AQ127" s="166">
        <f>SUMIFS(服务费底表!$AC:$AC,服务费底表!$K:$K,服务费明细!$B127,服务费底表!$T:$T,AQ$3)</f>
        <v>0</v>
      </c>
      <c r="AR127" s="166">
        <f>SUMIFS(服务费底表!$AC:$AC,服务费底表!$K:$K,服务费明细!$B127,服务费底表!$T:$T,AR$3)</f>
        <v>0</v>
      </c>
      <c r="AS127" s="166">
        <f>SUMIFS(服务费底表!$AC:$AC,服务费底表!$K:$K,服务费明细!$B127,服务费底表!$T:$T,AS$3)</f>
        <v>0</v>
      </c>
      <c r="AT127" s="166">
        <f>SUMIFS(服务费底表!$AC:$AC,服务费底表!$K:$K,服务费明细!$B127,服务费底表!$T:$T,AT$3)</f>
        <v>0</v>
      </c>
      <c r="AU127" s="166">
        <f>SUMIFS(服务费底表!$AC:$AC,服务费底表!$K:$K,服务费明细!$B127,服务费底表!$T:$T,AU$3)</f>
        <v>0</v>
      </c>
      <c r="AV127" s="166">
        <f>SUMIFS(服务费底表!$AC:$AC,服务费底表!$K:$K,服务费明细!$B127,服务费底表!$T:$T,AV$3)</f>
        <v>0</v>
      </c>
      <c r="AW127" s="166">
        <f>SUMIFS(服务费底表!$AC:$AC,服务费底表!$K:$K,服务费明细!$B127,服务费底表!$T:$T,AW$3)</f>
        <v>26.4</v>
      </c>
      <c r="AX127" s="166">
        <f>SUMIFS(服务费底表!$AC:$AC,服务费底表!$K:$K,服务费明细!$B127,服务费底表!$T:$T,AX$3)</f>
        <v>0</v>
      </c>
      <c r="AY127" s="166">
        <f>SUMIFS(服务费底表!$AC:$AC,服务费底表!$K:$K,服务费明细!$B127,服务费底表!$T:$T,AY$3)</f>
        <v>0</v>
      </c>
      <c r="AZ127" s="166">
        <f>SUMIFS(服务费底表!$AC:$AC,服务费底表!$K:$K,服务费明细!$B127,服务费底表!$T:$T,AZ$3)</f>
        <v>0</v>
      </c>
      <c r="BA127" s="166">
        <f>SUMIFS(服务费底表!$AC:$AC,服务费底表!$K:$K,服务费明细!$B127,服务费底表!$T:$T,BA$3)</f>
        <v>0</v>
      </c>
      <c r="BB127" s="166">
        <f>SUMIFS(服务费底表!$AC:$AC,服务费底表!$K:$K,服务费明细!$B127,服务费底表!$T:$T,BB$3)</f>
        <v>0</v>
      </c>
      <c r="BC127" s="166">
        <f>SUMIFS(服务费底表!$AC:$AC,服务费底表!$K:$K,服务费明细!$B127,服务费底表!$T:$T,BC$3)</f>
        <v>0</v>
      </c>
      <c r="BD127" s="166">
        <f>SUMIFS(服务费底表!$AC:$AC,服务费底表!$K:$K,服务费明细!$B127,服务费底表!$T:$T,BD$3)</f>
        <v>0</v>
      </c>
      <c r="BE127" s="166">
        <f>SUMIFS(服务费底表!$AC:$AC,服务费底表!$K:$K,服务费明细!$B127,服务费底表!$T:$T,BE$3)</f>
        <v>0</v>
      </c>
      <c r="BF127" s="166">
        <f>SUMIFS(服务费底表!$AC:$AC,服务费底表!$K:$K,服务费明细!$B127,服务费底表!$T:$T,BF$3)</f>
        <v>0</v>
      </c>
      <c r="BG127" s="166">
        <f>SUMIFS(服务费底表!$AC:$AC,服务费底表!$K:$K,服务费明细!$B127,服务费底表!$T:$T,BG$3)</f>
        <v>0</v>
      </c>
      <c r="BI127" s="388">
        <f>SUMIFS(服务费底表!$AC:$AC,服务费底表!$K:$K,服务费明细!$B127,服务费底表!$H:$H,服务费明细!BI$3)</f>
        <v>0</v>
      </c>
      <c r="BJ127" s="388">
        <f>SUMIFS(服务费底表!$AC:$AC,服务费底表!$K:$K,服务费明细!$B127,服务费底表!$H:$H,服务费明细!BJ$3)</f>
        <v>0</v>
      </c>
      <c r="BK127" s="388">
        <f>SUMIFS(服务费底表!$AC:$AC,服务费底表!$K:$K,服务费明细!$B127,服务费底表!$H:$H,服务费明细!BK$3)</f>
        <v>26.4</v>
      </c>
      <c r="BL127" s="388">
        <f>SUMIFS(服务费底表!$AC:$AC,服务费底表!$K:$K,服务费明细!$B127,服务费底表!$H:$H,服务费明细!BL$3)</f>
        <v>0</v>
      </c>
      <c r="BM127" s="388">
        <f>SUMIFS(服务费底表!$AC:$AC,服务费底表!$K:$K,服务费明细!$B127,服务费底表!$H:$H,服务费明细!BM$3)</f>
        <v>0</v>
      </c>
      <c r="BN127" s="388">
        <f>SUMIFS(服务费底表!$AC:$AC,服务费底表!$K:$K,服务费明细!$B127,服务费底表!$H:$H,服务费明细!BN$3)</f>
        <v>0</v>
      </c>
      <c r="BO127" s="388">
        <f>SUMIFS(服务费底表!$AC:$AC,服务费底表!$K:$K,服务费明细!$B127,服务费底表!$H:$H,服务费明细!BO$3)</f>
        <v>0</v>
      </c>
      <c r="BQ127" s="389">
        <f>SUMIFS(服务费底表!$AD:$AD,服务费底表!$K:$K,服务费明细!$B127,服务费底表!$H:$H,服务费明细!BQ$3)</f>
        <v>0</v>
      </c>
      <c r="BR127" s="389">
        <f>SUMIFS(服务费底表!$AD:$AD,服务费底表!$K:$K,服务费明细!$B127,服务费底表!$H:$H,服务费明细!BR$3)</f>
        <v>0</v>
      </c>
      <c r="BS127" s="389">
        <f>SUMIFS(服务费底表!$AD:$AD,服务费底表!$K:$K,服务费明细!$B127,服务费底表!$H:$H,服务费明细!BS$3)</f>
        <v>5280</v>
      </c>
      <c r="BT127" s="389">
        <f>SUMIFS(服务费底表!$AD:$AD,服务费底表!$K:$K,服务费明细!$B127,服务费底表!$H:$H,服务费明细!BT$3)</f>
        <v>0</v>
      </c>
      <c r="BU127" s="389">
        <f>SUMIFS(服务费底表!$AD:$AD,服务费底表!$K:$K,服务费明细!$B127,服务费底表!$H:$H,服务费明细!BU$3)</f>
        <v>0</v>
      </c>
      <c r="BV127" s="389">
        <f>SUMIFS(服务费底表!$AD:$AD,服务费底表!$K:$K,服务费明细!$B127,服务费底表!$H:$H,服务费明细!BV$3)</f>
        <v>0</v>
      </c>
      <c r="BW127" s="389">
        <f>SUMIFS(服务费底表!$AD:$AD,服务费底表!$K:$K,服务费明细!$B127,服务费底表!$H:$H,服务费明细!BW$3)</f>
        <v>0</v>
      </c>
    </row>
    <row r="128" spans="2:75">
      <c r="B128" s="89" t="s">
        <v>1061</v>
      </c>
      <c r="C128" s="89" t="str">
        <f>INDEX(二三级标准!$C:$C,MATCH(服务费明细!$B128,二三级标准!$B:$B,0))</f>
        <v>药物编码WHODrug</v>
      </c>
      <c r="D128" s="166">
        <f t="shared" si="262"/>
        <v>1</v>
      </c>
      <c r="E128" s="166">
        <f>IF($D128=1,(医学编码WHODrug)*入组试验参与者数,0)</f>
        <v>300</v>
      </c>
      <c r="F128" s="89" t="str">
        <f>INDEX(二三级标准!$G:$G,MATCH(服务费明细!$B128,二三级标准!$B:$B,0))</f>
        <v>条</v>
      </c>
      <c r="G128" s="166">
        <f t="shared" si="229"/>
        <v>0</v>
      </c>
      <c r="H128" s="166">
        <f t="shared" si="230"/>
        <v>0</v>
      </c>
      <c r="I128" s="166">
        <f t="shared" si="231"/>
        <v>0</v>
      </c>
      <c r="J128" s="166">
        <f t="shared" si="232"/>
        <v>0</v>
      </c>
      <c r="K128" s="166">
        <f t="shared" si="233"/>
        <v>0</v>
      </c>
      <c r="L128" s="166">
        <f t="shared" si="234"/>
        <v>0</v>
      </c>
      <c r="M128" s="166">
        <f t="shared" si="235"/>
        <v>0</v>
      </c>
      <c r="N128" s="166">
        <f t="shared" si="236"/>
        <v>0</v>
      </c>
      <c r="O128" s="166">
        <f t="shared" si="237"/>
        <v>0</v>
      </c>
      <c r="P128" s="166">
        <f t="shared" si="238"/>
        <v>0</v>
      </c>
      <c r="Q128" s="166">
        <f t="shared" si="239"/>
        <v>0</v>
      </c>
      <c r="R128" s="166">
        <f t="shared" si="240"/>
        <v>48</v>
      </c>
      <c r="S128" s="166">
        <f t="shared" si="241"/>
        <v>0</v>
      </c>
      <c r="T128" s="166">
        <f t="shared" si="242"/>
        <v>0</v>
      </c>
      <c r="U128" s="166">
        <f t="shared" si="243"/>
        <v>0</v>
      </c>
      <c r="V128" s="166">
        <f t="shared" si="244"/>
        <v>0</v>
      </c>
      <c r="W128" s="166">
        <f t="shared" si="245"/>
        <v>0</v>
      </c>
      <c r="X128" s="166">
        <f t="shared" si="246"/>
        <v>0</v>
      </c>
      <c r="Y128" s="166">
        <f t="shared" si="247"/>
        <v>0</v>
      </c>
      <c r="Z128" s="166">
        <f t="shared" si="248"/>
        <v>0</v>
      </c>
      <c r="AA128" s="166">
        <f t="shared" si="249"/>
        <v>0</v>
      </c>
      <c r="AB128" s="166">
        <f t="shared" si="250"/>
        <v>0</v>
      </c>
      <c r="AC128" s="166" cm="1">
        <f t="array" ref="AC128">SUMPRODUCT(G128:AB128,$G$4:$AB$4)</f>
        <v>9600</v>
      </c>
      <c r="AD128" s="89" t="b">
        <f t="shared" si="263"/>
        <v>1</v>
      </c>
      <c r="AE128" s="386">
        <f>IFERROR(SUMIF(服务费底表!$K:$K,服务费明细!$B128,服务费底表!$AD:$AD)/E128,0)</f>
        <v>32</v>
      </c>
      <c r="AF128" s="386">
        <f t="shared" si="264"/>
        <v>9600</v>
      </c>
      <c r="AG128" s="386">
        <f>IFERROR(SUMIF(服务费底表!$K:$K,服务费明细!$B128,服务费底表!$AG:$AG)/E128,0)</f>
        <v>32</v>
      </c>
      <c r="AH128" s="386">
        <f t="shared" si="265"/>
        <v>9600</v>
      </c>
      <c r="AI128" s="577"/>
      <c r="AJ128" s="563">
        <f t="shared" si="261"/>
        <v>0.16</v>
      </c>
      <c r="AK128" s="564">
        <f>SUMIF(服务费底表!$K:$K,服务费明细!$B128,服务费底表!$AC:$AC)</f>
        <v>48</v>
      </c>
      <c r="AL128" s="166">
        <f>SUMIFS(服务费底表!$AC:$AC,服务费底表!$K:$K,服务费明细!$B128,服务费底表!$T:$T,AL$3)</f>
        <v>0</v>
      </c>
      <c r="AM128" s="166">
        <f>SUMIFS(服务费底表!$AC:$AC,服务费底表!$K:$K,服务费明细!$B128,服务费底表!$T:$T,AM$3)</f>
        <v>0</v>
      </c>
      <c r="AN128" s="166">
        <f>SUMIFS(服务费底表!$AC:$AC,服务费底表!$K:$K,服务费明细!$B128,服务费底表!$T:$T,AN$3)</f>
        <v>0</v>
      </c>
      <c r="AO128" s="166">
        <f>SUMIFS(服务费底表!$AC:$AC,服务费底表!$K:$K,服务费明细!$B128,服务费底表!$T:$T,AO$3)</f>
        <v>0</v>
      </c>
      <c r="AP128" s="166">
        <f>SUMIFS(服务费底表!$AC:$AC,服务费底表!$K:$K,服务费明细!$B128,服务费底表!$T:$T,AP$3)</f>
        <v>0</v>
      </c>
      <c r="AQ128" s="166">
        <f>SUMIFS(服务费底表!$AC:$AC,服务费底表!$K:$K,服务费明细!$B128,服务费底表!$T:$T,AQ$3)</f>
        <v>0</v>
      </c>
      <c r="AR128" s="166">
        <f>SUMIFS(服务费底表!$AC:$AC,服务费底表!$K:$K,服务费明细!$B128,服务费底表!$T:$T,AR$3)</f>
        <v>0</v>
      </c>
      <c r="AS128" s="166">
        <f>SUMIFS(服务费底表!$AC:$AC,服务费底表!$K:$K,服务费明细!$B128,服务费底表!$T:$T,AS$3)</f>
        <v>0</v>
      </c>
      <c r="AT128" s="166">
        <f>SUMIFS(服务费底表!$AC:$AC,服务费底表!$K:$K,服务费明细!$B128,服务费底表!$T:$T,AT$3)</f>
        <v>0</v>
      </c>
      <c r="AU128" s="166">
        <f>SUMIFS(服务费底表!$AC:$AC,服务费底表!$K:$K,服务费明细!$B128,服务费底表!$T:$T,AU$3)</f>
        <v>0</v>
      </c>
      <c r="AV128" s="166">
        <f>SUMIFS(服务费底表!$AC:$AC,服务费底表!$K:$K,服务费明细!$B128,服务费底表!$T:$T,AV$3)</f>
        <v>0</v>
      </c>
      <c r="AW128" s="166">
        <f>SUMIFS(服务费底表!$AC:$AC,服务费底表!$K:$K,服务费明细!$B128,服务费底表!$T:$T,AW$3)</f>
        <v>48</v>
      </c>
      <c r="AX128" s="166">
        <f>SUMIFS(服务费底表!$AC:$AC,服务费底表!$K:$K,服务费明细!$B128,服务费底表!$T:$T,AX$3)</f>
        <v>0</v>
      </c>
      <c r="AY128" s="166">
        <f>SUMIFS(服务费底表!$AC:$AC,服务费底表!$K:$K,服务费明细!$B128,服务费底表!$T:$T,AY$3)</f>
        <v>0</v>
      </c>
      <c r="AZ128" s="166">
        <f>SUMIFS(服务费底表!$AC:$AC,服务费底表!$K:$K,服务费明细!$B128,服务费底表!$T:$T,AZ$3)</f>
        <v>0</v>
      </c>
      <c r="BA128" s="166">
        <f>SUMIFS(服务费底表!$AC:$AC,服务费底表!$K:$K,服务费明细!$B128,服务费底表!$T:$T,BA$3)</f>
        <v>0</v>
      </c>
      <c r="BB128" s="166">
        <f>SUMIFS(服务费底表!$AC:$AC,服务费底表!$K:$K,服务费明细!$B128,服务费底表!$T:$T,BB$3)</f>
        <v>0</v>
      </c>
      <c r="BC128" s="166">
        <f>SUMIFS(服务费底表!$AC:$AC,服务费底表!$K:$K,服务费明细!$B128,服务费底表!$T:$T,BC$3)</f>
        <v>0</v>
      </c>
      <c r="BD128" s="166">
        <f>SUMIFS(服务费底表!$AC:$AC,服务费底表!$K:$K,服务费明细!$B128,服务费底表!$T:$T,BD$3)</f>
        <v>0</v>
      </c>
      <c r="BE128" s="166">
        <f>SUMIFS(服务费底表!$AC:$AC,服务费底表!$K:$K,服务费明细!$B128,服务费底表!$T:$T,BE$3)</f>
        <v>0</v>
      </c>
      <c r="BF128" s="166">
        <f>SUMIFS(服务费底表!$AC:$AC,服务费底表!$K:$K,服务费明细!$B128,服务费底表!$T:$T,BF$3)</f>
        <v>0</v>
      </c>
      <c r="BG128" s="166">
        <f>SUMIFS(服务费底表!$AC:$AC,服务费底表!$K:$K,服务费明细!$B128,服务费底表!$T:$T,BG$3)</f>
        <v>0</v>
      </c>
      <c r="BI128" s="388">
        <f>SUMIFS(服务费底表!$AC:$AC,服务费底表!$K:$K,服务费明细!$B128,服务费底表!$H:$H,服务费明细!BI$3)</f>
        <v>0</v>
      </c>
      <c r="BJ128" s="388">
        <f>SUMIFS(服务费底表!$AC:$AC,服务费底表!$K:$K,服务费明细!$B128,服务费底表!$H:$H,服务费明细!BJ$3)</f>
        <v>0</v>
      </c>
      <c r="BK128" s="388">
        <f>SUMIFS(服务费底表!$AC:$AC,服务费底表!$K:$K,服务费明细!$B128,服务费底表!$H:$H,服务费明细!BK$3)</f>
        <v>48</v>
      </c>
      <c r="BL128" s="388">
        <f>SUMIFS(服务费底表!$AC:$AC,服务费底表!$K:$K,服务费明细!$B128,服务费底表!$H:$H,服务费明细!BL$3)</f>
        <v>0</v>
      </c>
      <c r="BM128" s="388">
        <f>SUMIFS(服务费底表!$AC:$AC,服务费底表!$K:$K,服务费明细!$B128,服务费底表!$H:$H,服务费明细!BM$3)</f>
        <v>0</v>
      </c>
      <c r="BN128" s="388">
        <f>SUMIFS(服务费底表!$AC:$AC,服务费底表!$K:$K,服务费明细!$B128,服务费底表!$H:$H,服务费明细!BN$3)</f>
        <v>0</v>
      </c>
      <c r="BO128" s="388">
        <f>SUMIFS(服务费底表!$AC:$AC,服务费底表!$K:$K,服务费明细!$B128,服务费底表!$H:$H,服务费明细!BO$3)</f>
        <v>0</v>
      </c>
      <c r="BQ128" s="389">
        <f>SUMIFS(服务费底表!$AD:$AD,服务费底表!$K:$K,服务费明细!$B128,服务费底表!$H:$H,服务费明细!BQ$3)</f>
        <v>0</v>
      </c>
      <c r="BR128" s="389">
        <f>SUMIFS(服务费底表!$AD:$AD,服务费底表!$K:$K,服务费明细!$B128,服务费底表!$H:$H,服务费明细!BR$3)</f>
        <v>0</v>
      </c>
      <c r="BS128" s="389">
        <f>SUMIFS(服务费底表!$AD:$AD,服务费底表!$K:$K,服务费明细!$B128,服务费底表!$H:$H,服务费明细!BS$3)</f>
        <v>9600</v>
      </c>
      <c r="BT128" s="389">
        <f>SUMIFS(服务费底表!$AD:$AD,服务费底表!$K:$K,服务费明细!$B128,服务费底表!$H:$H,服务费明细!BT$3)</f>
        <v>0</v>
      </c>
      <c r="BU128" s="389">
        <f>SUMIFS(服务费底表!$AD:$AD,服务费底表!$K:$K,服务费明细!$B128,服务费底表!$H:$H,服务费明细!BU$3)</f>
        <v>0</v>
      </c>
      <c r="BV128" s="389">
        <f>SUMIFS(服务费底表!$AD:$AD,服务费底表!$K:$K,服务费明细!$B128,服务费底表!$H:$H,服务费明细!BV$3)</f>
        <v>0</v>
      </c>
      <c r="BW128" s="389">
        <f>SUMIFS(服务费底表!$AD:$AD,服务费底表!$K:$K,服务费明细!$B128,服务费底表!$H:$H,服务费明细!BW$3)</f>
        <v>0</v>
      </c>
    </row>
    <row r="129" spans="2:1022 1025:2046 2049:2570">
      <c r="B129" s="89" t="s">
        <v>1062</v>
      </c>
      <c r="C129" s="89" t="str">
        <f>INDEX(二三级标准!$C:$C,MATCH(服务费明细!$B129,二三级标准!$B:$B,0))</f>
        <v>编码报告</v>
      </c>
      <c r="D129" s="166">
        <f t="shared" si="262"/>
        <v>1</v>
      </c>
      <c r="E129" s="166">
        <f>IF($D129=1,ROUNDUP((入组月+治疗月+随访月+长随访月+锁库月)/医学编码报告频次,0),0)</f>
        <v>5</v>
      </c>
      <c r="F129" s="89" t="str">
        <f>INDEX(二三级标准!$G:$G,MATCH(服务费明细!$B129,二三级标准!$B:$B,0))</f>
        <v>份</v>
      </c>
      <c r="G129" s="166">
        <f t="shared" si="229"/>
        <v>0</v>
      </c>
      <c r="H129" s="166">
        <f t="shared" si="230"/>
        <v>0</v>
      </c>
      <c r="I129" s="166">
        <f t="shared" si="231"/>
        <v>0</v>
      </c>
      <c r="J129" s="166">
        <f t="shared" si="232"/>
        <v>0</v>
      </c>
      <c r="K129" s="166">
        <f t="shared" si="233"/>
        <v>0</v>
      </c>
      <c r="L129" s="166">
        <f t="shared" si="234"/>
        <v>0</v>
      </c>
      <c r="M129" s="166">
        <f t="shared" si="235"/>
        <v>0</v>
      </c>
      <c r="N129" s="166">
        <f t="shared" si="236"/>
        <v>0</v>
      </c>
      <c r="O129" s="166">
        <f t="shared" si="237"/>
        <v>0</v>
      </c>
      <c r="P129" s="166">
        <f t="shared" si="238"/>
        <v>0</v>
      </c>
      <c r="Q129" s="166">
        <f t="shared" si="239"/>
        <v>0</v>
      </c>
      <c r="R129" s="166">
        <f t="shared" si="240"/>
        <v>5</v>
      </c>
      <c r="S129" s="166">
        <f t="shared" si="241"/>
        <v>0</v>
      </c>
      <c r="T129" s="166">
        <f t="shared" si="242"/>
        <v>0</v>
      </c>
      <c r="U129" s="166">
        <f t="shared" si="243"/>
        <v>0</v>
      </c>
      <c r="V129" s="166">
        <f t="shared" si="244"/>
        <v>0</v>
      </c>
      <c r="W129" s="166">
        <f t="shared" si="245"/>
        <v>0</v>
      </c>
      <c r="X129" s="166">
        <f t="shared" si="246"/>
        <v>0</v>
      </c>
      <c r="Y129" s="166">
        <f t="shared" si="247"/>
        <v>0</v>
      </c>
      <c r="Z129" s="166">
        <f t="shared" si="248"/>
        <v>0</v>
      </c>
      <c r="AA129" s="166">
        <f t="shared" si="249"/>
        <v>0</v>
      </c>
      <c r="AB129" s="166">
        <f t="shared" si="250"/>
        <v>0</v>
      </c>
      <c r="AC129" s="166" cm="1">
        <f t="array" ref="AC129">SUMPRODUCT(G129:AB129,$G$4:$AB$4)</f>
        <v>1000</v>
      </c>
      <c r="AD129" s="89" t="b">
        <f t="shared" si="263"/>
        <v>1</v>
      </c>
      <c r="AE129" s="386">
        <f>IFERROR(SUMIF(服务费底表!$K:$K,服务费明细!$B129,服务费底表!$AD:$AD)/E129,0)</f>
        <v>200</v>
      </c>
      <c r="AF129" s="386">
        <f t="shared" si="264"/>
        <v>1000</v>
      </c>
      <c r="AG129" s="386">
        <f>IFERROR(SUMIF(服务费底表!$K:$K,服务费明细!$B129,服务费底表!$AG:$AG)/E129,0)</f>
        <v>200</v>
      </c>
      <c r="AH129" s="386">
        <f t="shared" si="265"/>
        <v>1000</v>
      </c>
      <c r="AI129" s="577"/>
      <c r="AJ129" s="563">
        <f t="shared" si="261"/>
        <v>1</v>
      </c>
      <c r="AK129" s="564">
        <f>SUMIF(服务费底表!$K:$K,服务费明细!$B129,服务费底表!$AC:$AC)</f>
        <v>5</v>
      </c>
      <c r="AL129" s="166">
        <f>SUMIFS(服务费底表!$AC:$AC,服务费底表!$K:$K,服务费明细!$B129,服务费底表!$T:$T,AL$3)</f>
        <v>0</v>
      </c>
      <c r="AM129" s="166">
        <f>SUMIFS(服务费底表!$AC:$AC,服务费底表!$K:$K,服务费明细!$B129,服务费底表!$T:$T,AM$3)</f>
        <v>0</v>
      </c>
      <c r="AN129" s="166">
        <f>SUMIFS(服务费底表!$AC:$AC,服务费底表!$K:$K,服务费明细!$B129,服务费底表!$T:$T,AN$3)</f>
        <v>0</v>
      </c>
      <c r="AO129" s="166">
        <f>SUMIFS(服务费底表!$AC:$AC,服务费底表!$K:$K,服务费明细!$B129,服务费底表!$T:$T,AO$3)</f>
        <v>0</v>
      </c>
      <c r="AP129" s="166">
        <f>SUMIFS(服务费底表!$AC:$AC,服务费底表!$K:$K,服务费明细!$B129,服务费底表!$T:$T,AP$3)</f>
        <v>0</v>
      </c>
      <c r="AQ129" s="166">
        <f>SUMIFS(服务费底表!$AC:$AC,服务费底表!$K:$K,服务费明细!$B129,服务费底表!$T:$T,AQ$3)</f>
        <v>0</v>
      </c>
      <c r="AR129" s="166">
        <f>SUMIFS(服务费底表!$AC:$AC,服务费底表!$K:$K,服务费明细!$B129,服务费底表!$T:$T,AR$3)</f>
        <v>0</v>
      </c>
      <c r="AS129" s="166">
        <f>SUMIFS(服务费底表!$AC:$AC,服务费底表!$K:$K,服务费明细!$B129,服务费底表!$T:$T,AS$3)</f>
        <v>0</v>
      </c>
      <c r="AT129" s="166">
        <f>SUMIFS(服务费底表!$AC:$AC,服务费底表!$K:$K,服务费明细!$B129,服务费底表!$T:$T,AT$3)</f>
        <v>0</v>
      </c>
      <c r="AU129" s="166">
        <f>SUMIFS(服务费底表!$AC:$AC,服务费底表!$K:$K,服务费明细!$B129,服务费底表!$T:$T,AU$3)</f>
        <v>0</v>
      </c>
      <c r="AV129" s="166">
        <f>SUMIFS(服务费底表!$AC:$AC,服务费底表!$K:$K,服务费明细!$B129,服务费底表!$T:$T,AV$3)</f>
        <v>0</v>
      </c>
      <c r="AW129" s="166">
        <f>SUMIFS(服务费底表!$AC:$AC,服务费底表!$K:$K,服务费明细!$B129,服务费底表!$T:$T,AW$3)</f>
        <v>5</v>
      </c>
      <c r="AX129" s="166">
        <f>SUMIFS(服务费底表!$AC:$AC,服务费底表!$K:$K,服务费明细!$B129,服务费底表!$T:$T,AX$3)</f>
        <v>0</v>
      </c>
      <c r="AY129" s="166">
        <f>SUMIFS(服务费底表!$AC:$AC,服务费底表!$K:$K,服务费明细!$B129,服务费底表!$T:$T,AY$3)</f>
        <v>0</v>
      </c>
      <c r="AZ129" s="166">
        <f>SUMIFS(服务费底表!$AC:$AC,服务费底表!$K:$K,服务费明细!$B129,服务费底表!$T:$T,AZ$3)</f>
        <v>0</v>
      </c>
      <c r="BA129" s="166">
        <f>SUMIFS(服务费底表!$AC:$AC,服务费底表!$K:$K,服务费明细!$B129,服务费底表!$T:$T,BA$3)</f>
        <v>0</v>
      </c>
      <c r="BB129" s="166">
        <f>SUMIFS(服务费底表!$AC:$AC,服务费底表!$K:$K,服务费明细!$B129,服务费底表!$T:$T,BB$3)</f>
        <v>0</v>
      </c>
      <c r="BC129" s="166">
        <f>SUMIFS(服务费底表!$AC:$AC,服务费底表!$K:$K,服务费明细!$B129,服务费底表!$T:$T,BC$3)</f>
        <v>0</v>
      </c>
      <c r="BD129" s="166">
        <f>SUMIFS(服务费底表!$AC:$AC,服务费底表!$K:$K,服务费明细!$B129,服务费底表!$T:$T,BD$3)</f>
        <v>0</v>
      </c>
      <c r="BE129" s="166">
        <f>SUMIFS(服务费底表!$AC:$AC,服务费底表!$K:$K,服务费明细!$B129,服务费底表!$T:$T,BE$3)</f>
        <v>0</v>
      </c>
      <c r="BF129" s="166">
        <f>SUMIFS(服务费底表!$AC:$AC,服务费底表!$K:$K,服务费明细!$B129,服务费底表!$T:$T,BF$3)</f>
        <v>0</v>
      </c>
      <c r="BG129" s="166">
        <f>SUMIFS(服务费底表!$AC:$AC,服务费底表!$K:$K,服务费明细!$B129,服务费底表!$T:$T,BG$3)</f>
        <v>0</v>
      </c>
      <c r="BI129" s="388">
        <f>SUMIFS(服务费底表!$AC:$AC,服务费底表!$K:$K,服务费明细!$B129,服务费底表!$H:$H,服务费明细!BI$3)</f>
        <v>0</v>
      </c>
      <c r="BJ129" s="388">
        <f>SUMIFS(服务费底表!$AC:$AC,服务费底表!$K:$K,服务费明细!$B129,服务费底表!$H:$H,服务费明细!BJ$3)</f>
        <v>0</v>
      </c>
      <c r="BK129" s="388">
        <f>SUMIFS(服务费底表!$AC:$AC,服务费底表!$K:$K,服务费明细!$B129,服务费底表!$H:$H,服务费明细!BK$3)</f>
        <v>5</v>
      </c>
      <c r="BL129" s="388">
        <f>SUMIFS(服务费底表!$AC:$AC,服务费底表!$K:$K,服务费明细!$B129,服务费底表!$H:$H,服务费明细!BL$3)</f>
        <v>0</v>
      </c>
      <c r="BM129" s="388">
        <f>SUMIFS(服务费底表!$AC:$AC,服务费底表!$K:$K,服务费明细!$B129,服务费底表!$H:$H,服务费明细!BM$3)</f>
        <v>0</v>
      </c>
      <c r="BN129" s="388">
        <f>SUMIFS(服务费底表!$AC:$AC,服务费底表!$K:$K,服务费明细!$B129,服务费底表!$H:$H,服务费明细!BN$3)</f>
        <v>0</v>
      </c>
      <c r="BO129" s="388">
        <f>SUMIFS(服务费底表!$AC:$AC,服务费底表!$K:$K,服务费明细!$B129,服务费底表!$H:$H,服务费明细!BO$3)</f>
        <v>0</v>
      </c>
      <c r="BQ129" s="389">
        <f>SUMIFS(服务费底表!$AD:$AD,服务费底表!$K:$K,服务费明细!$B129,服务费底表!$H:$H,服务费明细!BQ$3)</f>
        <v>0</v>
      </c>
      <c r="BR129" s="389">
        <f>SUMIFS(服务费底表!$AD:$AD,服务费底表!$K:$K,服务费明细!$B129,服务费底表!$H:$H,服务费明细!BR$3)</f>
        <v>0</v>
      </c>
      <c r="BS129" s="389">
        <f>SUMIFS(服务费底表!$AD:$AD,服务费底表!$K:$K,服务费明细!$B129,服务费底表!$H:$H,服务费明细!BS$3)</f>
        <v>1000</v>
      </c>
      <c r="BT129" s="389">
        <f>SUMIFS(服务费底表!$AD:$AD,服务费底表!$K:$K,服务费明细!$B129,服务费底表!$H:$H,服务费明细!BT$3)</f>
        <v>0</v>
      </c>
      <c r="BU129" s="389">
        <f>SUMIFS(服务费底表!$AD:$AD,服务费底表!$K:$K,服务费明细!$B129,服务费底表!$H:$H,服务费明细!BU$3)</f>
        <v>0</v>
      </c>
      <c r="BV129" s="389">
        <f>SUMIFS(服务费底表!$AD:$AD,服务费底表!$K:$K,服务费明细!$B129,服务费底表!$H:$H,服务费明细!BV$3)</f>
        <v>0</v>
      </c>
      <c r="BW129" s="389">
        <f>SUMIFS(服务费底表!$AD:$AD,服务费底表!$K:$K,服务费明细!$B129,服务费底表!$H:$H,服务费明细!BW$3)</f>
        <v>0</v>
      </c>
    </row>
    <row r="130" ht="26.4" spans="2:1022 1025:2046 2049:2570">
      <c r="B130" s="89" t="s">
        <v>293</v>
      </c>
      <c r="C130" s="89" t="str">
        <f>INDEX(二三级标准!$C:$C,MATCH(服务费明细!$B130,二三级标准!$B:$B,0))</f>
        <v>核查SAE一致性</v>
      </c>
      <c r="D130" s="166">
        <f t="shared" si="262"/>
        <v>1</v>
      </c>
      <c r="E130" s="166">
        <f>IF(D130=1,IFERROR(ROUNDUP((入组月+治疗月+随访月+长随访月+锁库月)/SAE一致性核查频次,0),0),0)</f>
        <v>5</v>
      </c>
      <c r="F130" s="89" t="str">
        <f>INDEX(二三级标准!$G:$G,MATCH(服务费明细!$B130,二三级标准!$B:$B,0))</f>
        <v>次</v>
      </c>
      <c r="G130" s="166">
        <f t="shared" si="229"/>
        <v>0</v>
      </c>
      <c r="H130" s="166">
        <f t="shared" si="230"/>
        <v>0</v>
      </c>
      <c r="I130" s="166">
        <f t="shared" si="231"/>
        <v>0</v>
      </c>
      <c r="J130" s="166">
        <f t="shared" si="232"/>
        <v>0</v>
      </c>
      <c r="K130" s="166">
        <f t="shared" si="233"/>
        <v>0</v>
      </c>
      <c r="L130" s="166">
        <f t="shared" si="234"/>
        <v>0</v>
      </c>
      <c r="M130" s="166">
        <f t="shared" si="235"/>
        <v>0</v>
      </c>
      <c r="N130" s="166">
        <f t="shared" si="236"/>
        <v>0</v>
      </c>
      <c r="O130" s="166">
        <f t="shared" si="237"/>
        <v>5</v>
      </c>
      <c r="P130" s="166">
        <f t="shared" si="238"/>
        <v>0</v>
      </c>
      <c r="Q130" s="166">
        <f t="shared" si="239"/>
        <v>0</v>
      </c>
      <c r="R130" s="166">
        <f t="shared" si="240"/>
        <v>5</v>
      </c>
      <c r="S130" s="166">
        <f t="shared" si="241"/>
        <v>0</v>
      </c>
      <c r="T130" s="166">
        <f t="shared" si="242"/>
        <v>0</v>
      </c>
      <c r="U130" s="166">
        <f t="shared" si="243"/>
        <v>0</v>
      </c>
      <c r="V130" s="166">
        <f t="shared" si="244"/>
        <v>0</v>
      </c>
      <c r="W130" s="166">
        <f t="shared" si="245"/>
        <v>0</v>
      </c>
      <c r="X130" s="166">
        <f t="shared" si="246"/>
        <v>0</v>
      </c>
      <c r="Y130" s="166">
        <f t="shared" si="247"/>
        <v>0</v>
      </c>
      <c r="Z130" s="166">
        <f t="shared" si="248"/>
        <v>0</v>
      </c>
      <c r="AA130" s="166">
        <f t="shared" si="249"/>
        <v>0</v>
      </c>
      <c r="AB130" s="166">
        <f t="shared" si="250"/>
        <v>0</v>
      </c>
      <c r="AC130" s="166" cm="1">
        <f t="array" ref="AC130">SUMPRODUCT(G130:AB130,$G$4:$AB$4)</f>
        <v>3500</v>
      </c>
      <c r="AD130" s="89" t="b">
        <f t="shared" ref="AD130:AD135" si="266">IF(AF130=AC130,TRUE,FALSE)</f>
        <v>1</v>
      </c>
      <c r="AE130" s="386">
        <f>IFERROR(SUMIF(服务费底表!$K:$K,服务费明细!$B130,服务费底表!$AD:$AD)/E130,0)</f>
        <v>700</v>
      </c>
      <c r="AF130" s="386">
        <f t="shared" ref="AF130:AF135" si="267">E130*AE130</f>
        <v>3500</v>
      </c>
      <c r="AG130" s="386">
        <f>IFERROR(SUMIF(服务费底表!$K:$K,服务费明细!$B130,服务费底表!$AG:$AG)/E130,0)</f>
        <v>700</v>
      </c>
      <c r="AH130" s="386">
        <f t="shared" ref="AH130:AH135" si="268">AG130*E130</f>
        <v>3500</v>
      </c>
      <c r="AI130" s="584" t="s">
        <v>1063</v>
      </c>
      <c r="AJ130" s="563">
        <f t="shared" si="261"/>
        <v>2</v>
      </c>
      <c r="AK130" s="564">
        <f>SUMIF(服务费底表!$K:$K,服务费明细!$B130,服务费底表!$AC:$AC)</f>
        <v>10</v>
      </c>
      <c r="AL130" s="166">
        <f>SUMIFS(服务费底表!$AC:$AC,服务费底表!$K:$K,服务费明细!$B130,服务费底表!$T:$T,AL$3)</f>
        <v>0</v>
      </c>
      <c r="AM130" s="166">
        <f>SUMIFS(服务费底表!$AC:$AC,服务费底表!$K:$K,服务费明细!$B130,服务费底表!$T:$T,AM$3)</f>
        <v>0</v>
      </c>
      <c r="AN130" s="166">
        <f>SUMIFS(服务费底表!$AC:$AC,服务费底表!$K:$K,服务费明细!$B130,服务费底表!$T:$T,AN$3)</f>
        <v>0</v>
      </c>
      <c r="AO130" s="166">
        <f>SUMIFS(服务费底表!$AC:$AC,服务费底表!$K:$K,服务费明细!$B130,服务费底表!$T:$T,AO$3)</f>
        <v>0</v>
      </c>
      <c r="AP130" s="166">
        <f>SUMIFS(服务费底表!$AC:$AC,服务费底表!$K:$K,服务费明细!$B130,服务费底表!$T:$T,AP$3)</f>
        <v>0</v>
      </c>
      <c r="AQ130" s="166">
        <f>SUMIFS(服务费底表!$AC:$AC,服务费底表!$K:$K,服务费明细!$B130,服务费底表!$T:$T,AQ$3)</f>
        <v>0</v>
      </c>
      <c r="AR130" s="166">
        <f>SUMIFS(服务费底表!$AC:$AC,服务费底表!$K:$K,服务费明细!$B130,服务费底表!$T:$T,AR$3)</f>
        <v>0</v>
      </c>
      <c r="AS130" s="166">
        <f>SUMIFS(服务费底表!$AC:$AC,服务费底表!$K:$K,服务费明细!$B130,服务费底表!$T:$T,AS$3)</f>
        <v>0</v>
      </c>
      <c r="AT130" s="166">
        <f>SUMIFS(服务费底表!$AC:$AC,服务费底表!$K:$K,服务费明细!$B130,服务费底表!$T:$T,AT$3)</f>
        <v>5</v>
      </c>
      <c r="AU130" s="166">
        <f>SUMIFS(服务费底表!$AC:$AC,服务费底表!$K:$K,服务费明细!$B130,服务费底表!$T:$T,AU$3)</f>
        <v>0</v>
      </c>
      <c r="AV130" s="166">
        <f>SUMIFS(服务费底表!$AC:$AC,服务费底表!$K:$K,服务费明细!$B130,服务费底表!$T:$T,AV$3)</f>
        <v>0</v>
      </c>
      <c r="AW130" s="166">
        <f>SUMIFS(服务费底表!$AC:$AC,服务费底表!$K:$K,服务费明细!$B130,服务费底表!$T:$T,AW$3)</f>
        <v>5</v>
      </c>
      <c r="AX130" s="166">
        <f>SUMIFS(服务费底表!$AC:$AC,服务费底表!$K:$K,服务费明细!$B130,服务费底表!$T:$T,AX$3)</f>
        <v>0</v>
      </c>
      <c r="AY130" s="166">
        <f>SUMIFS(服务费底表!$AC:$AC,服务费底表!$K:$K,服务费明细!$B130,服务费底表!$T:$T,AY$3)</f>
        <v>0</v>
      </c>
      <c r="AZ130" s="166">
        <f>SUMIFS(服务费底表!$AC:$AC,服务费底表!$K:$K,服务费明细!$B130,服务费底表!$T:$T,AZ$3)</f>
        <v>0</v>
      </c>
      <c r="BA130" s="166">
        <f>SUMIFS(服务费底表!$AC:$AC,服务费底表!$K:$K,服务费明细!$B130,服务费底表!$T:$T,BA$3)</f>
        <v>0</v>
      </c>
      <c r="BB130" s="166">
        <f>SUMIFS(服务费底表!$AC:$AC,服务费底表!$K:$K,服务费明细!$B130,服务费底表!$T:$T,BB$3)</f>
        <v>0</v>
      </c>
      <c r="BC130" s="166">
        <f>SUMIFS(服务费底表!$AC:$AC,服务费底表!$K:$K,服务费明细!$B130,服务费底表!$T:$T,BC$3)</f>
        <v>0</v>
      </c>
      <c r="BD130" s="166">
        <f>SUMIFS(服务费底表!$AC:$AC,服务费底表!$K:$K,服务费明细!$B130,服务费底表!$T:$T,BD$3)</f>
        <v>0</v>
      </c>
      <c r="BE130" s="166">
        <f>SUMIFS(服务费底表!$AC:$AC,服务费底表!$K:$K,服务费明细!$B130,服务费底表!$T:$T,BE$3)</f>
        <v>0</v>
      </c>
      <c r="BF130" s="166">
        <f>SUMIFS(服务费底表!$AC:$AC,服务费底表!$K:$K,服务费明细!$B130,服务费底表!$T:$T,BF$3)</f>
        <v>0</v>
      </c>
      <c r="BG130" s="166">
        <f>SUMIFS(服务费底表!$AC:$AC,服务费底表!$K:$K,服务费明细!$B130,服务费底表!$T:$T,BG$3)</f>
        <v>0</v>
      </c>
      <c r="BI130" s="388">
        <f>SUMIFS(服务费底表!$AC:$AC,服务费底表!$K:$K,服务费明细!$B130,服务费底表!$H:$H,服务费明细!BI$3)</f>
        <v>0</v>
      </c>
      <c r="BJ130" s="388">
        <f>SUMIFS(服务费底表!$AC:$AC,服务费底表!$K:$K,服务费明细!$B130,服务费底表!$H:$H,服务费明细!BJ$3)</f>
        <v>0</v>
      </c>
      <c r="BK130" s="388">
        <f>SUMIFS(服务费底表!$AC:$AC,服务费底表!$K:$K,服务费明细!$B130,服务费底表!$H:$H,服务费明细!BK$3)</f>
        <v>5</v>
      </c>
      <c r="BL130" s="388">
        <f>SUMIFS(服务费底表!$AC:$AC,服务费底表!$K:$K,服务费明细!$B130,服务费底表!$H:$H,服务费明细!BL$3)</f>
        <v>0</v>
      </c>
      <c r="BM130" s="388">
        <f>SUMIFS(服务费底表!$AC:$AC,服务费底表!$K:$K,服务费明细!$B130,服务费底表!$H:$H,服务费明细!BM$3)</f>
        <v>5</v>
      </c>
      <c r="BN130" s="388">
        <f>SUMIFS(服务费底表!$AC:$AC,服务费底表!$K:$K,服务费明细!$B130,服务费底表!$H:$H,服务费明细!BN$3)</f>
        <v>0</v>
      </c>
      <c r="BO130" s="388">
        <f>SUMIFS(服务费底表!$AC:$AC,服务费底表!$K:$K,服务费明细!$B130,服务费底表!$H:$H,服务费明细!BO$3)</f>
        <v>0</v>
      </c>
      <c r="BQ130" s="389">
        <f>SUMIFS(服务费底表!$AD:$AD,服务费底表!$K:$K,服务费明细!$B130,服务费底表!$H:$H,服务费明细!BQ$3)</f>
        <v>0</v>
      </c>
      <c r="BR130" s="389">
        <f>SUMIFS(服务费底表!$AD:$AD,服务费底表!$K:$K,服务费明细!$B130,服务费底表!$H:$H,服务费明细!BR$3)</f>
        <v>0</v>
      </c>
      <c r="BS130" s="389">
        <f>SUMIFS(服务费底表!$AD:$AD,服务费底表!$K:$K,服务费明细!$B130,服务费底表!$H:$H,服务费明细!BS$3)</f>
        <v>1000</v>
      </c>
      <c r="BT130" s="389">
        <f>SUMIFS(服务费底表!$AD:$AD,服务费底表!$K:$K,服务费明细!$B130,服务费底表!$H:$H,服务费明细!BT$3)</f>
        <v>0</v>
      </c>
      <c r="BU130" s="389">
        <f>SUMIFS(服务费底表!$AD:$AD,服务费底表!$K:$K,服务费明细!$B130,服务费底表!$H:$H,服务费明细!BU$3)</f>
        <v>2500</v>
      </c>
      <c r="BV130" s="389">
        <f>SUMIFS(服务费底表!$AD:$AD,服务费底表!$K:$K,服务费明细!$B130,服务费底表!$H:$H,服务费明细!BV$3)</f>
        <v>0</v>
      </c>
      <c r="BW130" s="389">
        <f>SUMIFS(服务费底表!$AD:$AD,服务费底表!$K:$K,服务费明细!$B130,服务费底表!$H:$H,服务费明细!BW$3)</f>
        <v>0</v>
      </c>
    </row>
    <row r="131" spans="2:1022 1025:2046 2049:2570">
      <c r="B131" s="89" t="s">
        <v>295</v>
      </c>
      <c r="C131" s="89" t="str">
        <f>INDEX(二三级标准!$C:$C,MATCH(服务费明细!$B131,二三级标准!$B:$B,0))</f>
        <v>递交常规进度报告</v>
      </c>
      <c r="D131" s="166">
        <f t="shared" si="262"/>
        <v>1</v>
      </c>
      <c r="E131" s="166">
        <f>IF($D131=1,IFERROR(ROUND(SUM(入组月+治疗月+随访月+长随访月+锁库月)/数据状态报告频次,0),0),0)</f>
        <v>14</v>
      </c>
      <c r="F131" s="89" t="str">
        <f>INDEX(二三级标准!$G:$G,MATCH(服务费明细!$B131,二三级标准!$B:$B,0))</f>
        <v>份</v>
      </c>
      <c r="G131" s="166">
        <f t="shared" si="229"/>
        <v>0</v>
      </c>
      <c r="H131" s="166">
        <f t="shared" si="230"/>
        <v>0</v>
      </c>
      <c r="I131" s="166">
        <f t="shared" si="231"/>
        <v>0</v>
      </c>
      <c r="J131" s="166">
        <f t="shared" si="232"/>
        <v>0</v>
      </c>
      <c r="K131" s="166">
        <f t="shared" si="233"/>
        <v>0</v>
      </c>
      <c r="L131" s="166">
        <f t="shared" si="234"/>
        <v>0</v>
      </c>
      <c r="M131" s="166">
        <f t="shared" si="235"/>
        <v>0</v>
      </c>
      <c r="N131" s="166">
        <f t="shared" si="236"/>
        <v>0</v>
      </c>
      <c r="O131" s="166">
        <f t="shared" si="237"/>
        <v>0</v>
      </c>
      <c r="P131" s="166">
        <f t="shared" si="238"/>
        <v>0</v>
      </c>
      <c r="Q131" s="166">
        <f t="shared" si="239"/>
        <v>0</v>
      </c>
      <c r="R131" s="166">
        <f t="shared" si="240"/>
        <v>14</v>
      </c>
      <c r="S131" s="166">
        <f t="shared" si="241"/>
        <v>1.4</v>
      </c>
      <c r="T131" s="166">
        <f t="shared" si="242"/>
        <v>7</v>
      </c>
      <c r="U131" s="166">
        <f t="shared" si="243"/>
        <v>0</v>
      </c>
      <c r="V131" s="166">
        <f t="shared" si="244"/>
        <v>0</v>
      </c>
      <c r="W131" s="166">
        <f t="shared" si="245"/>
        <v>0</v>
      </c>
      <c r="X131" s="166">
        <f t="shared" si="246"/>
        <v>0</v>
      </c>
      <c r="Y131" s="166">
        <f t="shared" si="247"/>
        <v>0</v>
      </c>
      <c r="Z131" s="166">
        <f t="shared" si="248"/>
        <v>0</v>
      </c>
      <c r="AA131" s="166">
        <f t="shared" si="249"/>
        <v>0</v>
      </c>
      <c r="AB131" s="166">
        <f t="shared" si="250"/>
        <v>0</v>
      </c>
      <c r="AC131" s="166" cm="1">
        <f t="array" ref="AC131">SUMPRODUCT(G131:AB131,$G$4:$AB$4)</f>
        <v>4879</v>
      </c>
      <c r="AD131" s="89" t="b">
        <f t="shared" si="266"/>
        <v>1</v>
      </c>
      <c r="AE131" s="386">
        <f>IFERROR(SUMIF(服务费底表!$K:$K,服务费明细!$B131,服务费底表!$AD:$AD)/E131,0)</f>
        <v>348.5</v>
      </c>
      <c r="AF131" s="386">
        <f t="shared" si="267"/>
        <v>4879</v>
      </c>
      <c r="AG131" s="386">
        <f>IFERROR(SUMIF(服务费底表!$K:$K,服务费明细!$B131,服务费底表!$AG:$AG)/E131,0)</f>
        <v>348.5</v>
      </c>
      <c r="AH131" s="386">
        <f t="shared" si="268"/>
        <v>4879</v>
      </c>
      <c r="AI131" s="577"/>
      <c r="AJ131" s="563">
        <f t="shared" si="261"/>
        <v>1.6</v>
      </c>
      <c r="AK131" s="564">
        <f>SUMIF(服务费底表!$K:$K,服务费明细!$B131,服务费底表!$AC:$AC)</f>
        <v>22.4</v>
      </c>
      <c r="AL131" s="166">
        <f>SUMIFS(服务费底表!$AC:$AC,服务费底表!$K:$K,服务费明细!$B131,服务费底表!$T:$T,AL$3)</f>
        <v>0</v>
      </c>
      <c r="AM131" s="166">
        <f>SUMIFS(服务费底表!$AC:$AC,服务费底表!$K:$K,服务费明细!$B131,服务费底表!$T:$T,AM$3)</f>
        <v>0</v>
      </c>
      <c r="AN131" s="166">
        <f>SUMIFS(服务费底表!$AC:$AC,服务费底表!$K:$K,服务费明细!$B131,服务费底表!$T:$T,AN$3)</f>
        <v>0</v>
      </c>
      <c r="AO131" s="166">
        <f>SUMIFS(服务费底表!$AC:$AC,服务费底表!$K:$K,服务费明细!$B131,服务费底表!$T:$T,AO$3)</f>
        <v>0</v>
      </c>
      <c r="AP131" s="166">
        <f>SUMIFS(服务费底表!$AC:$AC,服务费底表!$K:$K,服务费明细!$B131,服务费底表!$T:$T,AP$3)</f>
        <v>0</v>
      </c>
      <c r="AQ131" s="166">
        <f>SUMIFS(服务费底表!$AC:$AC,服务费底表!$K:$K,服务费明细!$B131,服务费底表!$T:$T,AQ$3)</f>
        <v>0</v>
      </c>
      <c r="AR131" s="166">
        <f>SUMIFS(服务费底表!$AC:$AC,服务费底表!$K:$K,服务费明细!$B131,服务费底表!$T:$T,AR$3)</f>
        <v>0</v>
      </c>
      <c r="AS131" s="166">
        <f>SUMIFS(服务费底表!$AC:$AC,服务费底表!$K:$K,服务费明细!$B131,服务费底表!$T:$T,AS$3)</f>
        <v>0</v>
      </c>
      <c r="AT131" s="166">
        <f>SUMIFS(服务费底表!$AC:$AC,服务费底表!$K:$K,服务费明细!$B131,服务费底表!$T:$T,AT$3)</f>
        <v>0</v>
      </c>
      <c r="AU131" s="166">
        <f>SUMIFS(服务费底表!$AC:$AC,服务费底表!$K:$K,服务费明细!$B131,服务费底表!$T:$T,AU$3)</f>
        <v>0</v>
      </c>
      <c r="AV131" s="166">
        <f>SUMIFS(服务费底表!$AC:$AC,服务费底表!$K:$K,服务费明细!$B131,服务费底表!$T:$T,AV$3)</f>
        <v>0</v>
      </c>
      <c r="AW131" s="166">
        <f>SUMIFS(服务费底表!$AC:$AC,服务费底表!$K:$K,服务费明细!$B131,服务费底表!$T:$T,AW$3)</f>
        <v>14</v>
      </c>
      <c r="AX131" s="166">
        <f>SUMIFS(服务费底表!$AC:$AC,服务费底表!$K:$K,服务费明细!$B131,服务费底表!$T:$T,AX$3)</f>
        <v>1.4</v>
      </c>
      <c r="AY131" s="166">
        <f>SUMIFS(服务费底表!$AC:$AC,服务费底表!$K:$K,服务费明细!$B131,服务费底表!$T:$T,AY$3)</f>
        <v>7</v>
      </c>
      <c r="AZ131" s="166">
        <f>SUMIFS(服务费底表!$AC:$AC,服务费底表!$K:$K,服务费明细!$B131,服务费底表!$T:$T,AZ$3)</f>
        <v>0</v>
      </c>
      <c r="BA131" s="166">
        <f>SUMIFS(服务费底表!$AC:$AC,服务费底表!$K:$K,服务费明细!$B131,服务费底表!$T:$T,BA$3)</f>
        <v>0</v>
      </c>
      <c r="BB131" s="166">
        <f>SUMIFS(服务费底表!$AC:$AC,服务费底表!$K:$K,服务费明细!$B131,服务费底表!$T:$T,BB$3)</f>
        <v>0</v>
      </c>
      <c r="BC131" s="166">
        <f>SUMIFS(服务费底表!$AC:$AC,服务费底表!$K:$K,服务费明细!$B131,服务费底表!$T:$T,BC$3)</f>
        <v>0</v>
      </c>
      <c r="BD131" s="166">
        <f>SUMIFS(服务费底表!$AC:$AC,服务费底表!$K:$K,服务费明细!$B131,服务费底表!$T:$T,BD$3)</f>
        <v>0</v>
      </c>
      <c r="BE131" s="166">
        <f>SUMIFS(服务费底表!$AC:$AC,服务费底表!$K:$K,服务费明细!$B131,服务费底表!$T:$T,BE$3)</f>
        <v>0</v>
      </c>
      <c r="BF131" s="166">
        <f>SUMIFS(服务费底表!$AC:$AC,服务费底表!$K:$K,服务费明细!$B131,服务费底表!$T:$T,BF$3)</f>
        <v>0</v>
      </c>
      <c r="BG131" s="166">
        <f>SUMIFS(服务费底表!$AC:$AC,服务费底表!$K:$K,服务费明细!$B131,服务费底表!$T:$T,BG$3)</f>
        <v>0</v>
      </c>
      <c r="BI131" s="388">
        <f>SUMIFS(服务费底表!$AC:$AC,服务费底表!$K:$K,服务费明细!$B131,服务费底表!$H:$H,服务费明细!BI$3)</f>
        <v>0</v>
      </c>
      <c r="BJ131" s="388">
        <f>SUMIFS(服务费底表!$AC:$AC,服务费底表!$K:$K,服务费明细!$B131,服务费底表!$H:$H,服务费明细!BJ$3)</f>
        <v>0</v>
      </c>
      <c r="BK131" s="388">
        <f>SUMIFS(服务费底表!$AC:$AC,服务费底表!$K:$K,服务费明细!$B131,服务费底表!$H:$H,服务费明细!BK$3)</f>
        <v>15.4</v>
      </c>
      <c r="BL131" s="388">
        <f>SUMIFS(服务费底表!$AC:$AC,服务费底表!$K:$K,服务费明细!$B131,服务费底表!$H:$H,服务费明细!BL$3)</f>
        <v>7</v>
      </c>
      <c r="BM131" s="388">
        <f>SUMIFS(服务费底表!$AC:$AC,服务费底表!$K:$K,服务费明细!$B131,服务费底表!$H:$H,服务费明细!BM$3)</f>
        <v>0</v>
      </c>
      <c r="BN131" s="388">
        <f>SUMIFS(服务费底表!$AC:$AC,服务费底表!$K:$K,服务费明细!$B131,服务费底表!$H:$H,服务费明细!BN$3)</f>
        <v>0</v>
      </c>
      <c r="BO131" s="388">
        <f>SUMIFS(服务费底表!$AC:$AC,服务费底表!$K:$K,服务费明细!$B131,服务费底表!$H:$H,服务费明细!BO$3)</f>
        <v>0</v>
      </c>
      <c r="BQ131" s="389">
        <f>SUMIFS(服务费底表!$AD:$AD,服务费底表!$K:$K,服务费明细!$B131,服务费底表!$H:$H,服务费明细!BQ$3)</f>
        <v>0</v>
      </c>
      <c r="BR131" s="389">
        <f>SUMIFS(服务费底表!$AD:$AD,服务费底表!$K:$K,服务费明细!$B131,服务费底表!$H:$H,服务费明细!BR$3)</f>
        <v>0</v>
      </c>
      <c r="BS131" s="389">
        <f>SUMIFS(服务费底表!$AD:$AD,服务费底表!$K:$K,服务费明细!$B131,服务费底表!$H:$H,服务费明细!BS$3)</f>
        <v>3304</v>
      </c>
      <c r="BT131" s="389">
        <f>SUMIFS(服务费底表!$AD:$AD,服务费底表!$K:$K,服务费明细!$B131,服务费底表!$H:$H,服务费明细!BT$3)</f>
        <v>1575</v>
      </c>
      <c r="BU131" s="389">
        <f>SUMIFS(服务费底表!$AD:$AD,服务费底表!$K:$K,服务费明细!$B131,服务费底表!$H:$H,服务费明细!BU$3)</f>
        <v>0</v>
      </c>
      <c r="BV131" s="389">
        <f>SUMIFS(服务费底表!$AD:$AD,服务费底表!$K:$K,服务费明细!$B131,服务费底表!$H:$H,服务费明细!BV$3)</f>
        <v>0</v>
      </c>
      <c r="BW131" s="389">
        <f>SUMIFS(服务费底表!$AD:$AD,服务费底表!$K:$K,服务费明细!$B131,服务费底表!$H:$H,服务费明细!BW$3)</f>
        <v>0</v>
      </c>
    </row>
    <row r="132" spans="2:1022 1025:2046 2049:2570">
      <c r="B132" s="89" t="s">
        <v>297</v>
      </c>
      <c r="C132" s="89" t="str">
        <f>INDEX(二三级标准!$C:$C,MATCH(服务费明细!$B132,二三级标准!$B:$B,0))</f>
        <v>递交项目定制报告</v>
      </c>
      <c r="D132" s="166">
        <v>0</v>
      </c>
      <c r="E132" s="166">
        <f>IF($D132=1,1,0)</f>
        <v>0</v>
      </c>
      <c r="F132" s="89" t="str">
        <f>INDEX(二三级标准!$G:$G,MATCH(服务费明细!$B132,二三级标准!$B:$B,0))</f>
        <v>个</v>
      </c>
      <c r="G132" s="166">
        <f t="shared" si="229"/>
        <v>0</v>
      </c>
      <c r="H132" s="166">
        <f t="shared" si="230"/>
        <v>0</v>
      </c>
      <c r="I132" s="166">
        <f t="shared" si="231"/>
        <v>0</v>
      </c>
      <c r="J132" s="166">
        <f t="shared" si="232"/>
        <v>0</v>
      </c>
      <c r="K132" s="166">
        <f t="shared" si="233"/>
        <v>0</v>
      </c>
      <c r="L132" s="166">
        <f t="shared" si="234"/>
        <v>0</v>
      </c>
      <c r="M132" s="166">
        <f t="shared" si="235"/>
        <v>0</v>
      </c>
      <c r="N132" s="166">
        <f t="shared" si="236"/>
        <v>0</v>
      </c>
      <c r="O132" s="166">
        <f t="shared" si="237"/>
        <v>0</v>
      </c>
      <c r="P132" s="166">
        <f t="shared" si="238"/>
        <v>0</v>
      </c>
      <c r="Q132" s="166">
        <f t="shared" si="239"/>
        <v>0</v>
      </c>
      <c r="R132" s="166">
        <f t="shared" si="240"/>
        <v>0</v>
      </c>
      <c r="S132" s="166">
        <f t="shared" si="241"/>
        <v>0</v>
      </c>
      <c r="T132" s="166">
        <f t="shared" si="242"/>
        <v>0</v>
      </c>
      <c r="U132" s="166">
        <f t="shared" si="243"/>
        <v>0</v>
      </c>
      <c r="V132" s="166">
        <f t="shared" si="244"/>
        <v>0</v>
      </c>
      <c r="W132" s="166">
        <f t="shared" si="245"/>
        <v>0</v>
      </c>
      <c r="X132" s="166">
        <f t="shared" si="246"/>
        <v>0</v>
      </c>
      <c r="Y132" s="166">
        <f t="shared" si="247"/>
        <v>0</v>
      </c>
      <c r="Z132" s="166">
        <f t="shared" si="248"/>
        <v>0</v>
      </c>
      <c r="AA132" s="166">
        <f t="shared" si="249"/>
        <v>0</v>
      </c>
      <c r="AB132" s="166">
        <f t="shared" si="250"/>
        <v>0</v>
      </c>
      <c r="AC132" s="166" cm="1">
        <f t="array" ref="AC132">SUMPRODUCT(G132:AB132,$G$4:$AB$4)</f>
        <v>0</v>
      </c>
      <c r="AD132" s="89" t="b">
        <f t="shared" si="266"/>
        <v>1</v>
      </c>
      <c r="AE132" s="386">
        <f>IFERROR(SUMIF(服务费底表!$K:$K,服务费明细!$B132,服务费底表!$AD:$AD)/E132,0)</f>
        <v>0</v>
      </c>
      <c r="AF132" s="386">
        <f t="shared" si="267"/>
        <v>0</v>
      </c>
      <c r="AG132" s="386">
        <f>IFERROR(SUMIF(服务费底表!$K:$K,服务费明细!$B132,服务费底表!$AG:$AG)/E132,0)</f>
        <v>0</v>
      </c>
      <c r="AH132" s="386">
        <f t="shared" si="268"/>
        <v>0</v>
      </c>
      <c r="AI132" s="577"/>
      <c r="AJ132" s="563">
        <f t="shared" si="261"/>
        <v>0</v>
      </c>
      <c r="AK132" s="564">
        <f>SUMIF(服务费底表!$K:$K,服务费明细!$B132,服务费底表!$AC:$AC)</f>
        <v>0</v>
      </c>
      <c r="AL132" s="166">
        <f>SUMIFS(服务费底表!$AC:$AC,服务费底表!$K:$K,服务费明细!$B132,服务费底表!$T:$T,AL$3)</f>
        <v>0</v>
      </c>
      <c r="AM132" s="166">
        <f>SUMIFS(服务费底表!$AC:$AC,服务费底表!$K:$K,服务费明细!$B132,服务费底表!$T:$T,AM$3)</f>
        <v>0</v>
      </c>
      <c r="AN132" s="166">
        <f>SUMIFS(服务费底表!$AC:$AC,服务费底表!$K:$K,服务费明细!$B132,服务费底表!$T:$T,AN$3)</f>
        <v>0</v>
      </c>
      <c r="AO132" s="166">
        <f>SUMIFS(服务费底表!$AC:$AC,服务费底表!$K:$K,服务费明细!$B132,服务费底表!$T:$T,AO$3)</f>
        <v>0</v>
      </c>
      <c r="AP132" s="166">
        <f>SUMIFS(服务费底表!$AC:$AC,服务费底表!$K:$K,服务费明细!$B132,服务费底表!$T:$T,AP$3)</f>
        <v>0</v>
      </c>
      <c r="AQ132" s="166">
        <f>SUMIFS(服务费底表!$AC:$AC,服务费底表!$K:$K,服务费明细!$B132,服务费底表!$T:$T,AQ$3)</f>
        <v>0</v>
      </c>
      <c r="AR132" s="166">
        <f>SUMIFS(服务费底表!$AC:$AC,服务费底表!$K:$K,服务费明细!$B132,服务费底表!$T:$T,AR$3)</f>
        <v>0</v>
      </c>
      <c r="AS132" s="166">
        <f>SUMIFS(服务费底表!$AC:$AC,服务费底表!$K:$K,服务费明细!$B132,服务费底表!$T:$T,AS$3)</f>
        <v>0</v>
      </c>
      <c r="AT132" s="166">
        <f>SUMIFS(服务费底表!$AC:$AC,服务费底表!$K:$K,服务费明细!$B132,服务费底表!$T:$T,AT$3)</f>
        <v>0</v>
      </c>
      <c r="AU132" s="166">
        <f>SUMIFS(服务费底表!$AC:$AC,服务费底表!$K:$K,服务费明细!$B132,服务费底表!$T:$T,AU$3)</f>
        <v>0</v>
      </c>
      <c r="AV132" s="166">
        <f>SUMIFS(服务费底表!$AC:$AC,服务费底表!$K:$K,服务费明细!$B132,服务费底表!$T:$T,AV$3)</f>
        <v>0</v>
      </c>
      <c r="AW132" s="166">
        <f>SUMIFS(服务费底表!$AC:$AC,服务费底表!$K:$K,服务费明细!$B132,服务费底表!$T:$T,AW$3)</f>
        <v>0</v>
      </c>
      <c r="AX132" s="166">
        <f>SUMIFS(服务费底表!$AC:$AC,服务费底表!$K:$K,服务费明细!$B132,服务费底表!$T:$T,AX$3)</f>
        <v>0</v>
      </c>
      <c r="AY132" s="166">
        <f>SUMIFS(服务费底表!$AC:$AC,服务费底表!$K:$K,服务费明细!$B132,服务费底表!$T:$T,AY$3)</f>
        <v>0</v>
      </c>
      <c r="AZ132" s="166">
        <f>SUMIFS(服务费底表!$AC:$AC,服务费底表!$K:$K,服务费明细!$B132,服务费底表!$T:$T,AZ$3)</f>
        <v>0</v>
      </c>
      <c r="BA132" s="166">
        <f>SUMIFS(服务费底表!$AC:$AC,服务费底表!$K:$K,服务费明细!$B132,服务费底表!$T:$T,BA$3)</f>
        <v>0</v>
      </c>
      <c r="BB132" s="166">
        <f>SUMIFS(服务费底表!$AC:$AC,服务费底表!$K:$K,服务费明细!$B132,服务费底表!$T:$T,BB$3)</f>
        <v>0</v>
      </c>
      <c r="BC132" s="166">
        <f>SUMIFS(服务费底表!$AC:$AC,服务费底表!$K:$K,服务费明细!$B132,服务费底表!$T:$T,BC$3)</f>
        <v>0</v>
      </c>
      <c r="BD132" s="166">
        <f>SUMIFS(服务费底表!$AC:$AC,服务费底表!$K:$K,服务费明细!$B132,服务费底表!$T:$T,BD$3)</f>
        <v>0</v>
      </c>
      <c r="BE132" s="166">
        <f>SUMIFS(服务费底表!$AC:$AC,服务费底表!$K:$K,服务费明细!$B132,服务费底表!$T:$T,BE$3)</f>
        <v>0</v>
      </c>
      <c r="BF132" s="166">
        <f>SUMIFS(服务费底表!$AC:$AC,服务费底表!$K:$K,服务费明细!$B132,服务费底表!$T:$T,BF$3)</f>
        <v>0</v>
      </c>
      <c r="BG132" s="166">
        <f>SUMIFS(服务费底表!$AC:$AC,服务费底表!$K:$K,服务费明细!$B132,服务费底表!$T:$T,BG$3)</f>
        <v>0</v>
      </c>
      <c r="BI132" s="388">
        <f>SUMIFS(服务费底表!$AC:$AC,服务费底表!$K:$K,服务费明细!$B132,服务费底表!$H:$H,服务费明细!BI$3)</f>
        <v>0</v>
      </c>
      <c r="BJ132" s="388">
        <f>SUMIFS(服务费底表!$AC:$AC,服务费底表!$K:$K,服务费明细!$B132,服务费底表!$H:$H,服务费明细!BJ$3)</f>
        <v>0</v>
      </c>
      <c r="BK132" s="388">
        <f>SUMIFS(服务费底表!$AC:$AC,服务费底表!$K:$K,服务费明细!$B132,服务费底表!$H:$H,服务费明细!BK$3)</f>
        <v>0</v>
      </c>
      <c r="BL132" s="388">
        <f>SUMIFS(服务费底表!$AC:$AC,服务费底表!$K:$K,服务费明细!$B132,服务费底表!$H:$H,服务费明细!BL$3)</f>
        <v>0</v>
      </c>
      <c r="BM132" s="388">
        <f>SUMIFS(服务费底表!$AC:$AC,服务费底表!$K:$K,服务费明细!$B132,服务费底表!$H:$H,服务费明细!BM$3)</f>
        <v>0</v>
      </c>
      <c r="BN132" s="388">
        <f>SUMIFS(服务费底表!$AC:$AC,服务费底表!$K:$K,服务费明细!$B132,服务费底表!$H:$H,服务费明细!BN$3)</f>
        <v>0</v>
      </c>
      <c r="BO132" s="388">
        <f>SUMIFS(服务费底表!$AC:$AC,服务费底表!$K:$K,服务费明细!$B132,服务费底表!$H:$H,服务费明细!BO$3)</f>
        <v>0</v>
      </c>
      <c r="BQ132" s="389">
        <f>SUMIFS(服务费底表!$AD:$AD,服务费底表!$K:$K,服务费明细!$B132,服务费底表!$H:$H,服务费明细!BQ$3)</f>
        <v>0</v>
      </c>
      <c r="BR132" s="389">
        <f>SUMIFS(服务费底表!$AD:$AD,服务费底表!$K:$K,服务费明细!$B132,服务费底表!$H:$H,服务费明细!BR$3)</f>
        <v>0</v>
      </c>
      <c r="BS132" s="389">
        <f>SUMIFS(服务费底表!$AD:$AD,服务费底表!$K:$K,服务费明细!$B132,服务费底表!$H:$H,服务费明细!BS$3)</f>
        <v>0</v>
      </c>
      <c r="BT132" s="389">
        <f>SUMIFS(服务费底表!$AD:$AD,服务费底表!$K:$K,服务费明细!$B132,服务费底表!$H:$H,服务费明细!BT$3)</f>
        <v>0</v>
      </c>
      <c r="BU132" s="389">
        <f>SUMIFS(服务费底表!$AD:$AD,服务费底表!$K:$K,服务费明细!$B132,服务费底表!$H:$H,服务费明细!BU$3)</f>
        <v>0</v>
      </c>
      <c r="BV132" s="389">
        <f>SUMIFS(服务费底表!$AD:$AD,服务费底表!$K:$K,服务费明细!$B132,服务费底表!$H:$H,服务费明细!BV$3)</f>
        <v>0</v>
      </c>
      <c r="BW132" s="389">
        <f>SUMIFS(服务费底表!$AD:$AD,服务费底表!$K:$K,服务费明细!$B132,服务费底表!$H:$H,服务费明细!BW$3)</f>
        <v>0</v>
      </c>
    </row>
    <row r="133" spans="2:1022 1025:2046 2049:2570">
      <c r="B133" s="89" t="s">
        <v>1064</v>
      </c>
      <c r="C133" s="89" t="str">
        <f>INDEX(二三级标准!$C:$C,MATCH(服务费明细!$B133,二三级标准!$B:$B,0))</f>
        <v>方案偏离列表编程</v>
      </c>
      <c r="D133" s="166">
        <v>0</v>
      </c>
      <c r="E133" s="166">
        <f>IF($D133=1,30,0)</f>
        <v>0</v>
      </c>
      <c r="F133" s="89" t="str">
        <f>INDEX(二三级标准!$G:$G,MATCH(服务费明细!$B133,二三级标准!$B:$B,0))</f>
        <v>条</v>
      </c>
      <c r="G133" s="166">
        <f t="shared" si="229"/>
        <v>0</v>
      </c>
      <c r="H133" s="166">
        <f t="shared" si="230"/>
        <v>0</v>
      </c>
      <c r="I133" s="166">
        <f t="shared" si="231"/>
        <v>0</v>
      </c>
      <c r="J133" s="166">
        <f t="shared" si="232"/>
        <v>0</v>
      </c>
      <c r="K133" s="166">
        <f t="shared" si="233"/>
        <v>0</v>
      </c>
      <c r="L133" s="166">
        <f t="shared" si="234"/>
        <v>0</v>
      </c>
      <c r="M133" s="166">
        <f t="shared" si="235"/>
        <v>0</v>
      </c>
      <c r="N133" s="166">
        <f t="shared" si="236"/>
        <v>0</v>
      </c>
      <c r="O133" s="166">
        <f t="shared" si="237"/>
        <v>0</v>
      </c>
      <c r="P133" s="166">
        <f t="shared" si="238"/>
        <v>0</v>
      </c>
      <c r="Q133" s="166">
        <f t="shared" si="239"/>
        <v>0</v>
      </c>
      <c r="R133" s="166">
        <f t="shared" si="240"/>
        <v>0</v>
      </c>
      <c r="S133" s="166">
        <f t="shared" si="241"/>
        <v>0</v>
      </c>
      <c r="T133" s="166">
        <f t="shared" si="242"/>
        <v>0</v>
      </c>
      <c r="U133" s="166">
        <f t="shared" si="243"/>
        <v>0</v>
      </c>
      <c r="V133" s="166">
        <f t="shared" si="244"/>
        <v>0</v>
      </c>
      <c r="W133" s="166">
        <f t="shared" si="245"/>
        <v>0</v>
      </c>
      <c r="X133" s="166">
        <f t="shared" si="246"/>
        <v>0</v>
      </c>
      <c r="Y133" s="166">
        <f t="shared" si="247"/>
        <v>0</v>
      </c>
      <c r="Z133" s="166">
        <f t="shared" si="248"/>
        <v>0</v>
      </c>
      <c r="AA133" s="166">
        <f t="shared" si="249"/>
        <v>0</v>
      </c>
      <c r="AB133" s="166">
        <f t="shared" si="250"/>
        <v>0</v>
      </c>
      <c r="AC133" s="166" cm="1">
        <f t="array" ref="AC133">SUMPRODUCT(G133:AB133,$G$4:$AB$4)</f>
        <v>0</v>
      </c>
      <c r="AD133" s="89" t="b">
        <f t="shared" si="266"/>
        <v>1</v>
      </c>
      <c r="AE133" s="386">
        <f>IFERROR(SUMIF(服务费底表!$K:$K,服务费明细!$B133,服务费底表!$AD:$AD)/E133,0)</f>
        <v>0</v>
      </c>
      <c r="AF133" s="386">
        <f t="shared" si="267"/>
        <v>0</v>
      </c>
      <c r="AG133" s="386">
        <f>IFERROR(SUMIF(服务费底表!$K:$K,服务费明细!$B133,服务费底表!$AG:$AG)/E133,0)</f>
        <v>0</v>
      </c>
      <c r="AH133" s="386">
        <f t="shared" si="268"/>
        <v>0</v>
      </c>
      <c r="AI133" s="577"/>
      <c r="AJ133" s="563">
        <f t="shared" si="261"/>
        <v>0</v>
      </c>
      <c r="AK133" s="564">
        <f>SUMIF(服务费底表!$K:$K,服务费明细!$B133,服务费底表!$AC:$AC)</f>
        <v>0</v>
      </c>
      <c r="AL133" s="166">
        <f>SUMIFS(服务费底表!$AC:$AC,服务费底表!$K:$K,服务费明细!$B133,服务费底表!$T:$T,AL$3)</f>
        <v>0</v>
      </c>
      <c r="AM133" s="166">
        <f>SUMIFS(服务费底表!$AC:$AC,服务费底表!$K:$K,服务费明细!$B133,服务费底表!$T:$T,AM$3)</f>
        <v>0</v>
      </c>
      <c r="AN133" s="166">
        <f>SUMIFS(服务费底表!$AC:$AC,服务费底表!$K:$K,服务费明细!$B133,服务费底表!$T:$T,AN$3)</f>
        <v>0</v>
      </c>
      <c r="AO133" s="166">
        <f>SUMIFS(服务费底表!$AC:$AC,服务费底表!$K:$K,服务费明细!$B133,服务费底表!$T:$T,AO$3)</f>
        <v>0</v>
      </c>
      <c r="AP133" s="166">
        <f>SUMIFS(服务费底表!$AC:$AC,服务费底表!$K:$K,服务费明细!$B133,服务费底表!$T:$T,AP$3)</f>
        <v>0</v>
      </c>
      <c r="AQ133" s="166">
        <f>SUMIFS(服务费底表!$AC:$AC,服务费底表!$K:$K,服务费明细!$B133,服务费底表!$T:$T,AQ$3)</f>
        <v>0</v>
      </c>
      <c r="AR133" s="166">
        <f>SUMIFS(服务费底表!$AC:$AC,服务费底表!$K:$K,服务费明细!$B133,服务费底表!$T:$T,AR$3)</f>
        <v>0</v>
      </c>
      <c r="AS133" s="166">
        <f>SUMIFS(服务费底表!$AC:$AC,服务费底表!$K:$K,服务费明细!$B133,服务费底表!$T:$T,AS$3)</f>
        <v>0</v>
      </c>
      <c r="AT133" s="166">
        <f>SUMIFS(服务费底表!$AC:$AC,服务费底表!$K:$K,服务费明细!$B133,服务费底表!$T:$T,AT$3)</f>
        <v>0</v>
      </c>
      <c r="AU133" s="166">
        <f>SUMIFS(服务费底表!$AC:$AC,服务费底表!$K:$K,服务费明细!$B133,服务费底表!$T:$T,AU$3)</f>
        <v>0</v>
      </c>
      <c r="AV133" s="166">
        <f>SUMIFS(服务费底表!$AC:$AC,服务费底表!$K:$K,服务费明细!$B133,服务费底表!$T:$T,AV$3)</f>
        <v>0</v>
      </c>
      <c r="AW133" s="166">
        <f>SUMIFS(服务费底表!$AC:$AC,服务费底表!$K:$K,服务费明细!$B133,服务费底表!$T:$T,AW$3)</f>
        <v>0</v>
      </c>
      <c r="AX133" s="166">
        <f>SUMIFS(服务费底表!$AC:$AC,服务费底表!$K:$K,服务费明细!$B133,服务费底表!$T:$T,AX$3)</f>
        <v>0</v>
      </c>
      <c r="AY133" s="166">
        <f>SUMIFS(服务费底表!$AC:$AC,服务费底表!$K:$K,服务费明细!$B133,服务费底表!$T:$T,AY$3)</f>
        <v>0</v>
      </c>
      <c r="AZ133" s="166">
        <f>SUMIFS(服务费底表!$AC:$AC,服务费底表!$K:$K,服务费明细!$B133,服务费底表!$T:$T,AZ$3)</f>
        <v>0</v>
      </c>
      <c r="BA133" s="166">
        <f>SUMIFS(服务费底表!$AC:$AC,服务费底表!$K:$K,服务费明细!$B133,服务费底表!$T:$T,BA$3)</f>
        <v>0</v>
      </c>
      <c r="BB133" s="166">
        <f>SUMIFS(服务费底表!$AC:$AC,服务费底表!$K:$K,服务费明细!$B133,服务费底表!$T:$T,BB$3)</f>
        <v>0</v>
      </c>
      <c r="BC133" s="166">
        <f>SUMIFS(服务费底表!$AC:$AC,服务费底表!$K:$K,服务费明细!$B133,服务费底表!$T:$T,BC$3)</f>
        <v>0</v>
      </c>
      <c r="BD133" s="166">
        <f>SUMIFS(服务费底表!$AC:$AC,服务费底表!$K:$K,服务费明细!$B133,服务费底表!$T:$T,BD$3)</f>
        <v>0</v>
      </c>
      <c r="BE133" s="166">
        <f>SUMIFS(服务费底表!$AC:$AC,服务费底表!$K:$K,服务费明细!$B133,服务费底表!$T:$T,BE$3)</f>
        <v>0</v>
      </c>
      <c r="BF133" s="166">
        <f>SUMIFS(服务费底表!$AC:$AC,服务费底表!$K:$K,服务费明细!$B133,服务费底表!$T:$T,BF$3)</f>
        <v>0</v>
      </c>
      <c r="BG133" s="166">
        <f>SUMIFS(服务费底表!$AC:$AC,服务费底表!$K:$K,服务费明细!$B133,服务费底表!$T:$T,BG$3)</f>
        <v>0</v>
      </c>
      <c r="BI133" s="388">
        <f>SUMIFS(服务费底表!$AC:$AC,服务费底表!$K:$K,服务费明细!$B133,服务费底表!$H:$H,服务费明细!BI$3)</f>
        <v>0</v>
      </c>
      <c r="BJ133" s="388">
        <f>SUMIFS(服务费底表!$AC:$AC,服务费底表!$K:$K,服务费明细!$B133,服务费底表!$H:$H,服务费明细!BJ$3)</f>
        <v>0</v>
      </c>
      <c r="BK133" s="388">
        <f>SUMIFS(服务费底表!$AC:$AC,服务费底表!$K:$K,服务费明细!$B133,服务费底表!$H:$H,服务费明细!BK$3)</f>
        <v>0</v>
      </c>
      <c r="BL133" s="388">
        <f>SUMIFS(服务费底表!$AC:$AC,服务费底表!$K:$K,服务费明细!$B133,服务费底表!$H:$H,服务费明细!BL$3)</f>
        <v>0</v>
      </c>
      <c r="BM133" s="388">
        <f>SUMIFS(服务费底表!$AC:$AC,服务费底表!$K:$K,服务费明细!$B133,服务费底表!$H:$H,服务费明细!BM$3)</f>
        <v>0</v>
      </c>
      <c r="BN133" s="388">
        <f>SUMIFS(服务费底表!$AC:$AC,服务费底表!$K:$K,服务费明细!$B133,服务费底表!$H:$H,服务费明细!BN$3)</f>
        <v>0</v>
      </c>
      <c r="BO133" s="388">
        <f>SUMIFS(服务费底表!$AC:$AC,服务费底表!$K:$K,服务费明细!$B133,服务费底表!$H:$H,服务费明细!BO$3)</f>
        <v>0</v>
      </c>
      <c r="BQ133" s="389">
        <f>SUMIFS(服务费底表!$AD:$AD,服务费底表!$K:$K,服务费明细!$B133,服务费底表!$H:$H,服务费明细!BQ$3)</f>
        <v>0</v>
      </c>
      <c r="BR133" s="389">
        <f>SUMIFS(服务费底表!$AD:$AD,服务费底表!$K:$K,服务费明细!$B133,服务费底表!$H:$H,服务费明细!BR$3)</f>
        <v>0</v>
      </c>
      <c r="BS133" s="389">
        <f>SUMIFS(服务费底表!$AD:$AD,服务费底表!$K:$K,服务费明细!$B133,服务费底表!$H:$H,服务费明细!BS$3)</f>
        <v>0</v>
      </c>
      <c r="BT133" s="389">
        <f>SUMIFS(服务费底表!$AD:$AD,服务费底表!$K:$K,服务费明细!$B133,服务费底表!$H:$H,服务费明细!BT$3)</f>
        <v>0</v>
      </c>
      <c r="BU133" s="389">
        <f>SUMIFS(服务费底表!$AD:$AD,服务费底表!$K:$K,服务费明细!$B133,服务费底表!$H:$H,服务费明细!BU$3)</f>
        <v>0</v>
      </c>
      <c r="BV133" s="389">
        <f>SUMIFS(服务费底表!$AD:$AD,服务费底表!$K:$K,服务费明细!$B133,服务费底表!$H:$H,服务费明细!BV$3)</f>
        <v>0</v>
      </c>
      <c r="BW133" s="389">
        <f>SUMIFS(服务费底表!$AD:$AD,服务费底表!$K:$K,服务费明细!$B133,服务费底表!$H:$H,服务费明细!BW$3)</f>
        <v>0</v>
      </c>
    </row>
    <row r="134" spans="2:1022 1025:2046 2049:2570">
      <c r="B134" s="89" t="s">
        <v>1065</v>
      </c>
      <c r="C134" s="89" t="str">
        <f>INDEX(二三级标准!$C:$C,MATCH(服务费明细!$B134,二三级标准!$B:$B,0))</f>
        <v>审核方案偏离数据</v>
      </c>
      <c r="D134" s="166">
        <v>0</v>
      </c>
      <c r="E134" s="166">
        <f>IF(D134=1,IFERROR(ROUND((入组月+治疗月+随访月+长随访月)/方案偏离频次,0),0),0)</f>
        <v>0</v>
      </c>
      <c r="F134" s="89" t="str">
        <f>INDEX(二三级标准!$G:$G,MATCH(服务费明细!$B134,二三级标准!$B:$B,0))</f>
        <v>次</v>
      </c>
      <c r="G134" s="166">
        <f t="shared" si="229"/>
        <v>0</v>
      </c>
      <c r="H134" s="166">
        <f t="shared" si="230"/>
        <v>0</v>
      </c>
      <c r="I134" s="166">
        <f t="shared" si="231"/>
        <v>0</v>
      </c>
      <c r="J134" s="166">
        <f t="shared" si="232"/>
        <v>0</v>
      </c>
      <c r="K134" s="166">
        <f t="shared" si="233"/>
        <v>0</v>
      </c>
      <c r="L134" s="166">
        <f t="shared" si="234"/>
        <v>0</v>
      </c>
      <c r="M134" s="166">
        <f t="shared" si="235"/>
        <v>0</v>
      </c>
      <c r="N134" s="166">
        <f t="shared" si="236"/>
        <v>0</v>
      </c>
      <c r="O134" s="166">
        <f t="shared" si="237"/>
        <v>0</v>
      </c>
      <c r="P134" s="166">
        <f t="shared" si="238"/>
        <v>0</v>
      </c>
      <c r="Q134" s="166">
        <f t="shared" si="239"/>
        <v>0</v>
      </c>
      <c r="R134" s="166">
        <f t="shared" si="240"/>
        <v>0</v>
      </c>
      <c r="S134" s="166">
        <f t="shared" si="241"/>
        <v>0</v>
      </c>
      <c r="T134" s="166">
        <f t="shared" si="242"/>
        <v>0</v>
      </c>
      <c r="U134" s="166">
        <f t="shared" si="243"/>
        <v>0</v>
      </c>
      <c r="V134" s="166">
        <f t="shared" si="244"/>
        <v>0</v>
      </c>
      <c r="W134" s="166">
        <f t="shared" si="245"/>
        <v>0</v>
      </c>
      <c r="X134" s="166">
        <f t="shared" si="246"/>
        <v>0</v>
      </c>
      <c r="Y134" s="166">
        <f t="shared" si="247"/>
        <v>0</v>
      </c>
      <c r="Z134" s="166">
        <f t="shared" si="248"/>
        <v>0</v>
      </c>
      <c r="AA134" s="166">
        <f t="shared" si="249"/>
        <v>0</v>
      </c>
      <c r="AB134" s="166">
        <f t="shared" si="250"/>
        <v>0</v>
      </c>
      <c r="AC134" s="166" cm="1">
        <f t="array" ref="AC134">SUMPRODUCT(G134:AB134,$G$4:$AB$4)</f>
        <v>0</v>
      </c>
      <c r="AD134" s="89" t="b">
        <f t="shared" si="266"/>
        <v>1</v>
      </c>
      <c r="AE134" s="386">
        <f>IFERROR(SUMIF(服务费底表!$K:$K,服务费明细!$B134,服务费底表!$AD:$AD)/E134,0)</f>
        <v>0</v>
      </c>
      <c r="AF134" s="386">
        <f t="shared" si="267"/>
        <v>0</v>
      </c>
      <c r="AG134" s="386">
        <f>IFERROR(SUMIF(服务费底表!$K:$K,服务费明细!$B134,服务费底表!$AG:$AG)/E134,0)</f>
        <v>0</v>
      </c>
      <c r="AH134" s="386">
        <f t="shared" si="268"/>
        <v>0</v>
      </c>
      <c r="AI134" s="577"/>
      <c r="AJ134" s="563">
        <f t="shared" si="261"/>
        <v>0</v>
      </c>
      <c r="AK134" s="564">
        <f>SUMIF(服务费底表!$K:$K,服务费明细!$B134,服务费底表!$AC:$AC)</f>
        <v>0</v>
      </c>
      <c r="AL134" s="166">
        <f>SUMIFS(服务费底表!$AC:$AC,服务费底表!$K:$K,服务费明细!$B134,服务费底表!$T:$T,AL$3)</f>
        <v>0</v>
      </c>
      <c r="AM134" s="166">
        <f>SUMIFS(服务费底表!$AC:$AC,服务费底表!$K:$K,服务费明细!$B134,服务费底表!$T:$T,AM$3)</f>
        <v>0</v>
      </c>
      <c r="AN134" s="166">
        <f>SUMIFS(服务费底表!$AC:$AC,服务费底表!$K:$K,服务费明细!$B134,服务费底表!$T:$T,AN$3)</f>
        <v>0</v>
      </c>
      <c r="AO134" s="166">
        <f>SUMIFS(服务费底表!$AC:$AC,服务费底表!$K:$K,服务费明细!$B134,服务费底表!$T:$T,AO$3)</f>
        <v>0</v>
      </c>
      <c r="AP134" s="166">
        <f>SUMIFS(服务费底表!$AC:$AC,服务费底表!$K:$K,服务费明细!$B134,服务费底表!$T:$T,AP$3)</f>
        <v>0</v>
      </c>
      <c r="AQ134" s="166">
        <f>SUMIFS(服务费底表!$AC:$AC,服务费底表!$K:$K,服务费明细!$B134,服务费底表!$T:$T,AQ$3)</f>
        <v>0</v>
      </c>
      <c r="AR134" s="166">
        <f>SUMIFS(服务费底表!$AC:$AC,服务费底表!$K:$K,服务费明细!$B134,服务费底表!$T:$T,AR$3)</f>
        <v>0</v>
      </c>
      <c r="AS134" s="166">
        <f>SUMIFS(服务费底表!$AC:$AC,服务费底表!$K:$K,服务费明细!$B134,服务费底表!$T:$T,AS$3)</f>
        <v>0</v>
      </c>
      <c r="AT134" s="166">
        <f>SUMIFS(服务费底表!$AC:$AC,服务费底表!$K:$K,服务费明细!$B134,服务费底表!$T:$T,AT$3)</f>
        <v>0</v>
      </c>
      <c r="AU134" s="166">
        <f>SUMIFS(服务费底表!$AC:$AC,服务费底表!$K:$K,服务费明细!$B134,服务费底表!$T:$T,AU$3)</f>
        <v>0</v>
      </c>
      <c r="AV134" s="166">
        <f>SUMIFS(服务费底表!$AC:$AC,服务费底表!$K:$K,服务费明细!$B134,服务费底表!$T:$T,AV$3)</f>
        <v>0</v>
      </c>
      <c r="AW134" s="166">
        <f>SUMIFS(服务费底表!$AC:$AC,服务费底表!$K:$K,服务费明细!$B134,服务费底表!$T:$T,AW$3)</f>
        <v>0</v>
      </c>
      <c r="AX134" s="166">
        <f>SUMIFS(服务费底表!$AC:$AC,服务费底表!$K:$K,服务费明细!$B134,服务费底表!$T:$T,AX$3)</f>
        <v>0</v>
      </c>
      <c r="AY134" s="166">
        <f>SUMIFS(服务费底表!$AC:$AC,服务费底表!$K:$K,服务费明细!$B134,服务费底表!$T:$T,AY$3)</f>
        <v>0</v>
      </c>
      <c r="AZ134" s="166">
        <f>SUMIFS(服务费底表!$AC:$AC,服务费底表!$K:$K,服务费明细!$B134,服务费底表!$T:$T,AZ$3)</f>
        <v>0</v>
      </c>
      <c r="BA134" s="166">
        <f>SUMIFS(服务费底表!$AC:$AC,服务费底表!$K:$K,服务费明细!$B134,服务费底表!$T:$T,BA$3)</f>
        <v>0</v>
      </c>
      <c r="BB134" s="166">
        <f>SUMIFS(服务费底表!$AC:$AC,服务费底表!$K:$K,服务费明细!$B134,服务费底表!$T:$T,BB$3)</f>
        <v>0</v>
      </c>
      <c r="BC134" s="166">
        <f>SUMIFS(服务费底表!$AC:$AC,服务费底表!$K:$K,服务费明细!$B134,服务费底表!$T:$T,BC$3)</f>
        <v>0</v>
      </c>
      <c r="BD134" s="166">
        <f>SUMIFS(服务费底表!$AC:$AC,服务费底表!$K:$K,服务费明细!$B134,服务费底表!$T:$T,BD$3)</f>
        <v>0</v>
      </c>
      <c r="BE134" s="166">
        <f>SUMIFS(服务费底表!$AC:$AC,服务费底表!$K:$K,服务费明细!$B134,服务费底表!$T:$T,BE$3)</f>
        <v>0</v>
      </c>
      <c r="BF134" s="166">
        <f>SUMIFS(服务费底表!$AC:$AC,服务费底表!$K:$K,服务费明细!$B134,服务费底表!$T:$T,BF$3)</f>
        <v>0</v>
      </c>
      <c r="BG134" s="166">
        <f>SUMIFS(服务费底表!$AC:$AC,服务费底表!$K:$K,服务费明细!$B134,服务费底表!$T:$T,BG$3)</f>
        <v>0</v>
      </c>
      <c r="BI134" s="388">
        <f>SUMIFS(服务费底表!$AC:$AC,服务费底表!$K:$K,服务费明细!$B134,服务费底表!$H:$H,服务费明细!BI$3)</f>
        <v>0</v>
      </c>
      <c r="BJ134" s="388">
        <f>SUMIFS(服务费底表!$AC:$AC,服务费底表!$K:$K,服务费明细!$B134,服务费底表!$H:$H,服务费明细!BJ$3)</f>
        <v>0</v>
      </c>
      <c r="BK134" s="388">
        <f>SUMIFS(服务费底表!$AC:$AC,服务费底表!$K:$K,服务费明细!$B134,服务费底表!$H:$H,服务费明细!BK$3)</f>
        <v>0</v>
      </c>
      <c r="BL134" s="388">
        <f>SUMIFS(服务费底表!$AC:$AC,服务费底表!$K:$K,服务费明细!$B134,服务费底表!$H:$H,服务费明细!BL$3)</f>
        <v>0</v>
      </c>
      <c r="BM134" s="388">
        <f>SUMIFS(服务费底表!$AC:$AC,服务费底表!$K:$K,服务费明细!$B134,服务费底表!$H:$H,服务费明细!BM$3)</f>
        <v>0</v>
      </c>
      <c r="BN134" s="388">
        <f>SUMIFS(服务费底表!$AC:$AC,服务费底表!$K:$K,服务费明细!$B134,服务费底表!$H:$H,服务费明细!BN$3)</f>
        <v>0</v>
      </c>
      <c r="BO134" s="388">
        <f>SUMIFS(服务费底表!$AC:$AC,服务费底表!$K:$K,服务费明细!$B134,服务费底表!$H:$H,服务费明细!BO$3)</f>
        <v>0</v>
      </c>
      <c r="BQ134" s="389">
        <f>SUMIFS(服务费底表!$AD:$AD,服务费底表!$K:$K,服务费明细!$B134,服务费底表!$H:$H,服务费明细!BQ$3)</f>
        <v>0</v>
      </c>
      <c r="BR134" s="389">
        <f>SUMIFS(服务费底表!$AD:$AD,服务费底表!$K:$K,服务费明细!$B134,服务费底表!$H:$H,服务费明细!BR$3)</f>
        <v>0</v>
      </c>
      <c r="BS134" s="389">
        <f>SUMIFS(服务费底表!$AD:$AD,服务费底表!$K:$K,服务费明细!$B134,服务费底表!$H:$H,服务费明细!BS$3)</f>
        <v>0</v>
      </c>
      <c r="BT134" s="389">
        <f>SUMIFS(服务费底表!$AD:$AD,服务费底表!$K:$K,服务费明细!$B134,服务费底表!$H:$H,服务费明细!BT$3)</f>
        <v>0</v>
      </c>
      <c r="BU134" s="389">
        <f>SUMIFS(服务费底表!$AD:$AD,服务费底表!$K:$K,服务费明细!$B134,服务费底表!$H:$H,服务费明细!BU$3)</f>
        <v>0</v>
      </c>
      <c r="BV134" s="389">
        <f>SUMIFS(服务费底表!$AD:$AD,服务费底表!$K:$K,服务费明细!$B134,服务费底表!$H:$H,服务费明细!BV$3)</f>
        <v>0</v>
      </c>
      <c r="BW134" s="389">
        <f>SUMIFS(服务费底表!$AD:$AD,服务费底表!$K:$K,服务费明细!$B134,服务费底表!$H:$H,服务费明细!BW$3)</f>
        <v>0</v>
      </c>
    </row>
    <row r="135" spans="2:1022 1025:2046 2049:2570">
      <c r="B135" s="89" t="s">
        <v>1066</v>
      </c>
      <c r="C135" s="89" t="str">
        <f>INDEX(二三级标准!$C:$C,MATCH(服务费明细!$B135,二三级标准!$B:$B,0))</f>
        <v>EDC实验室范围值录入和管理</v>
      </c>
      <c r="D135" s="166">
        <f>IF($D$113=1,1,0)</f>
        <v>1</v>
      </c>
      <c r="E135" s="166">
        <f>IF($D135=1,启动中心数,0)</f>
        <v>4</v>
      </c>
      <c r="F135" s="89" t="str">
        <f>INDEX(二三级标准!$G:$G,MATCH(服务费明细!$B135,二三级标准!$B:$B,0))</f>
        <v>中心</v>
      </c>
      <c r="G135" s="166">
        <f t="shared" si="229"/>
        <v>0</v>
      </c>
      <c r="H135" s="166">
        <f t="shared" si="230"/>
        <v>0</v>
      </c>
      <c r="I135" s="166">
        <f t="shared" si="231"/>
        <v>0</v>
      </c>
      <c r="J135" s="166">
        <f t="shared" si="232"/>
        <v>0</v>
      </c>
      <c r="K135" s="166">
        <f t="shared" si="233"/>
        <v>0</v>
      </c>
      <c r="L135" s="166">
        <f t="shared" si="234"/>
        <v>0</v>
      </c>
      <c r="M135" s="166">
        <f t="shared" si="235"/>
        <v>0</v>
      </c>
      <c r="N135" s="166">
        <f t="shared" si="236"/>
        <v>0</v>
      </c>
      <c r="O135" s="166">
        <f t="shared" si="237"/>
        <v>0</v>
      </c>
      <c r="P135" s="166">
        <f t="shared" si="238"/>
        <v>0</v>
      </c>
      <c r="Q135" s="166">
        <f t="shared" si="239"/>
        <v>0</v>
      </c>
      <c r="R135" s="166">
        <f t="shared" si="240"/>
        <v>8</v>
      </c>
      <c r="S135" s="166">
        <f t="shared" si="241"/>
        <v>0</v>
      </c>
      <c r="T135" s="166">
        <f t="shared" si="242"/>
        <v>0</v>
      </c>
      <c r="U135" s="166">
        <f t="shared" si="243"/>
        <v>0</v>
      </c>
      <c r="V135" s="166">
        <f t="shared" si="244"/>
        <v>0</v>
      </c>
      <c r="W135" s="166">
        <f t="shared" si="245"/>
        <v>0</v>
      </c>
      <c r="X135" s="166">
        <f t="shared" si="246"/>
        <v>0</v>
      </c>
      <c r="Y135" s="166">
        <f t="shared" si="247"/>
        <v>0</v>
      </c>
      <c r="Z135" s="166">
        <f t="shared" si="248"/>
        <v>0</v>
      </c>
      <c r="AA135" s="166">
        <f t="shared" si="249"/>
        <v>0</v>
      </c>
      <c r="AB135" s="166">
        <f t="shared" si="250"/>
        <v>0</v>
      </c>
      <c r="AC135" s="166" cm="1">
        <f t="array" ref="AC135">SUMPRODUCT(G135:AB135,$G$4:$AB$4)</f>
        <v>1600</v>
      </c>
      <c r="AD135" s="89" t="b">
        <f t="shared" si="266"/>
        <v>1</v>
      </c>
      <c r="AE135" s="386">
        <f>IFERROR(SUMIF(服务费底表!$K:$K,服务费明细!$B135,服务费底表!$AD:$AD)/E135,0)</f>
        <v>400</v>
      </c>
      <c r="AF135" s="386">
        <f t="shared" si="267"/>
        <v>1600</v>
      </c>
      <c r="AG135" s="386">
        <f>IFERROR(SUMIF(服务费底表!$K:$K,服务费明细!$B135,服务费底表!$AG:$AG)/E135,0)</f>
        <v>400</v>
      </c>
      <c r="AH135" s="386">
        <f t="shared" si="268"/>
        <v>1600</v>
      </c>
      <c r="AI135" s="577"/>
      <c r="AJ135" s="563">
        <f t="shared" si="261"/>
        <v>2</v>
      </c>
      <c r="AK135" s="564">
        <f>SUMIF(服务费底表!$K:$K,服务费明细!$B135,服务费底表!$AC:$AC)</f>
        <v>8</v>
      </c>
      <c r="AL135" s="166">
        <f>SUMIFS(服务费底表!$AC:$AC,服务费底表!$K:$K,服务费明细!$B135,服务费底表!$T:$T,AL$3)</f>
        <v>0</v>
      </c>
      <c r="AM135" s="166">
        <f>SUMIFS(服务费底表!$AC:$AC,服务费底表!$K:$K,服务费明细!$B135,服务费底表!$T:$T,AM$3)</f>
        <v>0</v>
      </c>
      <c r="AN135" s="166">
        <f>SUMIFS(服务费底表!$AC:$AC,服务费底表!$K:$K,服务费明细!$B135,服务费底表!$T:$T,AN$3)</f>
        <v>0</v>
      </c>
      <c r="AO135" s="166">
        <f>SUMIFS(服务费底表!$AC:$AC,服务费底表!$K:$K,服务费明细!$B135,服务费底表!$T:$T,AO$3)</f>
        <v>0</v>
      </c>
      <c r="AP135" s="166">
        <f>SUMIFS(服务费底表!$AC:$AC,服务费底表!$K:$K,服务费明细!$B135,服务费底表!$T:$T,AP$3)</f>
        <v>0</v>
      </c>
      <c r="AQ135" s="166">
        <f>SUMIFS(服务费底表!$AC:$AC,服务费底表!$K:$K,服务费明细!$B135,服务费底表!$T:$T,AQ$3)</f>
        <v>0</v>
      </c>
      <c r="AR135" s="166">
        <f>SUMIFS(服务费底表!$AC:$AC,服务费底表!$K:$K,服务费明细!$B135,服务费底表!$T:$T,AR$3)</f>
        <v>0</v>
      </c>
      <c r="AS135" s="166">
        <f>SUMIFS(服务费底表!$AC:$AC,服务费底表!$K:$K,服务费明细!$B135,服务费底表!$T:$T,AS$3)</f>
        <v>0</v>
      </c>
      <c r="AT135" s="166">
        <f>SUMIFS(服务费底表!$AC:$AC,服务费底表!$K:$K,服务费明细!$B135,服务费底表!$T:$T,AT$3)</f>
        <v>0</v>
      </c>
      <c r="AU135" s="166">
        <f>SUMIFS(服务费底表!$AC:$AC,服务费底表!$K:$K,服务费明细!$B135,服务费底表!$T:$T,AU$3)</f>
        <v>0</v>
      </c>
      <c r="AV135" s="166">
        <f>SUMIFS(服务费底表!$AC:$AC,服务费底表!$K:$K,服务费明细!$B135,服务费底表!$T:$T,AV$3)</f>
        <v>0</v>
      </c>
      <c r="AW135" s="166">
        <f>SUMIFS(服务费底表!$AC:$AC,服务费底表!$K:$K,服务费明细!$B135,服务费底表!$T:$T,AW$3)</f>
        <v>8</v>
      </c>
      <c r="AX135" s="166">
        <f>SUMIFS(服务费底表!$AC:$AC,服务费底表!$K:$K,服务费明细!$B135,服务费底表!$T:$T,AX$3)</f>
        <v>0</v>
      </c>
      <c r="AY135" s="166">
        <f>SUMIFS(服务费底表!$AC:$AC,服务费底表!$K:$K,服务费明细!$B135,服务费底表!$T:$T,AY$3)</f>
        <v>0</v>
      </c>
      <c r="AZ135" s="166">
        <f>SUMIFS(服务费底表!$AC:$AC,服务费底表!$K:$K,服务费明细!$B135,服务费底表!$T:$T,AZ$3)</f>
        <v>0</v>
      </c>
      <c r="BA135" s="166">
        <f>SUMIFS(服务费底表!$AC:$AC,服务费底表!$K:$K,服务费明细!$B135,服务费底表!$T:$T,BA$3)</f>
        <v>0</v>
      </c>
      <c r="BB135" s="166">
        <f>SUMIFS(服务费底表!$AC:$AC,服务费底表!$K:$K,服务费明细!$B135,服务费底表!$T:$T,BB$3)</f>
        <v>0</v>
      </c>
      <c r="BC135" s="166">
        <f>SUMIFS(服务费底表!$AC:$AC,服务费底表!$K:$K,服务费明细!$B135,服务费底表!$T:$T,BC$3)</f>
        <v>0</v>
      </c>
      <c r="BD135" s="166">
        <f>SUMIFS(服务费底表!$AC:$AC,服务费底表!$K:$K,服务费明细!$B135,服务费底表!$T:$T,BD$3)</f>
        <v>0</v>
      </c>
      <c r="BE135" s="166">
        <f>SUMIFS(服务费底表!$AC:$AC,服务费底表!$K:$K,服务费明细!$B135,服务费底表!$T:$T,BE$3)</f>
        <v>0</v>
      </c>
      <c r="BF135" s="166">
        <f>SUMIFS(服务费底表!$AC:$AC,服务费底表!$K:$K,服务费明细!$B135,服务费底表!$T:$T,BF$3)</f>
        <v>0</v>
      </c>
      <c r="BG135" s="166">
        <f>SUMIFS(服务费底表!$AC:$AC,服务费底表!$K:$K,服务费明细!$B135,服务费底表!$T:$T,BG$3)</f>
        <v>0</v>
      </c>
      <c r="BI135" s="388">
        <f>SUMIFS(服务费底表!$AC:$AC,服务费底表!$K:$K,服务费明细!$B135,服务费底表!$H:$H,服务费明细!BI$3)</f>
        <v>0</v>
      </c>
      <c r="BJ135" s="388">
        <f>SUMIFS(服务费底表!$AC:$AC,服务费底表!$K:$K,服务费明细!$B135,服务费底表!$H:$H,服务费明细!BJ$3)</f>
        <v>0</v>
      </c>
      <c r="BK135" s="388">
        <f>SUMIFS(服务费底表!$AC:$AC,服务费底表!$K:$K,服务费明细!$B135,服务费底表!$H:$H,服务费明细!BK$3)</f>
        <v>8</v>
      </c>
      <c r="BL135" s="388">
        <f>SUMIFS(服务费底表!$AC:$AC,服务费底表!$K:$K,服务费明细!$B135,服务费底表!$H:$H,服务费明细!BL$3)</f>
        <v>0</v>
      </c>
      <c r="BM135" s="388">
        <f>SUMIFS(服务费底表!$AC:$AC,服务费底表!$K:$K,服务费明细!$B135,服务费底表!$H:$H,服务费明细!BM$3)</f>
        <v>0</v>
      </c>
      <c r="BN135" s="388">
        <f>SUMIFS(服务费底表!$AC:$AC,服务费底表!$K:$K,服务费明细!$B135,服务费底表!$H:$H,服务费明细!BN$3)</f>
        <v>0</v>
      </c>
      <c r="BO135" s="388">
        <f>SUMIFS(服务费底表!$AC:$AC,服务费底表!$K:$K,服务费明细!$B135,服务费底表!$H:$H,服务费明细!BO$3)</f>
        <v>0</v>
      </c>
      <c r="BQ135" s="389">
        <f>SUMIFS(服务费底表!$AD:$AD,服务费底表!$K:$K,服务费明细!$B135,服务费底表!$H:$H,服务费明细!BQ$3)</f>
        <v>0</v>
      </c>
      <c r="BR135" s="389">
        <f>SUMIFS(服务费底表!$AD:$AD,服务费底表!$K:$K,服务费明细!$B135,服务费底表!$H:$H,服务费明细!BR$3)</f>
        <v>0</v>
      </c>
      <c r="BS135" s="389">
        <f>SUMIFS(服务费底表!$AD:$AD,服务费底表!$K:$K,服务费明细!$B135,服务费底表!$H:$H,服务费明细!BS$3)</f>
        <v>1600</v>
      </c>
      <c r="BT135" s="389">
        <f>SUMIFS(服务费底表!$AD:$AD,服务费底表!$K:$K,服务费明细!$B135,服务费底表!$H:$H,服务费明细!BT$3)</f>
        <v>0</v>
      </c>
      <c r="BU135" s="389">
        <f>SUMIFS(服务费底表!$AD:$AD,服务费底表!$K:$K,服务费明细!$B135,服务费底表!$H:$H,服务费明细!BU$3)</f>
        <v>0</v>
      </c>
      <c r="BV135" s="389">
        <f>SUMIFS(服务费底表!$AD:$AD,服务费底表!$K:$K,服务费明细!$B135,服务费底表!$H:$H,服务费明细!BV$3)</f>
        <v>0</v>
      </c>
      <c r="BW135" s="389">
        <f>SUMIFS(服务费底表!$AD:$AD,服务费底表!$K:$K,服务费明细!$B135,服务费底表!$H:$H,服务费明细!BW$3)</f>
        <v>0</v>
      </c>
    </row>
    <row r="136" spans="2:1022 1025:2046 2049:2570">
      <c r="B136" s="89" t="s">
        <v>1067</v>
      </c>
      <c r="C136" s="89" t="str">
        <f>INDEX(二三级标准!$C:$C,MATCH(服务费明细!$B136,二三级标准!$B:$B,0))</f>
        <v>实施EDC数据库维护</v>
      </c>
      <c r="D136" s="166">
        <f>IF($D$113=1,1,0)</f>
        <v>1</v>
      </c>
      <c r="E136" s="166">
        <f>IF($D136=1,ROUND(入组月+治疗月+随访月+长随访月+锁库月,0),0)</f>
        <v>14</v>
      </c>
      <c r="F136" s="89" t="str">
        <f>INDEX(二三级标准!$G:$G,MATCH(服务费明细!$B136,二三级标准!$B:$B,0))</f>
        <v>月</v>
      </c>
      <c r="G136" s="166">
        <f t="shared" si="229"/>
        <v>0</v>
      </c>
      <c r="H136" s="166">
        <f t="shared" si="230"/>
        <v>0</v>
      </c>
      <c r="I136" s="166">
        <f t="shared" si="231"/>
        <v>0</v>
      </c>
      <c r="J136" s="166">
        <f t="shared" si="232"/>
        <v>0</v>
      </c>
      <c r="K136" s="166">
        <f t="shared" si="233"/>
        <v>0</v>
      </c>
      <c r="L136" s="166">
        <f t="shared" si="234"/>
        <v>0</v>
      </c>
      <c r="M136" s="166">
        <f t="shared" si="235"/>
        <v>0</v>
      </c>
      <c r="N136" s="166">
        <f t="shared" si="236"/>
        <v>0</v>
      </c>
      <c r="O136" s="166">
        <f t="shared" si="237"/>
        <v>0</v>
      </c>
      <c r="P136" s="166">
        <f t="shared" si="238"/>
        <v>0</v>
      </c>
      <c r="Q136" s="585">
        <f t="shared" si="239"/>
        <v>14</v>
      </c>
      <c r="R136" s="166">
        <f t="shared" si="240"/>
        <v>0</v>
      </c>
      <c r="S136" s="166">
        <f t="shared" si="241"/>
        <v>0</v>
      </c>
      <c r="T136" s="166">
        <f t="shared" si="242"/>
        <v>0</v>
      </c>
      <c r="U136" s="166">
        <f t="shared" si="243"/>
        <v>0</v>
      </c>
      <c r="V136" s="166">
        <f t="shared" si="244"/>
        <v>0</v>
      </c>
      <c r="W136" s="166">
        <f t="shared" si="245"/>
        <v>0</v>
      </c>
      <c r="X136" s="166">
        <f t="shared" si="246"/>
        <v>0</v>
      </c>
      <c r="Y136" s="166">
        <f t="shared" si="247"/>
        <v>0</v>
      </c>
      <c r="Z136" s="166">
        <f t="shared" si="248"/>
        <v>0</v>
      </c>
      <c r="AA136" s="166">
        <f t="shared" si="249"/>
        <v>0</v>
      </c>
      <c r="AB136" s="166">
        <f t="shared" si="250"/>
        <v>0</v>
      </c>
      <c r="AC136" s="166" cm="1">
        <f t="array" ref="AC136">SUMPRODUCT(G136:AB136,$G$4:$AB$4)</f>
        <v>4200</v>
      </c>
      <c r="AD136" s="89" t="b">
        <f t="shared" ref="AD136:AD142" si="269">IF(AF136=AC136,TRUE,FALSE)</f>
        <v>1</v>
      </c>
      <c r="AE136" s="386">
        <f>IFERROR(SUMIF(服务费底表!$K:$K,服务费明细!$B136,服务费底表!$AD:$AD)/E136,0)</f>
        <v>300</v>
      </c>
      <c r="AF136" s="386">
        <f t="shared" ref="AF136:AF142" si="270">E136*AE136</f>
        <v>4200</v>
      </c>
      <c r="AG136" s="386">
        <f>IFERROR(SUMIF(服务费底表!$K:$K,服务费明细!$B136,服务费底表!$AG:$AG)/E136,0)</f>
        <v>300</v>
      </c>
      <c r="AH136" s="386">
        <f t="shared" ref="AH136:AH142" si="271">AG136*E136</f>
        <v>4200</v>
      </c>
      <c r="AI136" s="577"/>
      <c r="AJ136" s="563">
        <f t="shared" si="261"/>
        <v>1</v>
      </c>
      <c r="AK136" s="564">
        <f>SUMIF(服务费底表!$K:$K,服务费明细!$B136,服务费底表!$AC:$AC)</f>
        <v>14</v>
      </c>
      <c r="AL136" s="166">
        <f>SUMIFS(服务费底表!$AC:$AC,服务费底表!$K:$K,服务费明细!$B136,服务费底表!$T:$T,AL$3)</f>
        <v>0</v>
      </c>
      <c r="AM136" s="166">
        <f>SUMIFS(服务费底表!$AC:$AC,服务费底表!$K:$K,服务费明细!$B136,服务费底表!$T:$T,AM$3)</f>
        <v>0</v>
      </c>
      <c r="AN136" s="166">
        <f>SUMIFS(服务费底表!$AC:$AC,服务费底表!$K:$K,服务费明细!$B136,服务费底表!$T:$T,AN$3)</f>
        <v>0</v>
      </c>
      <c r="AO136" s="166">
        <f>SUMIFS(服务费底表!$AC:$AC,服务费底表!$K:$K,服务费明细!$B136,服务费底表!$T:$T,AO$3)</f>
        <v>0</v>
      </c>
      <c r="AP136" s="166">
        <f>SUMIFS(服务费底表!$AC:$AC,服务费底表!$K:$K,服务费明细!$B136,服务费底表!$T:$T,AP$3)</f>
        <v>0</v>
      </c>
      <c r="AQ136" s="166">
        <f>SUMIFS(服务费底表!$AC:$AC,服务费底表!$K:$K,服务费明细!$B136,服务费底表!$T:$T,AQ$3)</f>
        <v>0</v>
      </c>
      <c r="AR136" s="166">
        <f>SUMIFS(服务费底表!$AC:$AC,服务费底表!$K:$K,服务费明细!$B136,服务费底表!$T:$T,AR$3)</f>
        <v>0</v>
      </c>
      <c r="AS136" s="166">
        <f>SUMIFS(服务费底表!$AC:$AC,服务费底表!$K:$K,服务费明细!$B136,服务费底表!$T:$T,AS$3)</f>
        <v>0</v>
      </c>
      <c r="AT136" s="166">
        <f>SUMIFS(服务费底表!$AC:$AC,服务费底表!$K:$K,服务费明细!$B136,服务费底表!$T:$T,AT$3)</f>
        <v>0</v>
      </c>
      <c r="AU136" s="166">
        <f>SUMIFS(服务费底表!$AC:$AC,服务费底表!$K:$K,服务费明细!$B136,服务费底表!$T:$T,AU$3)</f>
        <v>0</v>
      </c>
      <c r="AV136" s="166">
        <f>SUMIFS(服务费底表!$AC:$AC,服务费底表!$K:$K,服务费明细!$B136,服务费底表!$T:$T,AV$3)</f>
        <v>14</v>
      </c>
      <c r="AW136" s="166">
        <f>SUMIFS(服务费底表!$AC:$AC,服务费底表!$K:$K,服务费明细!$B136,服务费底表!$T:$T,AW$3)</f>
        <v>0</v>
      </c>
      <c r="AX136" s="166">
        <f>SUMIFS(服务费底表!$AC:$AC,服务费底表!$K:$K,服务费明细!$B136,服务费底表!$T:$T,AX$3)</f>
        <v>0</v>
      </c>
      <c r="AY136" s="166">
        <f>SUMIFS(服务费底表!$AC:$AC,服务费底表!$K:$K,服务费明细!$B136,服务费底表!$T:$T,AY$3)</f>
        <v>0</v>
      </c>
      <c r="AZ136" s="166">
        <f>SUMIFS(服务费底表!$AC:$AC,服务费底表!$K:$K,服务费明细!$B136,服务费底表!$T:$T,AZ$3)</f>
        <v>0</v>
      </c>
      <c r="BA136" s="166">
        <f>SUMIFS(服务费底表!$AC:$AC,服务费底表!$K:$K,服务费明细!$B136,服务费底表!$T:$T,BA$3)</f>
        <v>0</v>
      </c>
      <c r="BB136" s="166">
        <f>SUMIFS(服务费底表!$AC:$AC,服务费底表!$K:$K,服务费明细!$B136,服务费底表!$T:$T,BB$3)</f>
        <v>0</v>
      </c>
      <c r="BC136" s="166">
        <f>SUMIFS(服务费底表!$AC:$AC,服务费底表!$K:$K,服务费明细!$B136,服务费底表!$T:$T,BC$3)</f>
        <v>0</v>
      </c>
      <c r="BD136" s="166">
        <f>SUMIFS(服务费底表!$AC:$AC,服务费底表!$K:$K,服务费明细!$B136,服务费底表!$T:$T,BD$3)</f>
        <v>0</v>
      </c>
      <c r="BE136" s="166">
        <f>SUMIFS(服务费底表!$AC:$AC,服务费底表!$K:$K,服务费明细!$B136,服务费底表!$T:$T,BE$3)</f>
        <v>0</v>
      </c>
      <c r="BF136" s="166">
        <f>SUMIFS(服务费底表!$AC:$AC,服务费底表!$K:$K,服务费明细!$B136,服务费底表!$T:$T,BF$3)</f>
        <v>0</v>
      </c>
      <c r="BG136" s="166">
        <f>SUMIFS(服务费底表!$AC:$AC,服务费底表!$K:$K,服务费明细!$B136,服务费底表!$T:$T,BG$3)</f>
        <v>0</v>
      </c>
      <c r="BI136" s="388">
        <f>SUMIFS(服务费底表!$AC:$AC,服务费底表!$K:$K,服务费明细!$B136,服务费底表!$H:$H,服务费明细!BI$3)</f>
        <v>0</v>
      </c>
      <c r="BJ136" s="388">
        <f>SUMIFS(服务费底表!$AC:$AC,服务费底表!$K:$K,服务费明细!$B136,服务费底表!$H:$H,服务费明细!BJ$3)</f>
        <v>0</v>
      </c>
      <c r="BK136" s="388">
        <f>SUMIFS(服务费底表!$AC:$AC,服务费底表!$K:$K,服务费明细!$B136,服务费底表!$H:$H,服务费明细!BK$3)</f>
        <v>14</v>
      </c>
      <c r="BL136" s="388">
        <f>SUMIFS(服务费底表!$AC:$AC,服务费底表!$K:$K,服务费明细!$B136,服务费底表!$H:$H,服务费明细!BL$3)</f>
        <v>0</v>
      </c>
      <c r="BM136" s="388">
        <f>SUMIFS(服务费底表!$AC:$AC,服务费底表!$K:$K,服务费明细!$B136,服务费底表!$H:$H,服务费明细!BM$3)</f>
        <v>0</v>
      </c>
      <c r="BN136" s="388">
        <f>SUMIFS(服务费底表!$AC:$AC,服务费底表!$K:$K,服务费明细!$B136,服务费底表!$H:$H,服务费明细!BN$3)</f>
        <v>0</v>
      </c>
      <c r="BO136" s="388">
        <f>SUMIFS(服务费底表!$AC:$AC,服务费底表!$K:$K,服务费明细!$B136,服务费底表!$H:$H,服务费明细!BO$3)</f>
        <v>0</v>
      </c>
      <c r="BQ136" s="389">
        <f>SUMIFS(服务费底表!$AD:$AD,服务费底表!$K:$K,服务费明细!$B136,服务费底表!$H:$H,服务费明细!BQ$3)</f>
        <v>0</v>
      </c>
      <c r="BR136" s="389">
        <f>SUMIFS(服务费底表!$AD:$AD,服务费底表!$K:$K,服务费明细!$B136,服务费底表!$H:$H,服务费明细!BR$3)</f>
        <v>0</v>
      </c>
      <c r="BS136" s="389">
        <f>SUMIFS(服务费底表!$AD:$AD,服务费底表!$K:$K,服务费明细!$B136,服务费底表!$H:$H,服务费明细!BS$3)</f>
        <v>4200</v>
      </c>
      <c r="BT136" s="389">
        <f>SUMIFS(服务费底表!$AD:$AD,服务费底表!$K:$K,服务费明细!$B136,服务费底表!$H:$H,服务费明细!BT$3)</f>
        <v>0</v>
      </c>
      <c r="BU136" s="389">
        <f>SUMIFS(服务费底表!$AD:$AD,服务费底表!$K:$K,服务费明细!$B136,服务费底表!$H:$H,服务费明细!BU$3)</f>
        <v>0</v>
      </c>
      <c r="BV136" s="389">
        <f>SUMIFS(服务费底表!$AD:$AD,服务费底表!$K:$K,服务费明细!$B136,服务费底表!$H:$H,服务费明细!BV$3)</f>
        <v>0</v>
      </c>
      <c r="BW136" s="389">
        <f>SUMIFS(服务费底表!$AD:$AD,服务费底表!$K:$K,服务费明细!$B136,服务费底表!$H:$H,服务费明细!BW$3)</f>
        <v>0</v>
      </c>
    </row>
    <row r="137" spans="2:1022 1025:2046 2049:2570">
      <c r="B137" s="89" t="s">
        <v>1068</v>
      </c>
      <c r="C137" s="89" t="str">
        <f>INDEX(二三级标准!$C:$C,MATCH(服务费明细!$B137,二三级标准!$B:$B,0))</f>
        <v>实施随机发药系统数据库维护</v>
      </c>
      <c r="D137" s="166">
        <f>IF(AND($D$113=1,随机化设计&lt;&gt;"非随机化"),1,0)</f>
        <v>0</v>
      </c>
      <c r="E137" s="166">
        <f>IF($D137=1,ROUND(入组月+治疗月+随访月,0),0)</f>
        <v>0</v>
      </c>
      <c r="F137" s="89" t="str">
        <f>INDEX(二三级标准!$G:$G,MATCH(服务费明细!$B137,二三级标准!$B:$B,0))</f>
        <v>月</v>
      </c>
      <c r="G137" s="166">
        <f t="shared" si="229"/>
        <v>0</v>
      </c>
      <c r="H137" s="166">
        <f t="shared" si="230"/>
        <v>0</v>
      </c>
      <c r="I137" s="166">
        <f t="shared" si="231"/>
        <v>0</v>
      </c>
      <c r="J137" s="166">
        <f t="shared" si="232"/>
        <v>0</v>
      </c>
      <c r="K137" s="166">
        <f t="shared" si="233"/>
        <v>0</v>
      </c>
      <c r="L137" s="166">
        <f t="shared" si="234"/>
        <v>0</v>
      </c>
      <c r="M137" s="166">
        <f t="shared" si="235"/>
        <v>0</v>
      </c>
      <c r="N137" s="166">
        <f t="shared" si="236"/>
        <v>0</v>
      </c>
      <c r="O137" s="166">
        <f t="shared" si="237"/>
        <v>0</v>
      </c>
      <c r="P137" s="166">
        <f t="shared" si="238"/>
        <v>0</v>
      </c>
      <c r="Q137" s="166">
        <f t="shared" si="239"/>
        <v>0</v>
      </c>
      <c r="R137" s="166">
        <f t="shared" si="240"/>
        <v>0</v>
      </c>
      <c r="S137" s="166">
        <f t="shared" si="241"/>
        <v>0</v>
      </c>
      <c r="T137" s="166">
        <f t="shared" si="242"/>
        <v>0</v>
      </c>
      <c r="U137" s="166">
        <f t="shared" si="243"/>
        <v>0</v>
      </c>
      <c r="V137" s="166">
        <f t="shared" si="244"/>
        <v>0</v>
      </c>
      <c r="W137" s="166">
        <f t="shared" si="245"/>
        <v>0</v>
      </c>
      <c r="X137" s="166">
        <f t="shared" si="246"/>
        <v>0</v>
      </c>
      <c r="Y137" s="166">
        <f t="shared" si="247"/>
        <v>0</v>
      </c>
      <c r="Z137" s="166">
        <f t="shared" si="248"/>
        <v>0</v>
      </c>
      <c r="AA137" s="166">
        <f t="shared" si="249"/>
        <v>0</v>
      </c>
      <c r="AB137" s="166">
        <f t="shared" si="250"/>
        <v>0</v>
      </c>
      <c r="AC137" s="166" cm="1">
        <f t="array" ref="AC137">SUMPRODUCT(G137:AB137,$G$4:$AB$4)</f>
        <v>0</v>
      </c>
      <c r="AD137" s="89" t="b">
        <f t="shared" si="269"/>
        <v>1</v>
      </c>
      <c r="AE137" s="386">
        <f>IFERROR(SUMIF(服务费底表!$K:$K,服务费明细!$B137,服务费底表!$AD:$AD)/E137,0)</f>
        <v>0</v>
      </c>
      <c r="AF137" s="386">
        <f t="shared" si="270"/>
        <v>0</v>
      </c>
      <c r="AG137" s="386">
        <f>IFERROR(SUMIF(服务费底表!$K:$K,服务费明细!$B137,服务费底表!$AG:$AG)/E137,0)</f>
        <v>0</v>
      </c>
      <c r="AH137" s="386">
        <f t="shared" si="271"/>
        <v>0</v>
      </c>
      <c r="AI137" s="577"/>
      <c r="AJ137" s="563">
        <f t="shared" si="261"/>
        <v>0</v>
      </c>
      <c r="AK137" s="564">
        <f>SUMIF(服务费底表!$K:$K,服务费明细!$B137,服务费底表!$AC:$AC)</f>
        <v>0</v>
      </c>
      <c r="AL137" s="166">
        <f>SUMIFS(服务费底表!$AC:$AC,服务费底表!$K:$K,服务费明细!$B137,服务费底表!$T:$T,AL$3)</f>
        <v>0</v>
      </c>
      <c r="AM137" s="166">
        <f>SUMIFS(服务费底表!$AC:$AC,服务费底表!$K:$K,服务费明细!$B137,服务费底表!$T:$T,AM$3)</f>
        <v>0</v>
      </c>
      <c r="AN137" s="166">
        <f>SUMIFS(服务费底表!$AC:$AC,服务费底表!$K:$K,服务费明细!$B137,服务费底表!$T:$T,AN$3)</f>
        <v>0</v>
      </c>
      <c r="AO137" s="166">
        <f>SUMIFS(服务费底表!$AC:$AC,服务费底表!$K:$K,服务费明细!$B137,服务费底表!$T:$T,AO$3)</f>
        <v>0</v>
      </c>
      <c r="AP137" s="166">
        <f>SUMIFS(服务费底表!$AC:$AC,服务费底表!$K:$K,服务费明细!$B137,服务费底表!$T:$T,AP$3)</f>
        <v>0</v>
      </c>
      <c r="AQ137" s="166">
        <f>SUMIFS(服务费底表!$AC:$AC,服务费底表!$K:$K,服务费明细!$B137,服务费底表!$T:$T,AQ$3)</f>
        <v>0</v>
      </c>
      <c r="AR137" s="166">
        <f>SUMIFS(服务费底表!$AC:$AC,服务费底表!$K:$K,服务费明细!$B137,服务费底表!$T:$T,AR$3)</f>
        <v>0</v>
      </c>
      <c r="AS137" s="166">
        <f>SUMIFS(服务费底表!$AC:$AC,服务费底表!$K:$K,服务费明细!$B137,服务费底表!$T:$T,AS$3)</f>
        <v>0</v>
      </c>
      <c r="AT137" s="166">
        <f>SUMIFS(服务费底表!$AC:$AC,服务费底表!$K:$K,服务费明细!$B137,服务费底表!$T:$T,AT$3)</f>
        <v>0</v>
      </c>
      <c r="AU137" s="166">
        <f>SUMIFS(服务费底表!$AC:$AC,服务费底表!$K:$K,服务费明细!$B137,服务费底表!$T:$T,AU$3)</f>
        <v>0</v>
      </c>
      <c r="AV137" s="166">
        <f>SUMIFS(服务费底表!$AC:$AC,服务费底表!$K:$K,服务费明细!$B137,服务费底表!$T:$T,AV$3)</f>
        <v>0</v>
      </c>
      <c r="AW137" s="166">
        <f>SUMIFS(服务费底表!$AC:$AC,服务费底表!$K:$K,服务费明细!$B137,服务费底表!$T:$T,AW$3)</f>
        <v>0</v>
      </c>
      <c r="AX137" s="166">
        <f>SUMIFS(服务费底表!$AC:$AC,服务费底表!$K:$K,服务费明细!$B137,服务费底表!$T:$T,AX$3)</f>
        <v>0</v>
      </c>
      <c r="AY137" s="166">
        <f>SUMIFS(服务费底表!$AC:$AC,服务费底表!$K:$K,服务费明细!$B137,服务费底表!$T:$T,AY$3)</f>
        <v>0</v>
      </c>
      <c r="AZ137" s="166">
        <f>SUMIFS(服务费底表!$AC:$AC,服务费底表!$K:$K,服务费明细!$B137,服务费底表!$T:$T,AZ$3)</f>
        <v>0</v>
      </c>
      <c r="BA137" s="166">
        <f>SUMIFS(服务费底表!$AC:$AC,服务费底表!$K:$K,服务费明细!$B137,服务费底表!$T:$T,BA$3)</f>
        <v>0</v>
      </c>
      <c r="BB137" s="166">
        <f>SUMIFS(服务费底表!$AC:$AC,服务费底表!$K:$K,服务费明细!$B137,服务费底表!$T:$T,BB$3)</f>
        <v>0</v>
      </c>
      <c r="BC137" s="166">
        <f>SUMIFS(服务费底表!$AC:$AC,服务费底表!$K:$K,服务费明细!$B137,服务费底表!$T:$T,BC$3)</f>
        <v>0</v>
      </c>
      <c r="BD137" s="166">
        <f>SUMIFS(服务费底表!$AC:$AC,服务费底表!$K:$K,服务费明细!$B137,服务费底表!$T:$T,BD$3)</f>
        <v>0</v>
      </c>
      <c r="BE137" s="166">
        <f>SUMIFS(服务费底表!$AC:$AC,服务费底表!$K:$K,服务费明细!$B137,服务费底表!$T:$T,BE$3)</f>
        <v>0</v>
      </c>
      <c r="BF137" s="166">
        <f>SUMIFS(服务费底表!$AC:$AC,服务费底表!$K:$K,服务费明细!$B137,服务费底表!$T:$T,BF$3)</f>
        <v>0</v>
      </c>
      <c r="BG137" s="166">
        <f>SUMIFS(服务费底表!$AC:$AC,服务费底表!$K:$K,服务费明细!$B137,服务费底表!$T:$T,BG$3)</f>
        <v>0</v>
      </c>
      <c r="BI137" s="388">
        <f>SUMIFS(服务费底表!$AC:$AC,服务费底表!$K:$K,服务费明细!$B137,服务费底表!$H:$H,服务费明细!BI$3)</f>
        <v>0</v>
      </c>
      <c r="BJ137" s="388">
        <f>SUMIFS(服务费底表!$AC:$AC,服务费底表!$K:$K,服务费明细!$B137,服务费底表!$H:$H,服务费明细!BJ$3)</f>
        <v>0</v>
      </c>
      <c r="BK137" s="388">
        <f>SUMIFS(服务费底表!$AC:$AC,服务费底表!$K:$K,服务费明细!$B137,服务费底表!$H:$H,服务费明细!BK$3)</f>
        <v>0</v>
      </c>
      <c r="BL137" s="388">
        <f>SUMIFS(服务费底表!$AC:$AC,服务费底表!$K:$K,服务费明细!$B137,服务费底表!$H:$H,服务费明细!BL$3)</f>
        <v>0</v>
      </c>
      <c r="BM137" s="388">
        <f>SUMIFS(服务费底表!$AC:$AC,服务费底表!$K:$K,服务费明细!$B137,服务费底表!$H:$H,服务费明细!BM$3)</f>
        <v>0</v>
      </c>
      <c r="BN137" s="388">
        <f>SUMIFS(服务费底表!$AC:$AC,服务费底表!$K:$K,服务费明细!$B137,服务费底表!$H:$H,服务费明细!BN$3)</f>
        <v>0</v>
      </c>
      <c r="BO137" s="388">
        <f>SUMIFS(服务费底表!$AC:$AC,服务费底表!$K:$K,服务费明细!$B137,服务费底表!$H:$H,服务费明细!BO$3)</f>
        <v>0</v>
      </c>
      <c r="BQ137" s="389">
        <f>SUMIFS(服务费底表!$AD:$AD,服务费底表!$K:$K,服务费明细!$B137,服务费底表!$H:$H,服务费明细!BQ$3)</f>
        <v>0</v>
      </c>
      <c r="BR137" s="389">
        <f>SUMIFS(服务费底表!$AD:$AD,服务费底表!$K:$K,服务费明细!$B137,服务费底表!$H:$H,服务费明细!BR$3)</f>
        <v>0</v>
      </c>
      <c r="BS137" s="389">
        <f>SUMIFS(服务费底表!$AD:$AD,服务费底表!$K:$K,服务费明细!$B137,服务费底表!$H:$H,服务费明细!BS$3)</f>
        <v>0</v>
      </c>
      <c r="BT137" s="389">
        <f>SUMIFS(服务费底表!$AD:$AD,服务费底表!$K:$K,服务费明细!$B137,服务费底表!$H:$H,服务费明细!BT$3)</f>
        <v>0</v>
      </c>
      <c r="BU137" s="389">
        <f>SUMIFS(服务费底表!$AD:$AD,服务费底表!$K:$K,服务费明细!$B137,服务费底表!$H:$H,服务费明细!BU$3)</f>
        <v>0</v>
      </c>
      <c r="BV137" s="389">
        <f>SUMIFS(服务费底表!$AD:$AD,服务费底表!$K:$K,服务费明细!$B137,服务费底表!$H:$H,服务费明细!BV$3)</f>
        <v>0</v>
      </c>
      <c r="BW137" s="389">
        <f>SUMIFS(服务费底表!$AD:$AD,服务费底表!$K:$K,服务费明细!$B137,服务费底表!$H:$H,服务费明细!BW$3)</f>
        <v>0</v>
      </c>
    </row>
    <row r="138" spans="2:1022 1025:2046 2049:2570">
      <c r="B138" s="89" t="s">
        <v>303</v>
      </c>
      <c r="C138" s="89" t="str">
        <f>INDEX(二三级标准!$C:$C,MATCH(服务费明细!$B138,二三级标准!$B:$B,0))</f>
        <v>召开数据审核会</v>
      </c>
      <c r="D138" s="166">
        <f>IF($D$113=1,1,0)</f>
        <v>1</v>
      </c>
      <c r="E138" s="166">
        <f>IF($D138=1,1,0)</f>
        <v>1</v>
      </c>
      <c r="F138" s="89" t="str">
        <f>INDEX(二三级标准!$G:$G,MATCH(服务费明细!$B138,二三级标准!$B:$B,0))</f>
        <v>次</v>
      </c>
      <c r="G138" s="166">
        <f t="shared" si="229"/>
        <v>0</v>
      </c>
      <c r="H138" s="166">
        <f t="shared" si="230"/>
        <v>0</v>
      </c>
      <c r="I138" s="166">
        <f t="shared" si="231"/>
        <v>1</v>
      </c>
      <c r="J138" s="166">
        <f t="shared" si="232"/>
        <v>0</v>
      </c>
      <c r="K138" s="166">
        <f t="shared" si="233"/>
        <v>0</v>
      </c>
      <c r="L138" s="166">
        <f t="shared" si="234"/>
        <v>0</v>
      </c>
      <c r="M138" s="166">
        <f t="shared" si="235"/>
        <v>5</v>
      </c>
      <c r="N138" s="166">
        <f t="shared" si="236"/>
        <v>0</v>
      </c>
      <c r="O138" s="166">
        <f t="shared" si="237"/>
        <v>0</v>
      </c>
      <c r="P138" s="166">
        <f t="shared" si="238"/>
        <v>0</v>
      </c>
      <c r="Q138" s="166">
        <f t="shared" si="239"/>
        <v>0</v>
      </c>
      <c r="R138" s="166">
        <f t="shared" si="240"/>
        <v>0</v>
      </c>
      <c r="S138" s="166">
        <f t="shared" si="241"/>
        <v>13</v>
      </c>
      <c r="T138" s="166">
        <f t="shared" si="242"/>
        <v>16</v>
      </c>
      <c r="U138" s="166">
        <f t="shared" si="243"/>
        <v>1</v>
      </c>
      <c r="V138" s="166">
        <f t="shared" si="244"/>
        <v>11</v>
      </c>
      <c r="W138" s="166">
        <f t="shared" si="245"/>
        <v>0</v>
      </c>
      <c r="X138" s="166">
        <f t="shared" si="246"/>
        <v>5</v>
      </c>
      <c r="Y138" s="166">
        <f t="shared" si="247"/>
        <v>0</v>
      </c>
      <c r="Z138" s="166">
        <f t="shared" si="248"/>
        <v>0</v>
      </c>
      <c r="AA138" s="166">
        <f t="shared" si="249"/>
        <v>0</v>
      </c>
      <c r="AB138" s="166">
        <f t="shared" si="250"/>
        <v>0</v>
      </c>
      <c r="AC138" s="166" cm="1">
        <f t="array" ref="AC138">SUMPRODUCT(G138:AB138,$G$4:$AB$4)</f>
        <v>19930</v>
      </c>
      <c r="AD138" s="89" t="b">
        <f t="shared" si="269"/>
        <v>1</v>
      </c>
      <c r="AE138" s="386">
        <f>IFERROR(SUMIF(服务费底表!$K:$K,服务费明细!$B138,服务费底表!$AD:$AD)/E138,0)</f>
        <v>19930</v>
      </c>
      <c r="AF138" s="386">
        <f t="shared" si="270"/>
        <v>19930</v>
      </c>
      <c r="AG138" s="386">
        <f>IFERROR(SUMIF(服务费底表!$K:$K,服务费明细!$B138,服务费底表!$AG:$AG)/E138,0)</f>
        <v>19930</v>
      </c>
      <c r="AH138" s="386">
        <f t="shared" si="271"/>
        <v>19930</v>
      </c>
      <c r="AI138" s="577" t="s">
        <v>1069</v>
      </c>
      <c r="AJ138" s="563">
        <f t="shared" si="261"/>
        <v>52</v>
      </c>
      <c r="AK138" s="564">
        <f>SUMIF(服务费底表!$K:$K,服务费明细!$B138,服务费底表!$AC:$AC)</f>
        <v>52</v>
      </c>
      <c r="AL138" s="166">
        <f>SUMIFS(服务费底表!$AC:$AC,服务费底表!$K:$K,服务费明细!$B138,服务费底表!$T:$T,AL$3)</f>
        <v>0</v>
      </c>
      <c r="AM138" s="166">
        <f>SUMIFS(服务费底表!$AC:$AC,服务费底表!$K:$K,服务费明细!$B138,服务费底表!$T:$T,AM$3)</f>
        <v>0</v>
      </c>
      <c r="AN138" s="166">
        <f>SUMIFS(服务费底表!$AC:$AC,服务费底表!$K:$K,服务费明细!$B138,服务费底表!$T:$T,AN$3)</f>
        <v>1</v>
      </c>
      <c r="AO138" s="166">
        <f>SUMIFS(服务费底表!$AC:$AC,服务费底表!$K:$K,服务费明细!$B138,服务费底表!$T:$T,AO$3)</f>
        <v>0</v>
      </c>
      <c r="AP138" s="166">
        <f>SUMIFS(服务费底表!$AC:$AC,服务费底表!$K:$K,服务费明细!$B138,服务费底表!$T:$T,AP$3)</f>
        <v>0</v>
      </c>
      <c r="AQ138" s="166">
        <f>SUMIFS(服务费底表!$AC:$AC,服务费底表!$K:$K,服务费明细!$B138,服务费底表!$T:$T,AQ$3)</f>
        <v>0</v>
      </c>
      <c r="AR138" s="166">
        <f>SUMIFS(服务费底表!$AC:$AC,服务费底表!$K:$K,服务费明细!$B138,服务费底表!$T:$T,AR$3)</f>
        <v>5</v>
      </c>
      <c r="AS138" s="166">
        <f>SUMIFS(服务费底表!$AC:$AC,服务费底表!$K:$K,服务费明细!$B138,服务费底表!$T:$T,AS$3)</f>
        <v>0</v>
      </c>
      <c r="AT138" s="166">
        <f>SUMIFS(服务费底表!$AC:$AC,服务费底表!$K:$K,服务费明细!$B138,服务费底表!$T:$T,AT$3)</f>
        <v>0</v>
      </c>
      <c r="AU138" s="166">
        <f>SUMIFS(服务费底表!$AC:$AC,服务费底表!$K:$K,服务费明细!$B138,服务费底表!$T:$T,AU$3)</f>
        <v>0</v>
      </c>
      <c r="AV138" s="166">
        <f>SUMIFS(服务费底表!$AC:$AC,服务费底表!$K:$K,服务费明细!$B138,服务费底表!$T:$T,AV$3)</f>
        <v>0</v>
      </c>
      <c r="AW138" s="166">
        <f>SUMIFS(服务费底表!$AC:$AC,服务费底表!$K:$K,服务费明细!$B138,服务费底表!$T:$T,AW$3)</f>
        <v>0</v>
      </c>
      <c r="AX138" s="166">
        <f>SUMIFS(服务费底表!$AC:$AC,服务费底表!$K:$K,服务费明细!$B138,服务费底表!$T:$T,AX$3)</f>
        <v>13</v>
      </c>
      <c r="AY138" s="166">
        <f>SUMIFS(服务费底表!$AC:$AC,服务费底表!$K:$K,服务费明细!$B138,服务费底表!$T:$T,AY$3)</f>
        <v>16</v>
      </c>
      <c r="AZ138" s="166">
        <f>SUMIFS(服务费底表!$AC:$AC,服务费底表!$K:$K,服务费明细!$B138,服务费底表!$T:$T,AZ$3)</f>
        <v>1</v>
      </c>
      <c r="BA138" s="166">
        <f>SUMIFS(服务费底表!$AC:$AC,服务费底表!$K:$K,服务费明细!$B138,服务费底表!$T:$T,BA$3)</f>
        <v>11</v>
      </c>
      <c r="BB138" s="166">
        <f>SUMIFS(服务费底表!$AC:$AC,服务费底表!$K:$K,服务费明细!$B138,服务费底表!$T:$T,BB$3)</f>
        <v>0</v>
      </c>
      <c r="BC138" s="166">
        <f>SUMIFS(服务费底表!$AC:$AC,服务费底表!$K:$K,服务费明细!$B138,服务费底表!$T:$T,BC$3)</f>
        <v>5</v>
      </c>
      <c r="BD138" s="166">
        <f>SUMIFS(服务费底表!$AC:$AC,服务费底表!$K:$K,服务费明细!$B138,服务费底表!$T:$T,BD$3)</f>
        <v>0</v>
      </c>
      <c r="BE138" s="166">
        <f>SUMIFS(服务费底表!$AC:$AC,服务费底表!$K:$K,服务费明细!$B138,服务费底表!$T:$T,BE$3)</f>
        <v>0</v>
      </c>
      <c r="BF138" s="166">
        <f>SUMIFS(服务费底表!$AC:$AC,服务费底表!$K:$K,服务费明细!$B138,服务费底表!$T:$T,BF$3)</f>
        <v>0</v>
      </c>
      <c r="BG138" s="166">
        <f>SUMIFS(服务费底表!$AC:$AC,服务费底表!$K:$K,服务费明细!$B138,服务费底表!$T:$T,BG$3)</f>
        <v>0</v>
      </c>
      <c r="BI138" s="388">
        <f>SUMIFS(服务费底表!$AC:$AC,服务费底表!$K:$K,服务费明细!$B138,服务费底表!$H:$H,服务费明细!BI$3)</f>
        <v>5</v>
      </c>
      <c r="BJ138" s="388">
        <f>SUMIFS(服务费底表!$AC:$AC,服务费底表!$K:$K,服务费明细!$B138,服务费底表!$H:$H,服务费明细!BJ$3)</f>
        <v>1</v>
      </c>
      <c r="BK138" s="388">
        <f>SUMIFS(服务费底表!$AC:$AC,服务费底表!$K:$K,服务费明细!$B138,服务费底表!$H:$H,服务费明细!BK$3)</f>
        <v>13</v>
      </c>
      <c r="BL138" s="388">
        <f>SUMIFS(服务费底表!$AC:$AC,服务费底表!$K:$K,服务费明细!$B138,服务费底表!$H:$H,服务费明细!BL$3)</f>
        <v>28</v>
      </c>
      <c r="BM138" s="388">
        <f>SUMIFS(服务费底表!$AC:$AC,服务费底表!$K:$K,服务费明细!$B138,服务费底表!$H:$H,服务费明细!BM$3)</f>
        <v>0</v>
      </c>
      <c r="BN138" s="388">
        <f>SUMIFS(服务费底表!$AC:$AC,服务费底表!$K:$K,服务费明细!$B138,服务费底表!$H:$H,服务费明细!BN$3)</f>
        <v>5</v>
      </c>
      <c r="BO138" s="388">
        <f>SUMIFS(服务费底表!$AC:$AC,服务费底表!$K:$K,服务费明细!$B138,服务费底表!$H:$H,服务费明细!BO$3)</f>
        <v>0</v>
      </c>
      <c r="BQ138" s="389">
        <f>SUMIFS(服务费底表!$AD:$AD,服务费底表!$K:$K,服务费明细!$B138,服务费底表!$H:$H,服务费明细!BQ$3)</f>
        <v>3250</v>
      </c>
      <c r="BR138" s="389">
        <f>SUMIFS(服务费底表!$AD:$AD,服务费底表!$K:$K,服务费明细!$B138,服务费底表!$H:$H,服务费明细!BR$3)</f>
        <v>650</v>
      </c>
      <c r="BS138" s="389">
        <f>SUMIFS(服务费底表!$AD:$AD,服务费底表!$K:$K,服务费明细!$B138,服务费底表!$H:$H,服务费明细!BS$3)</f>
        <v>4680</v>
      </c>
      <c r="BT138" s="389">
        <f>SUMIFS(服务费底表!$AD:$AD,服务费底表!$K:$K,服务费明细!$B138,服务费底表!$H:$H,服务费明细!BT$3)</f>
        <v>8450</v>
      </c>
      <c r="BU138" s="389">
        <f>SUMIFS(服务费底表!$AD:$AD,服务费底表!$K:$K,服务费明细!$B138,服务费底表!$H:$H,服务费明细!BU$3)</f>
        <v>0</v>
      </c>
      <c r="BV138" s="389">
        <f>SUMIFS(服务费底表!$AD:$AD,服务费底表!$K:$K,服务费明细!$B138,服务费底表!$H:$H,服务费明细!BV$3)</f>
        <v>2900</v>
      </c>
      <c r="BW138" s="389">
        <f>SUMIFS(服务费底表!$AD:$AD,服务费底表!$K:$K,服务费明细!$B138,服务费底表!$H:$H,服务费明细!BW$3)</f>
        <v>0</v>
      </c>
    </row>
    <row r="139" spans="2:1022 1025:2046 2049:2570">
      <c r="B139" s="89" t="s">
        <v>305</v>
      </c>
      <c r="C139" s="89" t="str">
        <f>INDEX(二三级标准!$C:$C,MATCH(服务费明细!$B139,二三级标准!$B:$B,0))</f>
        <v>数据库锁定</v>
      </c>
      <c r="D139" s="166">
        <f>IF($D$113=1,1,0)</f>
        <v>1</v>
      </c>
      <c r="E139" s="166">
        <f>IF($D139=1,1,0)</f>
        <v>1</v>
      </c>
      <c r="F139" s="89" t="str">
        <f>INDEX(二三级标准!$G:$G,MATCH(服务费明细!$B139,二三级标准!$B:$B,0))</f>
        <v>项目</v>
      </c>
      <c r="G139" s="166">
        <f t="shared" si="229"/>
        <v>0</v>
      </c>
      <c r="H139" s="166">
        <f t="shared" si="230"/>
        <v>0</v>
      </c>
      <c r="I139" s="166">
        <f t="shared" si="231"/>
        <v>0</v>
      </c>
      <c r="J139" s="166">
        <f t="shared" si="232"/>
        <v>0</v>
      </c>
      <c r="K139" s="166">
        <f t="shared" si="233"/>
        <v>0</v>
      </c>
      <c r="L139" s="166">
        <f t="shared" si="234"/>
        <v>0</v>
      </c>
      <c r="M139" s="166">
        <f t="shared" si="235"/>
        <v>0</v>
      </c>
      <c r="N139" s="166">
        <f t="shared" si="236"/>
        <v>0</v>
      </c>
      <c r="O139" s="166">
        <f t="shared" si="237"/>
        <v>0</v>
      </c>
      <c r="P139" s="166">
        <f t="shared" si="238"/>
        <v>0</v>
      </c>
      <c r="Q139" s="166">
        <f t="shared" si="239"/>
        <v>0.5</v>
      </c>
      <c r="R139" s="585">
        <f t="shared" si="240"/>
        <v>43</v>
      </c>
      <c r="S139" s="166">
        <f t="shared" si="241"/>
        <v>14.5</v>
      </c>
      <c r="T139" s="166">
        <f t="shared" si="242"/>
        <v>0</v>
      </c>
      <c r="U139" s="166">
        <f t="shared" si="243"/>
        <v>0</v>
      </c>
      <c r="V139" s="585">
        <f t="shared" si="244"/>
        <v>0.5</v>
      </c>
      <c r="W139" s="166">
        <f t="shared" si="245"/>
        <v>0</v>
      </c>
      <c r="X139" s="166">
        <f t="shared" si="246"/>
        <v>0</v>
      </c>
      <c r="Y139" s="166">
        <f t="shared" si="247"/>
        <v>0</v>
      </c>
      <c r="Z139" s="166">
        <f t="shared" si="248"/>
        <v>0</v>
      </c>
      <c r="AA139" s="166">
        <f t="shared" si="249"/>
        <v>0</v>
      </c>
      <c r="AB139" s="166">
        <f t="shared" si="250"/>
        <v>0</v>
      </c>
      <c r="AC139" s="166" cm="1">
        <f t="array" ref="AC139">SUMPRODUCT(G139:AB139,$G$4:$AB$4)</f>
        <v>14170</v>
      </c>
      <c r="AD139" s="89" t="b">
        <f t="shared" si="269"/>
        <v>1</v>
      </c>
      <c r="AE139" s="386">
        <f>IFERROR(SUMIF(服务费底表!$K:$K,服务费明细!$B139,服务费底表!$AD:$AD)/E139,0)</f>
        <v>14170</v>
      </c>
      <c r="AF139" s="386">
        <f t="shared" si="270"/>
        <v>14170</v>
      </c>
      <c r="AG139" s="386">
        <f>IFERROR(SUMIF(服务费底表!$K:$K,服务费明细!$B139,服务费底表!$AG:$AG)/E139,0)</f>
        <v>14170</v>
      </c>
      <c r="AH139" s="386">
        <f t="shared" si="271"/>
        <v>14170</v>
      </c>
      <c r="AI139" s="577"/>
      <c r="AJ139" s="563">
        <f t="shared" si="261"/>
        <v>58.5</v>
      </c>
      <c r="AK139" s="564">
        <f>SUMIF(服务费底表!$K:$K,服务费明细!$B139,服务费底表!$AC:$AC)</f>
        <v>58.5</v>
      </c>
      <c r="AL139" s="166">
        <f>SUMIFS(服务费底表!$AC:$AC,服务费底表!$K:$K,服务费明细!$B139,服务费底表!$T:$T,AL$3)</f>
        <v>0</v>
      </c>
      <c r="AM139" s="166">
        <f>SUMIFS(服务费底表!$AC:$AC,服务费底表!$K:$K,服务费明细!$B139,服务费底表!$T:$T,AM$3)</f>
        <v>0</v>
      </c>
      <c r="AN139" s="166">
        <f>SUMIFS(服务费底表!$AC:$AC,服务费底表!$K:$K,服务费明细!$B139,服务费底表!$T:$T,AN$3)</f>
        <v>0</v>
      </c>
      <c r="AO139" s="166">
        <f>SUMIFS(服务费底表!$AC:$AC,服务费底表!$K:$K,服务费明细!$B139,服务费底表!$T:$T,AO$3)</f>
        <v>0</v>
      </c>
      <c r="AP139" s="166">
        <f>SUMIFS(服务费底表!$AC:$AC,服务费底表!$K:$K,服务费明细!$B139,服务费底表!$T:$T,AP$3)</f>
        <v>0</v>
      </c>
      <c r="AQ139" s="166">
        <f>SUMIFS(服务费底表!$AC:$AC,服务费底表!$K:$K,服务费明细!$B139,服务费底表!$T:$T,AQ$3)</f>
        <v>0</v>
      </c>
      <c r="AR139" s="166">
        <f>SUMIFS(服务费底表!$AC:$AC,服务费底表!$K:$K,服务费明细!$B139,服务费底表!$T:$T,AR$3)</f>
        <v>0</v>
      </c>
      <c r="AS139" s="166">
        <f>SUMIFS(服务费底表!$AC:$AC,服务费底表!$K:$K,服务费明细!$B139,服务费底表!$T:$T,AS$3)</f>
        <v>0</v>
      </c>
      <c r="AT139" s="166">
        <f>SUMIFS(服务费底表!$AC:$AC,服务费底表!$K:$K,服务费明细!$B139,服务费底表!$T:$T,AT$3)</f>
        <v>0</v>
      </c>
      <c r="AU139" s="166">
        <f>SUMIFS(服务费底表!$AC:$AC,服务费底表!$K:$K,服务费明细!$B139,服务费底表!$T:$T,AU$3)</f>
        <v>0</v>
      </c>
      <c r="AV139" s="166">
        <f>SUMIFS(服务费底表!$AC:$AC,服务费底表!$K:$K,服务费明细!$B139,服务费底表!$T:$T,AV$3)</f>
        <v>0.5</v>
      </c>
      <c r="AW139" s="166">
        <f>SUMIFS(服务费底表!$AC:$AC,服务费底表!$K:$K,服务费明细!$B139,服务费底表!$T:$T,AW$3)</f>
        <v>43</v>
      </c>
      <c r="AX139" s="166">
        <f>SUMIFS(服务费底表!$AC:$AC,服务费底表!$K:$K,服务费明细!$B139,服务费底表!$T:$T,AX$3)</f>
        <v>14.5</v>
      </c>
      <c r="AY139" s="166">
        <f>SUMIFS(服务费底表!$AC:$AC,服务费底表!$K:$K,服务费明细!$B139,服务费底表!$T:$T,AY$3)</f>
        <v>0</v>
      </c>
      <c r="AZ139" s="166">
        <f>SUMIFS(服务费底表!$AC:$AC,服务费底表!$K:$K,服务费明细!$B139,服务费底表!$T:$T,AZ$3)</f>
        <v>0</v>
      </c>
      <c r="BA139" s="166">
        <f>SUMIFS(服务费底表!$AC:$AC,服务费底表!$K:$K,服务费明细!$B139,服务费底表!$T:$T,BA$3)</f>
        <v>0.5</v>
      </c>
      <c r="BB139" s="166">
        <f>SUMIFS(服务费底表!$AC:$AC,服务费底表!$K:$K,服务费明细!$B139,服务费底表!$T:$T,BB$3)</f>
        <v>0</v>
      </c>
      <c r="BC139" s="166">
        <f>SUMIFS(服务费底表!$AC:$AC,服务费底表!$K:$K,服务费明细!$B139,服务费底表!$T:$T,BC$3)</f>
        <v>0</v>
      </c>
      <c r="BD139" s="166">
        <f>SUMIFS(服务费底表!$AC:$AC,服务费底表!$K:$K,服务费明细!$B139,服务费底表!$T:$T,BD$3)</f>
        <v>0</v>
      </c>
      <c r="BE139" s="166">
        <f>SUMIFS(服务费底表!$AC:$AC,服务费底表!$K:$K,服务费明细!$B139,服务费底表!$T:$T,BE$3)</f>
        <v>0</v>
      </c>
      <c r="BF139" s="166">
        <f>SUMIFS(服务费底表!$AC:$AC,服务费底表!$K:$K,服务费明细!$B139,服务费底表!$T:$T,BF$3)</f>
        <v>0</v>
      </c>
      <c r="BG139" s="166">
        <f>SUMIFS(服务费底表!$AC:$AC,服务费底表!$K:$K,服务费明细!$B139,服务费底表!$T:$T,BG$3)</f>
        <v>0</v>
      </c>
      <c r="BI139" s="388">
        <f>SUMIFS(服务费底表!$AC:$AC,服务费底表!$K:$K,服务费明细!$B139,服务费底表!$H:$H,服务费明细!BI$3)</f>
        <v>0</v>
      </c>
      <c r="BJ139" s="388">
        <f>SUMIFS(服务费底表!$AC:$AC,服务费底表!$K:$K,服务费明细!$B139,服务费底表!$H:$H,服务费明细!BJ$3)</f>
        <v>0</v>
      </c>
      <c r="BK139" s="388">
        <f>SUMIFS(服务费底表!$AC:$AC,服务费底表!$K:$K,服务费明细!$B139,服务费底表!$H:$H,服务费明细!BK$3)</f>
        <v>58</v>
      </c>
      <c r="BL139" s="388">
        <f>SUMIFS(服务费底表!$AC:$AC,服务费底表!$K:$K,服务费明细!$B139,服务费底表!$H:$H,服务费明细!BL$3)</f>
        <v>0.5</v>
      </c>
      <c r="BM139" s="388">
        <f>SUMIFS(服务费底表!$AC:$AC,服务费底表!$K:$K,服务费明细!$B139,服务费底表!$H:$H,服务费明细!BM$3)</f>
        <v>0</v>
      </c>
      <c r="BN139" s="388">
        <f>SUMIFS(服务费底表!$AC:$AC,服务费底表!$K:$K,服务费明细!$B139,服务费底表!$H:$H,服务费明细!BN$3)</f>
        <v>0</v>
      </c>
      <c r="BO139" s="388">
        <f>SUMIFS(服务费底表!$AC:$AC,服务费底表!$K:$K,服务费明细!$B139,服务费底表!$H:$H,服务费明细!BO$3)</f>
        <v>0</v>
      </c>
      <c r="BQ139" s="389">
        <f>SUMIFS(服务费底表!$AD:$AD,服务费底表!$K:$K,服务费明细!$B139,服务费底表!$H:$H,服务费明细!BQ$3)</f>
        <v>0</v>
      </c>
      <c r="BR139" s="389">
        <f>SUMIFS(服务费底表!$AD:$AD,服务费底表!$K:$K,服务费明细!$B139,服务费底表!$H:$H,服务费明细!BR$3)</f>
        <v>0</v>
      </c>
      <c r="BS139" s="389">
        <f>SUMIFS(服务费底表!$AD:$AD,服务费底表!$K:$K,服务费明细!$B139,服务费底表!$H:$H,服务费明细!BS$3)</f>
        <v>13970</v>
      </c>
      <c r="BT139" s="389">
        <f>SUMIFS(服务费底表!$AD:$AD,服务费底表!$K:$K,服务费明细!$B139,服务费底表!$H:$H,服务费明细!BT$3)</f>
        <v>200</v>
      </c>
      <c r="BU139" s="389">
        <f>SUMIFS(服务费底表!$AD:$AD,服务费底表!$K:$K,服务费明细!$B139,服务费底表!$H:$H,服务费明细!BU$3)</f>
        <v>0</v>
      </c>
      <c r="BV139" s="389">
        <f>SUMIFS(服务费底表!$AD:$AD,服务费底表!$K:$K,服务费明细!$B139,服务费底表!$H:$H,服务费明细!BV$3)</f>
        <v>0</v>
      </c>
      <c r="BW139" s="389">
        <f>SUMIFS(服务费底表!$AD:$AD,服务费底表!$K:$K,服务费明细!$B139,服务费底表!$H:$H,服务费明细!BW$3)</f>
        <v>0</v>
      </c>
    </row>
    <row r="140" spans="2:1022 1025:2046 2049:2570">
      <c r="B140" s="89" t="s">
        <v>307</v>
      </c>
      <c r="C140" s="89" t="str">
        <f>INDEX(二三级标准!$C:$C,MATCH(服务费明细!$B140,二三级标准!$B:$B,0))</f>
        <v>撰写数据管理报告</v>
      </c>
      <c r="D140" s="166">
        <v>0</v>
      </c>
      <c r="E140" s="166">
        <f>IF($D140=1,1,0)</f>
        <v>0</v>
      </c>
      <c r="F140" s="89" t="str">
        <f>INDEX(二三级标准!$G:$G,MATCH(服务费明细!$B140,二三级标准!$B:$B,0))</f>
        <v>份</v>
      </c>
      <c r="G140" s="166">
        <f t="shared" si="229"/>
        <v>0</v>
      </c>
      <c r="H140" s="166">
        <f t="shared" si="230"/>
        <v>0</v>
      </c>
      <c r="I140" s="166">
        <f t="shared" si="231"/>
        <v>0</v>
      </c>
      <c r="J140" s="166">
        <f t="shared" si="232"/>
        <v>0</v>
      </c>
      <c r="K140" s="166">
        <f t="shared" si="233"/>
        <v>0</v>
      </c>
      <c r="L140" s="166">
        <f t="shared" si="234"/>
        <v>0</v>
      </c>
      <c r="M140" s="166">
        <f t="shared" si="235"/>
        <v>0</v>
      </c>
      <c r="N140" s="166">
        <f t="shared" si="236"/>
        <v>0</v>
      </c>
      <c r="O140" s="166">
        <f t="shared" si="237"/>
        <v>0</v>
      </c>
      <c r="P140" s="166">
        <f t="shared" si="238"/>
        <v>0</v>
      </c>
      <c r="Q140" s="166">
        <f t="shared" si="239"/>
        <v>0</v>
      </c>
      <c r="R140" s="166">
        <f t="shared" si="240"/>
        <v>0</v>
      </c>
      <c r="S140" s="166">
        <f t="shared" si="241"/>
        <v>0</v>
      </c>
      <c r="T140" s="166">
        <f t="shared" si="242"/>
        <v>0</v>
      </c>
      <c r="U140" s="166">
        <f t="shared" si="243"/>
        <v>0</v>
      </c>
      <c r="V140" s="166">
        <f t="shared" si="244"/>
        <v>0</v>
      </c>
      <c r="W140" s="166">
        <f t="shared" si="245"/>
        <v>0</v>
      </c>
      <c r="X140" s="166">
        <f t="shared" si="246"/>
        <v>0</v>
      </c>
      <c r="Y140" s="166">
        <f t="shared" si="247"/>
        <v>0</v>
      </c>
      <c r="Z140" s="166">
        <f t="shared" si="248"/>
        <v>0</v>
      </c>
      <c r="AA140" s="166">
        <f t="shared" si="249"/>
        <v>0</v>
      </c>
      <c r="AB140" s="166">
        <f t="shared" si="250"/>
        <v>0</v>
      </c>
      <c r="AC140" s="166" cm="1">
        <f t="array" ref="AC140">SUMPRODUCT(G140:AB140,$G$4:$AB$4)</f>
        <v>0</v>
      </c>
      <c r="AD140" s="89" t="b">
        <f t="shared" si="269"/>
        <v>1</v>
      </c>
      <c r="AE140" s="386">
        <f>IFERROR(SUMIF(服务费底表!$K:$K,服务费明细!$B140,服务费底表!$AD:$AD)/E140,0)</f>
        <v>0</v>
      </c>
      <c r="AF140" s="386">
        <f t="shared" si="270"/>
        <v>0</v>
      </c>
      <c r="AG140" s="386">
        <f>IFERROR(SUMIF(服务费底表!$K:$K,服务费明细!$B140,服务费底表!$AG:$AG)/E140,0)</f>
        <v>0</v>
      </c>
      <c r="AH140" s="386">
        <f t="shared" si="271"/>
        <v>0</v>
      </c>
      <c r="AI140" s="577"/>
      <c r="AJ140" s="563">
        <f t="shared" si="261"/>
        <v>0</v>
      </c>
      <c r="AK140" s="564">
        <f>SUMIF(服务费底表!$K:$K,服务费明细!$B140,服务费底表!$AC:$AC)</f>
        <v>0</v>
      </c>
      <c r="AL140" s="166">
        <f>SUMIFS(服务费底表!$AC:$AC,服务费底表!$K:$K,服务费明细!$B140,服务费底表!$T:$T,AL$3)</f>
        <v>0</v>
      </c>
      <c r="AM140" s="166">
        <f>SUMIFS(服务费底表!$AC:$AC,服务费底表!$K:$K,服务费明细!$B140,服务费底表!$T:$T,AM$3)</f>
        <v>0</v>
      </c>
      <c r="AN140" s="166">
        <f>SUMIFS(服务费底表!$AC:$AC,服务费底表!$K:$K,服务费明细!$B140,服务费底表!$T:$T,AN$3)</f>
        <v>0</v>
      </c>
      <c r="AO140" s="166">
        <f>SUMIFS(服务费底表!$AC:$AC,服务费底表!$K:$K,服务费明细!$B140,服务费底表!$T:$T,AO$3)</f>
        <v>0</v>
      </c>
      <c r="AP140" s="166">
        <f>SUMIFS(服务费底表!$AC:$AC,服务费底表!$K:$K,服务费明细!$B140,服务费底表!$T:$T,AP$3)</f>
        <v>0</v>
      </c>
      <c r="AQ140" s="166">
        <f>SUMIFS(服务费底表!$AC:$AC,服务费底表!$K:$K,服务费明细!$B140,服务费底表!$T:$T,AQ$3)</f>
        <v>0</v>
      </c>
      <c r="AR140" s="166">
        <f>SUMIFS(服务费底表!$AC:$AC,服务费底表!$K:$K,服务费明细!$B140,服务费底表!$T:$T,AR$3)</f>
        <v>0</v>
      </c>
      <c r="AS140" s="166">
        <f>SUMIFS(服务费底表!$AC:$AC,服务费底表!$K:$K,服务费明细!$B140,服务费底表!$T:$T,AS$3)</f>
        <v>0</v>
      </c>
      <c r="AT140" s="166">
        <f>SUMIFS(服务费底表!$AC:$AC,服务费底表!$K:$K,服务费明细!$B140,服务费底表!$T:$T,AT$3)</f>
        <v>0</v>
      </c>
      <c r="AU140" s="166">
        <f>SUMIFS(服务费底表!$AC:$AC,服务费底表!$K:$K,服务费明细!$B140,服务费底表!$T:$T,AU$3)</f>
        <v>0</v>
      </c>
      <c r="AV140" s="166">
        <f>SUMIFS(服务费底表!$AC:$AC,服务费底表!$K:$K,服务费明细!$B140,服务费底表!$T:$T,AV$3)</f>
        <v>0</v>
      </c>
      <c r="AW140" s="166">
        <f>SUMIFS(服务费底表!$AC:$AC,服务费底表!$K:$K,服务费明细!$B140,服务费底表!$T:$T,AW$3)</f>
        <v>0</v>
      </c>
      <c r="AX140" s="166">
        <f>SUMIFS(服务费底表!$AC:$AC,服务费底表!$K:$K,服务费明细!$B140,服务费底表!$T:$T,AX$3)</f>
        <v>0</v>
      </c>
      <c r="AY140" s="166">
        <f>SUMIFS(服务费底表!$AC:$AC,服务费底表!$K:$K,服务费明细!$B140,服务费底表!$T:$T,AY$3)</f>
        <v>0</v>
      </c>
      <c r="AZ140" s="166">
        <f>SUMIFS(服务费底表!$AC:$AC,服务费底表!$K:$K,服务费明细!$B140,服务费底表!$T:$T,AZ$3)</f>
        <v>0</v>
      </c>
      <c r="BA140" s="166">
        <f>SUMIFS(服务费底表!$AC:$AC,服务费底表!$K:$K,服务费明细!$B140,服务费底表!$T:$T,BA$3)</f>
        <v>0</v>
      </c>
      <c r="BB140" s="166">
        <f>SUMIFS(服务费底表!$AC:$AC,服务费底表!$K:$K,服务费明细!$B140,服务费底表!$T:$T,BB$3)</f>
        <v>0</v>
      </c>
      <c r="BC140" s="166">
        <f>SUMIFS(服务费底表!$AC:$AC,服务费底表!$K:$K,服务费明细!$B140,服务费底表!$T:$T,BC$3)</f>
        <v>0</v>
      </c>
      <c r="BD140" s="166">
        <f>SUMIFS(服务费底表!$AC:$AC,服务费底表!$K:$K,服务费明细!$B140,服务费底表!$T:$T,BD$3)</f>
        <v>0</v>
      </c>
      <c r="BE140" s="166">
        <f>SUMIFS(服务费底表!$AC:$AC,服务费底表!$K:$K,服务费明细!$B140,服务费底表!$T:$T,BE$3)</f>
        <v>0</v>
      </c>
      <c r="BF140" s="166">
        <f>SUMIFS(服务费底表!$AC:$AC,服务费底表!$K:$K,服务费明细!$B140,服务费底表!$T:$T,BF$3)</f>
        <v>0</v>
      </c>
      <c r="BG140" s="166">
        <f>SUMIFS(服务费底表!$AC:$AC,服务费底表!$K:$K,服务费明细!$B140,服务费底表!$T:$T,BG$3)</f>
        <v>0</v>
      </c>
      <c r="BI140" s="388">
        <f>SUMIFS(服务费底表!$AC:$AC,服务费底表!$K:$K,服务费明细!$B140,服务费底表!$H:$H,服务费明细!BI$3)</f>
        <v>0</v>
      </c>
      <c r="BJ140" s="388">
        <f>SUMIFS(服务费底表!$AC:$AC,服务费底表!$K:$K,服务费明细!$B140,服务费底表!$H:$H,服务费明细!BJ$3)</f>
        <v>0</v>
      </c>
      <c r="BK140" s="388">
        <f>SUMIFS(服务费底表!$AC:$AC,服务费底表!$K:$K,服务费明细!$B140,服务费底表!$H:$H,服务费明细!BK$3)</f>
        <v>0</v>
      </c>
      <c r="BL140" s="388">
        <f>SUMIFS(服务费底表!$AC:$AC,服务费底表!$K:$K,服务费明细!$B140,服务费底表!$H:$H,服务费明细!BL$3)</f>
        <v>0</v>
      </c>
      <c r="BM140" s="388">
        <f>SUMIFS(服务费底表!$AC:$AC,服务费底表!$K:$K,服务费明细!$B140,服务费底表!$H:$H,服务费明细!BM$3)</f>
        <v>0</v>
      </c>
      <c r="BN140" s="388">
        <f>SUMIFS(服务费底表!$AC:$AC,服务费底表!$K:$K,服务费明细!$B140,服务费底表!$H:$H,服务费明细!BN$3)</f>
        <v>0</v>
      </c>
      <c r="BO140" s="388">
        <f>SUMIFS(服务费底表!$AC:$AC,服务费底表!$K:$K,服务费明细!$B140,服务费底表!$H:$H,服务费明细!BO$3)</f>
        <v>0</v>
      </c>
      <c r="BQ140" s="389">
        <f>SUMIFS(服务费底表!$AD:$AD,服务费底表!$K:$K,服务费明细!$B140,服务费底表!$H:$H,服务费明细!BQ$3)</f>
        <v>0</v>
      </c>
      <c r="BR140" s="389">
        <f>SUMIFS(服务费底表!$AD:$AD,服务费底表!$K:$K,服务费明细!$B140,服务费底表!$H:$H,服务费明细!BR$3)</f>
        <v>0</v>
      </c>
      <c r="BS140" s="389">
        <f>SUMIFS(服务费底表!$AD:$AD,服务费底表!$K:$K,服务费明细!$B140,服务费底表!$H:$H,服务费明细!BS$3)</f>
        <v>0</v>
      </c>
      <c r="BT140" s="389">
        <f>SUMIFS(服务费底表!$AD:$AD,服务费底表!$K:$K,服务费明细!$B140,服务费底表!$H:$H,服务费明细!BT$3)</f>
        <v>0</v>
      </c>
      <c r="BU140" s="389">
        <f>SUMIFS(服务费底表!$AD:$AD,服务费底表!$K:$K,服务费明细!$B140,服务费底表!$H:$H,服务费明细!BU$3)</f>
        <v>0</v>
      </c>
      <c r="BV140" s="389">
        <f>SUMIFS(服务费底表!$AD:$AD,服务费底表!$K:$K,服务费明细!$B140,服务费底表!$H:$H,服务费明细!BV$3)</f>
        <v>0</v>
      </c>
      <c r="BW140" s="389">
        <f>SUMIFS(服务费底表!$AD:$AD,服务费底表!$K:$K,服务费明细!$B140,服务费底表!$H:$H,服务费明细!BW$3)</f>
        <v>0</v>
      </c>
      <c r="BX140" s="262"/>
      <c r="CA140" s="586"/>
      <c r="CB140" s="586"/>
      <c r="CD140" s="357"/>
      <c r="CG140" s="262"/>
      <c r="CH140" s="262"/>
      <c r="CK140" s="586"/>
      <c r="CL140" s="586"/>
      <c r="CN140" s="357"/>
      <c r="CQ140" s="262"/>
      <c r="CR140" s="262"/>
      <c r="CU140" s="586"/>
      <c r="CV140" s="586"/>
      <c r="CX140" s="357"/>
      <c r="DA140" s="262"/>
      <c r="DB140" s="262"/>
      <c r="DE140" s="586"/>
      <c r="DF140" s="586"/>
      <c r="DH140" s="357"/>
      <c r="DK140" s="262"/>
      <c r="DL140" s="262"/>
      <c r="DO140" s="586"/>
      <c r="DP140" s="586"/>
      <c r="DR140" s="357"/>
      <c r="DU140" s="262"/>
      <c r="DV140" s="262"/>
      <c r="DY140" s="586"/>
      <c r="DZ140" s="586"/>
      <c r="EB140" s="357"/>
      <c r="EE140" s="262"/>
      <c r="EF140" s="262"/>
      <c r="EI140" s="586"/>
      <c r="EJ140" s="586"/>
      <c r="EL140" s="357"/>
      <c r="EO140" s="262"/>
      <c r="EP140" s="262"/>
      <c r="ES140" s="586"/>
      <c r="ET140" s="586"/>
      <c r="EV140" s="357"/>
      <c r="EY140" s="262"/>
      <c r="EZ140" s="262"/>
      <c r="FC140" s="586"/>
      <c r="FD140" s="586"/>
      <c r="FF140" s="357"/>
      <c r="FI140" s="262"/>
      <c r="FJ140" s="262"/>
      <c r="FM140" s="586"/>
      <c r="FN140" s="586"/>
      <c r="FP140" s="357"/>
      <c r="FS140" s="262"/>
      <c r="FT140" s="262"/>
      <c r="FW140" s="586"/>
      <c r="FX140" s="586"/>
      <c r="FZ140" s="357"/>
      <c r="GC140" s="262"/>
      <c r="GD140" s="262"/>
      <c r="GG140" s="586"/>
      <c r="GH140" s="586"/>
      <c r="GJ140" s="357"/>
      <c r="GM140" s="262"/>
      <c r="GN140" s="262"/>
      <c r="GQ140" s="586"/>
      <c r="GR140" s="586"/>
      <c r="GT140" s="357"/>
      <c r="GW140" s="262"/>
      <c r="GX140" s="262"/>
      <c r="HA140" s="586"/>
      <c r="HB140" s="586"/>
      <c r="HD140" s="357"/>
      <c r="HG140" s="262"/>
      <c r="HH140" s="262"/>
      <c r="HK140" s="586"/>
      <c r="HL140" s="586"/>
      <c r="HN140" s="357"/>
      <c r="HQ140" s="262"/>
      <c r="HR140" s="262"/>
      <c r="HU140" s="586"/>
      <c r="HV140" s="586"/>
      <c r="HX140" s="357"/>
      <c r="IA140" s="262"/>
      <c r="IB140" s="262"/>
      <c r="IE140" s="586"/>
      <c r="IF140" s="586"/>
      <c r="IH140" s="357"/>
      <c r="IK140" s="262"/>
      <c r="IL140" s="262"/>
      <c r="IO140" s="586"/>
      <c r="IP140" s="586"/>
      <c r="IR140" s="357"/>
      <c r="IU140" s="262"/>
      <c r="IV140" s="262"/>
      <c r="IY140" s="586"/>
      <c r="IZ140" s="586"/>
      <c r="JB140" s="357"/>
      <c r="JE140" s="262"/>
      <c r="JF140" s="262"/>
      <c r="JI140" s="586"/>
      <c r="JJ140" s="586"/>
      <c r="JL140" s="357"/>
      <c r="JO140" s="262"/>
      <c r="JP140" s="262"/>
      <c r="JS140" s="586"/>
      <c r="JT140" s="586"/>
      <c r="JV140" s="357"/>
      <c r="JY140" s="262"/>
      <c r="JZ140" s="262"/>
      <c r="KC140" s="586"/>
      <c r="KD140" s="586"/>
      <c r="KF140" s="357"/>
      <c r="KI140" s="262"/>
      <c r="KJ140" s="262"/>
      <c r="KM140" s="586"/>
      <c r="KN140" s="586"/>
      <c r="KP140" s="357"/>
      <c r="KS140" s="262"/>
      <c r="KT140" s="262"/>
      <c r="KW140" s="586"/>
      <c r="KX140" s="586"/>
      <c r="KZ140" s="357"/>
      <c r="LC140" s="262"/>
      <c r="LD140" s="262"/>
      <c r="LG140" s="586"/>
      <c r="LH140" s="586"/>
      <c r="LJ140" s="357"/>
      <c r="LM140" s="262"/>
      <c r="LN140" s="262"/>
      <c r="LQ140" s="586"/>
      <c r="LR140" s="586"/>
      <c r="LT140" s="357"/>
      <c r="LW140" s="262"/>
      <c r="LX140" s="262"/>
      <c r="MA140" s="586"/>
      <c r="MB140" s="586"/>
      <c r="MD140" s="357"/>
      <c r="MG140" s="262"/>
      <c r="MH140" s="262"/>
      <c r="MK140" s="586"/>
      <c r="ML140" s="586"/>
      <c r="MN140" s="357"/>
      <c r="MQ140" s="262"/>
      <c r="MR140" s="262"/>
      <c r="MU140" s="586"/>
      <c r="MV140" s="586"/>
      <c r="MX140" s="357"/>
      <c r="NA140" s="262"/>
      <c r="NB140" s="262"/>
      <c r="NE140" s="586"/>
      <c r="NF140" s="586"/>
      <c r="NH140" s="357"/>
      <c r="NK140" s="262"/>
      <c r="NL140" s="262"/>
      <c r="NO140" s="586"/>
      <c r="NP140" s="586"/>
      <c r="NR140" s="357"/>
      <c r="NU140" s="262"/>
      <c r="NV140" s="262"/>
      <c r="NY140" s="586"/>
      <c r="NZ140" s="586"/>
      <c r="OB140" s="357"/>
      <c r="OE140" s="262"/>
      <c r="OF140" s="262"/>
      <c r="OI140" s="586"/>
      <c r="OJ140" s="586"/>
      <c r="OL140" s="357"/>
      <c r="OO140" s="262"/>
      <c r="OP140" s="262"/>
      <c r="OS140" s="586"/>
      <c r="OT140" s="586"/>
      <c r="OV140" s="357"/>
      <c r="OY140" s="262"/>
      <c r="OZ140" s="262"/>
      <c r="PC140" s="586"/>
      <c r="PD140" s="586"/>
      <c r="PF140" s="357"/>
      <c r="PI140" s="262"/>
      <c r="PJ140" s="262"/>
      <c r="PM140" s="586"/>
      <c r="PN140" s="586"/>
      <c r="PP140" s="357"/>
      <c r="PS140" s="262"/>
      <c r="PT140" s="262"/>
      <c r="PW140" s="586"/>
      <c r="PX140" s="586"/>
      <c r="PZ140" s="357"/>
      <c r="QC140" s="262"/>
      <c r="QD140" s="262"/>
      <c r="QG140" s="586"/>
      <c r="QH140" s="586"/>
      <c r="QJ140" s="357"/>
      <c r="QM140" s="262"/>
      <c r="QN140" s="262"/>
      <c r="QQ140" s="586"/>
      <c r="QR140" s="586"/>
      <c r="QT140" s="357"/>
      <c r="QW140" s="262"/>
      <c r="QX140" s="262"/>
      <c r="RA140" s="586"/>
      <c r="RB140" s="586"/>
      <c r="RD140" s="357"/>
      <c r="RG140" s="262"/>
      <c r="RH140" s="262"/>
      <c r="RK140" s="586"/>
      <c r="RL140" s="586"/>
      <c r="RN140" s="357"/>
      <c r="RQ140" s="262"/>
      <c r="RR140" s="262"/>
      <c r="RU140" s="586"/>
      <c r="RV140" s="586"/>
      <c r="RX140" s="357"/>
      <c r="SA140" s="262"/>
      <c r="SB140" s="262"/>
      <c r="SE140" s="586"/>
      <c r="SF140" s="586"/>
      <c r="SH140" s="357"/>
      <c r="SK140" s="262"/>
      <c r="SL140" s="262"/>
      <c r="SO140" s="586"/>
      <c r="SP140" s="586"/>
      <c r="SR140" s="357"/>
      <c r="SU140" s="262"/>
      <c r="SV140" s="262"/>
      <c r="SY140" s="586"/>
      <c r="SZ140" s="586"/>
      <c r="TB140" s="357"/>
      <c r="TE140" s="262"/>
      <c r="TF140" s="262"/>
      <c r="TI140" s="586"/>
      <c r="TJ140" s="586"/>
      <c r="TL140" s="357"/>
      <c r="TO140" s="262"/>
      <c r="TP140" s="262"/>
      <c r="TS140" s="586"/>
      <c r="TT140" s="586"/>
      <c r="TV140" s="357"/>
      <c r="TY140" s="262"/>
      <c r="TZ140" s="262"/>
      <c r="UC140" s="586"/>
      <c r="UD140" s="586"/>
      <c r="UF140" s="357"/>
      <c r="UI140" s="262"/>
      <c r="UJ140" s="262"/>
      <c r="UM140" s="586"/>
      <c r="UN140" s="586"/>
      <c r="UP140" s="357"/>
      <c r="US140" s="262"/>
      <c r="UT140" s="262"/>
      <c r="UW140" s="586"/>
      <c r="UX140" s="586"/>
      <c r="UZ140" s="357"/>
      <c r="VC140" s="262"/>
      <c r="VD140" s="262"/>
      <c r="VG140" s="586"/>
      <c r="VH140" s="586"/>
      <c r="VJ140" s="357"/>
      <c r="VM140" s="262"/>
      <c r="VN140" s="262"/>
      <c r="VQ140" s="586"/>
      <c r="VR140" s="586"/>
      <c r="VT140" s="357"/>
      <c r="VW140" s="262"/>
      <c r="VX140" s="262"/>
      <c r="WA140" s="586"/>
      <c r="WB140" s="586"/>
      <c r="WD140" s="357"/>
      <c r="WG140" s="262"/>
      <c r="WH140" s="262"/>
      <c r="WK140" s="586"/>
      <c r="WL140" s="586"/>
      <c r="WN140" s="357"/>
      <c r="WQ140" s="262"/>
      <c r="WR140" s="262"/>
      <c r="WU140" s="586"/>
      <c r="WV140" s="586"/>
      <c r="WX140" s="357"/>
      <c r="XA140" s="262"/>
      <c r="XB140" s="262"/>
      <c r="XE140" s="586"/>
      <c r="XF140" s="586"/>
      <c r="XH140" s="357"/>
      <c r="XK140" s="262"/>
      <c r="XL140" s="262"/>
      <c r="XO140" s="586"/>
      <c r="XP140" s="586"/>
      <c r="XR140" s="357"/>
      <c r="XU140" s="262"/>
      <c r="XV140" s="262"/>
      <c r="XY140" s="586"/>
      <c r="XZ140" s="586"/>
      <c r="YB140" s="357"/>
      <c r="YE140" s="262"/>
      <c r="YF140" s="262"/>
      <c r="YI140" s="586"/>
      <c r="YJ140" s="586"/>
      <c r="YL140" s="357"/>
      <c r="YO140" s="262"/>
      <c r="YP140" s="262"/>
      <c r="YS140" s="586"/>
      <c r="YT140" s="586"/>
      <c r="YV140" s="357"/>
      <c r="YY140" s="262"/>
      <c r="YZ140" s="262"/>
      <c r="ZC140" s="586"/>
      <c r="ZD140" s="586"/>
      <c r="ZF140" s="357"/>
      <c r="ZI140" s="262"/>
      <c r="ZJ140" s="262"/>
      <c r="ZM140" s="586"/>
      <c r="ZN140" s="586"/>
      <c r="ZP140" s="357"/>
      <c r="ZS140" s="262"/>
      <c r="ZT140" s="262"/>
      <c r="ZW140" s="586"/>
      <c r="ZX140" s="586"/>
      <c r="ZZ140" s="357"/>
      <c r="AAC140" s="262"/>
      <c r="AAD140" s="262"/>
      <c r="AAG140" s="586"/>
      <c r="AAH140" s="586"/>
      <c r="AAJ140" s="357"/>
      <c r="AAM140" s="262"/>
      <c r="AAN140" s="262"/>
      <c r="AAQ140" s="586"/>
      <c r="AAR140" s="586"/>
      <c r="AAT140" s="357"/>
      <c r="AAW140" s="262"/>
      <c r="AAX140" s="262"/>
      <c r="ABA140" s="586"/>
      <c r="ABB140" s="586"/>
      <c r="ABD140" s="357"/>
      <c r="ABG140" s="262"/>
      <c r="ABH140" s="262"/>
      <c r="ABK140" s="586"/>
      <c r="ABL140" s="586"/>
      <c r="ABN140" s="357"/>
      <c r="ABQ140" s="262"/>
      <c r="ABR140" s="262"/>
      <c r="ABU140" s="586"/>
      <c r="ABV140" s="586"/>
      <c r="ABX140" s="357"/>
      <c r="ACA140" s="262"/>
      <c r="ACB140" s="262"/>
      <c r="ACE140" s="586"/>
      <c r="ACF140" s="586"/>
      <c r="ACH140" s="357"/>
      <c r="ACK140" s="262"/>
      <c r="ACL140" s="262"/>
      <c r="ACO140" s="586"/>
      <c r="ACP140" s="586"/>
      <c r="ACR140" s="357"/>
      <c r="ACU140" s="262"/>
      <c r="ACV140" s="262"/>
      <c r="ACY140" s="586"/>
      <c r="ACZ140" s="586"/>
      <c r="ADB140" s="357"/>
      <c r="ADE140" s="262"/>
      <c r="ADF140" s="262"/>
      <c r="ADI140" s="586"/>
      <c r="ADJ140" s="586"/>
      <c r="ADL140" s="357"/>
      <c r="ADO140" s="262"/>
      <c r="ADP140" s="262"/>
      <c r="ADS140" s="586"/>
      <c r="ADT140" s="586"/>
      <c r="ADV140" s="357"/>
      <c r="ADY140" s="262"/>
      <c r="ADZ140" s="262"/>
      <c r="AEC140" s="586"/>
      <c r="AED140" s="586"/>
      <c r="AEF140" s="357"/>
      <c r="AEI140" s="262"/>
      <c r="AEJ140" s="262"/>
      <c r="AEM140" s="586"/>
      <c r="AEN140" s="586"/>
      <c r="AEP140" s="357"/>
      <c r="AES140" s="262"/>
      <c r="AET140" s="262"/>
      <c r="AEW140" s="586"/>
      <c r="AEX140" s="586"/>
      <c r="AEZ140" s="357"/>
      <c r="AFC140" s="262"/>
      <c r="AFD140" s="262"/>
      <c r="AFG140" s="586"/>
      <c r="AFH140" s="586"/>
      <c r="AFJ140" s="357"/>
      <c r="AFM140" s="262"/>
      <c r="AFN140" s="262"/>
      <c r="AFQ140" s="586"/>
      <c r="AFR140" s="586"/>
      <c r="AFT140" s="357"/>
      <c r="AFW140" s="262"/>
      <c r="AFX140" s="262"/>
      <c r="AGA140" s="586"/>
      <c r="AGB140" s="586"/>
      <c r="AGD140" s="357"/>
      <c r="AGG140" s="262"/>
      <c r="AGH140" s="262"/>
      <c r="AGK140" s="586"/>
      <c r="AGL140" s="586"/>
      <c r="AGN140" s="357"/>
      <c r="AGQ140" s="262"/>
      <c r="AGR140" s="262"/>
      <c r="AGU140" s="586"/>
      <c r="AGV140" s="586"/>
      <c r="AGX140" s="357"/>
      <c r="AHA140" s="262"/>
      <c r="AHB140" s="262"/>
      <c r="AHE140" s="586"/>
      <c r="AHF140" s="586"/>
      <c r="AHH140" s="357"/>
      <c r="AHK140" s="262"/>
      <c r="AHL140" s="262"/>
      <c r="AHO140" s="586"/>
      <c r="AHP140" s="586"/>
      <c r="AHR140" s="357"/>
      <c r="AHU140" s="262"/>
      <c r="AHV140" s="262"/>
      <c r="AHY140" s="586"/>
      <c r="AHZ140" s="586"/>
      <c r="AIB140" s="357"/>
      <c r="AIE140" s="262"/>
      <c r="AIF140" s="262"/>
      <c r="AII140" s="586"/>
      <c r="AIJ140" s="586"/>
      <c r="AIL140" s="357"/>
      <c r="AIO140" s="262"/>
      <c r="AIP140" s="262"/>
      <c r="AIS140" s="586"/>
      <c r="AIT140" s="586"/>
      <c r="AIV140" s="357"/>
      <c r="AIY140" s="262"/>
      <c r="AIZ140" s="262"/>
      <c r="AJC140" s="586"/>
      <c r="AJD140" s="586"/>
      <c r="AJF140" s="357"/>
      <c r="AJI140" s="262"/>
      <c r="AJJ140" s="262"/>
      <c r="AJM140" s="586"/>
      <c r="AJN140" s="586"/>
      <c r="AJP140" s="357"/>
      <c r="AJS140" s="262"/>
      <c r="AJT140" s="262"/>
      <c r="AJW140" s="586"/>
      <c r="AJX140" s="586"/>
      <c r="AJZ140" s="357"/>
      <c r="AKC140" s="262"/>
      <c r="AKD140" s="262"/>
      <c r="AKG140" s="586"/>
      <c r="AKH140" s="586"/>
      <c r="AKJ140" s="357"/>
      <c r="AKM140" s="262"/>
      <c r="AKN140" s="262"/>
      <c r="AKQ140" s="586"/>
      <c r="AKR140" s="586"/>
      <c r="AKT140" s="357"/>
      <c r="AKW140" s="262"/>
      <c r="AKX140" s="262"/>
      <c r="ALA140" s="586"/>
      <c r="ALB140" s="586"/>
      <c r="ALD140" s="357"/>
      <c r="ALG140" s="262"/>
      <c r="ALH140" s="262"/>
      <c r="ALK140" s="586"/>
      <c r="ALL140" s="586"/>
      <c r="ALN140" s="357"/>
      <c r="ALQ140" s="262"/>
      <c r="ALR140" s="262"/>
      <c r="ALU140" s="586"/>
      <c r="ALV140" s="586"/>
      <c r="ALX140" s="357"/>
      <c r="AMA140" s="262"/>
      <c r="AMB140" s="262"/>
      <c r="AME140" s="586"/>
      <c r="AMF140" s="586"/>
      <c r="AMH140" s="357"/>
      <c r="AMK140" s="262"/>
      <c r="AML140" s="262"/>
      <c r="AMO140" s="586"/>
      <c r="AMP140" s="586"/>
      <c r="AMR140" s="357"/>
      <c r="AMU140" s="262"/>
      <c r="AMV140" s="262"/>
      <c r="AMY140" s="586"/>
      <c r="AMZ140" s="586"/>
      <c r="ANB140" s="357"/>
      <c r="ANE140" s="262"/>
      <c r="ANF140" s="262"/>
      <c r="ANI140" s="586"/>
      <c r="ANJ140" s="586"/>
      <c r="ANL140" s="357"/>
      <c r="ANO140" s="262"/>
      <c r="ANP140" s="262"/>
      <c r="ANS140" s="586"/>
      <c r="ANT140" s="586"/>
      <c r="ANV140" s="357"/>
      <c r="ANY140" s="262"/>
      <c r="ANZ140" s="262"/>
      <c r="AOC140" s="586"/>
      <c r="AOD140" s="586"/>
      <c r="AOF140" s="357"/>
      <c r="AOI140" s="262"/>
      <c r="AOJ140" s="262"/>
      <c r="AOM140" s="586"/>
      <c r="AON140" s="586"/>
      <c r="AOP140" s="357"/>
      <c r="AOS140" s="262"/>
      <c r="AOT140" s="262"/>
      <c r="AOW140" s="586"/>
      <c r="AOX140" s="586"/>
      <c r="AOZ140" s="357"/>
      <c r="APC140" s="262"/>
      <c r="APD140" s="262"/>
      <c r="APG140" s="586"/>
      <c r="APH140" s="586"/>
      <c r="APJ140" s="357"/>
      <c r="APM140" s="262"/>
      <c r="APN140" s="262"/>
      <c r="APQ140" s="586"/>
      <c r="APR140" s="586"/>
      <c r="APT140" s="357"/>
      <c r="APW140" s="262"/>
      <c r="APX140" s="262"/>
      <c r="AQA140" s="586"/>
      <c r="AQB140" s="586"/>
      <c r="AQD140" s="357"/>
      <c r="AQG140" s="262"/>
      <c r="AQH140" s="262"/>
      <c r="AQK140" s="586"/>
      <c r="AQL140" s="586"/>
      <c r="AQN140" s="357"/>
      <c r="AQQ140" s="262"/>
      <c r="AQR140" s="262"/>
      <c r="AQU140" s="586"/>
      <c r="AQV140" s="586"/>
      <c r="AQX140" s="357"/>
      <c r="ARA140" s="262"/>
      <c r="ARB140" s="262"/>
      <c r="ARE140" s="586"/>
      <c r="ARF140" s="586"/>
      <c r="ARH140" s="357"/>
      <c r="ARK140" s="262"/>
      <c r="ARL140" s="262"/>
      <c r="ARO140" s="586"/>
      <c r="ARP140" s="586"/>
      <c r="ARR140" s="357"/>
      <c r="ARU140" s="262"/>
      <c r="ARV140" s="262"/>
      <c r="ARY140" s="586"/>
      <c r="ARZ140" s="586"/>
      <c r="ASB140" s="357"/>
      <c r="ASE140" s="262"/>
      <c r="ASF140" s="262"/>
      <c r="ASI140" s="586"/>
      <c r="ASJ140" s="586"/>
      <c r="ASL140" s="357"/>
      <c r="ASO140" s="262"/>
      <c r="ASP140" s="262"/>
      <c r="ASS140" s="586"/>
      <c r="AST140" s="586"/>
      <c r="ASV140" s="357"/>
      <c r="ASY140" s="262"/>
      <c r="ASZ140" s="262"/>
      <c r="ATC140" s="586"/>
      <c r="ATD140" s="586"/>
      <c r="ATF140" s="357"/>
      <c r="ATI140" s="262"/>
      <c r="ATJ140" s="262"/>
      <c r="ATM140" s="586"/>
      <c r="ATN140" s="586"/>
      <c r="ATP140" s="357"/>
      <c r="ATS140" s="262"/>
      <c r="ATT140" s="262"/>
      <c r="ATW140" s="586"/>
      <c r="ATX140" s="586"/>
      <c r="ATZ140" s="357"/>
      <c r="AUC140" s="262"/>
      <c r="AUD140" s="262"/>
      <c r="AUG140" s="586"/>
      <c r="AUH140" s="586"/>
      <c r="AUJ140" s="357"/>
      <c r="AUM140" s="262"/>
      <c r="AUN140" s="262"/>
      <c r="AUQ140" s="586"/>
      <c r="AUR140" s="586"/>
      <c r="AUT140" s="357"/>
      <c r="AUW140" s="262"/>
      <c r="AUX140" s="262"/>
      <c r="AVA140" s="586"/>
      <c r="AVB140" s="586"/>
      <c r="AVD140" s="357"/>
      <c r="AVG140" s="262"/>
      <c r="AVH140" s="262"/>
      <c r="AVK140" s="586"/>
      <c r="AVL140" s="586"/>
      <c r="AVN140" s="357"/>
      <c r="AVQ140" s="262"/>
      <c r="AVR140" s="262"/>
      <c r="AVU140" s="586"/>
      <c r="AVV140" s="586"/>
      <c r="AVX140" s="357"/>
      <c r="AWA140" s="262"/>
      <c r="AWB140" s="262"/>
      <c r="AWE140" s="586"/>
      <c r="AWF140" s="586"/>
      <c r="AWH140" s="357"/>
      <c r="AWK140" s="262"/>
      <c r="AWL140" s="262"/>
      <c r="AWO140" s="586"/>
      <c r="AWP140" s="586"/>
      <c r="AWR140" s="357"/>
      <c r="AWU140" s="262"/>
      <c r="AWV140" s="262"/>
      <c r="AWY140" s="586"/>
      <c r="AWZ140" s="586"/>
      <c r="AXB140" s="357"/>
      <c r="AXE140" s="262"/>
      <c r="AXF140" s="262"/>
      <c r="AXI140" s="586"/>
      <c r="AXJ140" s="586"/>
      <c r="AXL140" s="357"/>
      <c r="AXO140" s="262"/>
      <c r="AXP140" s="262"/>
      <c r="AXS140" s="586"/>
      <c r="AXT140" s="586"/>
      <c r="AXV140" s="357"/>
      <c r="AXY140" s="262"/>
      <c r="AXZ140" s="262"/>
      <c r="AYC140" s="586"/>
      <c r="AYD140" s="586"/>
      <c r="AYF140" s="357"/>
      <c r="AYI140" s="262"/>
      <c r="AYJ140" s="262"/>
      <c r="AYM140" s="586"/>
      <c r="AYN140" s="586"/>
      <c r="AYP140" s="357"/>
      <c r="AYS140" s="262"/>
      <c r="AYT140" s="262"/>
      <c r="AYW140" s="586"/>
      <c r="AYX140" s="586"/>
      <c r="AYZ140" s="357"/>
      <c r="AZC140" s="262"/>
      <c r="AZD140" s="262"/>
      <c r="AZG140" s="586"/>
      <c r="AZH140" s="586"/>
      <c r="AZJ140" s="357"/>
      <c r="AZM140" s="262"/>
      <c r="AZN140" s="262"/>
      <c r="AZQ140" s="586"/>
      <c r="AZR140" s="586"/>
      <c r="AZT140" s="357"/>
      <c r="AZW140" s="262"/>
      <c r="AZX140" s="262"/>
      <c r="BAA140" s="586"/>
      <c r="BAB140" s="586"/>
      <c r="BAD140" s="357"/>
      <c r="BAG140" s="262"/>
      <c r="BAH140" s="262"/>
      <c r="BAK140" s="586"/>
      <c r="BAL140" s="586"/>
      <c r="BAN140" s="357"/>
      <c r="BAQ140" s="262"/>
      <c r="BAR140" s="262"/>
      <c r="BAU140" s="586"/>
      <c r="BAV140" s="586"/>
      <c r="BAX140" s="357"/>
      <c r="BBA140" s="262"/>
      <c r="BBB140" s="262"/>
      <c r="BBE140" s="586"/>
      <c r="BBF140" s="586"/>
      <c r="BBH140" s="357"/>
      <c r="BBK140" s="262"/>
      <c r="BBL140" s="262"/>
      <c r="BBO140" s="586"/>
      <c r="BBP140" s="586"/>
      <c r="BBR140" s="357"/>
      <c r="BBU140" s="262"/>
      <c r="BBV140" s="262"/>
      <c r="BBY140" s="586"/>
      <c r="BBZ140" s="586"/>
      <c r="BCB140" s="357"/>
      <c r="BCE140" s="262"/>
      <c r="BCF140" s="262"/>
      <c r="BCI140" s="586"/>
      <c r="BCJ140" s="586"/>
      <c r="BCL140" s="357"/>
      <c r="BCO140" s="262"/>
      <c r="BCP140" s="262"/>
      <c r="BCS140" s="586"/>
      <c r="BCT140" s="586"/>
      <c r="BCV140" s="357"/>
      <c r="BCY140" s="262"/>
      <c r="BCZ140" s="262"/>
      <c r="BDC140" s="586"/>
      <c r="BDD140" s="586"/>
      <c r="BDF140" s="357"/>
      <c r="BDI140" s="262"/>
      <c r="BDJ140" s="262"/>
      <c r="BDM140" s="586"/>
      <c r="BDN140" s="586"/>
      <c r="BDP140" s="357"/>
      <c r="BDS140" s="262"/>
      <c r="BDT140" s="262"/>
      <c r="BDW140" s="586"/>
      <c r="BDX140" s="586"/>
      <c r="BDZ140" s="357"/>
      <c r="BEC140" s="262"/>
      <c r="BED140" s="262"/>
      <c r="BEG140" s="586"/>
      <c r="BEH140" s="586"/>
      <c r="BEJ140" s="357"/>
      <c r="BEM140" s="262"/>
      <c r="BEN140" s="262"/>
      <c r="BEQ140" s="586"/>
      <c r="BER140" s="586"/>
      <c r="BET140" s="357"/>
      <c r="BEW140" s="262"/>
      <c r="BEX140" s="262"/>
      <c r="BFA140" s="586"/>
      <c r="BFB140" s="586"/>
      <c r="BFD140" s="357"/>
      <c r="BFG140" s="262"/>
      <c r="BFH140" s="262"/>
      <c r="BFK140" s="586"/>
      <c r="BFL140" s="586"/>
      <c r="BFN140" s="357"/>
      <c r="BFQ140" s="262"/>
      <c r="BFR140" s="262"/>
      <c r="BFU140" s="586"/>
      <c r="BFV140" s="586"/>
      <c r="BFX140" s="357"/>
      <c r="BGA140" s="262"/>
      <c r="BGB140" s="262"/>
      <c r="BGE140" s="586"/>
      <c r="BGF140" s="586"/>
      <c r="BGH140" s="357"/>
      <c r="BGK140" s="262"/>
      <c r="BGL140" s="262"/>
      <c r="BGO140" s="586"/>
      <c r="BGP140" s="586"/>
      <c r="BGR140" s="357"/>
      <c r="BGU140" s="262"/>
      <c r="BGV140" s="262"/>
      <c r="BGY140" s="586"/>
      <c r="BGZ140" s="586"/>
      <c r="BHB140" s="357"/>
      <c r="BHE140" s="262"/>
      <c r="BHF140" s="262"/>
      <c r="BHI140" s="586"/>
      <c r="BHJ140" s="586"/>
      <c r="BHL140" s="357"/>
      <c r="BHO140" s="262"/>
      <c r="BHP140" s="262"/>
      <c r="BHS140" s="586"/>
      <c r="BHT140" s="586"/>
      <c r="BHV140" s="357"/>
      <c r="BHY140" s="262"/>
      <c r="BHZ140" s="262"/>
      <c r="BIC140" s="586"/>
      <c r="BID140" s="586"/>
      <c r="BIF140" s="357"/>
      <c r="BII140" s="262"/>
      <c r="BIJ140" s="262"/>
      <c r="BIM140" s="586"/>
      <c r="BIN140" s="586"/>
      <c r="BIP140" s="357"/>
      <c r="BIS140" s="262"/>
      <c r="BIT140" s="262"/>
      <c r="BIW140" s="586"/>
      <c r="BIX140" s="586"/>
      <c r="BIZ140" s="357"/>
      <c r="BJC140" s="262"/>
      <c r="BJD140" s="262"/>
      <c r="BJG140" s="586"/>
      <c r="BJH140" s="586"/>
      <c r="BJJ140" s="357"/>
      <c r="BJM140" s="262"/>
      <c r="BJN140" s="262"/>
      <c r="BJQ140" s="586"/>
      <c r="BJR140" s="586"/>
      <c r="BJT140" s="357"/>
      <c r="BJW140" s="262"/>
      <c r="BJX140" s="262"/>
      <c r="BKA140" s="586"/>
      <c r="BKB140" s="586"/>
      <c r="BKD140" s="357"/>
      <c r="BKG140" s="262"/>
      <c r="BKH140" s="262"/>
      <c r="BKK140" s="586"/>
      <c r="BKL140" s="586"/>
      <c r="BKN140" s="357"/>
      <c r="BKQ140" s="262"/>
      <c r="BKR140" s="262"/>
      <c r="BKU140" s="586"/>
      <c r="BKV140" s="586"/>
      <c r="BKX140" s="357"/>
      <c r="BLA140" s="262"/>
      <c r="BLB140" s="262"/>
      <c r="BLE140" s="586"/>
      <c r="BLF140" s="586"/>
      <c r="BLH140" s="357"/>
      <c r="BLK140" s="262"/>
      <c r="BLL140" s="262"/>
      <c r="BLO140" s="586"/>
      <c r="BLP140" s="586"/>
      <c r="BLR140" s="357"/>
      <c r="BLU140" s="262"/>
      <c r="BLV140" s="262"/>
      <c r="BLY140" s="586"/>
      <c r="BLZ140" s="586"/>
      <c r="BMB140" s="357"/>
      <c r="BME140" s="262"/>
      <c r="BMF140" s="262"/>
      <c r="BMI140" s="586"/>
      <c r="BMJ140" s="586"/>
      <c r="BML140" s="357"/>
      <c r="BMO140" s="262"/>
      <c r="BMP140" s="262"/>
      <c r="BMS140" s="586"/>
      <c r="BMT140" s="586"/>
      <c r="BMV140" s="357"/>
      <c r="BMY140" s="262"/>
      <c r="BMZ140" s="262"/>
      <c r="BNC140" s="586"/>
      <c r="BND140" s="586"/>
      <c r="BNF140" s="357"/>
      <c r="BNI140" s="262"/>
      <c r="BNJ140" s="262"/>
      <c r="BNM140" s="586"/>
      <c r="BNN140" s="586"/>
      <c r="BNP140" s="357"/>
      <c r="BNS140" s="262"/>
      <c r="BNT140" s="262"/>
      <c r="BNW140" s="586"/>
      <c r="BNX140" s="586"/>
      <c r="BNZ140" s="357"/>
      <c r="BOC140" s="262"/>
      <c r="BOD140" s="262"/>
      <c r="BOG140" s="586"/>
      <c r="BOH140" s="586"/>
      <c r="BOJ140" s="357"/>
      <c r="BOM140" s="262"/>
      <c r="BON140" s="262"/>
      <c r="BOQ140" s="586"/>
      <c r="BOR140" s="586"/>
      <c r="BOT140" s="357"/>
      <c r="BOW140" s="262"/>
      <c r="BOX140" s="262"/>
      <c r="BPA140" s="586"/>
      <c r="BPB140" s="586"/>
      <c r="BPD140" s="357"/>
      <c r="BPG140" s="262"/>
      <c r="BPH140" s="262"/>
      <c r="BPK140" s="586"/>
      <c r="BPL140" s="586"/>
      <c r="BPN140" s="357"/>
      <c r="BPQ140" s="262"/>
      <c r="BPR140" s="262"/>
      <c r="BPU140" s="586"/>
      <c r="BPV140" s="586"/>
      <c r="BPX140" s="357"/>
      <c r="BQA140" s="262"/>
      <c r="BQB140" s="262"/>
      <c r="BQE140" s="586"/>
      <c r="BQF140" s="586"/>
      <c r="BQH140" s="357"/>
      <c r="BQK140" s="262"/>
      <c r="BQL140" s="262"/>
      <c r="BQO140" s="586"/>
      <c r="BQP140" s="586"/>
      <c r="BQR140" s="357"/>
      <c r="BQU140" s="262"/>
      <c r="BQV140" s="262"/>
      <c r="BQY140" s="586"/>
      <c r="BQZ140" s="586"/>
      <c r="BRB140" s="357"/>
      <c r="BRE140" s="262"/>
      <c r="BRF140" s="262"/>
      <c r="BRI140" s="586"/>
      <c r="BRJ140" s="586"/>
      <c r="BRL140" s="357"/>
      <c r="BRO140" s="262"/>
      <c r="BRP140" s="262"/>
      <c r="BRS140" s="586"/>
      <c r="BRT140" s="586"/>
      <c r="BRV140" s="357"/>
      <c r="BRY140" s="262"/>
      <c r="BRZ140" s="262"/>
      <c r="BSC140" s="586"/>
      <c r="BSD140" s="586"/>
      <c r="BSF140" s="357"/>
      <c r="BSI140" s="262"/>
      <c r="BSJ140" s="262"/>
      <c r="BSM140" s="586"/>
      <c r="BSN140" s="586"/>
      <c r="BSP140" s="357"/>
      <c r="BSS140" s="262"/>
      <c r="BST140" s="262"/>
      <c r="BSW140" s="586"/>
      <c r="BSX140" s="586"/>
      <c r="BSZ140" s="357"/>
      <c r="BTC140" s="262"/>
      <c r="BTD140" s="262"/>
      <c r="BTG140" s="586"/>
      <c r="BTH140" s="586"/>
      <c r="BTJ140" s="357"/>
      <c r="BTM140" s="262"/>
      <c r="BTN140" s="262"/>
      <c r="BTQ140" s="586"/>
      <c r="BTR140" s="586"/>
      <c r="BTT140" s="357"/>
      <c r="BTW140" s="262"/>
      <c r="BTX140" s="262"/>
      <c r="BUA140" s="586"/>
      <c r="BUB140" s="586"/>
      <c r="BUD140" s="357"/>
      <c r="BUG140" s="262"/>
      <c r="BUH140" s="262"/>
      <c r="BUK140" s="586"/>
      <c r="BUL140" s="586"/>
      <c r="BUN140" s="357"/>
      <c r="BUQ140" s="262"/>
      <c r="BUR140" s="262"/>
      <c r="BUU140" s="586"/>
      <c r="BUV140" s="586"/>
      <c r="BUX140" s="357"/>
      <c r="BVA140" s="262"/>
      <c r="BVB140" s="262"/>
      <c r="BVE140" s="586"/>
      <c r="BVF140" s="586"/>
      <c r="BVH140" s="357"/>
      <c r="BVK140" s="262"/>
      <c r="BVL140" s="262"/>
      <c r="BVO140" s="586"/>
      <c r="BVP140" s="586"/>
      <c r="BVR140" s="357"/>
      <c r="BVU140" s="262"/>
      <c r="BVV140" s="262"/>
      <c r="BVY140" s="586"/>
      <c r="BVZ140" s="586"/>
      <c r="BWB140" s="357"/>
      <c r="BWE140" s="262"/>
      <c r="BWF140" s="262"/>
      <c r="BWI140" s="586"/>
      <c r="BWJ140" s="586"/>
      <c r="BWL140" s="357"/>
      <c r="BWO140" s="262"/>
      <c r="BWP140" s="262"/>
      <c r="BWS140" s="586"/>
      <c r="BWT140" s="586"/>
      <c r="BWV140" s="357"/>
      <c r="BWY140" s="262"/>
      <c r="BWZ140" s="262"/>
      <c r="BXC140" s="586"/>
      <c r="BXD140" s="586"/>
      <c r="BXF140" s="357"/>
      <c r="BXI140" s="262"/>
      <c r="BXJ140" s="262"/>
      <c r="BXM140" s="586"/>
      <c r="BXN140" s="586"/>
      <c r="BXP140" s="357"/>
      <c r="BXS140" s="262"/>
      <c r="BXT140" s="262"/>
      <c r="BXW140" s="586"/>
      <c r="BXX140" s="586"/>
      <c r="BXZ140" s="357"/>
      <c r="BYC140" s="262"/>
      <c r="BYD140" s="262"/>
      <c r="BYG140" s="586"/>
      <c r="BYH140" s="586"/>
      <c r="BYJ140" s="357"/>
      <c r="BYM140" s="262"/>
      <c r="BYN140" s="262"/>
      <c r="BYQ140" s="586"/>
      <c r="BYR140" s="586"/>
      <c r="BYT140" s="357"/>
      <c r="BYW140" s="262"/>
      <c r="BYX140" s="262"/>
      <c r="BZA140" s="586"/>
      <c r="BZB140" s="586"/>
      <c r="BZD140" s="357"/>
      <c r="BZG140" s="262"/>
      <c r="BZH140" s="262"/>
      <c r="BZK140" s="586"/>
      <c r="BZL140" s="586"/>
      <c r="BZN140" s="357"/>
      <c r="BZQ140" s="262"/>
      <c r="BZR140" s="262"/>
      <c r="BZU140" s="586"/>
      <c r="BZV140" s="586"/>
      <c r="BZX140" s="357"/>
      <c r="CAA140" s="262"/>
      <c r="CAB140" s="262"/>
      <c r="CAE140" s="586"/>
      <c r="CAF140" s="586"/>
      <c r="CAH140" s="357"/>
      <c r="CAK140" s="262"/>
      <c r="CAL140" s="262"/>
      <c r="CAO140" s="586"/>
      <c r="CAP140" s="586"/>
      <c r="CAR140" s="357"/>
      <c r="CAU140" s="262"/>
      <c r="CAV140" s="262"/>
      <c r="CAY140" s="586"/>
      <c r="CAZ140" s="586"/>
      <c r="CBB140" s="357"/>
      <c r="CBE140" s="262"/>
      <c r="CBF140" s="262"/>
      <c r="CBI140" s="586"/>
      <c r="CBJ140" s="586"/>
      <c r="CBL140" s="357"/>
      <c r="CBO140" s="262"/>
      <c r="CBP140" s="262"/>
      <c r="CBS140" s="586"/>
      <c r="CBT140" s="586"/>
      <c r="CBV140" s="357"/>
      <c r="CBY140" s="262"/>
      <c r="CBZ140" s="262"/>
      <c r="CCC140" s="586"/>
      <c r="CCD140" s="586"/>
      <c r="CCF140" s="357"/>
      <c r="CCI140" s="262"/>
      <c r="CCJ140" s="262"/>
      <c r="CCM140" s="586"/>
      <c r="CCN140" s="586"/>
      <c r="CCP140" s="357"/>
      <c r="CCS140" s="262"/>
      <c r="CCT140" s="262"/>
      <c r="CCW140" s="586"/>
      <c r="CCX140" s="586"/>
      <c r="CCZ140" s="357"/>
      <c r="CDC140" s="262"/>
      <c r="CDD140" s="262"/>
      <c r="CDG140" s="586"/>
      <c r="CDH140" s="586"/>
      <c r="CDJ140" s="357"/>
      <c r="CDM140" s="262"/>
      <c r="CDN140" s="262"/>
      <c r="CDQ140" s="586"/>
      <c r="CDR140" s="586"/>
      <c r="CDT140" s="357"/>
      <c r="CDW140" s="262"/>
      <c r="CDX140" s="262"/>
      <c r="CEA140" s="586"/>
      <c r="CEB140" s="586"/>
      <c r="CED140" s="357"/>
      <c r="CEG140" s="262"/>
      <c r="CEH140" s="262"/>
      <c r="CEK140" s="586"/>
      <c r="CEL140" s="586"/>
      <c r="CEN140" s="357"/>
      <c r="CEQ140" s="262"/>
      <c r="CER140" s="262"/>
      <c r="CEU140" s="586"/>
      <c r="CEV140" s="586"/>
      <c r="CEX140" s="357"/>
      <c r="CFA140" s="262"/>
      <c r="CFB140" s="262"/>
      <c r="CFE140" s="586"/>
      <c r="CFF140" s="586"/>
      <c r="CFH140" s="357"/>
      <c r="CFK140" s="262"/>
      <c r="CFL140" s="262"/>
      <c r="CFO140" s="586"/>
      <c r="CFP140" s="586"/>
      <c r="CFR140" s="357"/>
      <c r="CFU140" s="262"/>
      <c r="CFV140" s="262"/>
      <c r="CFY140" s="586"/>
      <c r="CFZ140" s="586"/>
      <c r="CGB140" s="357"/>
      <c r="CGE140" s="262"/>
      <c r="CGF140" s="262"/>
      <c r="CGI140" s="586"/>
      <c r="CGJ140" s="586"/>
      <c r="CGL140" s="357"/>
      <c r="CGO140" s="262"/>
      <c r="CGP140" s="262"/>
      <c r="CGS140" s="586"/>
      <c r="CGT140" s="586"/>
      <c r="CGV140" s="357"/>
      <c r="CGY140" s="262"/>
      <c r="CGZ140" s="262"/>
      <c r="CHC140" s="586"/>
      <c r="CHD140" s="586"/>
      <c r="CHF140" s="357"/>
      <c r="CHI140" s="262"/>
      <c r="CHJ140" s="262"/>
      <c r="CHM140" s="586"/>
      <c r="CHN140" s="586"/>
      <c r="CHP140" s="357"/>
      <c r="CHS140" s="262"/>
      <c r="CHT140" s="262"/>
      <c r="CHW140" s="586"/>
      <c r="CHX140" s="586"/>
      <c r="CHZ140" s="357"/>
      <c r="CIC140" s="262"/>
      <c r="CID140" s="262"/>
      <c r="CIG140" s="586"/>
      <c r="CIH140" s="586"/>
      <c r="CIJ140" s="357"/>
      <c r="CIM140" s="262"/>
      <c r="CIN140" s="262"/>
      <c r="CIQ140" s="586"/>
      <c r="CIR140" s="586"/>
      <c r="CIT140" s="357"/>
      <c r="CIW140" s="262"/>
      <c r="CIX140" s="262"/>
      <c r="CJA140" s="586"/>
      <c r="CJB140" s="586"/>
      <c r="CJD140" s="357"/>
      <c r="CJG140" s="262"/>
      <c r="CJH140" s="262"/>
      <c r="CJK140" s="586"/>
      <c r="CJL140" s="586"/>
      <c r="CJN140" s="357"/>
      <c r="CJQ140" s="262"/>
      <c r="CJR140" s="262"/>
      <c r="CJU140" s="586"/>
      <c r="CJV140" s="586"/>
      <c r="CJX140" s="357"/>
      <c r="CKA140" s="262"/>
      <c r="CKB140" s="262"/>
      <c r="CKE140" s="586"/>
      <c r="CKF140" s="586"/>
      <c r="CKH140" s="357"/>
      <c r="CKK140" s="262"/>
      <c r="CKL140" s="262"/>
      <c r="CKO140" s="586"/>
      <c r="CKP140" s="586"/>
      <c r="CKR140" s="357"/>
      <c r="CKU140" s="262"/>
      <c r="CKV140" s="262"/>
      <c r="CKY140" s="586"/>
      <c r="CKZ140" s="586"/>
      <c r="CLB140" s="357"/>
      <c r="CLE140" s="262"/>
      <c r="CLF140" s="262"/>
      <c r="CLI140" s="586"/>
      <c r="CLJ140" s="586"/>
      <c r="CLL140" s="357"/>
      <c r="CLO140" s="262"/>
      <c r="CLP140" s="262"/>
      <c r="CLS140" s="586"/>
      <c r="CLT140" s="586"/>
      <c r="CLV140" s="357"/>
      <c r="CLY140" s="262"/>
      <c r="CLZ140" s="262"/>
      <c r="CMC140" s="586"/>
      <c r="CMD140" s="586"/>
      <c r="CMF140" s="357"/>
      <c r="CMI140" s="262"/>
      <c r="CMJ140" s="262"/>
      <c r="CMM140" s="586"/>
      <c r="CMN140" s="586"/>
      <c r="CMP140" s="357"/>
      <c r="CMS140" s="262"/>
      <c r="CMT140" s="262"/>
      <c r="CMW140" s="586"/>
      <c r="CMX140" s="586"/>
      <c r="CMZ140" s="357"/>
      <c r="CNC140" s="262"/>
      <c r="CND140" s="262"/>
      <c r="CNG140" s="586"/>
      <c r="CNH140" s="586"/>
      <c r="CNJ140" s="357"/>
      <c r="CNM140" s="262"/>
      <c r="CNN140" s="262"/>
      <c r="CNQ140" s="586"/>
      <c r="CNR140" s="586"/>
      <c r="CNT140" s="357"/>
      <c r="CNW140" s="262"/>
      <c r="CNX140" s="262"/>
      <c r="COA140" s="586"/>
      <c r="COB140" s="586"/>
      <c r="COD140" s="357"/>
      <c r="COG140" s="262"/>
      <c r="COH140" s="262"/>
      <c r="COK140" s="586"/>
      <c r="COL140" s="586"/>
      <c r="CON140" s="357"/>
      <c r="COQ140" s="262"/>
      <c r="COR140" s="262"/>
      <c r="COU140" s="586"/>
      <c r="COV140" s="586"/>
      <c r="COX140" s="357"/>
      <c r="CPA140" s="262"/>
      <c r="CPB140" s="262"/>
      <c r="CPE140" s="586"/>
      <c r="CPF140" s="586"/>
      <c r="CPH140" s="357"/>
      <c r="CPK140" s="262"/>
      <c r="CPL140" s="262"/>
      <c r="CPO140" s="586"/>
      <c r="CPP140" s="586"/>
      <c r="CPR140" s="357"/>
      <c r="CPU140" s="262"/>
      <c r="CPV140" s="262"/>
      <c r="CPY140" s="586"/>
      <c r="CPZ140" s="586"/>
      <c r="CQB140" s="357"/>
      <c r="CQE140" s="262"/>
      <c r="CQF140" s="262"/>
      <c r="CQI140" s="586"/>
      <c r="CQJ140" s="586"/>
      <c r="CQL140" s="357"/>
      <c r="CQO140" s="262"/>
      <c r="CQP140" s="262"/>
      <c r="CQS140" s="586"/>
      <c r="CQT140" s="586"/>
      <c r="CQV140" s="357"/>
      <c r="CQY140" s="262"/>
      <c r="CQZ140" s="262"/>
      <c r="CRC140" s="586"/>
      <c r="CRD140" s="586"/>
      <c r="CRF140" s="357"/>
      <c r="CRI140" s="262"/>
      <c r="CRJ140" s="262"/>
      <c r="CRM140" s="586"/>
      <c r="CRN140" s="586"/>
      <c r="CRP140" s="357"/>
      <c r="CRS140" s="262"/>
      <c r="CRT140" s="262"/>
      <c r="CRW140" s="586"/>
      <c r="CRX140" s="586"/>
      <c r="CRZ140" s="357"/>
      <c r="CSC140" s="262"/>
      <c r="CSD140" s="262"/>
      <c r="CSG140" s="586"/>
      <c r="CSH140" s="586"/>
      <c r="CSJ140" s="357"/>
      <c r="CSM140" s="262"/>
      <c r="CSN140" s="262"/>
      <c r="CSQ140" s="586"/>
      <c r="CSR140" s="586"/>
      <c r="CST140" s="357"/>
      <c r="CSW140" s="262"/>
      <c r="CSX140" s="262"/>
      <c r="CTA140" s="586"/>
      <c r="CTB140" s="586"/>
      <c r="CTD140" s="357"/>
      <c r="CTG140" s="262"/>
      <c r="CTH140" s="262"/>
      <c r="CTK140" s="586"/>
      <c r="CTL140" s="586"/>
      <c r="CTN140" s="357"/>
      <c r="CTQ140" s="262"/>
      <c r="CTR140" s="262"/>
      <c r="CTU140" s="586"/>
      <c r="CTV140" s="586"/>
    </row>
    <row r="141" spans="2:1022 1025:2046 2049:2570">
      <c r="B141" s="89" t="s">
        <v>309</v>
      </c>
      <c r="C141" s="89" t="str">
        <f>INDEX(二三级标准!$C:$C,MATCH(服务费明细!$B141,二三级标准!$B:$B,0))</f>
        <v>数据管理项目管理</v>
      </c>
      <c r="D141" s="166">
        <f>IF($D$113=1,1,0)</f>
        <v>1</v>
      </c>
      <c r="E141" s="166">
        <f>IF($D141=1,ROUND(2+入组月+治疗月+随访月+长随访月+锁库月,0),0)</f>
        <v>16</v>
      </c>
      <c r="F141" s="89" t="str">
        <f>INDEX(二三级标准!$G:$G,MATCH(服务费明细!$B141,二三级标准!$B:$B,0))</f>
        <v>月</v>
      </c>
      <c r="G141" s="166">
        <f t="shared" si="229"/>
        <v>0</v>
      </c>
      <c r="H141" s="166">
        <f t="shared" si="230"/>
        <v>0</v>
      </c>
      <c r="I141" s="166">
        <f t="shared" si="231"/>
        <v>0</v>
      </c>
      <c r="J141" s="166">
        <f t="shared" si="232"/>
        <v>0</v>
      </c>
      <c r="K141" s="166">
        <f t="shared" si="233"/>
        <v>0</v>
      </c>
      <c r="L141" s="166">
        <f t="shared" si="234"/>
        <v>0</v>
      </c>
      <c r="M141" s="166">
        <f t="shared" si="235"/>
        <v>0</v>
      </c>
      <c r="N141" s="166">
        <f t="shared" si="236"/>
        <v>0</v>
      </c>
      <c r="O141" s="166">
        <f t="shared" si="237"/>
        <v>0</v>
      </c>
      <c r="P141" s="166">
        <f t="shared" si="238"/>
        <v>0</v>
      </c>
      <c r="Q141" s="166">
        <f t="shared" si="239"/>
        <v>0</v>
      </c>
      <c r="R141" s="166">
        <f t="shared" si="240"/>
        <v>0</v>
      </c>
      <c r="S141" s="166">
        <f t="shared" si="241"/>
        <v>96</v>
      </c>
      <c r="T141" s="166">
        <f t="shared" si="242"/>
        <v>0</v>
      </c>
      <c r="U141" s="166">
        <f t="shared" si="243"/>
        <v>0</v>
      </c>
      <c r="V141" s="166">
        <f t="shared" si="244"/>
        <v>0</v>
      </c>
      <c r="W141" s="166">
        <f t="shared" si="245"/>
        <v>0</v>
      </c>
      <c r="X141" s="166">
        <f t="shared" si="246"/>
        <v>0</v>
      </c>
      <c r="Y141" s="166">
        <f t="shared" si="247"/>
        <v>0</v>
      </c>
      <c r="Z141" s="166">
        <f t="shared" si="248"/>
        <v>0</v>
      </c>
      <c r="AA141" s="166">
        <f t="shared" si="249"/>
        <v>0</v>
      </c>
      <c r="AB141" s="166">
        <f t="shared" si="250"/>
        <v>0</v>
      </c>
      <c r="AC141" s="166" cm="1">
        <f t="array" ref="AC141">SUMPRODUCT(G141:AB141,$G$4:$AB$4)</f>
        <v>34560</v>
      </c>
      <c r="AD141" s="89" t="b">
        <f t="shared" si="269"/>
        <v>1</v>
      </c>
      <c r="AE141" s="386">
        <f>IFERROR(SUMIF(服务费底表!$K:$K,服务费明细!$B141,服务费底表!$AD:$AD)/E141,0)</f>
        <v>2160</v>
      </c>
      <c r="AF141" s="386">
        <f t="shared" si="270"/>
        <v>34560</v>
      </c>
      <c r="AG141" s="386">
        <f>IFERROR(SUMIF(服务费底表!$K:$K,服务费明细!$B141,服务费底表!$AG:$AG)/E141,0)</f>
        <v>2160</v>
      </c>
      <c r="AH141" s="386">
        <f t="shared" si="271"/>
        <v>34560</v>
      </c>
      <c r="AI141" s="584" t="s">
        <v>1070</v>
      </c>
      <c r="AJ141" s="563">
        <f t="shared" si="261"/>
        <v>6</v>
      </c>
      <c r="AK141" s="564">
        <f>SUMIF(服务费底表!$K:$K,服务费明细!$B141,服务费底表!$AC:$AC)</f>
        <v>96</v>
      </c>
      <c r="AL141" s="166">
        <f>SUMIFS(服务费底表!$AC:$AC,服务费底表!$K:$K,服务费明细!$B141,服务费底表!$T:$T,AL$3)</f>
        <v>0</v>
      </c>
      <c r="AM141" s="166">
        <f>SUMIFS(服务费底表!$AC:$AC,服务费底表!$K:$K,服务费明细!$B141,服务费底表!$T:$T,AM$3)</f>
        <v>0</v>
      </c>
      <c r="AN141" s="166">
        <f>SUMIFS(服务费底表!$AC:$AC,服务费底表!$K:$K,服务费明细!$B141,服务费底表!$T:$T,AN$3)</f>
        <v>0</v>
      </c>
      <c r="AO141" s="166">
        <f>SUMIFS(服务费底表!$AC:$AC,服务费底表!$K:$K,服务费明细!$B141,服务费底表!$T:$T,AO$3)</f>
        <v>0</v>
      </c>
      <c r="AP141" s="166">
        <f>SUMIFS(服务费底表!$AC:$AC,服务费底表!$K:$K,服务费明细!$B141,服务费底表!$T:$T,AP$3)</f>
        <v>0</v>
      </c>
      <c r="AQ141" s="166">
        <f>SUMIFS(服务费底表!$AC:$AC,服务费底表!$K:$K,服务费明细!$B141,服务费底表!$T:$T,AQ$3)</f>
        <v>0</v>
      </c>
      <c r="AR141" s="166">
        <f>SUMIFS(服务费底表!$AC:$AC,服务费底表!$K:$K,服务费明细!$B141,服务费底表!$T:$T,AR$3)</f>
        <v>0</v>
      </c>
      <c r="AS141" s="166">
        <f>SUMIFS(服务费底表!$AC:$AC,服务费底表!$K:$K,服务费明细!$B141,服务费底表!$T:$T,AS$3)</f>
        <v>0</v>
      </c>
      <c r="AT141" s="166">
        <f>SUMIFS(服务费底表!$AC:$AC,服务费底表!$K:$K,服务费明细!$B141,服务费底表!$T:$T,AT$3)</f>
        <v>0</v>
      </c>
      <c r="AU141" s="166">
        <f>SUMIFS(服务费底表!$AC:$AC,服务费底表!$K:$K,服务费明细!$B141,服务费底表!$T:$T,AU$3)</f>
        <v>0</v>
      </c>
      <c r="AV141" s="166">
        <f>SUMIFS(服务费底表!$AC:$AC,服务费底表!$K:$K,服务费明细!$B141,服务费底表!$T:$T,AV$3)</f>
        <v>0</v>
      </c>
      <c r="AW141" s="166">
        <f>SUMIFS(服务费底表!$AC:$AC,服务费底表!$K:$K,服务费明细!$B141,服务费底表!$T:$T,AW$3)</f>
        <v>0</v>
      </c>
      <c r="AX141" s="166">
        <f>SUMIFS(服务费底表!$AC:$AC,服务费底表!$K:$K,服务费明细!$B141,服务费底表!$T:$T,AX$3)</f>
        <v>96</v>
      </c>
      <c r="AY141" s="166">
        <f>SUMIFS(服务费底表!$AC:$AC,服务费底表!$K:$K,服务费明细!$B141,服务费底表!$T:$T,AY$3)</f>
        <v>0</v>
      </c>
      <c r="AZ141" s="166">
        <f>SUMIFS(服务费底表!$AC:$AC,服务费底表!$K:$K,服务费明细!$B141,服务费底表!$T:$T,AZ$3)</f>
        <v>0</v>
      </c>
      <c r="BA141" s="166">
        <f>SUMIFS(服务费底表!$AC:$AC,服务费底表!$K:$K,服务费明细!$B141,服务费底表!$T:$T,BA$3)</f>
        <v>0</v>
      </c>
      <c r="BB141" s="166">
        <f>SUMIFS(服务费底表!$AC:$AC,服务费底表!$K:$K,服务费明细!$B141,服务费底表!$T:$T,BB$3)</f>
        <v>0</v>
      </c>
      <c r="BC141" s="166">
        <f>SUMIFS(服务费底表!$AC:$AC,服务费底表!$K:$K,服务费明细!$B141,服务费底表!$T:$T,BC$3)</f>
        <v>0</v>
      </c>
      <c r="BD141" s="166">
        <f>SUMIFS(服务费底表!$AC:$AC,服务费底表!$K:$K,服务费明细!$B141,服务费底表!$T:$T,BD$3)</f>
        <v>0</v>
      </c>
      <c r="BE141" s="166">
        <f>SUMIFS(服务费底表!$AC:$AC,服务费底表!$K:$K,服务费明细!$B141,服务费底表!$T:$T,BE$3)</f>
        <v>0</v>
      </c>
      <c r="BF141" s="166">
        <f>SUMIFS(服务费底表!$AC:$AC,服务费底表!$K:$K,服务费明细!$B141,服务费底表!$T:$T,BF$3)</f>
        <v>0</v>
      </c>
      <c r="BG141" s="166">
        <f>SUMIFS(服务费底表!$AC:$AC,服务费底表!$K:$K,服务费明细!$B141,服务费底表!$T:$T,BG$3)</f>
        <v>0</v>
      </c>
      <c r="BI141" s="388">
        <f>SUMIFS(服务费底表!$AC:$AC,服务费底表!$K:$K,服务费明细!$B141,服务费底表!$H:$H,服务费明细!BI$3)</f>
        <v>0</v>
      </c>
      <c r="BJ141" s="388">
        <f>SUMIFS(服务费底表!$AC:$AC,服务费底表!$K:$K,服务费明细!$B141,服务费底表!$H:$H,服务费明细!BJ$3)</f>
        <v>0</v>
      </c>
      <c r="BK141" s="388">
        <f>SUMIFS(服务费底表!$AC:$AC,服务费底表!$K:$K,服务费明细!$B141,服务费底表!$H:$H,服务费明细!BK$3)</f>
        <v>96</v>
      </c>
      <c r="BL141" s="388">
        <f>SUMIFS(服务费底表!$AC:$AC,服务费底表!$K:$K,服务费明细!$B141,服务费底表!$H:$H,服务费明细!BL$3)</f>
        <v>0</v>
      </c>
      <c r="BM141" s="388">
        <f>SUMIFS(服务费底表!$AC:$AC,服务费底表!$K:$K,服务费明细!$B141,服务费底表!$H:$H,服务费明细!BM$3)</f>
        <v>0</v>
      </c>
      <c r="BN141" s="388">
        <f>SUMIFS(服务费底表!$AC:$AC,服务费底表!$K:$K,服务费明细!$B141,服务费底表!$H:$H,服务费明细!BN$3)</f>
        <v>0</v>
      </c>
      <c r="BO141" s="388">
        <f>SUMIFS(服务费底表!$AC:$AC,服务费底表!$K:$K,服务费明细!$B141,服务费底表!$H:$H,服务费明细!BO$3)</f>
        <v>0</v>
      </c>
      <c r="BQ141" s="389">
        <f>SUMIFS(服务费底表!$AD:$AD,服务费底表!$K:$K,服务费明细!$B141,服务费底表!$H:$H,服务费明细!BQ$3)</f>
        <v>0</v>
      </c>
      <c r="BR141" s="389">
        <f>SUMIFS(服务费底表!$AD:$AD,服务费底表!$K:$K,服务费明细!$B141,服务费底表!$H:$H,服务费明细!BR$3)</f>
        <v>0</v>
      </c>
      <c r="BS141" s="389">
        <f>SUMIFS(服务费底表!$AD:$AD,服务费底表!$K:$K,服务费明细!$B141,服务费底表!$H:$H,服务费明细!BS$3)</f>
        <v>34560</v>
      </c>
      <c r="BT141" s="389">
        <f>SUMIFS(服务费底表!$AD:$AD,服务费底表!$K:$K,服务费明细!$B141,服务费底表!$H:$H,服务费明细!BT$3)</f>
        <v>0</v>
      </c>
      <c r="BU141" s="389">
        <f>SUMIFS(服务费底表!$AD:$AD,服务费底表!$K:$K,服务费明细!$B141,服务费底表!$H:$H,服务费明细!BU$3)</f>
        <v>0</v>
      </c>
      <c r="BV141" s="389">
        <f>SUMIFS(服务费底表!$AD:$AD,服务费底表!$K:$K,服务费明细!$B141,服务费底表!$H:$H,服务费明细!BV$3)</f>
        <v>0</v>
      </c>
      <c r="BW141" s="389">
        <f>SUMIFS(服务费底表!$AD:$AD,服务费底表!$K:$K,服务费明细!$B141,服务费底表!$H:$H,服务费明细!BW$3)</f>
        <v>0</v>
      </c>
    </row>
    <row r="142" ht="26.4" spans="2:1022 1025:2046 2049:2570">
      <c r="B142" s="89" t="s">
        <v>311</v>
      </c>
      <c r="C142" s="89" t="s">
        <v>312</v>
      </c>
      <c r="D142" s="166">
        <f>IF(AND(数据库变更次数&gt;0,$D$113=1),1,0)</f>
        <v>0</v>
      </c>
      <c r="E142" s="166">
        <f>IF($D142=1,数据库变更次数,0)</f>
        <v>0</v>
      </c>
      <c r="F142" s="89" t="str">
        <f>INDEX(二三级标准!$G:$G,MATCH(服务费明细!$B142,二三级标准!$B:$B,0))</f>
        <v>次</v>
      </c>
      <c r="G142" s="166">
        <f t="shared" si="229"/>
        <v>0</v>
      </c>
      <c r="H142" s="166">
        <f t="shared" si="230"/>
        <v>0</v>
      </c>
      <c r="I142" s="166">
        <f t="shared" si="231"/>
        <v>0</v>
      </c>
      <c r="J142" s="166">
        <f t="shared" si="232"/>
        <v>0</v>
      </c>
      <c r="K142" s="166">
        <f t="shared" si="233"/>
        <v>0</v>
      </c>
      <c r="L142" s="166">
        <f t="shared" si="234"/>
        <v>0</v>
      </c>
      <c r="M142" s="166">
        <f t="shared" si="235"/>
        <v>0</v>
      </c>
      <c r="N142" s="166">
        <f t="shared" si="236"/>
        <v>0</v>
      </c>
      <c r="O142" s="166">
        <f t="shared" si="237"/>
        <v>0</v>
      </c>
      <c r="P142" s="166">
        <f t="shared" si="238"/>
        <v>0</v>
      </c>
      <c r="Q142" s="166">
        <f t="shared" si="239"/>
        <v>0</v>
      </c>
      <c r="R142" s="166">
        <f t="shared" si="240"/>
        <v>0</v>
      </c>
      <c r="S142" s="166">
        <f t="shared" si="241"/>
        <v>0</v>
      </c>
      <c r="T142" s="166">
        <f t="shared" si="242"/>
        <v>0</v>
      </c>
      <c r="U142" s="166">
        <f t="shared" si="243"/>
        <v>0</v>
      </c>
      <c r="V142" s="166">
        <f t="shared" si="244"/>
        <v>0</v>
      </c>
      <c r="W142" s="166">
        <f t="shared" si="245"/>
        <v>0</v>
      </c>
      <c r="X142" s="166">
        <f t="shared" si="246"/>
        <v>0</v>
      </c>
      <c r="Y142" s="166">
        <f t="shared" si="247"/>
        <v>0</v>
      </c>
      <c r="Z142" s="166">
        <f t="shared" si="248"/>
        <v>0</v>
      </c>
      <c r="AA142" s="166">
        <f t="shared" si="249"/>
        <v>0</v>
      </c>
      <c r="AB142" s="166">
        <f t="shared" si="250"/>
        <v>0</v>
      </c>
      <c r="AC142" s="166" cm="1">
        <f t="array" ref="AC142">SUMPRODUCT(G142:AB142,$G$4:$AB$4)</f>
        <v>0</v>
      </c>
      <c r="AD142" s="89" t="b">
        <f t="shared" si="269"/>
        <v>1</v>
      </c>
      <c r="AE142" s="386">
        <f>IFERROR(SUMIF(服务费底表!$K:$K,服务费明细!$B142,服务费底表!$AD:$AD)/E142,0)</f>
        <v>0</v>
      </c>
      <c r="AF142" s="386">
        <f t="shared" si="270"/>
        <v>0</v>
      </c>
      <c r="AG142" s="386">
        <f>IFERROR(SUMIF(服务费底表!$K:$K,服务费明细!$B142,服务费底表!$AG:$AG)/E142,0)</f>
        <v>0</v>
      </c>
      <c r="AH142" s="386">
        <f t="shared" si="271"/>
        <v>0</v>
      </c>
      <c r="AI142" s="584" t="s">
        <v>1071</v>
      </c>
      <c r="AJ142" s="563">
        <f t="shared" si="261"/>
        <v>0</v>
      </c>
      <c r="AK142" s="564">
        <f>SUMIF(服务费底表!$K:$K,服务费明细!$B142,服务费底表!$AC:$AC)</f>
        <v>0</v>
      </c>
      <c r="AL142" s="166">
        <f>SUMIFS(服务费底表!$AC:$AC,服务费底表!$K:$K,服务费明细!$B142,服务费底表!$T:$T,AL$3)</f>
        <v>0</v>
      </c>
      <c r="AM142" s="166">
        <f>SUMIFS(服务费底表!$AC:$AC,服务费底表!$K:$K,服务费明细!$B142,服务费底表!$T:$T,AM$3)</f>
        <v>0</v>
      </c>
      <c r="AN142" s="166">
        <f>SUMIFS(服务费底表!$AC:$AC,服务费底表!$K:$K,服务费明细!$B142,服务费底表!$T:$T,AN$3)</f>
        <v>0</v>
      </c>
      <c r="AO142" s="166">
        <f>SUMIFS(服务费底表!$AC:$AC,服务费底表!$K:$K,服务费明细!$B142,服务费底表!$T:$T,AO$3)</f>
        <v>0</v>
      </c>
      <c r="AP142" s="166">
        <f>SUMIFS(服务费底表!$AC:$AC,服务费底表!$K:$K,服务费明细!$B142,服务费底表!$T:$T,AP$3)</f>
        <v>0</v>
      </c>
      <c r="AQ142" s="166">
        <f>SUMIFS(服务费底表!$AC:$AC,服务费底表!$K:$K,服务费明细!$B142,服务费底表!$T:$T,AQ$3)</f>
        <v>0</v>
      </c>
      <c r="AR142" s="166">
        <f>SUMIFS(服务费底表!$AC:$AC,服务费底表!$K:$K,服务费明细!$B142,服务费底表!$T:$T,AR$3)</f>
        <v>0</v>
      </c>
      <c r="AS142" s="166">
        <f>SUMIFS(服务费底表!$AC:$AC,服务费底表!$K:$K,服务费明细!$B142,服务费底表!$T:$T,AS$3)</f>
        <v>0</v>
      </c>
      <c r="AT142" s="166">
        <f>SUMIFS(服务费底表!$AC:$AC,服务费底表!$K:$K,服务费明细!$B142,服务费底表!$T:$T,AT$3)</f>
        <v>0</v>
      </c>
      <c r="AU142" s="166">
        <f>SUMIFS(服务费底表!$AC:$AC,服务费底表!$K:$K,服务费明细!$B142,服务费底表!$T:$T,AU$3)</f>
        <v>0</v>
      </c>
      <c r="AV142" s="166">
        <f>SUMIFS(服务费底表!$AC:$AC,服务费底表!$K:$K,服务费明细!$B142,服务费底表!$T:$T,AV$3)</f>
        <v>0</v>
      </c>
      <c r="AW142" s="166">
        <f>SUMIFS(服务费底表!$AC:$AC,服务费底表!$K:$K,服务费明细!$B142,服务费底表!$T:$T,AW$3)</f>
        <v>0</v>
      </c>
      <c r="AX142" s="166">
        <f>SUMIFS(服务费底表!$AC:$AC,服务费底表!$K:$K,服务费明细!$B142,服务费底表!$T:$T,AX$3)</f>
        <v>0</v>
      </c>
      <c r="AY142" s="166">
        <f>SUMIFS(服务费底表!$AC:$AC,服务费底表!$K:$K,服务费明细!$B142,服务费底表!$T:$T,AY$3)</f>
        <v>0</v>
      </c>
      <c r="AZ142" s="166">
        <f>SUMIFS(服务费底表!$AC:$AC,服务费底表!$K:$K,服务费明细!$B142,服务费底表!$T:$T,AZ$3)</f>
        <v>0</v>
      </c>
      <c r="BA142" s="166">
        <f>SUMIFS(服务费底表!$AC:$AC,服务费底表!$K:$K,服务费明细!$B142,服务费底表!$T:$T,BA$3)</f>
        <v>0</v>
      </c>
      <c r="BB142" s="166">
        <f>SUMIFS(服务费底表!$AC:$AC,服务费底表!$K:$K,服务费明细!$B142,服务费底表!$T:$T,BB$3)</f>
        <v>0</v>
      </c>
      <c r="BC142" s="166">
        <f>SUMIFS(服务费底表!$AC:$AC,服务费底表!$K:$K,服务费明细!$B142,服务费底表!$T:$T,BC$3)</f>
        <v>0</v>
      </c>
      <c r="BD142" s="166">
        <f>SUMIFS(服务费底表!$AC:$AC,服务费底表!$K:$K,服务费明细!$B142,服务费底表!$T:$T,BD$3)</f>
        <v>0</v>
      </c>
      <c r="BE142" s="166">
        <f>SUMIFS(服务费底表!$AC:$AC,服务费底表!$K:$K,服务费明细!$B142,服务费底表!$T:$T,BE$3)</f>
        <v>0</v>
      </c>
      <c r="BF142" s="166">
        <f>SUMIFS(服务费底表!$AC:$AC,服务费底表!$K:$K,服务费明细!$B142,服务费底表!$T:$T,BF$3)</f>
        <v>0</v>
      </c>
      <c r="BG142" s="166">
        <f>SUMIFS(服务费底表!$AC:$AC,服务费底表!$K:$K,服务费明细!$B142,服务费底表!$T:$T,BG$3)</f>
        <v>0</v>
      </c>
      <c r="BI142" s="388">
        <f>SUMIFS(服务费底表!$AC:$AC,服务费底表!$K:$K,服务费明细!$B142,服务费底表!$H:$H,服务费明细!BI$3)</f>
        <v>0</v>
      </c>
      <c r="BJ142" s="388">
        <f>SUMIFS(服务费底表!$AC:$AC,服务费底表!$K:$K,服务费明细!$B142,服务费底表!$H:$H,服务费明细!BJ$3)</f>
        <v>0</v>
      </c>
      <c r="BK142" s="388">
        <f>SUMIFS(服务费底表!$AC:$AC,服务费底表!$K:$K,服务费明细!$B142,服务费底表!$H:$H,服务费明细!BK$3)</f>
        <v>0</v>
      </c>
      <c r="BL142" s="388">
        <f>SUMIFS(服务费底表!$AC:$AC,服务费底表!$K:$K,服务费明细!$B142,服务费底表!$H:$H,服务费明细!BL$3)</f>
        <v>0</v>
      </c>
      <c r="BM142" s="388">
        <f>SUMIFS(服务费底表!$AC:$AC,服务费底表!$K:$K,服务费明细!$B142,服务费底表!$H:$H,服务费明细!BM$3)</f>
        <v>0</v>
      </c>
      <c r="BN142" s="388">
        <f>SUMIFS(服务费底表!$AC:$AC,服务费底表!$K:$K,服务费明细!$B142,服务费底表!$H:$H,服务费明细!BN$3)</f>
        <v>0</v>
      </c>
      <c r="BO142" s="388">
        <f>SUMIFS(服务费底表!$AC:$AC,服务费底表!$K:$K,服务费明细!$B142,服务费底表!$H:$H,服务费明细!BO$3)</f>
        <v>0</v>
      </c>
      <c r="BQ142" s="389">
        <f>SUMIFS(服务费底表!$AD:$AD,服务费底表!$K:$K,服务费明细!$B142,服务费底表!$H:$H,服务费明细!BQ$3)</f>
        <v>0</v>
      </c>
      <c r="BR142" s="389">
        <f>SUMIFS(服务费底表!$AD:$AD,服务费底表!$K:$K,服务费明细!$B142,服务费底表!$H:$H,服务费明细!BR$3)</f>
        <v>0</v>
      </c>
      <c r="BS142" s="389">
        <f>SUMIFS(服务费底表!$AD:$AD,服务费底表!$K:$K,服务费明细!$B142,服务费底表!$H:$H,服务费明细!BS$3)</f>
        <v>0</v>
      </c>
      <c r="BT142" s="389">
        <f>SUMIFS(服务费底表!$AD:$AD,服务费底表!$K:$K,服务费明细!$B142,服务费底表!$H:$H,服务费明细!BT$3)</f>
        <v>0</v>
      </c>
      <c r="BU142" s="389">
        <f>SUMIFS(服务费底表!$AD:$AD,服务费底表!$K:$K,服务费明细!$B142,服务费底表!$H:$H,服务费明细!BU$3)</f>
        <v>0</v>
      </c>
      <c r="BV142" s="389">
        <f>SUMIFS(服务费底表!$AD:$AD,服务费底表!$K:$K,服务费明细!$B142,服务费底表!$H:$H,服务费明细!BV$3)</f>
        <v>0</v>
      </c>
      <c r="BW142" s="389">
        <f>SUMIFS(服务费底表!$AD:$AD,服务费底表!$K:$K,服务费明细!$B142,服务费底表!$H:$H,服务费明细!BW$3)</f>
        <v>0</v>
      </c>
    </row>
    <row r="143" ht="15.6" spans="2:1022 1025:2046 2049:2570">
      <c r="B143" s="88" t="s">
        <v>924</v>
      </c>
      <c r="C143" s="88" t="str">
        <f>INDEX(二三级标准!$Q:$Q,MATCH(服务费明细!$B143,二三级标准!$O:$O,0))</f>
        <v>生物统计及分析</v>
      </c>
      <c r="D143" s="376">
        <f>IF(生物统计YN=1,1,0)</f>
        <v>1</v>
      </c>
      <c r="E143" s="377"/>
      <c r="F143" s="378"/>
      <c r="G143" s="429">
        <f>SUM(G144:G172)</f>
        <v>0</v>
      </c>
      <c r="H143" s="429">
        <f t="shared" ref="H143:AB143" si="272">SUM(H144:H172)</f>
        <v>0</v>
      </c>
      <c r="I143" s="429">
        <f t="shared" si="272"/>
        <v>1</v>
      </c>
      <c r="J143" s="429">
        <f t="shared" si="272"/>
        <v>0</v>
      </c>
      <c r="K143" s="429">
        <f t="shared" si="272"/>
        <v>0</v>
      </c>
      <c r="L143" s="429">
        <f t="shared" si="272"/>
        <v>0</v>
      </c>
      <c r="M143" s="429">
        <f t="shared" si="272"/>
        <v>12</v>
      </c>
      <c r="N143" s="429">
        <f t="shared" si="272"/>
        <v>0</v>
      </c>
      <c r="O143" s="429">
        <f t="shared" si="272"/>
        <v>0</v>
      </c>
      <c r="P143" s="429">
        <f t="shared" si="272"/>
        <v>0</v>
      </c>
      <c r="Q143" s="429">
        <f t="shared" si="272"/>
        <v>0</v>
      </c>
      <c r="R143" s="429">
        <f t="shared" si="272"/>
        <v>0</v>
      </c>
      <c r="S143" s="429">
        <f t="shared" si="272"/>
        <v>0</v>
      </c>
      <c r="T143" s="556">
        <f t="shared" si="272"/>
        <v>615.5</v>
      </c>
      <c r="U143" s="556">
        <f t="shared" si="272"/>
        <v>44.5</v>
      </c>
      <c r="V143" s="556">
        <f t="shared" si="272"/>
        <v>153.5</v>
      </c>
      <c r="W143" s="556">
        <f t="shared" si="272"/>
        <v>6</v>
      </c>
      <c r="X143" s="429">
        <f t="shared" si="272"/>
        <v>0</v>
      </c>
      <c r="Y143" s="429">
        <f t="shared" si="272"/>
        <v>16</v>
      </c>
      <c r="Z143" s="429">
        <f t="shared" si="272"/>
        <v>0</v>
      </c>
      <c r="AA143" s="429">
        <f t="shared" si="272"/>
        <v>0</v>
      </c>
      <c r="AB143" s="429">
        <f t="shared" si="272"/>
        <v>0</v>
      </c>
      <c r="AC143" s="378"/>
      <c r="AD143" s="378">
        <f>SUM(G143:AB143)</f>
        <v>848.5</v>
      </c>
      <c r="AE143" s="379"/>
      <c r="AF143" s="380">
        <f>SUM(AF144:AF172)</f>
        <v>243762.5</v>
      </c>
      <c r="AG143" s="380"/>
      <c r="AH143" s="380">
        <f>SUM(AH144:AH172)</f>
        <v>243762.5</v>
      </c>
      <c r="AI143" s="570"/>
      <c r="AJ143" s="566"/>
      <c r="AK143" s="559">
        <f>SUM(AK144:AK170)</f>
        <v>848.5</v>
      </c>
      <c r="AL143" s="571"/>
      <c r="AM143" s="572"/>
      <c r="AN143" s="572"/>
      <c r="AO143" s="572"/>
      <c r="AP143" s="572"/>
      <c r="AQ143" s="572"/>
      <c r="AR143" s="572"/>
      <c r="AS143" s="572"/>
      <c r="AT143" s="572"/>
      <c r="AU143" s="572"/>
      <c r="AV143" s="572"/>
      <c r="AW143" s="572"/>
      <c r="AX143" s="572"/>
      <c r="AY143" s="572"/>
      <c r="AZ143" s="572"/>
      <c r="BA143" s="572"/>
      <c r="BB143" s="572"/>
      <c r="BC143" s="572"/>
      <c r="BD143" s="572"/>
      <c r="BE143" s="572"/>
      <c r="BF143" s="572"/>
      <c r="BG143" s="572"/>
      <c r="BH143" s="572"/>
      <c r="BI143" s="568">
        <f t="shared" ref="BI143:BO143" si="273">SUM(BI144:BI170)</f>
        <v>12</v>
      </c>
      <c r="BJ143" s="568">
        <f t="shared" si="273"/>
        <v>1</v>
      </c>
      <c r="BK143" s="568">
        <f t="shared" si="273"/>
        <v>0</v>
      </c>
      <c r="BL143" s="568">
        <f t="shared" si="273"/>
        <v>819.5</v>
      </c>
      <c r="BM143" s="568">
        <f t="shared" si="273"/>
        <v>0</v>
      </c>
      <c r="BN143" s="568">
        <f t="shared" si="273"/>
        <v>16</v>
      </c>
      <c r="BO143" s="568">
        <f t="shared" si="273"/>
        <v>0</v>
      </c>
      <c r="BQ143" s="569">
        <f t="shared" ref="BQ143:BW143" si="274">SUM(BQ144:BQ170)</f>
        <v>7800</v>
      </c>
      <c r="BR143" s="569">
        <f t="shared" si="274"/>
        <v>650</v>
      </c>
      <c r="BS143" s="569">
        <f t="shared" si="274"/>
        <v>0</v>
      </c>
      <c r="BT143" s="569">
        <f t="shared" si="274"/>
        <v>224112.5</v>
      </c>
      <c r="BU143" s="569">
        <f t="shared" si="274"/>
        <v>0</v>
      </c>
      <c r="BV143" s="569">
        <f t="shared" si="274"/>
        <v>11200</v>
      </c>
      <c r="BW143" s="569">
        <f t="shared" si="274"/>
        <v>0</v>
      </c>
    </row>
    <row r="144" spans="2:1022 1025:2046 2049:2570">
      <c r="B144" s="89" t="s">
        <v>313</v>
      </c>
      <c r="C144" s="89" t="str">
        <f>INDEX(二三级标准!$C:$C,MATCH(服务费明细!$B144,二三级标准!$B:$B,0))</f>
        <v>撰写统计分析计划SAP</v>
      </c>
      <c r="D144" s="166">
        <f>IF($D$143=1,1,0)</f>
        <v>1</v>
      </c>
      <c r="E144" s="166">
        <f>IF($D144=1,1,0)</f>
        <v>1</v>
      </c>
      <c r="F144" s="89" t="str">
        <f>INDEX(二三级标准!$G:$G,MATCH(服务费明细!$B144,二三级标准!$B:$B,0))</f>
        <v>份</v>
      </c>
      <c r="G144" s="166">
        <f t="shared" ref="G144:AB144" si="275">AL144</f>
        <v>0</v>
      </c>
      <c r="H144" s="166">
        <f t="shared" si="275"/>
        <v>0</v>
      </c>
      <c r="I144" s="166">
        <f t="shared" si="275"/>
        <v>1</v>
      </c>
      <c r="J144" s="166">
        <f t="shared" si="275"/>
        <v>0</v>
      </c>
      <c r="K144" s="166">
        <f t="shared" si="275"/>
        <v>0</v>
      </c>
      <c r="L144" s="166">
        <f t="shared" si="275"/>
        <v>0</v>
      </c>
      <c r="M144" s="166">
        <f t="shared" si="275"/>
        <v>4</v>
      </c>
      <c r="N144" s="166">
        <f t="shared" si="275"/>
        <v>0</v>
      </c>
      <c r="O144" s="166">
        <f t="shared" si="275"/>
        <v>0</v>
      </c>
      <c r="P144" s="166">
        <f t="shared" si="275"/>
        <v>0</v>
      </c>
      <c r="Q144" s="166">
        <f t="shared" si="275"/>
        <v>0</v>
      </c>
      <c r="R144" s="166">
        <f t="shared" si="275"/>
        <v>0</v>
      </c>
      <c r="S144" s="166">
        <f t="shared" si="275"/>
        <v>0</v>
      </c>
      <c r="T144" s="166">
        <f t="shared" si="275"/>
        <v>0</v>
      </c>
      <c r="U144" s="166">
        <f t="shared" si="275"/>
        <v>1</v>
      </c>
      <c r="V144" s="166">
        <f t="shared" si="275"/>
        <v>32</v>
      </c>
      <c r="W144" s="166">
        <f t="shared" si="275"/>
        <v>4</v>
      </c>
      <c r="X144" s="166">
        <f t="shared" si="275"/>
        <v>0</v>
      </c>
      <c r="Y144" s="166">
        <f t="shared" si="275"/>
        <v>0</v>
      </c>
      <c r="Z144" s="166">
        <f t="shared" si="275"/>
        <v>0</v>
      </c>
      <c r="AA144" s="166">
        <f t="shared" si="275"/>
        <v>0</v>
      </c>
      <c r="AB144" s="166">
        <f t="shared" si="275"/>
        <v>0</v>
      </c>
      <c r="AC144" s="166" cm="1">
        <f t="array" ref="AC144">SUMPRODUCT(G144:AB144,$G$4:$AB$4)</f>
        <v>19300</v>
      </c>
      <c r="AD144" s="89" t="b">
        <f>IF(AF144=AC144,TRUE,FALSE)</f>
        <v>1</v>
      </c>
      <c r="AE144" s="386">
        <f>IFERROR(SUMIF(服务费底表!$K:$K,服务费明细!$B144,服务费底表!$AD:$AD)/E144,0)</f>
        <v>19300</v>
      </c>
      <c r="AF144" s="386">
        <f>E144*AE144</f>
        <v>19300</v>
      </c>
      <c r="AG144" s="386">
        <f>IFERROR(SUMIF(服务费底表!$K:$K,服务费明细!$B144,服务费底表!$AG:$AG)/E144,0)</f>
        <v>19300</v>
      </c>
      <c r="AH144" s="386">
        <f>AG144*E144</f>
        <v>19300</v>
      </c>
      <c r="AI144" s="409" t="s">
        <v>1072</v>
      </c>
      <c r="AJ144" s="563">
        <f>IF(D144=1,AK144/E144,0)</f>
        <v>42</v>
      </c>
      <c r="AK144" s="564">
        <f>SUMIF(服务费底表!$K:$K,服务费明细!$B144,服务费底表!$AC:$AC)</f>
        <v>42</v>
      </c>
      <c r="AL144" s="166">
        <f>SUMIFS(服务费底表!$AC:$AC,服务费底表!$K:$K,服务费明细!$B144,服务费底表!$T:$T,AL$3)</f>
        <v>0</v>
      </c>
      <c r="AM144" s="166">
        <f>SUMIFS(服务费底表!$AC:$AC,服务费底表!$K:$K,服务费明细!$B144,服务费底表!$T:$T,AM$3)</f>
        <v>0</v>
      </c>
      <c r="AN144" s="166">
        <f>SUMIFS(服务费底表!$AC:$AC,服务费底表!$K:$K,服务费明细!$B144,服务费底表!$T:$T,AN$3)</f>
        <v>1</v>
      </c>
      <c r="AO144" s="166">
        <f>SUMIFS(服务费底表!$AC:$AC,服务费底表!$K:$K,服务费明细!$B144,服务费底表!$T:$T,AO$3)</f>
        <v>0</v>
      </c>
      <c r="AP144" s="166">
        <f>SUMIFS(服务费底表!$AC:$AC,服务费底表!$K:$K,服务费明细!$B144,服务费底表!$T:$T,AP$3)</f>
        <v>0</v>
      </c>
      <c r="AQ144" s="166">
        <f>SUMIFS(服务费底表!$AC:$AC,服务费底表!$K:$K,服务费明细!$B144,服务费底表!$T:$T,AQ$3)</f>
        <v>0</v>
      </c>
      <c r="AR144" s="166">
        <f>SUMIFS(服务费底表!$AC:$AC,服务费底表!$K:$K,服务费明细!$B144,服务费底表!$T:$T,AR$3)</f>
        <v>4</v>
      </c>
      <c r="AS144" s="166">
        <f>SUMIFS(服务费底表!$AC:$AC,服务费底表!$K:$K,服务费明细!$B144,服务费底表!$T:$T,AS$3)</f>
        <v>0</v>
      </c>
      <c r="AT144" s="166">
        <f>SUMIFS(服务费底表!$AC:$AC,服务费底表!$K:$K,服务费明细!$B144,服务费底表!$T:$T,AT$3)</f>
        <v>0</v>
      </c>
      <c r="AU144" s="166">
        <f>SUMIFS(服务费底表!$AC:$AC,服务费底表!$K:$K,服务费明细!$B144,服务费底表!$T:$T,AU$3)</f>
        <v>0</v>
      </c>
      <c r="AV144" s="166">
        <f>SUMIFS(服务费底表!$AC:$AC,服务费底表!$K:$K,服务费明细!$B144,服务费底表!$T:$T,AV$3)</f>
        <v>0</v>
      </c>
      <c r="AW144" s="166">
        <f>SUMIFS(服务费底表!$AC:$AC,服务费底表!$K:$K,服务费明细!$B144,服务费底表!$T:$T,AW$3)</f>
        <v>0</v>
      </c>
      <c r="AX144" s="166">
        <f>SUMIFS(服务费底表!$AC:$AC,服务费底表!$K:$K,服务费明细!$B144,服务费底表!$T:$T,AX$3)</f>
        <v>0</v>
      </c>
      <c r="AY144" s="166">
        <f>SUMIFS(服务费底表!$AC:$AC,服务费底表!$K:$K,服务费明细!$B144,服务费底表!$T:$T,AY$3)</f>
        <v>0</v>
      </c>
      <c r="AZ144" s="166">
        <f>SUMIFS(服务费底表!$AC:$AC,服务费底表!$K:$K,服务费明细!$B144,服务费底表!$T:$T,AZ$3)</f>
        <v>1</v>
      </c>
      <c r="BA144" s="166">
        <f>SUMIFS(服务费底表!$AC:$AC,服务费底表!$K:$K,服务费明细!$B144,服务费底表!$T:$T,BA$3)</f>
        <v>32</v>
      </c>
      <c r="BB144" s="166">
        <f>SUMIFS(服务费底表!$AC:$AC,服务费底表!$K:$K,服务费明细!$B144,服务费底表!$T:$T,BB$3)</f>
        <v>4</v>
      </c>
      <c r="BC144" s="166">
        <f>SUMIFS(服务费底表!$AC:$AC,服务费底表!$K:$K,服务费明细!$B144,服务费底表!$T:$T,BC$3)</f>
        <v>0</v>
      </c>
      <c r="BD144" s="166">
        <f>SUMIFS(服务费底表!$AC:$AC,服务费底表!$K:$K,服务费明细!$B144,服务费底表!$T:$T,BD$3)</f>
        <v>0</v>
      </c>
      <c r="BE144" s="166">
        <f>SUMIFS(服务费底表!$AC:$AC,服务费底表!$K:$K,服务费明细!$B144,服务费底表!$T:$T,BE$3)</f>
        <v>0</v>
      </c>
      <c r="BF144" s="166">
        <f>SUMIFS(服务费底表!$AC:$AC,服务费底表!$K:$K,服务费明细!$B144,服务费底表!$T:$T,BF$3)</f>
        <v>0</v>
      </c>
      <c r="BG144" s="166">
        <f>SUMIFS(服务费底表!$AC:$AC,服务费底表!$K:$K,服务费明细!$B144,服务费底表!$T:$T,BG$3)</f>
        <v>0</v>
      </c>
      <c r="BI144" s="388">
        <f>SUMIFS(服务费底表!$AC:$AC,服务费底表!$K:$K,服务费明细!$B144,服务费底表!$H:$H,服务费明细!BI$3)</f>
        <v>4</v>
      </c>
      <c r="BJ144" s="388">
        <f>SUMIFS(服务费底表!$AC:$AC,服务费底表!$K:$K,服务费明细!$B144,服务费底表!$H:$H,服务费明细!BJ$3)</f>
        <v>1</v>
      </c>
      <c r="BK144" s="388">
        <f>SUMIFS(服务费底表!$AC:$AC,服务费底表!$K:$K,服务费明细!$B144,服务费底表!$H:$H,服务费明细!BK$3)</f>
        <v>0</v>
      </c>
      <c r="BL144" s="388">
        <f>SUMIFS(服务费底表!$AC:$AC,服务费底表!$K:$K,服务费明细!$B144,服务费底表!$H:$H,服务费明细!BL$3)</f>
        <v>37</v>
      </c>
      <c r="BM144" s="388">
        <f>SUMIFS(服务费底表!$AC:$AC,服务费底表!$K:$K,服务费明细!$B144,服务费底表!$H:$H,服务费明细!BM$3)</f>
        <v>0</v>
      </c>
      <c r="BN144" s="388">
        <f>SUMIFS(服务费底表!$AC:$AC,服务费底表!$K:$K,服务费明细!$B144,服务费底表!$H:$H,服务费明细!BN$3)</f>
        <v>0</v>
      </c>
      <c r="BO144" s="388">
        <f>SUMIFS(服务费底表!$AC:$AC,服务费底表!$K:$K,服务费明细!$B144,服务费底表!$H:$H,服务费明细!BO$3)</f>
        <v>0</v>
      </c>
      <c r="BQ144" s="389">
        <f>SUMIFS(服务费底表!$AD:$AD,服务费底表!$K:$K,服务费明细!$B144,服务费底表!$H:$H,服务费明细!BQ$3)</f>
        <v>2600</v>
      </c>
      <c r="BR144" s="389">
        <f>SUMIFS(服务费底表!$AD:$AD,服务费底表!$K:$K,服务费明细!$B144,服务费底表!$H:$H,服务费明细!BR$3)</f>
        <v>650</v>
      </c>
      <c r="BS144" s="389">
        <f>SUMIFS(服务费底表!$AD:$AD,服务费底表!$K:$K,服务费明细!$B144,服务费底表!$H:$H,服务费明细!BS$3)</f>
        <v>0</v>
      </c>
      <c r="BT144" s="389">
        <f>SUMIFS(服务费底表!$AD:$AD,服务费底表!$K:$K,服务费明细!$B144,服务费底表!$H:$H,服务费明细!BT$3)</f>
        <v>16050</v>
      </c>
      <c r="BU144" s="389">
        <f>SUMIFS(服务费底表!$AD:$AD,服务费底表!$K:$K,服务费明细!$B144,服务费底表!$H:$H,服务费明细!BU$3)</f>
        <v>0</v>
      </c>
      <c r="BV144" s="389">
        <f>SUMIFS(服务费底表!$AD:$AD,服务费底表!$K:$K,服务费明细!$B144,服务费底表!$H:$H,服务费明细!BV$3)</f>
        <v>0</v>
      </c>
      <c r="BW144" s="389">
        <f>SUMIFS(服务费底表!$AD:$AD,服务费底表!$K:$K,服务费明细!$B144,服务费底表!$H:$H,服务费明细!BW$3)</f>
        <v>0</v>
      </c>
    </row>
    <row r="145" spans="2:75">
      <c r="B145" s="89" t="s">
        <v>315</v>
      </c>
      <c r="C145" s="89" t="str">
        <f>INDEX(二三级标准!$C:$C,MATCH(服务费明细!$B145,二三级标准!$B:$B,0))</f>
        <v>制定和实施随机化方案</v>
      </c>
      <c r="D145" s="166">
        <f>IF(AND($D$143=1,随机化设计&lt;&gt;"非随机化"),1,0)</f>
        <v>0</v>
      </c>
      <c r="E145" s="166">
        <f>IF($D145=1,1,0)</f>
        <v>0</v>
      </c>
      <c r="F145" s="89" t="str">
        <f>INDEX(二三级标准!$G:$G,MATCH(服务费明细!$B145,二三级标准!$B:$B,0))</f>
        <v>份</v>
      </c>
      <c r="G145" s="166">
        <f t="shared" ref="G145:G172" si="276">AL145</f>
        <v>0</v>
      </c>
      <c r="H145" s="166">
        <f t="shared" ref="H145:H172" si="277">AM145</f>
        <v>0</v>
      </c>
      <c r="I145" s="166">
        <f t="shared" ref="I145:I172" si="278">AN145</f>
        <v>0</v>
      </c>
      <c r="J145" s="166">
        <f t="shared" ref="J145:J172" si="279">AO145</f>
        <v>0</v>
      </c>
      <c r="K145" s="166">
        <f t="shared" ref="K145:K172" si="280">AP145</f>
        <v>0</v>
      </c>
      <c r="L145" s="166">
        <f t="shared" ref="L145:L172" si="281">AQ145</f>
        <v>0</v>
      </c>
      <c r="M145" s="166">
        <f t="shared" ref="M145:M172" si="282">AR145</f>
        <v>0</v>
      </c>
      <c r="N145" s="166">
        <f t="shared" ref="N145:N172" si="283">AS145</f>
        <v>0</v>
      </c>
      <c r="O145" s="166">
        <f t="shared" ref="O145:O172" si="284">AT145</f>
        <v>0</v>
      </c>
      <c r="P145" s="166">
        <f t="shared" ref="P145:P172" si="285">AU145</f>
        <v>0</v>
      </c>
      <c r="Q145" s="166">
        <f t="shared" ref="Q145:Q172" si="286">AV145</f>
        <v>0</v>
      </c>
      <c r="R145" s="166">
        <f t="shared" ref="R145:R172" si="287">AW145</f>
        <v>0</v>
      </c>
      <c r="S145" s="166">
        <f t="shared" ref="S145:S172" si="288">AX145</f>
        <v>0</v>
      </c>
      <c r="T145" s="166">
        <f t="shared" ref="T145:T172" si="289">AY145</f>
        <v>0</v>
      </c>
      <c r="U145" s="166">
        <f t="shared" ref="U145:U172" si="290">AZ145</f>
        <v>0</v>
      </c>
      <c r="V145" s="166">
        <f t="shared" ref="V145:V172" si="291">BA145</f>
        <v>0</v>
      </c>
      <c r="W145" s="166">
        <f t="shared" ref="W145:W172" si="292">BB145</f>
        <v>0</v>
      </c>
      <c r="X145" s="166">
        <f t="shared" ref="X145:X172" si="293">BC145</f>
        <v>0</v>
      </c>
      <c r="Y145" s="166">
        <f t="shared" ref="Y145:Y172" si="294">BD145</f>
        <v>0</v>
      </c>
      <c r="Z145" s="166">
        <f t="shared" ref="Z145:Z172" si="295">BE145</f>
        <v>0</v>
      </c>
      <c r="AA145" s="166">
        <f t="shared" ref="AA145:AA172" si="296">BF145</f>
        <v>0</v>
      </c>
      <c r="AB145" s="166">
        <f t="shared" ref="AB145:AB172" si="297">BG145</f>
        <v>0</v>
      </c>
      <c r="AC145" s="166" cm="1">
        <f t="array" ref="AC145">SUMPRODUCT(G145:AB145,$G$4:$AB$4)</f>
        <v>0</v>
      </c>
      <c r="AD145" s="89" t="b">
        <f>IF(AF145=AC145,TRUE,FALSE)</f>
        <v>1</v>
      </c>
      <c r="AE145" s="386">
        <f>IFERROR(SUMIF(服务费底表!$K:$K,服务费明细!$B145,服务费底表!$AD:$AD)/E145,0)</f>
        <v>0</v>
      </c>
      <c r="AF145" s="386">
        <f>E145*AE145</f>
        <v>0</v>
      </c>
      <c r="AG145" s="386">
        <f>IFERROR(SUMIF(服务费底表!$K:$K,服务费明细!$B145,服务费底表!$AG:$AG)/E145,0)</f>
        <v>0</v>
      </c>
      <c r="AH145" s="386">
        <f>AG145*E145</f>
        <v>0</v>
      </c>
      <c r="AI145" s="577"/>
      <c r="AJ145" s="563">
        <f>IF(D145=1,AK145/E145,0)</f>
        <v>0</v>
      </c>
      <c r="AK145" s="564">
        <f>SUMIF(服务费底表!$K:$K,服务费明细!$B145,服务费底表!$AC:$AC)</f>
        <v>0</v>
      </c>
      <c r="AL145" s="166">
        <f>SUMIFS(服务费底表!$AC:$AC,服务费底表!$K:$K,服务费明细!$B145,服务费底表!$T:$T,AL$3)</f>
        <v>0</v>
      </c>
      <c r="AM145" s="166">
        <f>SUMIFS(服务费底表!$AC:$AC,服务费底表!$K:$K,服务费明细!$B145,服务费底表!$T:$T,AM$3)</f>
        <v>0</v>
      </c>
      <c r="AN145" s="166">
        <f>SUMIFS(服务费底表!$AC:$AC,服务费底表!$K:$K,服务费明细!$B145,服务费底表!$T:$T,AN$3)</f>
        <v>0</v>
      </c>
      <c r="AO145" s="166">
        <f>SUMIFS(服务费底表!$AC:$AC,服务费底表!$K:$K,服务费明细!$B145,服务费底表!$T:$T,AO$3)</f>
        <v>0</v>
      </c>
      <c r="AP145" s="166">
        <f>SUMIFS(服务费底表!$AC:$AC,服务费底表!$K:$K,服务费明细!$B145,服务费底表!$T:$T,AP$3)</f>
        <v>0</v>
      </c>
      <c r="AQ145" s="166">
        <f>SUMIFS(服务费底表!$AC:$AC,服务费底表!$K:$K,服务费明细!$B145,服务费底表!$T:$T,AQ$3)</f>
        <v>0</v>
      </c>
      <c r="AR145" s="166">
        <f>SUMIFS(服务费底表!$AC:$AC,服务费底表!$K:$K,服务费明细!$B145,服务费底表!$T:$T,AR$3)</f>
        <v>0</v>
      </c>
      <c r="AS145" s="166">
        <f>SUMIFS(服务费底表!$AC:$AC,服务费底表!$K:$K,服务费明细!$B145,服务费底表!$T:$T,AS$3)</f>
        <v>0</v>
      </c>
      <c r="AT145" s="166">
        <f>SUMIFS(服务费底表!$AC:$AC,服务费底表!$K:$K,服务费明细!$B145,服务费底表!$T:$T,AT$3)</f>
        <v>0</v>
      </c>
      <c r="AU145" s="166">
        <f>SUMIFS(服务费底表!$AC:$AC,服务费底表!$K:$K,服务费明细!$B145,服务费底表!$T:$T,AU$3)</f>
        <v>0</v>
      </c>
      <c r="AV145" s="166">
        <f>SUMIFS(服务费底表!$AC:$AC,服务费底表!$K:$K,服务费明细!$B145,服务费底表!$T:$T,AV$3)</f>
        <v>0</v>
      </c>
      <c r="AW145" s="166">
        <f>SUMIFS(服务费底表!$AC:$AC,服务费底表!$K:$K,服务费明细!$B145,服务费底表!$T:$T,AW$3)</f>
        <v>0</v>
      </c>
      <c r="AX145" s="166">
        <f>SUMIFS(服务费底表!$AC:$AC,服务费底表!$K:$K,服务费明细!$B145,服务费底表!$T:$T,AX$3)</f>
        <v>0</v>
      </c>
      <c r="AY145" s="166">
        <f>SUMIFS(服务费底表!$AC:$AC,服务费底表!$K:$K,服务费明细!$B145,服务费底表!$T:$T,AY$3)</f>
        <v>0</v>
      </c>
      <c r="AZ145" s="166">
        <f>SUMIFS(服务费底表!$AC:$AC,服务费底表!$K:$K,服务费明细!$B145,服务费底表!$T:$T,AZ$3)</f>
        <v>0</v>
      </c>
      <c r="BA145" s="166">
        <f>SUMIFS(服务费底表!$AC:$AC,服务费底表!$K:$K,服务费明细!$B145,服务费底表!$T:$T,BA$3)</f>
        <v>0</v>
      </c>
      <c r="BB145" s="166">
        <f>SUMIFS(服务费底表!$AC:$AC,服务费底表!$K:$K,服务费明细!$B145,服务费底表!$T:$T,BB$3)</f>
        <v>0</v>
      </c>
      <c r="BC145" s="166">
        <f>SUMIFS(服务费底表!$AC:$AC,服务费底表!$K:$K,服务费明细!$B145,服务费底表!$T:$T,BC$3)</f>
        <v>0</v>
      </c>
      <c r="BD145" s="166">
        <f>SUMIFS(服务费底表!$AC:$AC,服务费底表!$K:$K,服务费明细!$B145,服务费底表!$T:$T,BD$3)</f>
        <v>0</v>
      </c>
      <c r="BE145" s="166">
        <f>SUMIFS(服务费底表!$AC:$AC,服务费底表!$K:$K,服务费明细!$B145,服务费底表!$T:$T,BE$3)</f>
        <v>0</v>
      </c>
      <c r="BF145" s="166">
        <f>SUMIFS(服务费底表!$AC:$AC,服务费底表!$K:$K,服务费明细!$B145,服务费底表!$T:$T,BF$3)</f>
        <v>0</v>
      </c>
      <c r="BG145" s="166">
        <f>SUMIFS(服务费底表!$AC:$AC,服务费底表!$K:$K,服务费明细!$B145,服务费底表!$T:$T,BG$3)</f>
        <v>0</v>
      </c>
      <c r="BI145" s="388">
        <f>SUMIFS(服务费底表!$AC:$AC,服务费底表!$K:$K,服务费明细!$B145,服务费底表!$H:$H,服务费明细!BI$3)</f>
        <v>0</v>
      </c>
      <c r="BJ145" s="388">
        <f>SUMIFS(服务费底表!$AC:$AC,服务费底表!$K:$K,服务费明细!$B145,服务费底表!$H:$H,服务费明细!BJ$3)</f>
        <v>0</v>
      </c>
      <c r="BK145" s="388">
        <f>SUMIFS(服务费底表!$AC:$AC,服务费底表!$K:$K,服务费明细!$B145,服务费底表!$H:$H,服务费明细!BK$3)</f>
        <v>0</v>
      </c>
      <c r="BL145" s="388">
        <f>SUMIFS(服务费底表!$AC:$AC,服务费底表!$K:$K,服务费明细!$B145,服务费底表!$H:$H,服务费明细!BL$3)</f>
        <v>0</v>
      </c>
      <c r="BM145" s="388">
        <f>SUMIFS(服务费底表!$AC:$AC,服务费底表!$K:$K,服务费明细!$B145,服务费底表!$H:$H,服务费明细!BM$3)</f>
        <v>0</v>
      </c>
      <c r="BN145" s="388">
        <f>SUMIFS(服务费底表!$AC:$AC,服务费底表!$K:$K,服务费明细!$B145,服务费底表!$H:$H,服务费明细!BN$3)</f>
        <v>0</v>
      </c>
      <c r="BO145" s="388">
        <f>SUMIFS(服务费底表!$AC:$AC,服务费底表!$K:$K,服务费明细!$B145,服务费底表!$H:$H,服务费明细!BO$3)</f>
        <v>0</v>
      </c>
      <c r="BQ145" s="389">
        <f>SUMIFS(服务费底表!$AD:$AD,服务费底表!$K:$K,服务费明细!$B145,服务费底表!$H:$H,服务费明细!BQ$3)</f>
        <v>0</v>
      </c>
      <c r="BR145" s="389">
        <f>SUMIFS(服务费底表!$AD:$AD,服务费底表!$K:$K,服务费明细!$B145,服务费底表!$H:$H,服务费明细!BR$3)</f>
        <v>0</v>
      </c>
      <c r="BS145" s="389">
        <f>SUMIFS(服务费底表!$AD:$AD,服务费底表!$K:$K,服务费明细!$B145,服务费底表!$H:$H,服务费明细!BS$3)</f>
        <v>0</v>
      </c>
      <c r="BT145" s="389">
        <f>SUMIFS(服务费底表!$AD:$AD,服务费底表!$K:$K,服务费明细!$B145,服务费底表!$H:$H,服务费明细!BT$3)</f>
        <v>0</v>
      </c>
      <c r="BU145" s="389">
        <f>SUMIFS(服务费底表!$AD:$AD,服务费底表!$K:$K,服务费明细!$B145,服务费底表!$H:$H,服务费明细!BU$3)</f>
        <v>0</v>
      </c>
      <c r="BV145" s="389">
        <f>SUMIFS(服务费底表!$AD:$AD,服务费底表!$K:$K,服务费明细!$B145,服务费底表!$H:$H,服务费明细!BV$3)</f>
        <v>0</v>
      </c>
      <c r="BW145" s="389">
        <f>SUMIFS(服务费底表!$AD:$AD,服务费底表!$K:$K,服务费明细!$B145,服务费底表!$H:$H,服务费明细!BW$3)</f>
        <v>0</v>
      </c>
    </row>
    <row r="146" spans="2:75">
      <c r="B146" s="89" t="s">
        <v>317</v>
      </c>
      <c r="C146" s="89" t="str">
        <f>INDEX(二三级标准!$C:$C,MATCH(服务费明细!$B146,二三级标准!$B:$B,0))</f>
        <v>计划和实施药物编盲</v>
      </c>
      <c r="D146" s="166">
        <f>IF(AND($D$143=1,盲法&lt;&gt;"否"),1,0)</f>
        <v>0</v>
      </c>
      <c r="E146" s="166">
        <f>IF($D146=1,1,0)</f>
        <v>0</v>
      </c>
      <c r="F146" s="89" t="str">
        <f>INDEX(二三级标准!$G:$G,MATCH(服务费明细!$B146,二三级标准!$B:$B,0))</f>
        <v>次</v>
      </c>
      <c r="G146" s="166">
        <f t="shared" si="276"/>
        <v>0</v>
      </c>
      <c r="H146" s="166">
        <f t="shared" si="277"/>
        <v>0</v>
      </c>
      <c r="I146" s="166">
        <f t="shared" si="278"/>
        <v>0</v>
      </c>
      <c r="J146" s="166">
        <f t="shared" si="279"/>
        <v>0</v>
      </c>
      <c r="K146" s="166">
        <f t="shared" si="280"/>
        <v>0</v>
      </c>
      <c r="L146" s="166">
        <f t="shared" si="281"/>
        <v>0</v>
      </c>
      <c r="M146" s="166">
        <f t="shared" si="282"/>
        <v>0</v>
      </c>
      <c r="N146" s="166">
        <f t="shared" si="283"/>
        <v>0</v>
      </c>
      <c r="O146" s="166">
        <f t="shared" si="284"/>
        <v>0</v>
      </c>
      <c r="P146" s="166">
        <f t="shared" si="285"/>
        <v>0</v>
      </c>
      <c r="Q146" s="166">
        <f t="shared" si="286"/>
        <v>0</v>
      </c>
      <c r="R146" s="166">
        <f t="shared" si="287"/>
        <v>0</v>
      </c>
      <c r="S146" s="166">
        <f t="shared" si="288"/>
        <v>0</v>
      </c>
      <c r="T146" s="166">
        <f t="shared" si="289"/>
        <v>0</v>
      </c>
      <c r="U146" s="166">
        <f t="shared" si="290"/>
        <v>0</v>
      </c>
      <c r="V146" s="166">
        <f t="shared" si="291"/>
        <v>0</v>
      </c>
      <c r="W146" s="166">
        <f t="shared" si="292"/>
        <v>0</v>
      </c>
      <c r="X146" s="166">
        <f t="shared" si="293"/>
        <v>0</v>
      </c>
      <c r="Y146" s="166">
        <f t="shared" si="294"/>
        <v>0</v>
      </c>
      <c r="Z146" s="166">
        <f t="shared" si="295"/>
        <v>0</v>
      </c>
      <c r="AA146" s="166">
        <f t="shared" si="296"/>
        <v>0</v>
      </c>
      <c r="AB146" s="166">
        <f t="shared" si="297"/>
        <v>0</v>
      </c>
      <c r="AC146" s="166" cm="1">
        <f t="array" ref="AC146">SUMPRODUCT(G146:AB146,$G$4:$AB$4)</f>
        <v>0</v>
      </c>
      <c r="AD146" s="89" t="b">
        <f t="shared" ref="AD146:AD165" si="298">IF(AF146=AC146,TRUE,FALSE)</f>
        <v>1</v>
      </c>
      <c r="AE146" s="386">
        <f>IFERROR(SUMIF(服务费底表!$K:$K,服务费明细!$B146,服务费底表!$AD:$AD)/E146,0)</f>
        <v>0</v>
      </c>
      <c r="AF146" s="386">
        <f t="shared" ref="AF146:AF165" si="299">E146*AE146</f>
        <v>0</v>
      </c>
      <c r="AG146" s="386">
        <f>IFERROR(SUMIF(服务费底表!$K:$K,服务费明细!$B146,服务费底表!$AG:$AG)/E146,0)</f>
        <v>0</v>
      </c>
      <c r="AH146" s="386">
        <f t="shared" ref="AH146:AH165" si="300">AG146*E146</f>
        <v>0</v>
      </c>
      <c r="AI146" s="577" t="s">
        <v>1073</v>
      </c>
      <c r="AJ146" s="563">
        <f t="shared" ref="AJ146:AJ172" si="301">IF(D146=1,AK146/E146,0)</f>
        <v>0</v>
      </c>
      <c r="AK146" s="564">
        <f>SUMIF(服务费底表!$K:$K,服务费明细!$B146,服务费底表!$AC:$AC)</f>
        <v>0</v>
      </c>
      <c r="AL146" s="166">
        <f>SUMIFS(服务费底表!$AC:$AC,服务费底表!$K:$K,服务费明细!$B146,服务费底表!$T:$T,AL$3)</f>
        <v>0</v>
      </c>
      <c r="AM146" s="166">
        <f>SUMIFS(服务费底表!$AC:$AC,服务费底表!$K:$K,服务费明细!$B146,服务费底表!$T:$T,AM$3)</f>
        <v>0</v>
      </c>
      <c r="AN146" s="166">
        <f>SUMIFS(服务费底表!$AC:$AC,服务费底表!$K:$K,服务费明细!$B146,服务费底表!$T:$T,AN$3)</f>
        <v>0</v>
      </c>
      <c r="AO146" s="166">
        <f>SUMIFS(服务费底表!$AC:$AC,服务费底表!$K:$K,服务费明细!$B146,服务费底表!$T:$T,AO$3)</f>
        <v>0</v>
      </c>
      <c r="AP146" s="166">
        <f>SUMIFS(服务费底表!$AC:$AC,服务费底表!$K:$K,服务费明细!$B146,服务费底表!$T:$T,AP$3)</f>
        <v>0</v>
      </c>
      <c r="AQ146" s="166">
        <f>SUMIFS(服务费底表!$AC:$AC,服务费底表!$K:$K,服务费明细!$B146,服务费底表!$T:$T,AQ$3)</f>
        <v>0</v>
      </c>
      <c r="AR146" s="166">
        <f>SUMIFS(服务费底表!$AC:$AC,服务费底表!$K:$K,服务费明细!$B146,服务费底表!$T:$T,AR$3)</f>
        <v>0</v>
      </c>
      <c r="AS146" s="166">
        <f>SUMIFS(服务费底表!$AC:$AC,服务费底表!$K:$K,服务费明细!$B146,服务费底表!$T:$T,AS$3)</f>
        <v>0</v>
      </c>
      <c r="AT146" s="166">
        <f>SUMIFS(服务费底表!$AC:$AC,服务费底表!$K:$K,服务费明细!$B146,服务费底表!$T:$T,AT$3)</f>
        <v>0</v>
      </c>
      <c r="AU146" s="166">
        <f>SUMIFS(服务费底表!$AC:$AC,服务费底表!$K:$K,服务费明细!$B146,服务费底表!$T:$T,AU$3)</f>
        <v>0</v>
      </c>
      <c r="AV146" s="166">
        <f>SUMIFS(服务费底表!$AC:$AC,服务费底表!$K:$K,服务费明细!$B146,服务费底表!$T:$T,AV$3)</f>
        <v>0</v>
      </c>
      <c r="AW146" s="166">
        <f>SUMIFS(服务费底表!$AC:$AC,服务费底表!$K:$K,服务费明细!$B146,服务费底表!$T:$T,AW$3)</f>
        <v>0</v>
      </c>
      <c r="AX146" s="166">
        <f>SUMIFS(服务费底表!$AC:$AC,服务费底表!$K:$K,服务费明细!$B146,服务费底表!$T:$T,AX$3)</f>
        <v>0</v>
      </c>
      <c r="AY146" s="166">
        <f>SUMIFS(服务费底表!$AC:$AC,服务费底表!$K:$K,服务费明细!$B146,服务费底表!$T:$T,AY$3)</f>
        <v>0</v>
      </c>
      <c r="AZ146" s="166">
        <f>SUMIFS(服务费底表!$AC:$AC,服务费底表!$K:$K,服务费明细!$B146,服务费底表!$T:$T,AZ$3)</f>
        <v>0</v>
      </c>
      <c r="BA146" s="166">
        <f>SUMIFS(服务费底表!$AC:$AC,服务费底表!$K:$K,服务费明细!$B146,服务费底表!$T:$T,BA$3)</f>
        <v>0</v>
      </c>
      <c r="BB146" s="166">
        <f>SUMIFS(服务费底表!$AC:$AC,服务费底表!$K:$K,服务费明细!$B146,服务费底表!$T:$T,BB$3)</f>
        <v>0</v>
      </c>
      <c r="BC146" s="166">
        <f>SUMIFS(服务费底表!$AC:$AC,服务费底表!$K:$K,服务费明细!$B146,服务费底表!$T:$T,BC$3)</f>
        <v>0</v>
      </c>
      <c r="BD146" s="166">
        <f>SUMIFS(服务费底表!$AC:$AC,服务费底表!$K:$K,服务费明细!$B146,服务费底表!$T:$T,BD$3)</f>
        <v>0</v>
      </c>
      <c r="BE146" s="166">
        <f>SUMIFS(服务费底表!$AC:$AC,服务费底表!$K:$K,服务费明细!$B146,服务费底表!$T:$T,BE$3)</f>
        <v>0</v>
      </c>
      <c r="BF146" s="166">
        <f>SUMIFS(服务费底表!$AC:$AC,服务费底表!$K:$K,服务费明细!$B146,服务费底表!$T:$T,BF$3)</f>
        <v>0</v>
      </c>
      <c r="BG146" s="166">
        <f>SUMIFS(服务费底表!$AC:$AC,服务费底表!$K:$K,服务费明细!$B146,服务费底表!$T:$T,BG$3)</f>
        <v>0</v>
      </c>
      <c r="BI146" s="388">
        <f>SUMIFS(服务费底表!$AC:$AC,服务费底表!$K:$K,服务费明细!$B146,服务费底表!$H:$H,服务费明细!BI$3)</f>
        <v>0</v>
      </c>
      <c r="BJ146" s="388">
        <f>SUMIFS(服务费底表!$AC:$AC,服务费底表!$K:$K,服务费明细!$B146,服务费底表!$H:$H,服务费明细!BJ$3)</f>
        <v>0</v>
      </c>
      <c r="BK146" s="388">
        <f>SUMIFS(服务费底表!$AC:$AC,服务费底表!$K:$K,服务费明细!$B146,服务费底表!$H:$H,服务费明细!BK$3)</f>
        <v>0</v>
      </c>
      <c r="BL146" s="388">
        <f>SUMIFS(服务费底表!$AC:$AC,服务费底表!$K:$K,服务费明细!$B146,服务费底表!$H:$H,服务费明细!BL$3)</f>
        <v>0</v>
      </c>
      <c r="BM146" s="388">
        <f>SUMIFS(服务费底表!$AC:$AC,服务费底表!$K:$K,服务费明细!$B146,服务费底表!$H:$H,服务费明细!BM$3)</f>
        <v>0</v>
      </c>
      <c r="BN146" s="388">
        <f>SUMIFS(服务费底表!$AC:$AC,服务费底表!$K:$K,服务费明细!$B146,服务费底表!$H:$H,服务费明细!BN$3)</f>
        <v>0</v>
      </c>
      <c r="BO146" s="388">
        <f>SUMIFS(服务费底表!$AC:$AC,服务费底表!$K:$K,服务费明细!$B146,服务费底表!$H:$H,服务费明细!BO$3)</f>
        <v>0</v>
      </c>
      <c r="BQ146" s="389">
        <f>SUMIFS(服务费底表!$AD:$AD,服务费底表!$K:$K,服务费明细!$B146,服务费底表!$H:$H,服务费明细!BQ$3)</f>
        <v>0</v>
      </c>
      <c r="BR146" s="389">
        <f>SUMIFS(服务费底表!$AD:$AD,服务费底表!$K:$K,服务费明细!$B146,服务费底表!$H:$H,服务费明细!BR$3)</f>
        <v>0</v>
      </c>
      <c r="BS146" s="389">
        <f>SUMIFS(服务费底表!$AD:$AD,服务费底表!$K:$K,服务费明细!$B146,服务费底表!$H:$H,服务费明细!BS$3)</f>
        <v>0</v>
      </c>
      <c r="BT146" s="389">
        <f>SUMIFS(服务费底表!$AD:$AD,服务费底表!$K:$K,服务费明细!$B146,服务费底表!$H:$H,服务费明细!BT$3)</f>
        <v>0</v>
      </c>
      <c r="BU146" s="389">
        <f>SUMIFS(服务费底表!$AD:$AD,服务费底表!$K:$K,服务费明细!$B146,服务费底表!$H:$H,服务费明细!BU$3)</f>
        <v>0</v>
      </c>
      <c r="BV146" s="389">
        <f>SUMIFS(服务费底表!$AD:$AD,服务费底表!$K:$K,服务费明细!$B146,服务费底表!$H:$H,服务费明细!BV$3)</f>
        <v>0</v>
      </c>
      <c r="BW146" s="389">
        <f>SUMIFS(服务费底表!$AD:$AD,服务费底表!$K:$K,服务费明细!$B146,服务费底表!$H:$H,服务费明细!BW$3)</f>
        <v>0</v>
      </c>
    </row>
    <row r="147" spans="2:75">
      <c r="B147" s="89" t="s">
        <v>319</v>
      </c>
      <c r="C147" s="89" t="str">
        <f>INDEX(二三级标准!$C:$C,MATCH(服务费明细!$B147,二三级标准!$B:$B,0))</f>
        <v>制定统计TFLs模板</v>
      </c>
      <c r="D147" s="166">
        <f>IF($D$143=1,1,0)</f>
        <v>1</v>
      </c>
      <c r="E147" s="166">
        <f>IF($D147=1,1,0)</f>
        <v>1</v>
      </c>
      <c r="F147" s="89" t="str">
        <f>INDEX(二三级标准!$G:$G,MATCH(服务费明细!$B147,二三级标准!$B:$B,0))</f>
        <v>份</v>
      </c>
      <c r="G147" s="166">
        <f t="shared" si="276"/>
        <v>0</v>
      </c>
      <c r="H147" s="166">
        <f t="shared" si="277"/>
        <v>0</v>
      </c>
      <c r="I147" s="166">
        <f t="shared" si="278"/>
        <v>0</v>
      </c>
      <c r="J147" s="166">
        <f t="shared" si="279"/>
        <v>0</v>
      </c>
      <c r="K147" s="166">
        <f t="shared" si="280"/>
        <v>0</v>
      </c>
      <c r="L147" s="166">
        <f t="shared" si="281"/>
        <v>0</v>
      </c>
      <c r="M147" s="166">
        <f t="shared" si="282"/>
        <v>4</v>
      </c>
      <c r="N147" s="166">
        <f t="shared" si="283"/>
        <v>0</v>
      </c>
      <c r="O147" s="166">
        <f t="shared" si="284"/>
        <v>0</v>
      </c>
      <c r="P147" s="166">
        <f t="shared" si="285"/>
        <v>0</v>
      </c>
      <c r="Q147" s="166">
        <f t="shared" si="286"/>
        <v>0</v>
      </c>
      <c r="R147" s="166">
        <f t="shared" si="287"/>
        <v>0</v>
      </c>
      <c r="S147" s="166">
        <f t="shared" si="288"/>
        <v>0</v>
      </c>
      <c r="T147" s="166">
        <f t="shared" si="289"/>
        <v>0</v>
      </c>
      <c r="U147" s="166">
        <f t="shared" si="290"/>
        <v>2</v>
      </c>
      <c r="V147" s="166">
        <f t="shared" si="291"/>
        <v>24</v>
      </c>
      <c r="W147" s="166">
        <f t="shared" si="292"/>
        <v>2</v>
      </c>
      <c r="X147" s="166">
        <f t="shared" si="293"/>
        <v>0</v>
      </c>
      <c r="Y147" s="166">
        <f t="shared" si="294"/>
        <v>0</v>
      </c>
      <c r="Z147" s="166">
        <f t="shared" si="295"/>
        <v>0</v>
      </c>
      <c r="AA147" s="166">
        <f t="shared" si="296"/>
        <v>0</v>
      </c>
      <c r="AB147" s="166">
        <f t="shared" si="297"/>
        <v>0</v>
      </c>
      <c r="AC147" s="166" cm="1">
        <f t="array" ref="AC147">SUMPRODUCT(G147:AB147,$G$4:$AB$4)</f>
        <v>14500</v>
      </c>
      <c r="AD147" s="89" t="b">
        <f t="shared" si="298"/>
        <v>1</v>
      </c>
      <c r="AE147" s="386">
        <f>IFERROR(SUMIF(服务费底表!$K:$K,服务费明细!$B147,服务费底表!$AD:$AD)/E147,0)</f>
        <v>14500</v>
      </c>
      <c r="AF147" s="386">
        <f t="shared" si="299"/>
        <v>14500</v>
      </c>
      <c r="AG147" s="386">
        <f>IFERROR(SUMIF(服务费底表!$K:$K,服务费明细!$B147,服务费底表!$AG:$AG)/E147,0)</f>
        <v>14500</v>
      </c>
      <c r="AH147" s="386">
        <f t="shared" si="300"/>
        <v>14500</v>
      </c>
      <c r="AI147" s="584" t="s">
        <v>1072</v>
      </c>
      <c r="AJ147" s="563">
        <f t="shared" si="301"/>
        <v>32</v>
      </c>
      <c r="AK147" s="564">
        <f>SUMIF(服务费底表!$K:$K,服务费明细!$B147,服务费底表!$AC:$AC)</f>
        <v>32</v>
      </c>
      <c r="AL147" s="166">
        <f>SUMIFS(服务费底表!$AC:$AC,服务费底表!$K:$K,服务费明细!$B147,服务费底表!$T:$T,AL$3)</f>
        <v>0</v>
      </c>
      <c r="AM147" s="166">
        <f>SUMIFS(服务费底表!$AC:$AC,服务费底表!$K:$K,服务费明细!$B147,服务费底表!$T:$T,AM$3)</f>
        <v>0</v>
      </c>
      <c r="AN147" s="166">
        <f>SUMIFS(服务费底表!$AC:$AC,服务费底表!$K:$K,服务费明细!$B147,服务费底表!$T:$T,AN$3)</f>
        <v>0</v>
      </c>
      <c r="AO147" s="166">
        <f>SUMIFS(服务费底表!$AC:$AC,服务费底表!$K:$K,服务费明细!$B147,服务费底表!$T:$T,AO$3)</f>
        <v>0</v>
      </c>
      <c r="AP147" s="166">
        <f>SUMIFS(服务费底表!$AC:$AC,服务费底表!$K:$K,服务费明细!$B147,服务费底表!$T:$T,AP$3)</f>
        <v>0</v>
      </c>
      <c r="AQ147" s="166">
        <f>SUMIFS(服务费底表!$AC:$AC,服务费底表!$K:$K,服务费明细!$B147,服务费底表!$T:$T,AQ$3)</f>
        <v>0</v>
      </c>
      <c r="AR147" s="166">
        <f>SUMIFS(服务费底表!$AC:$AC,服务费底表!$K:$K,服务费明细!$B147,服务费底表!$T:$T,AR$3)</f>
        <v>4</v>
      </c>
      <c r="AS147" s="166">
        <f>SUMIFS(服务费底表!$AC:$AC,服务费底表!$K:$K,服务费明细!$B147,服务费底表!$T:$T,AS$3)</f>
        <v>0</v>
      </c>
      <c r="AT147" s="166">
        <f>SUMIFS(服务费底表!$AC:$AC,服务费底表!$K:$K,服务费明细!$B147,服务费底表!$T:$T,AT$3)</f>
        <v>0</v>
      </c>
      <c r="AU147" s="166">
        <f>SUMIFS(服务费底表!$AC:$AC,服务费底表!$K:$K,服务费明细!$B147,服务费底表!$T:$T,AU$3)</f>
        <v>0</v>
      </c>
      <c r="AV147" s="166">
        <f>SUMIFS(服务费底表!$AC:$AC,服务费底表!$K:$K,服务费明细!$B147,服务费底表!$T:$T,AV$3)</f>
        <v>0</v>
      </c>
      <c r="AW147" s="166">
        <f>SUMIFS(服务费底表!$AC:$AC,服务费底表!$K:$K,服务费明细!$B147,服务费底表!$T:$T,AW$3)</f>
        <v>0</v>
      </c>
      <c r="AX147" s="166">
        <f>SUMIFS(服务费底表!$AC:$AC,服务费底表!$K:$K,服务费明细!$B147,服务费底表!$T:$T,AX$3)</f>
        <v>0</v>
      </c>
      <c r="AY147" s="166">
        <f>SUMIFS(服务费底表!$AC:$AC,服务费底表!$K:$K,服务费明细!$B147,服务费底表!$T:$T,AY$3)</f>
        <v>0</v>
      </c>
      <c r="AZ147" s="166">
        <f>SUMIFS(服务费底表!$AC:$AC,服务费底表!$K:$K,服务费明细!$B147,服务费底表!$T:$T,AZ$3)</f>
        <v>2</v>
      </c>
      <c r="BA147" s="166">
        <f>SUMIFS(服务费底表!$AC:$AC,服务费底表!$K:$K,服务费明细!$B147,服务费底表!$T:$T,BA$3)</f>
        <v>24</v>
      </c>
      <c r="BB147" s="166">
        <f>SUMIFS(服务费底表!$AC:$AC,服务费底表!$K:$K,服务费明细!$B147,服务费底表!$T:$T,BB$3)</f>
        <v>2</v>
      </c>
      <c r="BC147" s="166">
        <f>SUMIFS(服务费底表!$AC:$AC,服务费底表!$K:$K,服务费明细!$B147,服务费底表!$T:$T,BC$3)</f>
        <v>0</v>
      </c>
      <c r="BD147" s="166">
        <f>SUMIFS(服务费底表!$AC:$AC,服务费底表!$K:$K,服务费明细!$B147,服务费底表!$T:$T,BD$3)</f>
        <v>0</v>
      </c>
      <c r="BE147" s="166">
        <f>SUMIFS(服务费底表!$AC:$AC,服务费底表!$K:$K,服务费明细!$B147,服务费底表!$T:$T,BE$3)</f>
        <v>0</v>
      </c>
      <c r="BF147" s="166">
        <f>SUMIFS(服务费底表!$AC:$AC,服务费底表!$K:$K,服务费明细!$B147,服务费底表!$T:$T,BF$3)</f>
        <v>0</v>
      </c>
      <c r="BG147" s="166">
        <f>SUMIFS(服务费底表!$AC:$AC,服务费底表!$K:$K,服务费明细!$B147,服务费底表!$T:$T,BG$3)</f>
        <v>0</v>
      </c>
      <c r="BI147" s="388">
        <f>SUMIFS(服务费底表!$AC:$AC,服务费底表!$K:$K,服务费明细!$B147,服务费底表!$H:$H,服务费明细!BI$3)</f>
        <v>4</v>
      </c>
      <c r="BJ147" s="388">
        <f>SUMIFS(服务费底表!$AC:$AC,服务费底表!$K:$K,服务费明细!$B147,服务费底表!$H:$H,服务费明细!BJ$3)</f>
        <v>0</v>
      </c>
      <c r="BK147" s="388">
        <f>SUMIFS(服务费底表!$AC:$AC,服务费底表!$K:$K,服务费明细!$B147,服务费底表!$H:$H,服务费明细!BK$3)</f>
        <v>0</v>
      </c>
      <c r="BL147" s="388">
        <f>SUMIFS(服务费底表!$AC:$AC,服务费底表!$K:$K,服务费明细!$B147,服务费底表!$H:$H,服务费明细!BL$3)</f>
        <v>28</v>
      </c>
      <c r="BM147" s="388">
        <f>SUMIFS(服务费底表!$AC:$AC,服务费底表!$K:$K,服务费明细!$B147,服务费底表!$H:$H,服务费明细!BM$3)</f>
        <v>0</v>
      </c>
      <c r="BN147" s="388">
        <f>SUMIFS(服务费底表!$AC:$AC,服务费底表!$K:$K,服务费明细!$B147,服务费底表!$H:$H,服务费明细!BN$3)</f>
        <v>0</v>
      </c>
      <c r="BO147" s="388">
        <f>SUMIFS(服务费底表!$AC:$AC,服务费底表!$K:$K,服务费明细!$B147,服务费底表!$H:$H,服务费明细!BO$3)</f>
        <v>0</v>
      </c>
      <c r="BQ147" s="389">
        <f>SUMIFS(服务费底表!$AD:$AD,服务费底表!$K:$K,服务费明细!$B147,服务费底表!$H:$H,服务费明细!BQ$3)</f>
        <v>2600</v>
      </c>
      <c r="BR147" s="389">
        <f>SUMIFS(服务费底表!$AD:$AD,服务费底表!$K:$K,服务费明细!$B147,服务费底表!$H:$H,服务费明细!BR$3)</f>
        <v>0</v>
      </c>
      <c r="BS147" s="389">
        <f>SUMIFS(服务费底表!$AD:$AD,服务费底表!$K:$K,服务费明细!$B147,服务费底表!$H:$H,服务费明细!BS$3)</f>
        <v>0</v>
      </c>
      <c r="BT147" s="389">
        <f>SUMIFS(服务费底表!$AD:$AD,服务费底表!$K:$K,服务费明细!$B147,服务费底表!$H:$H,服务费明细!BT$3)</f>
        <v>11900</v>
      </c>
      <c r="BU147" s="389">
        <f>SUMIFS(服务费底表!$AD:$AD,服务费底表!$K:$K,服务费明细!$B147,服务费底表!$H:$H,服务费明细!BU$3)</f>
        <v>0</v>
      </c>
      <c r="BV147" s="389">
        <f>SUMIFS(服务费底表!$AD:$AD,服务费底表!$K:$K,服务费明细!$B147,服务费底表!$H:$H,服务费明细!BV$3)</f>
        <v>0</v>
      </c>
      <c r="BW147" s="389">
        <f>SUMIFS(服务费底表!$AD:$AD,服务费底表!$K:$K,服务费明细!$B147,服务费底表!$H:$H,服务费明细!BW$3)</f>
        <v>0</v>
      </c>
    </row>
    <row r="148" spans="2:75">
      <c r="B148" s="89" t="s">
        <v>321</v>
      </c>
      <c r="C148" s="89" t="str">
        <f>INDEX(二三级标准!$C:$C,MATCH(服务费明细!$B148,二三级标准!$B:$B,0))</f>
        <v>制作SDTM aCRF</v>
      </c>
      <c r="D148" s="166">
        <f>IF(AND(SDTM数据集个数&gt;1,$D$143=1),1,0)</f>
        <v>1</v>
      </c>
      <c r="E148" s="166">
        <f>IF($D148=1,1,0)</f>
        <v>1</v>
      </c>
      <c r="F148" s="89" t="str">
        <f>INDEX(二三级标准!$G:$G,MATCH(服务费明细!$B148,二三级标准!$B:$B,0))</f>
        <v>份</v>
      </c>
      <c r="G148" s="166">
        <f t="shared" si="276"/>
        <v>0</v>
      </c>
      <c r="H148" s="166">
        <f t="shared" si="277"/>
        <v>0</v>
      </c>
      <c r="I148" s="166">
        <f t="shared" si="278"/>
        <v>0</v>
      </c>
      <c r="J148" s="166">
        <f t="shared" si="279"/>
        <v>0</v>
      </c>
      <c r="K148" s="166">
        <f t="shared" si="280"/>
        <v>0</v>
      </c>
      <c r="L148" s="166">
        <f t="shared" si="281"/>
        <v>0</v>
      </c>
      <c r="M148" s="166">
        <f t="shared" si="282"/>
        <v>0</v>
      </c>
      <c r="N148" s="166">
        <f t="shared" si="283"/>
        <v>0</v>
      </c>
      <c r="O148" s="166">
        <f t="shared" si="284"/>
        <v>0</v>
      </c>
      <c r="P148" s="166">
        <f t="shared" si="285"/>
        <v>0</v>
      </c>
      <c r="Q148" s="166">
        <f t="shared" si="286"/>
        <v>0</v>
      </c>
      <c r="R148" s="166">
        <f t="shared" si="287"/>
        <v>0</v>
      </c>
      <c r="S148" s="166">
        <f t="shared" si="288"/>
        <v>0</v>
      </c>
      <c r="T148" s="166">
        <f t="shared" si="289"/>
        <v>10</v>
      </c>
      <c r="U148" s="166">
        <f t="shared" si="290"/>
        <v>6</v>
      </c>
      <c r="V148" s="166">
        <f t="shared" si="291"/>
        <v>0</v>
      </c>
      <c r="W148" s="166">
        <f t="shared" si="292"/>
        <v>0</v>
      </c>
      <c r="X148" s="166">
        <f t="shared" si="293"/>
        <v>0</v>
      </c>
      <c r="Y148" s="166">
        <f t="shared" si="294"/>
        <v>0</v>
      </c>
      <c r="Z148" s="166">
        <f t="shared" si="295"/>
        <v>0</v>
      </c>
      <c r="AA148" s="166">
        <f t="shared" si="296"/>
        <v>0</v>
      </c>
      <c r="AB148" s="166">
        <f t="shared" si="297"/>
        <v>0</v>
      </c>
      <c r="AC148" s="166" cm="1">
        <f t="array" ref="AC148">SUMPRODUCT(G148:AB148,$G$4:$AB$4)</f>
        <v>4950</v>
      </c>
      <c r="AD148" s="89" t="b">
        <f t="shared" si="298"/>
        <v>1</v>
      </c>
      <c r="AE148" s="386">
        <f>IFERROR(SUMIF(服务费底表!$K:$K,服务费明细!$B148,服务费底表!$AD:$AD)/E148,0)</f>
        <v>4950</v>
      </c>
      <c r="AF148" s="386">
        <f t="shared" si="299"/>
        <v>4950</v>
      </c>
      <c r="AG148" s="386">
        <f>IFERROR(SUMIF(服务费底表!$K:$K,服务费明细!$B148,服务费底表!$AG:$AG)/E148,0)</f>
        <v>4950</v>
      </c>
      <c r="AH148" s="386">
        <f t="shared" si="300"/>
        <v>4950</v>
      </c>
      <c r="AI148" s="577"/>
      <c r="AJ148" s="563">
        <f t="shared" si="301"/>
        <v>16</v>
      </c>
      <c r="AK148" s="564">
        <f>SUMIF(服务费底表!$K:$K,服务费明细!$B148,服务费底表!$AC:$AC)</f>
        <v>16</v>
      </c>
      <c r="AL148" s="166">
        <f>SUMIFS(服务费底表!$AC:$AC,服务费底表!$K:$K,服务费明细!$B148,服务费底表!$T:$T,AL$3)</f>
        <v>0</v>
      </c>
      <c r="AM148" s="166">
        <f>SUMIFS(服务费底表!$AC:$AC,服务费底表!$K:$K,服务费明细!$B148,服务费底表!$T:$T,AM$3)</f>
        <v>0</v>
      </c>
      <c r="AN148" s="166">
        <f>SUMIFS(服务费底表!$AC:$AC,服务费底表!$K:$K,服务费明细!$B148,服务费底表!$T:$T,AN$3)</f>
        <v>0</v>
      </c>
      <c r="AO148" s="166">
        <f>SUMIFS(服务费底表!$AC:$AC,服务费底表!$K:$K,服务费明细!$B148,服务费底表!$T:$T,AO$3)</f>
        <v>0</v>
      </c>
      <c r="AP148" s="166">
        <f>SUMIFS(服务费底表!$AC:$AC,服务费底表!$K:$K,服务费明细!$B148,服务费底表!$T:$T,AP$3)</f>
        <v>0</v>
      </c>
      <c r="AQ148" s="166">
        <f>SUMIFS(服务费底表!$AC:$AC,服务费底表!$K:$K,服务费明细!$B148,服务费底表!$T:$T,AQ$3)</f>
        <v>0</v>
      </c>
      <c r="AR148" s="166">
        <f>SUMIFS(服务费底表!$AC:$AC,服务费底表!$K:$K,服务费明细!$B148,服务费底表!$T:$T,AR$3)</f>
        <v>0</v>
      </c>
      <c r="AS148" s="166">
        <f>SUMIFS(服务费底表!$AC:$AC,服务费底表!$K:$K,服务费明细!$B148,服务费底表!$T:$T,AS$3)</f>
        <v>0</v>
      </c>
      <c r="AT148" s="166">
        <f>SUMIFS(服务费底表!$AC:$AC,服务费底表!$K:$K,服务费明细!$B148,服务费底表!$T:$T,AT$3)</f>
        <v>0</v>
      </c>
      <c r="AU148" s="166">
        <f>SUMIFS(服务费底表!$AC:$AC,服务费底表!$K:$K,服务费明细!$B148,服务费底表!$T:$T,AU$3)</f>
        <v>0</v>
      </c>
      <c r="AV148" s="166">
        <f>SUMIFS(服务费底表!$AC:$AC,服务费底表!$K:$K,服务费明细!$B148,服务费底表!$T:$T,AV$3)</f>
        <v>0</v>
      </c>
      <c r="AW148" s="166">
        <f>SUMIFS(服务费底表!$AC:$AC,服务费底表!$K:$K,服务费明细!$B148,服务费底表!$T:$T,AW$3)</f>
        <v>0</v>
      </c>
      <c r="AX148" s="166">
        <f>SUMIFS(服务费底表!$AC:$AC,服务费底表!$K:$K,服务费明细!$B148,服务费底表!$T:$T,AX$3)</f>
        <v>0</v>
      </c>
      <c r="AY148" s="166">
        <f>SUMIFS(服务费底表!$AC:$AC,服务费底表!$K:$K,服务费明细!$B148,服务费底表!$T:$T,AY$3)</f>
        <v>10</v>
      </c>
      <c r="AZ148" s="166">
        <f>SUMIFS(服务费底表!$AC:$AC,服务费底表!$K:$K,服务费明细!$B148,服务费底表!$T:$T,AZ$3)</f>
        <v>6</v>
      </c>
      <c r="BA148" s="166">
        <f>SUMIFS(服务费底表!$AC:$AC,服务费底表!$K:$K,服务费明细!$B148,服务费底表!$T:$T,BA$3)</f>
        <v>0</v>
      </c>
      <c r="BB148" s="166">
        <f>SUMIFS(服务费底表!$AC:$AC,服务费底表!$K:$K,服务费明细!$B148,服务费底表!$T:$T,BB$3)</f>
        <v>0</v>
      </c>
      <c r="BC148" s="166">
        <f>SUMIFS(服务费底表!$AC:$AC,服务费底表!$K:$K,服务费明细!$B148,服务费底表!$T:$T,BC$3)</f>
        <v>0</v>
      </c>
      <c r="BD148" s="166">
        <f>SUMIFS(服务费底表!$AC:$AC,服务费底表!$K:$K,服务费明细!$B148,服务费底表!$T:$T,BD$3)</f>
        <v>0</v>
      </c>
      <c r="BE148" s="166">
        <f>SUMIFS(服务费底表!$AC:$AC,服务费底表!$K:$K,服务费明细!$B148,服务费底表!$T:$T,BE$3)</f>
        <v>0</v>
      </c>
      <c r="BF148" s="166">
        <f>SUMIFS(服务费底表!$AC:$AC,服务费底表!$K:$K,服务费明细!$B148,服务费底表!$T:$T,BF$3)</f>
        <v>0</v>
      </c>
      <c r="BG148" s="166">
        <f>SUMIFS(服务费底表!$AC:$AC,服务费底表!$K:$K,服务费明细!$B148,服务费底表!$T:$T,BG$3)</f>
        <v>0</v>
      </c>
      <c r="BI148" s="388">
        <f>SUMIFS(服务费底表!$AC:$AC,服务费底表!$K:$K,服务费明细!$B148,服务费底表!$H:$H,服务费明细!BI$3)</f>
        <v>0</v>
      </c>
      <c r="BJ148" s="388">
        <f>SUMIFS(服务费底表!$AC:$AC,服务费底表!$K:$K,服务费明细!$B148,服务费底表!$H:$H,服务费明细!BJ$3)</f>
        <v>0</v>
      </c>
      <c r="BK148" s="388">
        <f>SUMIFS(服务费底表!$AC:$AC,服务费底表!$K:$K,服务费明细!$B148,服务费底表!$H:$H,服务费明细!BK$3)</f>
        <v>0</v>
      </c>
      <c r="BL148" s="388">
        <f>SUMIFS(服务费底表!$AC:$AC,服务费底表!$K:$K,服务费明细!$B148,服务费底表!$H:$H,服务费明细!BL$3)</f>
        <v>16</v>
      </c>
      <c r="BM148" s="388">
        <f>SUMIFS(服务费底表!$AC:$AC,服务费底表!$K:$K,服务费明细!$B148,服务费底表!$H:$H,服务费明细!BM$3)</f>
        <v>0</v>
      </c>
      <c r="BN148" s="388">
        <f>SUMIFS(服务费底表!$AC:$AC,服务费底表!$K:$K,服务费明细!$B148,服务费底表!$H:$H,服务费明细!BN$3)</f>
        <v>0</v>
      </c>
      <c r="BO148" s="388">
        <f>SUMIFS(服务费底表!$AC:$AC,服务费底表!$K:$K,服务费明细!$B148,服务费底表!$H:$H,服务费明细!BO$3)</f>
        <v>0</v>
      </c>
      <c r="BQ148" s="389">
        <f>SUMIFS(服务费底表!$AD:$AD,服务费底表!$K:$K,服务费明细!$B148,服务费底表!$H:$H,服务费明细!BQ$3)</f>
        <v>0</v>
      </c>
      <c r="BR148" s="389">
        <f>SUMIFS(服务费底表!$AD:$AD,服务费底表!$K:$K,服务费明细!$B148,服务费底表!$H:$H,服务费明细!BR$3)</f>
        <v>0</v>
      </c>
      <c r="BS148" s="389">
        <f>SUMIFS(服务费底表!$AD:$AD,服务费底表!$K:$K,服务费明细!$B148,服务费底表!$H:$H,服务费明细!BS$3)</f>
        <v>0</v>
      </c>
      <c r="BT148" s="389">
        <f>SUMIFS(服务费底表!$AD:$AD,服务费底表!$K:$K,服务费明细!$B148,服务费底表!$H:$H,服务费明细!BT$3)</f>
        <v>4950</v>
      </c>
      <c r="BU148" s="389">
        <f>SUMIFS(服务费底表!$AD:$AD,服务费底表!$K:$K,服务费明细!$B148,服务费底表!$H:$H,服务费明细!BU$3)</f>
        <v>0</v>
      </c>
      <c r="BV148" s="389">
        <f>SUMIFS(服务费底表!$AD:$AD,服务费底表!$K:$K,服务费明细!$B148,服务费底表!$H:$H,服务费明细!BV$3)</f>
        <v>0</v>
      </c>
      <c r="BW148" s="389">
        <f>SUMIFS(服务费底表!$AD:$AD,服务费底表!$K:$K,服务费明细!$B148,服务费底表!$H:$H,服务费明细!BW$3)</f>
        <v>0</v>
      </c>
    </row>
    <row r="149" spans="2:75">
      <c r="B149" s="89" t="s">
        <v>1074</v>
      </c>
      <c r="C149" s="89" t="str">
        <f>INDEX(二三级标准!$C:$C,MATCH(服务费明细!$B149,二三级标准!$B:$B,0))</f>
        <v>撰写SDTM映射规范</v>
      </c>
      <c r="D149" s="166">
        <f>IF(AND(SDTM数据集个数&gt;1,$D$143=1),1,0)</f>
        <v>1</v>
      </c>
      <c r="E149" s="166">
        <f>IF($D149=1,SDTM数据集个数,0)</f>
        <v>35</v>
      </c>
      <c r="F149" s="89" t="str">
        <f>INDEX(二三级标准!$G:$G,MATCH(服务费明细!$B149,二三级标准!$B:$B,0))</f>
        <v>个</v>
      </c>
      <c r="G149" s="166">
        <f t="shared" si="276"/>
        <v>0</v>
      </c>
      <c r="H149" s="166">
        <f t="shared" si="277"/>
        <v>0</v>
      </c>
      <c r="I149" s="166">
        <f t="shared" si="278"/>
        <v>0</v>
      </c>
      <c r="J149" s="166">
        <f t="shared" si="279"/>
        <v>0</v>
      </c>
      <c r="K149" s="166">
        <f t="shared" si="280"/>
        <v>0</v>
      </c>
      <c r="L149" s="166">
        <f t="shared" si="281"/>
        <v>0</v>
      </c>
      <c r="M149" s="166">
        <f t="shared" si="282"/>
        <v>0</v>
      </c>
      <c r="N149" s="166">
        <f t="shared" si="283"/>
        <v>0</v>
      </c>
      <c r="O149" s="166">
        <f t="shared" si="284"/>
        <v>0</v>
      </c>
      <c r="P149" s="166">
        <f t="shared" si="285"/>
        <v>0</v>
      </c>
      <c r="Q149" s="166">
        <f t="shared" si="286"/>
        <v>0</v>
      </c>
      <c r="R149" s="166">
        <f t="shared" si="287"/>
        <v>0</v>
      </c>
      <c r="S149" s="166">
        <f t="shared" si="288"/>
        <v>0</v>
      </c>
      <c r="T149" s="166">
        <f t="shared" si="289"/>
        <v>35</v>
      </c>
      <c r="U149" s="166">
        <f t="shared" si="290"/>
        <v>3.5</v>
      </c>
      <c r="V149" s="166">
        <f t="shared" si="291"/>
        <v>0</v>
      </c>
      <c r="W149" s="166">
        <f t="shared" si="292"/>
        <v>0</v>
      </c>
      <c r="X149" s="166">
        <f t="shared" si="293"/>
        <v>0</v>
      </c>
      <c r="Y149" s="166">
        <f t="shared" si="294"/>
        <v>0</v>
      </c>
      <c r="Z149" s="166">
        <f t="shared" si="295"/>
        <v>0</v>
      </c>
      <c r="AA149" s="166">
        <f t="shared" si="296"/>
        <v>0</v>
      </c>
      <c r="AB149" s="166">
        <f t="shared" si="297"/>
        <v>0</v>
      </c>
      <c r="AC149" s="166" cm="1">
        <f t="array" ref="AC149">SUMPRODUCT(G149:AB149,$G$4:$AB$4)</f>
        <v>9450</v>
      </c>
      <c r="AD149" s="89" t="b">
        <f t="shared" si="298"/>
        <v>1</v>
      </c>
      <c r="AE149" s="386">
        <f>IFERROR(SUMIF(服务费底表!$K:$K,服务费明细!$B149,服务费底表!$AD:$AD)/E149,0)</f>
        <v>270</v>
      </c>
      <c r="AF149" s="386">
        <f t="shared" si="299"/>
        <v>9450</v>
      </c>
      <c r="AG149" s="386">
        <f>IFERROR(SUMIF(服务费底表!$K:$K,服务费明细!$B149,服务费底表!$AG:$AG)/E149,0)</f>
        <v>270</v>
      </c>
      <c r="AH149" s="386">
        <f t="shared" si="300"/>
        <v>9450</v>
      </c>
      <c r="AI149" s="577"/>
      <c r="AJ149" s="563">
        <f t="shared" si="301"/>
        <v>1.1</v>
      </c>
      <c r="AK149" s="564">
        <f>SUMIF(服务费底表!$K:$K,服务费明细!$B149,服务费底表!$AC:$AC)</f>
        <v>38.5</v>
      </c>
      <c r="AL149" s="166">
        <f>SUMIFS(服务费底表!$AC:$AC,服务费底表!$K:$K,服务费明细!$B149,服务费底表!$T:$T,AL$3)</f>
        <v>0</v>
      </c>
      <c r="AM149" s="166">
        <f>SUMIFS(服务费底表!$AC:$AC,服务费底表!$K:$K,服务费明细!$B149,服务费底表!$T:$T,AM$3)</f>
        <v>0</v>
      </c>
      <c r="AN149" s="166">
        <f>SUMIFS(服务费底表!$AC:$AC,服务费底表!$K:$K,服务费明细!$B149,服务费底表!$T:$T,AN$3)</f>
        <v>0</v>
      </c>
      <c r="AO149" s="166">
        <f>SUMIFS(服务费底表!$AC:$AC,服务费底表!$K:$K,服务费明细!$B149,服务费底表!$T:$T,AO$3)</f>
        <v>0</v>
      </c>
      <c r="AP149" s="166">
        <f>SUMIFS(服务费底表!$AC:$AC,服务费底表!$K:$K,服务费明细!$B149,服务费底表!$T:$T,AP$3)</f>
        <v>0</v>
      </c>
      <c r="AQ149" s="166">
        <f>SUMIFS(服务费底表!$AC:$AC,服务费底表!$K:$K,服务费明细!$B149,服务费底表!$T:$T,AQ$3)</f>
        <v>0</v>
      </c>
      <c r="AR149" s="166">
        <f>SUMIFS(服务费底表!$AC:$AC,服务费底表!$K:$K,服务费明细!$B149,服务费底表!$T:$T,AR$3)</f>
        <v>0</v>
      </c>
      <c r="AS149" s="166">
        <f>SUMIFS(服务费底表!$AC:$AC,服务费底表!$K:$K,服务费明细!$B149,服务费底表!$T:$T,AS$3)</f>
        <v>0</v>
      </c>
      <c r="AT149" s="166">
        <f>SUMIFS(服务费底表!$AC:$AC,服务费底表!$K:$K,服务费明细!$B149,服务费底表!$T:$T,AT$3)</f>
        <v>0</v>
      </c>
      <c r="AU149" s="166">
        <f>SUMIFS(服务费底表!$AC:$AC,服务费底表!$K:$K,服务费明细!$B149,服务费底表!$T:$T,AU$3)</f>
        <v>0</v>
      </c>
      <c r="AV149" s="166">
        <f>SUMIFS(服务费底表!$AC:$AC,服务费底表!$K:$K,服务费明细!$B149,服务费底表!$T:$T,AV$3)</f>
        <v>0</v>
      </c>
      <c r="AW149" s="166">
        <f>SUMIFS(服务费底表!$AC:$AC,服务费底表!$K:$K,服务费明细!$B149,服务费底表!$T:$T,AW$3)</f>
        <v>0</v>
      </c>
      <c r="AX149" s="166">
        <f>SUMIFS(服务费底表!$AC:$AC,服务费底表!$K:$K,服务费明细!$B149,服务费底表!$T:$T,AX$3)</f>
        <v>0</v>
      </c>
      <c r="AY149" s="166">
        <f>SUMIFS(服务费底表!$AC:$AC,服务费底表!$K:$K,服务费明细!$B149,服务费底表!$T:$T,AY$3)</f>
        <v>35</v>
      </c>
      <c r="AZ149" s="166">
        <f>SUMIFS(服务费底表!$AC:$AC,服务费底表!$K:$K,服务费明细!$B149,服务费底表!$T:$T,AZ$3)</f>
        <v>3.5</v>
      </c>
      <c r="BA149" s="166">
        <f>SUMIFS(服务费底表!$AC:$AC,服务费底表!$K:$K,服务费明细!$B149,服务费底表!$T:$T,BA$3)</f>
        <v>0</v>
      </c>
      <c r="BB149" s="166">
        <f>SUMIFS(服务费底表!$AC:$AC,服务费底表!$K:$K,服务费明细!$B149,服务费底表!$T:$T,BB$3)</f>
        <v>0</v>
      </c>
      <c r="BC149" s="166">
        <f>SUMIFS(服务费底表!$AC:$AC,服务费底表!$K:$K,服务费明细!$B149,服务费底表!$T:$T,BC$3)</f>
        <v>0</v>
      </c>
      <c r="BD149" s="166">
        <f>SUMIFS(服务费底表!$AC:$AC,服务费底表!$K:$K,服务费明细!$B149,服务费底表!$T:$T,BD$3)</f>
        <v>0</v>
      </c>
      <c r="BE149" s="166">
        <f>SUMIFS(服务费底表!$AC:$AC,服务费底表!$K:$K,服务费明细!$B149,服务费底表!$T:$T,BE$3)</f>
        <v>0</v>
      </c>
      <c r="BF149" s="166">
        <f>SUMIFS(服务费底表!$AC:$AC,服务费底表!$K:$K,服务费明细!$B149,服务费底表!$T:$T,BF$3)</f>
        <v>0</v>
      </c>
      <c r="BG149" s="166">
        <f>SUMIFS(服务费底表!$AC:$AC,服务费底表!$K:$K,服务费明细!$B149,服务费底表!$T:$T,BG$3)</f>
        <v>0</v>
      </c>
      <c r="BI149" s="388">
        <f>SUMIFS(服务费底表!$AC:$AC,服务费底表!$K:$K,服务费明细!$B149,服务费底表!$H:$H,服务费明细!BI$3)</f>
        <v>0</v>
      </c>
      <c r="BJ149" s="388">
        <f>SUMIFS(服务费底表!$AC:$AC,服务费底表!$K:$K,服务费明细!$B149,服务费底表!$H:$H,服务费明细!BJ$3)</f>
        <v>0</v>
      </c>
      <c r="BK149" s="388">
        <f>SUMIFS(服务费底表!$AC:$AC,服务费底表!$K:$K,服务费明细!$B149,服务费底表!$H:$H,服务费明细!BK$3)</f>
        <v>0</v>
      </c>
      <c r="BL149" s="388">
        <f>SUMIFS(服务费底表!$AC:$AC,服务费底表!$K:$K,服务费明细!$B149,服务费底表!$H:$H,服务费明细!BL$3)</f>
        <v>38.5</v>
      </c>
      <c r="BM149" s="388">
        <f>SUMIFS(服务费底表!$AC:$AC,服务费底表!$K:$K,服务费明细!$B149,服务费底表!$H:$H,服务费明细!BM$3)</f>
        <v>0</v>
      </c>
      <c r="BN149" s="388">
        <f>SUMIFS(服务费底表!$AC:$AC,服务费底表!$K:$K,服务费明细!$B149,服务费底表!$H:$H,服务费明细!BN$3)</f>
        <v>0</v>
      </c>
      <c r="BO149" s="388">
        <f>SUMIFS(服务费底表!$AC:$AC,服务费底表!$K:$K,服务费明细!$B149,服务费底表!$H:$H,服务费明细!BO$3)</f>
        <v>0</v>
      </c>
      <c r="BQ149" s="389">
        <f>SUMIFS(服务费底表!$AD:$AD,服务费底表!$K:$K,服务费明细!$B149,服务费底表!$H:$H,服务费明细!BQ$3)</f>
        <v>0</v>
      </c>
      <c r="BR149" s="389">
        <f>SUMIFS(服务费底表!$AD:$AD,服务费底表!$K:$K,服务费明细!$B149,服务费底表!$H:$H,服务费明细!BR$3)</f>
        <v>0</v>
      </c>
      <c r="BS149" s="389">
        <f>SUMIFS(服务费底表!$AD:$AD,服务费底表!$K:$K,服务费明细!$B149,服务费底表!$H:$H,服务费明细!BS$3)</f>
        <v>0</v>
      </c>
      <c r="BT149" s="389">
        <f>SUMIFS(服务费底表!$AD:$AD,服务费底表!$K:$K,服务费明细!$B149,服务费底表!$H:$H,服务费明细!BT$3)</f>
        <v>9450</v>
      </c>
      <c r="BU149" s="389">
        <f>SUMIFS(服务费底表!$AD:$AD,服务费底表!$K:$K,服务费明细!$B149,服务费底表!$H:$H,服务费明细!BU$3)</f>
        <v>0</v>
      </c>
      <c r="BV149" s="389">
        <f>SUMIFS(服务费底表!$AD:$AD,服务费底表!$K:$K,服务费明细!$B149,服务费底表!$H:$H,服务费明细!BV$3)</f>
        <v>0</v>
      </c>
      <c r="BW149" s="389">
        <f>SUMIFS(服务费底表!$AD:$AD,服务费底表!$K:$K,服务费明细!$B149,服务费底表!$H:$H,服务费明细!BW$3)</f>
        <v>0</v>
      </c>
    </row>
    <row r="150" spans="2:75">
      <c r="B150" s="89" t="s">
        <v>323</v>
      </c>
      <c r="C150" s="89" t="str">
        <f>INDEX(二三级标准!$C:$C,MATCH(服务费明细!$B150,二三级标准!$B:$B,0))</f>
        <v>生成SDTM数据集</v>
      </c>
      <c r="D150" s="166">
        <f>IF(AND(SDTM数据集个数&gt;1,$D$143=1),1,0)</f>
        <v>1</v>
      </c>
      <c r="E150" s="166">
        <f>IF($D150=1,SDTM数据集个数,0)</f>
        <v>35</v>
      </c>
      <c r="F150" s="89" t="str">
        <f>INDEX(二三级标准!$G:$G,MATCH(服务费明细!$B150,二三级标准!$B:$B,0))</f>
        <v>个</v>
      </c>
      <c r="G150" s="166">
        <f t="shared" si="276"/>
        <v>0</v>
      </c>
      <c r="H150" s="166">
        <f t="shared" si="277"/>
        <v>0</v>
      </c>
      <c r="I150" s="166">
        <f t="shared" si="278"/>
        <v>0</v>
      </c>
      <c r="J150" s="166">
        <f t="shared" si="279"/>
        <v>0</v>
      </c>
      <c r="K150" s="166">
        <f t="shared" si="280"/>
        <v>0</v>
      </c>
      <c r="L150" s="166">
        <f t="shared" si="281"/>
        <v>0</v>
      </c>
      <c r="M150" s="166">
        <f t="shared" si="282"/>
        <v>0</v>
      </c>
      <c r="N150" s="166">
        <f t="shared" si="283"/>
        <v>0</v>
      </c>
      <c r="O150" s="166">
        <f t="shared" si="284"/>
        <v>0</v>
      </c>
      <c r="P150" s="166">
        <f t="shared" si="285"/>
        <v>0</v>
      </c>
      <c r="Q150" s="166">
        <f t="shared" si="286"/>
        <v>0</v>
      </c>
      <c r="R150" s="166">
        <f t="shared" si="287"/>
        <v>0</v>
      </c>
      <c r="S150" s="166">
        <f t="shared" si="288"/>
        <v>0</v>
      </c>
      <c r="T150" s="166">
        <f t="shared" si="289"/>
        <v>157.85</v>
      </c>
      <c r="U150" s="166">
        <f t="shared" si="290"/>
        <v>0</v>
      </c>
      <c r="V150" s="166">
        <f t="shared" si="291"/>
        <v>0</v>
      </c>
      <c r="W150" s="166">
        <f t="shared" si="292"/>
        <v>0</v>
      </c>
      <c r="X150" s="166">
        <f t="shared" si="293"/>
        <v>0</v>
      </c>
      <c r="Y150" s="166">
        <f t="shared" si="294"/>
        <v>0</v>
      </c>
      <c r="Z150" s="166">
        <f t="shared" si="295"/>
        <v>0</v>
      </c>
      <c r="AA150" s="166">
        <f t="shared" si="296"/>
        <v>0</v>
      </c>
      <c r="AB150" s="166">
        <f t="shared" si="297"/>
        <v>0</v>
      </c>
      <c r="AC150" s="166" cm="1">
        <f t="array" ref="AC150">SUMPRODUCT(G150:AB150,$G$4:$AB$4)</f>
        <v>35516.25</v>
      </c>
      <c r="AD150" s="89" t="b">
        <f t="shared" si="298"/>
        <v>1</v>
      </c>
      <c r="AE150" s="386">
        <f>IFERROR(SUMIF(服务费底表!$K:$K,服务费明细!$B150,服务费底表!$AD:$AD)/E150,0)</f>
        <v>1014.75</v>
      </c>
      <c r="AF150" s="386">
        <f t="shared" si="299"/>
        <v>35516.25</v>
      </c>
      <c r="AG150" s="386">
        <f>IFERROR(SUMIF(服务费底表!$K:$K,服务费明细!$B150,服务费底表!$AG:$AG)/E150,0)</f>
        <v>1014.75</v>
      </c>
      <c r="AH150" s="386">
        <f t="shared" si="300"/>
        <v>35516.25</v>
      </c>
      <c r="AI150" s="577"/>
      <c r="AJ150" s="563">
        <f t="shared" si="301"/>
        <v>4.51</v>
      </c>
      <c r="AK150" s="564">
        <f>SUMIF(服务费底表!$K:$K,服务费明细!$B150,服务费底表!$AC:$AC)</f>
        <v>157.85</v>
      </c>
      <c r="AL150" s="166">
        <f>SUMIFS(服务费底表!$AC:$AC,服务费底表!$K:$K,服务费明细!$B150,服务费底表!$T:$T,AL$3)</f>
        <v>0</v>
      </c>
      <c r="AM150" s="166">
        <f>SUMIFS(服务费底表!$AC:$AC,服务费底表!$K:$K,服务费明细!$B150,服务费底表!$T:$T,AM$3)</f>
        <v>0</v>
      </c>
      <c r="AN150" s="166">
        <f>SUMIFS(服务费底表!$AC:$AC,服务费底表!$K:$K,服务费明细!$B150,服务费底表!$T:$T,AN$3)</f>
        <v>0</v>
      </c>
      <c r="AO150" s="166">
        <f>SUMIFS(服务费底表!$AC:$AC,服务费底表!$K:$K,服务费明细!$B150,服务费底表!$T:$T,AO$3)</f>
        <v>0</v>
      </c>
      <c r="AP150" s="166">
        <f>SUMIFS(服务费底表!$AC:$AC,服务费底表!$K:$K,服务费明细!$B150,服务费底表!$T:$T,AP$3)</f>
        <v>0</v>
      </c>
      <c r="AQ150" s="166">
        <f>SUMIFS(服务费底表!$AC:$AC,服务费底表!$K:$K,服务费明细!$B150,服务费底表!$T:$T,AQ$3)</f>
        <v>0</v>
      </c>
      <c r="AR150" s="166">
        <f>SUMIFS(服务费底表!$AC:$AC,服务费底表!$K:$K,服务费明细!$B150,服务费底表!$T:$T,AR$3)</f>
        <v>0</v>
      </c>
      <c r="AS150" s="166">
        <f>SUMIFS(服务费底表!$AC:$AC,服务费底表!$K:$K,服务费明细!$B150,服务费底表!$T:$T,AS$3)</f>
        <v>0</v>
      </c>
      <c r="AT150" s="166">
        <f>SUMIFS(服务费底表!$AC:$AC,服务费底表!$K:$K,服务费明细!$B150,服务费底表!$T:$T,AT$3)</f>
        <v>0</v>
      </c>
      <c r="AU150" s="166">
        <f>SUMIFS(服务费底表!$AC:$AC,服务费底表!$K:$K,服务费明细!$B150,服务费底表!$T:$T,AU$3)</f>
        <v>0</v>
      </c>
      <c r="AV150" s="166">
        <f>SUMIFS(服务费底表!$AC:$AC,服务费底表!$K:$K,服务费明细!$B150,服务费底表!$T:$T,AV$3)</f>
        <v>0</v>
      </c>
      <c r="AW150" s="166">
        <f>SUMIFS(服务费底表!$AC:$AC,服务费底表!$K:$K,服务费明细!$B150,服务费底表!$T:$T,AW$3)</f>
        <v>0</v>
      </c>
      <c r="AX150" s="166">
        <f>SUMIFS(服务费底表!$AC:$AC,服务费底表!$K:$K,服务费明细!$B150,服务费底表!$T:$T,AX$3)</f>
        <v>0</v>
      </c>
      <c r="AY150" s="166">
        <f>SUMIFS(服务费底表!$AC:$AC,服务费底表!$K:$K,服务费明细!$B150,服务费底表!$T:$T,AY$3)</f>
        <v>157.85</v>
      </c>
      <c r="AZ150" s="166">
        <f>SUMIFS(服务费底表!$AC:$AC,服务费底表!$K:$K,服务费明细!$B150,服务费底表!$T:$T,AZ$3)</f>
        <v>0</v>
      </c>
      <c r="BA150" s="166">
        <f>SUMIFS(服务费底表!$AC:$AC,服务费底表!$K:$K,服务费明细!$B150,服务费底表!$T:$T,BA$3)</f>
        <v>0</v>
      </c>
      <c r="BB150" s="166">
        <f>SUMIFS(服务费底表!$AC:$AC,服务费底表!$K:$K,服务费明细!$B150,服务费底表!$T:$T,BB$3)</f>
        <v>0</v>
      </c>
      <c r="BC150" s="166">
        <f>SUMIFS(服务费底表!$AC:$AC,服务费底表!$K:$K,服务费明细!$B150,服务费底表!$T:$T,BC$3)</f>
        <v>0</v>
      </c>
      <c r="BD150" s="166">
        <f>SUMIFS(服务费底表!$AC:$AC,服务费底表!$K:$K,服务费明细!$B150,服务费底表!$T:$T,BD$3)</f>
        <v>0</v>
      </c>
      <c r="BE150" s="166">
        <f>SUMIFS(服务费底表!$AC:$AC,服务费底表!$K:$K,服务费明细!$B150,服务费底表!$T:$T,BE$3)</f>
        <v>0</v>
      </c>
      <c r="BF150" s="166">
        <f>SUMIFS(服务费底表!$AC:$AC,服务费底表!$K:$K,服务费明细!$B150,服务费底表!$T:$T,BF$3)</f>
        <v>0</v>
      </c>
      <c r="BG150" s="166">
        <f>SUMIFS(服务费底表!$AC:$AC,服务费底表!$K:$K,服务费明细!$B150,服务费底表!$T:$T,BG$3)</f>
        <v>0</v>
      </c>
      <c r="BI150" s="388">
        <f>SUMIFS(服务费底表!$AC:$AC,服务费底表!$K:$K,服务费明细!$B150,服务费底表!$H:$H,服务费明细!BI$3)</f>
        <v>0</v>
      </c>
      <c r="BJ150" s="388">
        <f>SUMIFS(服务费底表!$AC:$AC,服务费底表!$K:$K,服务费明细!$B150,服务费底表!$H:$H,服务费明细!BJ$3)</f>
        <v>0</v>
      </c>
      <c r="BK150" s="388">
        <f>SUMIFS(服务费底表!$AC:$AC,服务费底表!$K:$K,服务费明细!$B150,服务费底表!$H:$H,服务费明细!BK$3)</f>
        <v>0</v>
      </c>
      <c r="BL150" s="388">
        <f>SUMIFS(服务费底表!$AC:$AC,服务费底表!$K:$K,服务费明细!$B150,服务费底表!$H:$H,服务费明细!BL$3)</f>
        <v>157.85</v>
      </c>
      <c r="BM150" s="388">
        <f>SUMIFS(服务费底表!$AC:$AC,服务费底表!$K:$K,服务费明细!$B150,服务费底表!$H:$H,服务费明细!BM$3)</f>
        <v>0</v>
      </c>
      <c r="BN150" s="388">
        <f>SUMIFS(服务费底表!$AC:$AC,服务费底表!$K:$K,服务费明细!$B150,服务费底表!$H:$H,服务费明细!BN$3)</f>
        <v>0</v>
      </c>
      <c r="BO150" s="388">
        <f>SUMIFS(服务费底表!$AC:$AC,服务费底表!$K:$K,服务费明细!$B150,服务费底表!$H:$H,服务费明细!BO$3)</f>
        <v>0</v>
      </c>
      <c r="BQ150" s="389">
        <f>SUMIFS(服务费底表!$AD:$AD,服务费底表!$K:$K,服务费明细!$B150,服务费底表!$H:$H,服务费明细!BQ$3)</f>
        <v>0</v>
      </c>
      <c r="BR150" s="389">
        <f>SUMIFS(服务费底表!$AD:$AD,服务费底表!$K:$K,服务费明细!$B150,服务费底表!$H:$H,服务费明细!BR$3)</f>
        <v>0</v>
      </c>
      <c r="BS150" s="389">
        <f>SUMIFS(服务费底表!$AD:$AD,服务费底表!$K:$K,服务费明细!$B150,服务费底表!$H:$H,服务费明细!BS$3)</f>
        <v>0</v>
      </c>
      <c r="BT150" s="389">
        <f>SUMIFS(服务费底表!$AD:$AD,服务费底表!$K:$K,服务费明细!$B150,服务费底表!$H:$H,服务费明细!BT$3)</f>
        <v>35516.25</v>
      </c>
      <c r="BU150" s="389">
        <f>SUMIFS(服务费底表!$AD:$AD,服务费底表!$K:$K,服务费明细!$B150,服务费底表!$H:$H,服务费明细!BU$3)</f>
        <v>0</v>
      </c>
      <c r="BV150" s="389">
        <f>SUMIFS(服务费底表!$AD:$AD,服务费底表!$K:$K,服务费明细!$B150,服务费底表!$H:$H,服务费明细!BV$3)</f>
        <v>0</v>
      </c>
      <c r="BW150" s="389">
        <f>SUMIFS(服务费底表!$AD:$AD,服务费底表!$K:$K,服务费明细!$B150,服务费底表!$H:$H,服务费明细!BW$3)</f>
        <v>0</v>
      </c>
    </row>
    <row r="151" spans="2:75">
      <c r="B151" s="89" t="s">
        <v>325</v>
      </c>
      <c r="C151" s="89" t="str">
        <f>INDEX(二三级标准!$C:$C,MATCH(服务费明细!$B151,二三级标准!$B:$B,0))</f>
        <v>撰写分析数据集衍生规范</v>
      </c>
      <c r="D151" s="166">
        <f t="shared" ref="D146:D155" si="302">IF($D$143=1,1,0)</f>
        <v>1</v>
      </c>
      <c r="E151" s="166">
        <f>IF($D151=1,ADaM或衍生数据集个数,0)</f>
        <v>15</v>
      </c>
      <c r="F151" s="89" t="str">
        <f>INDEX(二三级标准!$G:$G,MATCH(服务费明细!$B151,二三级标准!$B:$B,0))</f>
        <v>个</v>
      </c>
      <c r="G151" s="166">
        <f t="shared" si="276"/>
        <v>0</v>
      </c>
      <c r="H151" s="166">
        <f t="shared" si="277"/>
        <v>0</v>
      </c>
      <c r="I151" s="166">
        <f t="shared" si="278"/>
        <v>0</v>
      </c>
      <c r="J151" s="166">
        <f t="shared" si="279"/>
        <v>0</v>
      </c>
      <c r="K151" s="166">
        <f t="shared" si="280"/>
        <v>0</v>
      </c>
      <c r="L151" s="166">
        <f t="shared" si="281"/>
        <v>0</v>
      </c>
      <c r="M151" s="166">
        <f t="shared" si="282"/>
        <v>0</v>
      </c>
      <c r="N151" s="166">
        <f t="shared" si="283"/>
        <v>0</v>
      </c>
      <c r="O151" s="166">
        <f t="shared" si="284"/>
        <v>0</v>
      </c>
      <c r="P151" s="166">
        <f t="shared" si="285"/>
        <v>0</v>
      </c>
      <c r="Q151" s="166">
        <f t="shared" si="286"/>
        <v>0</v>
      </c>
      <c r="R151" s="166">
        <f t="shared" si="287"/>
        <v>0</v>
      </c>
      <c r="S151" s="166">
        <f t="shared" si="288"/>
        <v>0</v>
      </c>
      <c r="T151" s="166">
        <f t="shared" si="289"/>
        <v>30</v>
      </c>
      <c r="U151" s="166">
        <f t="shared" si="290"/>
        <v>3</v>
      </c>
      <c r="V151" s="166">
        <f t="shared" si="291"/>
        <v>7.5</v>
      </c>
      <c r="W151" s="166">
        <f t="shared" si="292"/>
        <v>0</v>
      </c>
      <c r="X151" s="166">
        <f t="shared" si="293"/>
        <v>0</v>
      </c>
      <c r="Y151" s="166">
        <f t="shared" si="294"/>
        <v>0</v>
      </c>
      <c r="Z151" s="166">
        <f t="shared" si="295"/>
        <v>0</v>
      </c>
      <c r="AA151" s="166">
        <f t="shared" si="296"/>
        <v>0</v>
      </c>
      <c r="AB151" s="166">
        <f t="shared" si="297"/>
        <v>0</v>
      </c>
      <c r="AC151" s="166" cm="1">
        <f t="array" ref="AC151">SUMPRODUCT(G151:AB151,$G$4:$AB$4)</f>
        <v>11100</v>
      </c>
      <c r="AD151" s="89" t="b">
        <f t="shared" si="298"/>
        <v>1</v>
      </c>
      <c r="AE151" s="386">
        <f>IFERROR(SUMIF(服务费底表!$K:$K,服务费明细!$B151,服务费底表!$AD:$AD)/E151,0)</f>
        <v>740</v>
      </c>
      <c r="AF151" s="386">
        <f t="shared" si="299"/>
        <v>11100</v>
      </c>
      <c r="AG151" s="386">
        <f>IFERROR(SUMIF(服务费底表!$K:$K,服务费明细!$B151,服务费底表!$AG:$AG)/E151,0)</f>
        <v>740</v>
      </c>
      <c r="AH151" s="386">
        <f t="shared" si="300"/>
        <v>11100</v>
      </c>
      <c r="AI151" s="577"/>
      <c r="AJ151" s="563">
        <f t="shared" si="301"/>
        <v>2.7</v>
      </c>
      <c r="AK151" s="564">
        <f>SUMIF(服务费底表!$K:$K,服务费明细!$B151,服务费底表!$AC:$AC)</f>
        <v>40.5</v>
      </c>
      <c r="AL151" s="166">
        <f>SUMIFS(服务费底表!$AC:$AC,服务费底表!$K:$K,服务费明细!$B151,服务费底表!$T:$T,AL$3)</f>
        <v>0</v>
      </c>
      <c r="AM151" s="166">
        <f>SUMIFS(服务费底表!$AC:$AC,服务费底表!$K:$K,服务费明细!$B151,服务费底表!$T:$T,AM$3)</f>
        <v>0</v>
      </c>
      <c r="AN151" s="166">
        <f>SUMIFS(服务费底表!$AC:$AC,服务费底表!$K:$K,服务费明细!$B151,服务费底表!$T:$T,AN$3)</f>
        <v>0</v>
      </c>
      <c r="AO151" s="166">
        <f>SUMIFS(服务费底表!$AC:$AC,服务费底表!$K:$K,服务费明细!$B151,服务费底表!$T:$T,AO$3)</f>
        <v>0</v>
      </c>
      <c r="AP151" s="166">
        <f>SUMIFS(服务费底表!$AC:$AC,服务费底表!$K:$K,服务费明细!$B151,服务费底表!$T:$T,AP$3)</f>
        <v>0</v>
      </c>
      <c r="AQ151" s="166">
        <f>SUMIFS(服务费底表!$AC:$AC,服务费底表!$K:$K,服务费明细!$B151,服务费底表!$T:$T,AQ$3)</f>
        <v>0</v>
      </c>
      <c r="AR151" s="166">
        <f>SUMIFS(服务费底表!$AC:$AC,服务费底表!$K:$K,服务费明细!$B151,服务费底表!$T:$T,AR$3)</f>
        <v>0</v>
      </c>
      <c r="AS151" s="166">
        <f>SUMIFS(服务费底表!$AC:$AC,服务费底表!$K:$K,服务费明细!$B151,服务费底表!$T:$T,AS$3)</f>
        <v>0</v>
      </c>
      <c r="AT151" s="166">
        <f>SUMIFS(服务费底表!$AC:$AC,服务费底表!$K:$K,服务费明细!$B151,服务费底表!$T:$T,AT$3)</f>
        <v>0</v>
      </c>
      <c r="AU151" s="166">
        <f>SUMIFS(服务费底表!$AC:$AC,服务费底表!$K:$K,服务费明细!$B151,服务费底表!$T:$T,AU$3)</f>
        <v>0</v>
      </c>
      <c r="AV151" s="166">
        <f>SUMIFS(服务费底表!$AC:$AC,服务费底表!$K:$K,服务费明细!$B151,服务费底表!$T:$T,AV$3)</f>
        <v>0</v>
      </c>
      <c r="AW151" s="166">
        <f>SUMIFS(服务费底表!$AC:$AC,服务费底表!$K:$K,服务费明细!$B151,服务费底表!$T:$T,AW$3)</f>
        <v>0</v>
      </c>
      <c r="AX151" s="166">
        <f>SUMIFS(服务费底表!$AC:$AC,服务费底表!$K:$K,服务费明细!$B151,服务费底表!$T:$T,AX$3)</f>
        <v>0</v>
      </c>
      <c r="AY151" s="166">
        <f>SUMIFS(服务费底表!$AC:$AC,服务费底表!$K:$K,服务费明细!$B151,服务费底表!$T:$T,AY$3)</f>
        <v>30</v>
      </c>
      <c r="AZ151" s="166">
        <f>SUMIFS(服务费底表!$AC:$AC,服务费底表!$K:$K,服务费明细!$B151,服务费底表!$T:$T,AZ$3)</f>
        <v>3</v>
      </c>
      <c r="BA151" s="166">
        <f>SUMIFS(服务费底表!$AC:$AC,服务费底表!$K:$K,服务费明细!$B151,服务费底表!$T:$T,BA$3)</f>
        <v>7.5</v>
      </c>
      <c r="BB151" s="166">
        <f>SUMIFS(服务费底表!$AC:$AC,服务费底表!$K:$K,服务费明细!$B151,服务费底表!$T:$T,BB$3)</f>
        <v>0</v>
      </c>
      <c r="BC151" s="166">
        <f>SUMIFS(服务费底表!$AC:$AC,服务费底表!$K:$K,服务费明细!$B151,服务费底表!$T:$T,BC$3)</f>
        <v>0</v>
      </c>
      <c r="BD151" s="166">
        <f>SUMIFS(服务费底表!$AC:$AC,服务费底表!$K:$K,服务费明细!$B151,服务费底表!$T:$T,BD$3)</f>
        <v>0</v>
      </c>
      <c r="BE151" s="166">
        <f>SUMIFS(服务费底表!$AC:$AC,服务费底表!$K:$K,服务费明细!$B151,服务费底表!$T:$T,BE$3)</f>
        <v>0</v>
      </c>
      <c r="BF151" s="166">
        <f>SUMIFS(服务费底表!$AC:$AC,服务费底表!$K:$K,服务费明细!$B151,服务费底表!$T:$T,BF$3)</f>
        <v>0</v>
      </c>
      <c r="BG151" s="166">
        <f>SUMIFS(服务费底表!$AC:$AC,服务费底表!$K:$K,服务费明细!$B151,服务费底表!$T:$T,BG$3)</f>
        <v>0</v>
      </c>
      <c r="BI151" s="388">
        <f>SUMIFS(服务费底表!$AC:$AC,服务费底表!$K:$K,服务费明细!$B151,服务费底表!$H:$H,服务费明细!BI$3)</f>
        <v>0</v>
      </c>
      <c r="BJ151" s="388">
        <f>SUMIFS(服务费底表!$AC:$AC,服务费底表!$K:$K,服务费明细!$B151,服务费底表!$H:$H,服务费明细!BJ$3)</f>
        <v>0</v>
      </c>
      <c r="BK151" s="388">
        <f>SUMIFS(服务费底表!$AC:$AC,服务费底表!$K:$K,服务费明细!$B151,服务费底表!$H:$H,服务费明细!BK$3)</f>
        <v>0</v>
      </c>
      <c r="BL151" s="388">
        <f>SUMIFS(服务费底表!$AC:$AC,服务费底表!$K:$K,服务费明细!$B151,服务费底表!$H:$H,服务费明细!BL$3)</f>
        <v>40.5</v>
      </c>
      <c r="BM151" s="388">
        <f>SUMIFS(服务费底表!$AC:$AC,服务费底表!$K:$K,服务费明细!$B151,服务费底表!$H:$H,服务费明细!BM$3)</f>
        <v>0</v>
      </c>
      <c r="BN151" s="388">
        <f>SUMIFS(服务费底表!$AC:$AC,服务费底表!$K:$K,服务费明细!$B151,服务费底表!$H:$H,服务费明细!BN$3)</f>
        <v>0</v>
      </c>
      <c r="BO151" s="388">
        <f>SUMIFS(服务费底表!$AC:$AC,服务费底表!$K:$K,服务费明细!$B151,服务费底表!$H:$H,服务费明细!BO$3)</f>
        <v>0</v>
      </c>
      <c r="BQ151" s="389">
        <f>SUMIFS(服务费底表!$AD:$AD,服务费底表!$K:$K,服务费明细!$B151,服务费底表!$H:$H,服务费明细!BQ$3)</f>
        <v>0</v>
      </c>
      <c r="BR151" s="389">
        <f>SUMIFS(服务费底表!$AD:$AD,服务费底表!$K:$K,服务费明细!$B151,服务费底表!$H:$H,服务费明细!BR$3)</f>
        <v>0</v>
      </c>
      <c r="BS151" s="389">
        <f>SUMIFS(服务费底表!$AD:$AD,服务费底表!$K:$K,服务费明细!$B151,服务费底表!$H:$H,服务费明细!BS$3)</f>
        <v>0</v>
      </c>
      <c r="BT151" s="389">
        <f>SUMIFS(服务费底表!$AD:$AD,服务费底表!$K:$K,服务费明细!$B151,服务费底表!$H:$H,服务费明细!BT$3)</f>
        <v>11100</v>
      </c>
      <c r="BU151" s="389">
        <f>SUMIFS(服务费底表!$AD:$AD,服务费底表!$K:$K,服务费明细!$B151,服务费底表!$H:$H,服务费明细!BU$3)</f>
        <v>0</v>
      </c>
      <c r="BV151" s="389">
        <f>SUMIFS(服务费底表!$AD:$AD,服务费底表!$K:$K,服务费明细!$B151,服务费底表!$H:$H,服务费明细!BV$3)</f>
        <v>0</v>
      </c>
      <c r="BW151" s="389">
        <f>SUMIFS(服务费底表!$AD:$AD,服务费底表!$K:$K,服务费明细!$B151,服务费底表!$H:$H,服务费明细!BW$3)</f>
        <v>0</v>
      </c>
    </row>
    <row r="152" spans="2:75">
      <c r="B152" s="89" t="s">
        <v>327</v>
      </c>
      <c r="C152" s="89" t="str">
        <f>INDEX(二三级标准!$C:$C,MATCH(服务费明细!$B152,二三级标准!$B:$B,0))</f>
        <v>生成分析数据集</v>
      </c>
      <c r="D152" s="166">
        <f t="shared" si="302"/>
        <v>1</v>
      </c>
      <c r="E152" s="166">
        <f>IF($D152=1,ADaM或衍生数据集个数,0)</f>
        <v>15</v>
      </c>
      <c r="F152" s="89" t="str">
        <f>INDEX(二三级标准!$G:$G,MATCH(服务费明细!$B152,二三级标准!$B:$B,0))</f>
        <v>个</v>
      </c>
      <c r="G152" s="166">
        <f t="shared" si="276"/>
        <v>0</v>
      </c>
      <c r="H152" s="166">
        <f t="shared" si="277"/>
        <v>0</v>
      </c>
      <c r="I152" s="166">
        <f t="shared" si="278"/>
        <v>0</v>
      </c>
      <c r="J152" s="166">
        <f t="shared" si="279"/>
        <v>0</v>
      </c>
      <c r="K152" s="166">
        <f t="shared" si="280"/>
        <v>0</v>
      </c>
      <c r="L152" s="166">
        <f t="shared" si="281"/>
        <v>0</v>
      </c>
      <c r="M152" s="166">
        <f t="shared" si="282"/>
        <v>0</v>
      </c>
      <c r="N152" s="166">
        <f t="shared" si="283"/>
        <v>0</v>
      </c>
      <c r="O152" s="166">
        <f t="shared" si="284"/>
        <v>0</v>
      </c>
      <c r="P152" s="166">
        <f t="shared" si="285"/>
        <v>0</v>
      </c>
      <c r="Q152" s="166">
        <f t="shared" si="286"/>
        <v>0</v>
      </c>
      <c r="R152" s="166">
        <f t="shared" si="287"/>
        <v>0</v>
      </c>
      <c r="S152" s="166">
        <f t="shared" si="288"/>
        <v>0</v>
      </c>
      <c r="T152" s="166">
        <f t="shared" si="289"/>
        <v>82.65</v>
      </c>
      <c r="U152" s="166">
        <f t="shared" si="290"/>
        <v>0</v>
      </c>
      <c r="V152" s="166">
        <f t="shared" si="291"/>
        <v>15</v>
      </c>
      <c r="W152" s="166">
        <f t="shared" si="292"/>
        <v>0</v>
      </c>
      <c r="X152" s="166">
        <f t="shared" si="293"/>
        <v>0</v>
      </c>
      <c r="Y152" s="166">
        <f t="shared" si="294"/>
        <v>0</v>
      </c>
      <c r="Z152" s="166">
        <f t="shared" si="295"/>
        <v>0</v>
      </c>
      <c r="AA152" s="166">
        <f t="shared" si="296"/>
        <v>0</v>
      </c>
      <c r="AB152" s="166">
        <f t="shared" si="297"/>
        <v>0</v>
      </c>
      <c r="AC152" s="166" cm="1">
        <f t="array" ref="AC152">SUMPRODUCT(G152:AB152,$G$4:$AB$4)</f>
        <v>24596.25</v>
      </c>
      <c r="AD152" s="89" t="b">
        <f t="shared" si="298"/>
        <v>1</v>
      </c>
      <c r="AE152" s="386">
        <f>IFERROR(SUMIF(服务费底表!$K:$K,服务费明细!$B152,服务费底表!$AD:$AD)/E152,0)</f>
        <v>1639.75</v>
      </c>
      <c r="AF152" s="386">
        <f t="shared" si="299"/>
        <v>24596.25</v>
      </c>
      <c r="AG152" s="386">
        <f>IFERROR(SUMIF(服务费底表!$K:$K,服务费明细!$B152,服务费底表!$AG:$AG)/E152,0)</f>
        <v>1639.75</v>
      </c>
      <c r="AH152" s="386">
        <f t="shared" si="300"/>
        <v>24596.25</v>
      </c>
      <c r="AI152" s="577"/>
      <c r="AJ152" s="563">
        <f t="shared" si="301"/>
        <v>6.51</v>
      </c>
      <c r="AK152" s="564">
        <f>SUMIF(服务费底表!$K:$K,服务费明细!$B152,服务费底表!$AC:$AC)</f>
        <v>97.65</v>
      </c>
      <c r="AL152" s="166">
        <f>SUMIFS(服务费底表!$AC:$AC,服务费底表!$K:$K,服务费明细!$B152,服务费底表!$T:$T,AL$3)</f>
        <v>0</v>
      </c>
      <c r="AM152" s="166">
        <f>SUMIFS(服务费底表!$AC:$AC,服务费底表!$K:$K,服务费明细!$B152,服务费底表!$T:$T,AM$3)</f>
        <v>0</v>
      </c>
      <c r="AN152" s="166">
        <f>SUMIFS(服务费底表!$AC:$AC,服务费底表!$K:$K,服务费明细!$B152,服务费底表!$T:$T,AN$3)</f>
        <v>0</v>
      </c>
      <c r="AO152" s="166">
        <f>SUMIFS(服务费底表!$AC:$AC,服务费底表!$K:$K,服务费明细!$B152,服务费底表!$T:$T,AO$3)</f>
        <v>0</v>
      </c>
      <c r="AP152" s="166">
        <f>SUMIFS(服务费底表!$AC:$AC,服务费底表!$K:$K,服务费明细!$B152,服务费底表!$T:$T,AP$3)</f>
        <v>0</v>
      </c>
      <c r="AQ152" s="166">
        <f>SUMIFS(服务费底表!$AC:$AC,服务费底表!$K:$K,服务费明细!$B152,服务费底表!$T:$T,AQ$3)</f>
        <v>0</v>
      </c>
      <c r="AR152" s="166">
        <f>SUMIFS(服务费底表!$AC:$AC,服务费底表!$K:$K,服务费明细!$B152,服务费底表!$T:$T,AR$3)</f>
        <v>0</v>
      </c>
      <c r="AS152" s="166">
        <f>SUMIFS(服务费底表!$AC:$AC,服务费底表!$K:$K,服务费明细!$B152,服务费底表!$T:$T,AS$3)</f>
        <v>0</v>
      </c>
      <c r="AT152" s="166">
        <f>SUMIFS(服务费底表!$AC:$AC,服务费底表!$K:$K,服务费明细!$B152,服务费底表!$T:$T,AT$3)</f>
        <v>0</v>
      </c>
      <c r="AU152" s="166">
        <f>SUMIFS(服务费底表!$AC:$AC,服务费底表!$K:$K,服务费明细!$B152,服务费底表!$T:$T,AU$3)</f>
        <v>0</v>
      </c>
      <c r="AV152" s="166">
        <f>SUMIFS(服务费底表!$AC:$AC,服务费底表!$K:$K,服务费明细!$B152,服务费底表!$T:$T,AV$3)</f>
        <v>0</v>
      </c>
      <c r="AW152" s="166">
        <f>SUMIFS(服务费底表!$AC:$AC,服务费底表!$K:$K,服务费明细!$B152,服务费底表!$T:$T,AW$3)</f>
        <v>0</v>
      </c>
      <c r="AX152" s="166">
        <f>SUMIFS(服务费底表!$AC:$AC,服务费底表!$K:$K,服务费明细!$B152,服务费底表!$T:$T,AX$3)</f>
        <v>0</v>
      </c>
      <c r="AY152" s="166">
        <f>SUMIFS(服务费底表!$AC:$AC,服务费底表!$K:$K,服务费明细!$B152,服务费底表!$T:$T,AY$3)</f>
        <v>82.65</v>
      </c>
      <c r="AZ152" s="166">
        <f>SUMIFS(服务费底表!$AC:$AC,服务费底表!$K:$K,服务费明细!$B152,服务费底表!$T:$T,AZ$3)</f>
        <v>0</v>
      </c>
      <c r="BA152" s="166">
        <f>SUMIFS(服务费底表!$AC:$AC,服务费底表!$K:$K,服务费明细!$B152,服务费底表!$T:$T,BA$3)</f>
        <v>15</v>
      </c>
      <c r="BB152" s="166">
        <f>SUMIFS(服务费底表!$AC:$AC,服务费底表!$K:$K,服务费明细!$B152,服务费底表!$T:$T,BB$3)</f>
        <v>0</v>
      </c>
      <c r="BC152" s="166">
        <f>SUMIFS(服务费底表!$AC:$AC,服务费底表!$K:$K,服务费明细!$B152,服务费底表!$T:$T,BC$3)</f>
        <v>0</v>
      </c>
      <c r="BD152" s="166">
        <f>SUMIFS(服务费底表!$AC:$AC,服务费底表!$K:$K,服务费明细!$B152,服务费底表!$T:$T,BD$3)</f>
        <v>0</v>
      </c>
      <c r="BE152" s="166">
        <f>SUMIFS(服务费底表!$AC:$AC,服务费底表!$K:$K,服务费明细!$B152,服务费底表!$T:$T,BE$3)</f>
        <v>0</v>
      </c>
      <c r="BF152" s="166">
        <f>SUMIFS(服务费底表!$AC:$AC,服务费底表!$K:$K,服务费明细!$B152,服务费底表!$T:$T,BF$3)</f>
        <v>0</v>
      </c>
      <c r="BG152" s="166">
        <f>SUMIFS(服务费底表!$AC:$AC,服务费底表!$K:$K,服务费明细!$B152,服务费底表!$T:$T,BG$3)</f>
        <v>0</v>
      </c>
      <c r="BI152" s="388">
        <f>SUMIFS(服务费底表!$AC:$AC,服务费底表!$K:$K,服务费明细!$B152,服务费底表!$H:$H,服务费明细!BI$3)</f>
        <v>0</v>
      </c>
      <c r="BJ152" s="388">
        <f>SUMIFS(服务费底表!$AC:$AC,服务费底表!$K:$K,服务费明细!$B152,服务费底表!$H:$H,服务费明细!BJ$3)</f>
        <v>0</v>
      </c>
      <c r="BK152" s="388">
        <f>SUMIFS(服务费底表!$AC:$AC,服务费底表!$K:$K,服务费明细!$B152,服务费底表!$H:$H,服务费明细!BK$3)</f>
        <v>0</v>
      </c>
      <c r="BL152" s="388">
        <f>SUMIFS(服务费底表!$AC:$AC,服务费底表!$K:$K,服务费明细!$B152,服务费底表!$H:$H,服务费明细!BL$3)</f>
        <v>97.65</v>
      </c>
      <c r="BM152" s="388">
        <f>SUMIFS(服务费底表!$AC:$AC,服务费底表!$K:$K,服务费明细!$B152,服务费底表!$H:$H,服务费明细!BM$3)</f>
        <v>0</v>
      </c>
      <c r="BN152" s="388">
        <f>SUMIFS(服务费底表!$AC:$AC,服务费底表!$K:$K,服务费明细!$B152,服务费底表!$H:$H,服务费明细!BN$3)</f>
        <v>0</v>
      </c>
      <c r="BO152" s="388">
        <f>SUMIFS(服务费底表!$AC:$AC,服务费底表!$K:$K,服务费明细!$B152,服务费底表!$H:$H,服务费明细!BO$3)</f>
        <v>0</v>
      </c>
      <c r="BQ152" s="389">
        <f>SUMIFS(服务费底表!$AD:$AD,服务费底表!$K:$K,服务费明细!$B152,服务费底表!$H:$H,服务费明细!BQ$3)</f>
        <v>0</v>
      </c>
      <c r="BR152" s="389">
        <f>SUMIFS(服务费底表!$AD:$AD,服务费底表!$K:$K,服务费明细!$B152,服务费底表!$H:$H,服务费明细!BR$3)</f>
        <v>0</v>
      </c>
      <c r="BS152" s="389">
        <f>SUMIFS(服务费底表!$AD:$AD,服务费底表!$K:$K,服务费明细!$B152,服务费底表!$H:$H,服务费明细!BS$3)</f>
        <v>0</v>
      </c>
      <c r="BT152" s="389">
        <f>SUMIFS(服务费底表!$AD:$AD,服务费底表!$K:$K,服务费明细!$B152,服务费底表!$H:$H,服务费明细!BT$3)</f>
        <v>24596.25</v>
      </c>
      <c r="BU152" s="389">
        <f>SUMIFS(服务费底表!$AD:$AD,服务费底表!$K:$K,服务费明细!$B152,服务费底表!$H:$H,服务费明细!BU$3)</f>
        <v>0</v>
      </c>
      <c r="BV152" s="389">
        <f>SUMIFS(服务费底表!$AD:$AD,服务费底表!$K:$K,服务费明细!$B152,服务费底表!$H:$H,服务费明细!BV$3)</f>
        <v>0</v>
      </c>
      <c r="BW152" s="389">
        <f>SUMIFS(服务费底表!$AD:$AD,服务费底表!$K:$K,服务费明细!$B152,服务费底表!$H:$H,服务费明细!BW$3)</f>
        <v>0</v>
      </c>
    </row>
    <row r="153" spans="2:75">
      <c r="B153" s="89" t="s">
        <v>1075</v>
      </c>
      <c r="C153" s="89" t="str">
        <f>INDEX(二三级标准!$C:$C,MATCH(服务费明细!$B153,二三级标准!$B:$B,0))</f>
        <v>生成统计表格/图表 - Unique</v>
      </c>
      <c r="D153" s="166">
        <f t="shared" si="302"/>
        <v>1</v>
      </c>
      <c r="E153" s="166">
        <f>IF($D153=1,独立表格+独立图表,0)</f>
        <v>30</v>
      </c>
      <c r="F153" s="89" t="str">
        <f>INDEX(二三级标准!$G:$G,MATCH(服务费明细!$B153,二三级标准!$B:$B,0))</f>
        <v>个</v>
      </c>
      <c r="G153" s="166">
        <f t="shared" si="276"/>
        <v>0</v>
      </c>
      <c r="H153" s="166">
        <f t="shared" si="277"/>
        <v>0</v>
      </c>
      <c r="I153" s="166">
        <f t="shared" si="278"/>
        <v>0</v>
      </c>
      <c r="J153" s="166">
        <f t="shared" si="279"/>
        <v>0</v>
      </c>
      <c r="K153" s="166">
        <f t="shared" si="280"/>
        <v>0</v>
      </c>
      <c r="L153" s="166">
        <f t="shared" si="281"/>
        <v>0</v>
      </c>
      <c r="M153" s="166">
        <f t="shared" si="282"/>
        <v>0</v>
      </c>
      <c r="N153" s="166">
        <f t="shared" si="283"/>
        <v>0</v>
      </c>
      <c r="O153" s="166">
        <f t="shared" si="284"/>
        <v>0</v>
      </c>
      <c r="P153" s="166">
        <f t="shared" si="285"/>
        <v>0</v>
      </c>
      <c r="Q153" s="166">
        <f t="shared" si="286"/>
        <v>0</v>
      </c>
      <c r="R153" s="166">
        <f t="shared" si="287"/>
        <v>0</v>
      </c>
      <c r="S153" s="166">
        <f t="shared" si="288"/>
        <v>0</v>
      </c>
      <c r="T153" s="166">
        <f t="shared" si="289"/>
        <v>150</v>
      </c>
      <c r="U153" s="166">
        <f t="shared" si="290"/>
        <v>6</v>
      </c>
      <c r="V153" s="166">
        <f t="shared" si="291"/>
        <v>15</v>
      </c>
      <c r="W153" s="166">
        <f t="shared" si="292"/>
        <v>0</v>
      </c>
      <c r="X153" s="166">
        <f t="shared" si="293"/>
        <v>0</v>
      </c>
      <c r="Y153" s="166">
        <f t="shared" si="294"/>
        <v>0</v>
      </c>
      <c r="Z153" s="166">
        <f t="shared" si="295"/>
        <v>0</v>
      </c>
      <c r="AA153" s="166">
        <f t="shared" si="296"/>
        <v>0</v>
      </c>
      <c r="AB153" s="166">
        <f t="shared" si="297"/>
        <v>0</v>
      </c>
      <c r="AC153" s="166" cm="1">
        <f t="array" ref="AC153">SUMPRODUCT(G153:AB153,$G$4:$AB$4)</f>
        <v>42450</v>
      </c>
      <c r="AD153" s="89" t="b">
        <f t="shared" si="298"/>
        <v>1</v>
      </c>
      <c r="AE153" s="386">
        <f>IFERROR(SUMIF(服务费底表!$K:$K,服务费明细!$B153,服务费底表!$AD:$AD)/E153,0)</f>
        <v>1415</v>
      </c>
      <c r="AF153" s="386">
        <f t="shared" si="299"/>
        <v>42450</v>
      </c>
      <c r="AG153" s="386">
        <f>IFERROR(SUMIF(服务费底表!$K:$K,服务费明细!$B153,服务费底表!$AG:$AG)/E153,0)</f>
        <v>1415</v>
      </c>
      <c r="AH153" s="386">
        <f t="shared" si="300"/>
        <v>42450</v>
      </c>
      <c r="AI153" s="577" t="s">
        <v>1076</v>
      </c>
      <c r="AJ153" s="563">
        <f t="shared" si="301"/>
        <v>5.7</v>
      </c>
      <c r="AK153" s="564">
        <f>SUMIF(服务费底表!$K:$K,服务费明细!$B153,服务费底表!$AC:$AC)</f>
        <v>171</v>
      </c>
      <c r="AL153" s="166">
        <f>SUMIFS(服务费底表!$AC:$AC,服务费底表!$K:$K,服务费明细!$B153,服务费底表!$T:$T,AL$3)</f>
        <v>0</v>
      </c>
      <c r="AM153" s="166">
        <f>SUMIFS(服务费底表!$AC:$AC,服务费底表!$K:$K,服务费明细!$B153,服务费底表!$T:$T,AM$3)</f>
        <v>0</v>
      </c>
      <c r="AN153" s="166">
        <f>SUMIFS(服务费底表!$AC:$AC,服务费底表!$K:$K,服务费明细!$B153,服务费底表!$T:$T,AN$3)</f>
        <v>0</v>
      </c>
      <c r="AO153" s="166">
        <f>SUMIFS(服务费底表!$AC:$AC,服务费底表!$K:$K,服务费明细!$B153,服务费底表!$T:$T,AO$3)</f>
        <v>0</v>
      </c>
      <c r="AP153" s="166">
        <f>SUMIFS(服务费底表!$AC:$AC,服务费底表!$K:$K,服务费明细!$B153,服务费底表!$T:$T,AP$3)</f>
        <v>0</v>
      </c>
      <c r="AQ153" s="166">
        <f>SUMIFS(服务费底表!$AC:$AC,服务费底表!$K:$K,服务费明细!$B153,服务费底表!$T:$T,AQ$3)</f>
        <v>0</v>
      </c>
      <c r="AR153" s="166">
        <f>SUMIFS(服务费底表!$AC:$AC,服务费底表!$K:$K,服务费明细!$B153,服务费底表!$T:$T,AR$3)</f>
        <v>0</v>
      </c>
      <c r="AS153" s="166">
        <f>SUMIFS(服务费底表!$AC:$AC,服务费底表!$K:$K,服务费明细!$B153,服务费底表!$T:$T,AS$3)</f>
        <v>0</v>
      </c>
      <c r="AT153" s="166">
        <f>SUMIFS(服务费底表!$AC:$AC,服务费底表!$K:$K,服务费明细!$B153,服务费底表!$T:$T,AT$3)</f>
        <v>0</v>
      </c>
      <c r="AU153" s="166">
        <f>SUMIFS(服务费底表!$AC:$AC,服务费底表!$K:$K,服务费明细!$B153,服务费底表!$T:$T,AU$3)</f>
        <v>0</v>
      </c>
      <c r="AV153" s="166">
        <f>SUMIFS(服务费底表!$AC:$AC,服务费底表!$K:$K,服务费明细!$B153,服务费底表!$T:$T,AV$3)</f>
        <v>0</v>
      </c>
      <c r="AW153" s="166">
        <f>SUMIFS(服务费底表!$AC:$AC,服务费底表!$K:$K,服务费明细!$B153,服务费底表!$T:$T,AW$3)</f>
        <v>0</v>
      </c>
      <c r="AX153" s="166">
        <f>SUMIFS(服务费底表!$AC:$AC,服务费底表!$K:$K,服务费明细!$B153,服务费底表!$T:$T,AX$3)</f>
        <v>0</v>
      </c>
      <c r="AY153" s="166">
        <f>SUMIFS(服务费底表!$AC:$AC,服务费底表!$K:$K,服务费明细!$B153,服务费底表!$T:$T,AY$3)</f>
        <v>150</v>
      </c>
      <c r="AZ153" s="166">
        <f>SUMIFS(服务费底表!$AC:$AC,服务费底表!$K:$K,服务费明细!$B153,服务费底表!$T:$T,AZ$3)</f>
        <v>6</v>
      </c>
      <c r="BA153" s="166">
        <f>SUMIFS(服务费底表!$AC:$AC,服务费底表!$K:$K,服务费明细!$B153,服务费底表!$T:$T,BA$3)</f>
        <v>15</v>
      </c>
      <c r="BB153" s="166">
        <f>SUMIFS(服务费底表!$AC:$AC,服务费底表!$K:$K,服务费明细!$B153,服务费底表!$T:$T,BB$3)</f>
        <v>0</v>
      </c>
      <c r="BC153" s="166">
        <f>SUMIFS(服务费底表!$AC:$AC,服务费底表!$K:$K,服务费明细!$B153,服务费底表!$T:$T,BC$3)</f>
        <v>0</v>
      </c>
      <c r="BD153" s="166">
        <f>SUMIFS(服务费底表!$AC:$AC,服务费底表!$K:$K,服务费明细!$B153,服务费底表!$T:$T,BD$3)</f>
        <v>0</v>
      </c>
      <c r="BE153" s="166">
        <f>SUMIFS(服务费底表!$AC:$AC,服务费底表!$K:$K,服务费明细!$B153,服务费底表!$T:$T,BE$3)</f>
        <v>0</v>
      </c>
      <c r="BF153" s="166">
        <f>SUMIFS(服务费底表!$AC:$AC,服务费底表!$K:$K,服务费明细!$B153,服务费底表!$T:$T,BF$3)</f>
        <v>0</v>
      </c>
      <c r="BG153" s="166">
        <f>SUMIFS(服务费底表!$AC:$AC,服务费底表!$K:$K,服务费明细!$B153,服务费底表!$T:$T,BG$3)</f>
        <v>0</v>
      </c>
      <c r="BI153" s="388">
        <f>SUMIFS(服务费底表!$AC:$AC,服务费底表!$K:$K,服务费明细!$B153,服务费底表!$H:$H,服务费明细!BI$3)</f>
        <v>0</v>
      </c>
      <c r="BJ153" s="388">
        <f>SUMIFS(服务费底表!$AC:$AC,服务费底表!$K:$K,服务费明细!$B153,服务费底表!$H:$H,服务费明细!BJ$3)</f>
        <v>0</v>
      </c>
      <c r="BK153" s="388">
        <f>SUMIFS(服务费底表!$AC:$AC,服务费底表!$K:$K,服务费明细!$B153,服务费底表!$H:$H,服务费明细!BK$3)</f>
        <v>0</v>
      </c>
      <c r="BL153" s="574">
        <f>SUMIFS(服务费底表!$AC:$AC,服务费底表!$K:$K,服务费明细!$B153,服务费底表!$H:$H,服务费明细!BL$3)</f>
        <v>171</v>
      </c>
      <c r="BM153" s="574">
        <f>SUMIFS(服务费底表!$AC:$AC,服务费底表!$K:$K,服务费明细!$B153,服务费底表!$H:$H,服务费明细!BM$3)</f>
        <v>0</v>
      </c>
      <c r="BN153" s="574">
        <f>SUMIFS(服务费底表!$AC:$AC,服务费底表!$K:$K,服务费明细!$B153,服务费底表!$H:$H,服务费明细!BN$3)</f>
        <v>0</v>
      </c>
      <c r="BO153" s="388">
        <f>SUMIFS(服务费底表!$AC:$AC,服务费底表!$K:$K,服务费明细!$B153,服务费底表!$H:$H,服务费明细!BO$3)</f>
        <v>0</v>
      </c>
      <c r="BQ153" s="389">
        <f>SUMIFS(服务费底表!$AD:$AD,服务费底表!$K:$K,服务费明细!$B153,服务费底表!$H:$H,服务费明细!BQ$3)</f>
        <v>0</v>
      </c>
      <c r="BR153" s="389">
        <f>SUMIFS(服务费底表!$AD:$AD,服务费底表!$K:$K,服务费明细!$B153,服务费底表!$H:$H,服务费明细!BR$3)</f>
        <v>0</v>
      </c>
      <c r="BS153" s="389">
        <f>SUMIFS(服务费底表!$AD:$AD,服务费底表!$K:$K,服务费明细!$B153,服务费底表!$H:$H,服务费明细!BS$3)</f>
        <v>0</v>
      </c>
      <c r="BT153" s="389">
        <f>SUMIFS(服务费底表!$AD:$AD,服务费底表!$K:$K,服务费明细!$B153,服务费底表!$H:$H,服务费明细!BT$3)</f>
        <v>42450</v>
      </c>
      <c r="BU153" s="389">
        <f>SUMIFS(服务费底表!$AD:$AD,服务费底表!$K:$K,服务费明细!$B153,服务费底表!$H:$H,服务费明细!BU$3)</f>
        <v>0</v>
      </c>
      <c r="BV153" s="389">
        <f>SUMIFS(服务费底表!$AD:$AD,服务费底表!$K:$K,服务费明细!$B153,服务费底表!$H:$H,服务费明细!BV$3)</f>
        <v>0</v>
      </c>
      <c r="BW153" s="389">
        <f>SUMIFS(服务费底表!$AD:$AD,服务费底表!$K:$K,服务费明细!$B153,服务费底表!$H:$H,服务费明细!BW$3)</f>
        <v>0</v>
      </c>
    </row>
    <row r="154" spans="2:75">
      <c r="B154" s="89" t="s">
        <v>1077</v>
      </c>
      <c r="C154" s="89" t="str">
        <f>INDEX(二三级标准!$C:$C,MATCH(服务费明细!$B154,二三级标准!$B:$B,0))</f>
        <v>生成统计表格/图表 - Repeat</v>
      </c>
      <c r="D154" s="166">
        <f t="shared" si="302"/>
        <v>1</v>
      </c>
      <c r="E154" s="166">
        <f>IF($D154=1,重复表格+重复图表,0)</f>
        <v>35</v>
      </c>
      <c r="F154" s="89" t="str">
        <f>INDEX(二三级标准!$G:$G,MATCH(服务费明细!$B154,二三级标准!$B:$B,0))</f>
        <v>个</v>
      </c>
      <c r="G154" s="166">
        <f t="shared" si="276"/>
        <v>0</v>
      </c>
      <c r="H154" s="166">
        <f t="shared" si="277"/>
        <v>0</v>
      </c>
      <c r="I154" s="166">
        <f t="shared" si="278"/>
        <v>0</v>
      </c>
      <c r="J154" s="166">
        <f t="shared" si="279"/>
        <v>0</v>
      </c>
      <c r="K154" s="166">
        <f t="shared" si="280"/>
        <v>0</v>
      </c>
      <c r="L154" s="166">
        <f t="shared" si="281"/>
        <v>0</v>
      </c>
      <c r="M154" s="166">
        <f t="shared" si="282"/>
        <v>0</v>
      </c>
      <c r="N154" s="166">
        <f t="shared" si="283"/>
        <v>0</v>
      </c>
      <c r="O154" s="166">
        <f t="shared" si="284"/>
        <v>0</v>
      </c>
      <c r="P154" s="166">
        <f t="shared" si="285"/>
        <v>0</v>
      </c>
      <c r="Q154" s="166">
        <f t="shared" si="286"/>
        <v>0</v>
      </c>
      <c r="R154" s="166">
        <f t="shared" si="287"/>
        <v>0</v>
      </c>
      <c r="S154" s="166">
        <f t="shared" si="288"/>
        <v>0</v>
      </c>
      <c r="T154" s="166">
        <f t="shared" si="289"/>
        <v>28</v>
      </c>
      <c r="U154" s="166">
        <f t="shared" si="290"/>
        <v>3.5</v>
      </c>
      <c r="V154" s="166">
        <f t="shared" si="291"/>
        <v>3.5</v>
      </c>
      <c r="W154" s="166">
        <f t="shared" si="292"/>
        <v>0</v>
      </c>
      <c r="X154" s="166">
        <f t="shared" si="293"/>
        <v>0</v>
      </c>
      <c r="Y154" s="166">
        <f t="shared" si="294"/>
        <v>0</v>
      </c>
      <c r="Z154" s="166">
        <f t="shared" si="295"/>
        <v>0</v>
      </c>
      <c r="AA154" s="166">
        <f t="shared" si="296"/>
        <v>0</v>
      </c>
      <c r="AB154" s="166">
        <f t="shared" si="297"/>
        <v>0</v>
      </c>
      <c r="AC154" s="166" cm="1">
        <f t="array" ref="AC154">SUMPRODUCT(G154:AB154,$G$4:$AB$4)</f>
        <v>9275</v>
      </c>
      <c r="AD154" s="89" t="b">
        <f t="shared" si="298"/>
        <v>1</v>
      </c>
      <c r="AE154" s="386">
        <f>IFERROR(SUMIF(服务费底表!$K:$K,服务费明细!$B154,服务费底表!$AD:$AD)/E154,0)</f>
        <v>265</v>
      </c>
      <c r="AF154" s="386">
        <f t="shared" si="299"/>
        <v>9275</v>
      </c>
      <c r="AG154" s="386">
        <f>IFERROR(SUMIF(服务费底表!$K:$K,服务费明细!$B154,服务费底表!$AG:$AG)/E154,0)</f>
        <v>265</v>
      </c>
      <c r="AH154" s="386">
        <f t="shared" si="300"/>
        <v>9275</v>
      </c>
      <c r="AI154" s="577" t="s">
        <v>1076</v>
      </c>
      <c r="AJ154" s="563">
        <f t="shared" si="301"/>
        <v>1</v>
      </c>
      <c r="AK154" s="564">
        <f>SUMIF(服务费底表!$K:$K,服务费明细!$B154,服务费底表!$AC:$AC)</f>
        <v>35</v>
      </c>
      <c r="AL154" s="166">
        <f>SUMIFS(服务费底表!$AC:$AC,服务费底表!$K:$K,服务费明细!$B154,服务费底表!$T:$T,AL$3)</f>
        <v>0</v>
      </c>
      <c r="AM154" s="166">
        <f>SUMIFS(服务费底表!$AC:$AC,服务费底表!$K:$K,服务费明细!$B154,服务费底表!$T:$T,AM$3)</f>
        <v>0</v>
      </c>
      <c r="AN154" s="166">
        <f>SUMIFS(服务费底表!$AC:$AC,服务费底表!$K:$K,服务费明细!$B154,服务费底表!$T:$T,AN$3)</f>
        <v>0</v>
      </c>
      <c r="AO154" s="166">
        <f>SUMIFS(服务费底表!$AC:$AC,服务费底表!$K:$K,服务费明细!$B154,服务费底表!$T:$T,AO$3)</f>
        <v>0</v>
      </c>
      <c r="AP154" s="166">
        <f>SUMIFS(服务费底表!$AC:$AC,服务费底表!$K:$K,服务费明细!$B154,服务费底表!$T:$T,AP$3)</f>
        <v>0</v>
      </c>
      <c r="AQ154" s="166">
        <f>SUMIFS(服务费底表!$AC:$AC,服务费底表!$K:$K,服务费明细!$B154,服务费底表!$T:$T,AQ$3)</f>
        <v>0</v>
      </c>
      <c r="AR154" s="166">
        <f>SUMIFS(服务费底表!$AC:$AC,服务费底表!$K:$K,服务费明细!$B154,服务费底表!$T:$T,AR$3)</f>
        <v>0</v>
      </c>
      <c r="AS154" s="166">
        <f>SUMIFS(服务费底表!$AC:$AC,服务费底表!$K:$K,服务费明细!$B154,服务费底表!$T:$T,AS$3)</f>
        <v>0</v>
      </c>
      <c r="AT154" s="166">
        <f>SUMIFS(服务费底表!$AC:$AC,服务费底表!$K:$K,服务费明细!$B154,服务费底表!$T:$T,AT$3)</f>
        <v>0</v>
      </c>
      <c r="AU154" s="166">
        <f>SUMIFS(服务费底表!$AC:$AC,服务费底表!$K:$K,服务费明细!$B154,服务费底表!$T:$T,AU$3)</f>
        <v>0</v>
      </c>
      <c r="AV154" s="166">
        <f>SUMIFS(服务费底表!$AC:$AC,服务费底表!$K:$K,服务费明细!$B154,服务费底表!$T:$T,AV$3)</f>
        <v>0</v>
      </c>
      <c r="AW154" s="166">
        <f>SUMIFS(服务费底表!$AC:$AC,服务费底表!$K:$K,服务费明细!$B154,服务费底表!$T:$T,AW$3)</f>
        <v>0</v>
      </c>
      <c r="AX154" s="166">
        <f>SUMIFS(服务费底表!$AC:$AC,服务费底表!$K:$K,服务费明细!$B154,服务费底表!$T:$T,AX$3)</f>
        <v>0</v>
      </c>
      <c r="AY154" s="166">
        <f>SUMIFS(服务费底表!$AC:$AC,服务费底表!$K:$K,服务费明细!$B154,服务费底表!$T:$T,AY$3)</f>
        <v>28</v>
      </c>
      <c r="AZ154" s="166">
        <f>SUMIFS(服务费底表!$AC:$AC,服务费底表!$K:$K,服务费明细!$B154,服务费底表!$T:$T,AZ$3)</f>
        <v>3.5</v>
      </c>
      <c r="BA154" s="166">
        <f>SUMIFS(服务费底表!$AC:$AC,服务费底表!$K:$K,服务费明细!$B154,服务费底表!$T:$T,BA$3)</f>
        <v>3.5</v>
      </c>
      <c r="BB154" s="166">
        <f>SUMIFS(服务费底表!$AC:$AC,服务费底表!$K:$K,服务费明细!$B154,服务费底表!$T:$T,BB$3)</f>
        <v>0</v>
      </c>
      <c r="BC154" s="166">
        <f>SUMIFS(服务费底表!$AC:$AC,服务费底表!$K:$K,服务费明细!$B154,服务费底表!$T:$T,BC$3)</f>
        <v>0</v>
      </c>
      <c r="BD154" s="166">
        <f>SUMIFS(服务费底表!$AC:$AC,服务费底表!$K:$K,服务费明细!$B154,服务费底表!$T:$T,BD$3)</f>
        <v>0</v>
      </c>
      <c r="BE154" s="166">
        <f>SUMIFS(服务费底表!$AC:$AC,服务费底表!$K:$K,服务费明细!$B154,服务费底表!$T:$T,BE$3)</f>
        <v>0</v>
      </c>
      <c r="BF154" s="166">
        <f>SUMIFS(服务费底表!$AC:$AC,服务费底表!$K:$K,服务费明细!$B154,服务费底表!$T:$T,BF$3)</f>
        <v>0</v>
      </c>
      <c r="BG154" s="166">
        <f>SUMIFS(服务费底表!$AC:$AC,服务费底表!$K:$K,服务费明细!$B154,服务费底表!$T:$T,BG$3)</f>
        <v>0</v>
      </c>
      <c r="BI154" s="388">
        <f>SUMIFS(服务费底表!$AC:$AC,服务费底表!$K:$K,服务费明细!$B154,服务费底表!$H:$H,服务费明细!BI$3)</f>
        <v>0</v>
      </c>
      <c r="BJ154" s="388">
        <f>SUMIFS(服务费底表!$AC:$AC,服务费底表!$K:$K,服务费明细!$B154,服务费底表!$H:$H,服务费明细!BJ$3)</f>
        <v>0</v>
      </c>
      <c r="BK154" s="388">
        <f>SUMIFS(服务费底表!$AC:$AC,服务费底表!$K:$K,服务费明细!$B154,服务费底表!$H:$H,服务费明细!BK$3)</f>
        <v>0</v>
      </c>
      <c r="BL154" s="574">
        <f>SUMIFS(服务费底表!$AC:$AC,服务费底表!$K:$K,服务费明细!$B154,服务费底表!$H:$H,服务费明细!BL$3)</f>
        <v>35</v>
      </c>
      <c r="BM154" s="574">
        <f>SUMIFS(服务费底表!$AC:$AC,服务费底表!$K:$K,服务费明细!$B154,服务费底表!$H:$H,服务费明细!BM$3)</f>
        <v>0</v>
      </c>
      <c r="BN154" s="574">
        <f>SUMIFS(服务费底表!$AC:$AC,服务费底表!$K:$K,服务费明细!$B154,服务费底表!$H:$H,服务费明细!BN$3)</f>
        <v>0</v>
      </c>
      <c r="BO154" s="388">
        <f>SUMIFS(服务费底表!$AC:$AC,服务费底表!$K:$K,服务费明细!$B154,服务费底表!$H:$H,服务费明细!BO$3)</f>
        <v>0</v>
      </c>
      <c r="BQ154" s="389">
        <f>SUMIFS(服务费底表!$AD:$AD,服务费底表!$K:$K,服务费明细!$B154,服务费底表!$H:$H,服务费明细!BQ$3)</f>
        <v>0</v>
      </c>
      <c r="BR154" s="389">
        <f>SUMIFS(服务费底表!$AD:$AD,服务费底表!$K:$K,服务费明细!$B154,服务费底表!$H:$H,服务费明细!BR$3)</f>
        <v>0</v>
      </c>
      <c r="BS154" s="389">
        <f>SUMIFS(服务费底表!$AD:$AD,服务费底表!$K:$K,服务费明细!$B154,服务费底表!$H:$H,服务费明细!BS$3)</f>
        <v>0</v>
      </c>
      <c r="BT154" s="389">
        <f>SUMIFS(服务费底表!$AD:$AD,服务费底表!$K:$K,服务费明细!$B154,服务费底表!$H:$H,服务费明细!BT$3)</f>
        <v>9275</v>
      </c>
      <c r="BU154" s="389">
        <f>SUMIFS(服务费底表!$AD:$AD,服务费底表!$K:$K,服务费明细!$B154,服务费底表!$H:$H,服务费明细!BU$3)</f>
        <v>0</v>
      </c>
      <c r="BV154" s="389">
        <f>SUMIFS(服务费底表!$AD:$AD,服务费底表!$K:$K,服务费明细!$B154,服务费底表!$H:$H,服务费明细!BV$3)</f>
        <v>0</v>
      </c>
      <c r="BW154" s="389">
        <f>SUMIFS(服务费底表!$AD:$AD,服务费底表!$K:$K,服务费明细!$B154,服务费底表!$H:$H,服务费明细!BW$3)</f>
        <v>0</v>
      </c>
    </row>
    <row r="155" spans="2:75">
      <c r="B155" s="89" t="s">
        <v>1078</v>
      </c>
      <c r="C155" s="89" t="str">
        <f>INDEX(二三级标准!$C:$C,MATCH(服务费明细!$B155,二三级标准!$B:$B,0))</f>
        <v>生成统计列表 - Listings</v>
      </c>
      <c r="D155" s="166">
        <f t="shared" si="302"/>
        <v>1</v>
      </c>
      <c r="E155" s="166">
        <f>IF($D155=1,列表,0)</f>
        <v>40</v>
      </c>
      <c r="F155" s="89" t="str">
        <f>INDEX(二三级标准!$G:$G,MATCH(服务费明细!$B155,二三级标准!$B:$B,0))</f>
        <v>个</v>
      </c>
      <c r="G155" s="166">
        <f t="shared" si="276"/>
        <v>0</v>
      </c>
      <c r="H155" s="166">
        <f t="shared" si="277"/>
        <v>0</v>
      </c>
      <c r="I155" s="166">
        <f t="shared" si="278"/>
        <v>0</v>
      </c>
      <c r="J155" s="166">
        <f t="shared" si="279"/>
        <v>0</v>
      </c>
      <c r="K155" s="166">
        <f t="shared" si="280"/>
        <v>0</v>
      </c>
      <c r="L155" s="166">
        <f t="shared" si="281"/>
        <v>0</v>
      </c>
      <c r="M155" s="166">
        <f t="shared" si="282"/>
        <v>0</v>
      </c>
      <c r="N155" s="166">
        <f t="shared" si="283"/>
        <v>0</v>
      </c>
      <c r="O155" s="166">
        <f t="shared" si="284"/>
        <v>0</v>
      </c>
      <c r="P155" s="166">
        <f t="shared" si="285"/>
        <v>0</v>
      </c>
      <c r="Q155" s="166">
        <f t="shared" si="286"/>
        <v>0</v>
      </c>
      <c r="R155" s="166">
        <f t="shared" si="287"/>
        <v>0</v>
      </c>
      <c r="S155" s="166">
        <f t="shared" si="288"/>
        <v>0</v>
      </c>
      <c r="T155" s="166">
        <f t="shared" si="289"/>
        <v>40</v>
      </c>
      <c r="U155" s="166">
        <f t="shared" si="290"/>
        <v>4</v>
      </c>
      <c r="V155" s="166">
        <f t="shared" si="291"/>
        <v>4</v>
      </c>
      <c r="W155" s="166">
        <f t="shared" si="292"/>
        <v>0</v>
      </c>
      <c r="X155" s="166">
        <f t="shared" si="293"/>
        <v>0</v>
      </c>
      <c r="Y155" s="166">
        <f t="shared" si="294"/>
        <v>0</v>
      </c>
      <c r="Z155" s="166">
        <f t="shared" si="295"/>
        <v>0</v>
      </c>
      <c r="AA155" s="166">
        <f t="shared" si="296"/>
        <v>0</v>
      </c>
      <c r="AB155" s="166">
        <f t="shared" si="297"/>
        <v>0</v>
      </c>
      <c r="AC155" s="166" cm="1">
        <f t="array" ref="AC155">SUMPRODUCT(G155:AB155,$G$4:$AB$4)</f>
        <v>12400</v>
      </c>
      <c r="AD155" s="89" t="b">
        <f t="shared" si="298"/>
        <v>1</v>
      </c>
      <c r="AE155" s="386">
        <f>IFERROR(SUMIF(服务费底表!$K:$K,服务费明细!$B155,服务费底表!$AD:$AD)/E155,0)</f>
        <v>310</v>
      </c>
      <c r="AF155" s="386">
        <f t="shared" si="299"/>
        <v>12400</v>
      </c>
      <c r="AG155" s="386">
        <f>IFERROR(SUMIF(服务费底表!$K:$K,服务费明细!$B155,服务费底表!$AG:$AG)/E155,0)</f>
        <v>310</v>
      </c>
      <c r="AH155" s="386">
        <f t="shared" si="300"/>
        <v>12400</v>
      </c>
      <c r="AI155" s="577" t="s">
        <v>1076</v>
      </c>
      <c r="AJ155" s="563">
        <f t="shared" si="301"/>
        <v>1.2</v>
      </c>
      <c r="AK155" s="564">
        <f>SUMIF(服务费底表!$K:$K,服务费明细!$B155,服务费底表!$AC:$AC)</f>
        <v>48</v>
      </c>
      <c r="AL155" s="166">
        <f>SUMIFS(服务费底表!$AC:$AC,服务费底表!$K:$K,服务费明细!$B155,服务费底表!$T:$T,AL$3)</f>
        <v>0</v>
      </c>
      <c r="AM155" s="166">
        <f>SUMIFS(服务费底表!$AC:$AC,服务费底表!$K:$K,服务费明细!$B155,服务费底表!$T:$T,AM$3)</f>
        <v>0</v>
      </c>
      <c r="AN155" s="166">
        <f>SUMIFS(服务费底表!$AC:$AC,服务费底表!$K:$K,服务费明细!$B155,服务费底表!$T:$T,AN$3)</f>
        <v>0</v>
      </c>
      <c r="AO155" s="166">
        <f>SUMIFS(服务费底表!$AC:$AC,服务费底表!$K:$K,服务费明细!$B155,服务费底表!$T:$T,AO$3)</f>
        <v>0</v>
      </c>
      <c r="AP155" s="166">
        <f>SUMIFS(服务费底表!$AC:$AC,服务费底表!$K:$K,服务费明细!$B155,服务费底表!$T:$T,AP$3)</f>
        <v>0</v>
      </c>
      <c r="AQ155" s="166">
        <f>SUMIFS(服务费底表!$AC:$AC,服务费底表!$K:$K,服务费明细!$B155,服务费底表!$T:$T,AQ$3)</f>
        <v>0</v>
      </c>
      <c r="AR155" s="166">
        <f>SUMIFS(服务费底表!$AC:$AC,服务费底表!$K:$K,服务费明细!$B155,服务费底表!$T:$T,AR$3)</f>
        <v>0</v>
      </c>
      <c r="AS155" s="166">
        <f>SUMIFS(服务费底表!$AC:$AC,服务费底表!$K:$K,服务费明细!$B155,服务费底表!$T:$T,AS$3)</f>
        <v>0</v>
      </c>
      <c r="AT155" s="166">
        <f>SUMIFS(服务费底表!$AC:$AC,服务费底表!$K:$K,服务费明细!$B155,服务费底表!$T:$T,AT$3)</f>
        <v>0</v>
      </c>
      <c r="AU155" s="166">
        <f>SUMIFS(服务费底表!$AC:$AC,服务费底表!$K:$K,服务费明细!$B155,服务费底表!$T:$T,AU$3)</f>
        <v>0</v>
      </c>
      <c r="AV155" s="166">
        <f>SUMIFS(服务费底表!$AC:$AC,服务费底表!$K:$K,服务费明细!$B155,服务费底表!$T:$T,AV$3)</f>
        <v>0</v>
      </c>
      <c r="AW155" s="166">
        <f>SUMIFS(服务费底表!$AC:$AC,服务费底表!$K:$K,服务费明细!$B155,服务费底表!$T:$T,AW$3)</f>
        <v>0</v>
      </c>
      <c r="AX155" s="166">
        <f>SUMIFS(服务费底表!$AC:$AC,服务费底表!$K:$K,服务费明细!$B155,服务费底表!$T:$T,AX$3)</f>
        <v>0</v>
      </c>
      <c r="AY155" s="166">
        <f>SUMIFS(服务费底表!$AC:$AC,服务费底表!$K:$K,服务费明细!$B155,服务费底表!$T:$T,AY$3)</f>
        <v>40</v>
      </c>
      <c r="AZ155" s="166">
        <f>SUMIFS(服务费底表!$AC:$AC,服务费底表!$K:$K,服务费明细!$B155,服务费底表!$T:$T,AZ$3)</f>
        <v>4</v>
      </c>
      <c r="BA155" s="166">
        <f>SUMIFS(服务费底表!$AC:$AC,服务费底表!$K:$K,服务费明细!$B155,服务费底表!$T:$T,BA$3)</f>
        <v>4</v>
      </c>
      <c r="BB155" s="166">
        <f>SUMIFS(服务费底表!$AC:$AC,服务费底表!$K:$K,服务费明细!$B155,服务费底表!$T:$T,BB$3)</f>
        <v>0</v>
      </c>
      <c r="BC155" s="166">
        <f>SUMIFS(服务费底表!$AC:$AC,服务费底表!$K:$K,服务费明细!$B155,服务费底表!$T:$T,BC$3)</f>
        <v>0</v>
      </c>
      <c r="BD155" s="166">
        <f>SUMIFS(服务费底表!$AC:$AC,服务费底表!$K:$K,服务费明细!$B155,服务费底表!$T:$T,BD$3)</f>
        <v>0</v>
      </c>
      <c r="BE155" s="166">
        <f>SUMIFS(服务费底表!$AC:$AC,服务费底表!$K:$K,服务费明细!$B155,服务费底表!$T:$T,BE$3)</f>
        <v>0</v>
      </c>
      <c r="BF155" s="166">
        <f>SUMIFS(服务费底表!$AC:$AC,服务费底表!$K:$K,服务费明细!$B155,服务费底表!$T:$T,BF$3)</f>
        <v>0</v>
      </c>
      <c r="BG155" s="166">
        <f>SUMIFS(服务费底表!$AC:$AC,服务费底表!$K:$K,服务费明细!$B155,服务费底表!$T:$T,BG$3)</f>
        <v>0</v>
      </c>
      <c r="BI155" s="388">
        <f>SUMIFS(服务费底表!$AC:$AC,服务费底表!$K:$K,服务费明细!$B155,服务费底表!$H:$H,服务费明细!BI$3)</f>
        <v>0</v>
      </c>
      <c r="BJ155" s="388">
        <f>SUMIFS(服务费底表!$AC:$AC,服务费底表!$K:$K,服务费明细!$B155,服务费底表!$H:$H,服务费明细!BJ$3)</f>
        <v>0</v>
      </c>
      <c r="BK155" s="388">
        <f>SUMIFS(服务费底表!$AC:$AC,服务费底表!$K:$K,服务费明细!$B155,服务费底表!$H:$H,服务费明细!BK$3)</f>
        <v>0</v>
      </c>
      <c r="BL155" s="574">
        <f>SUMIFS(服务费底表!$AC:$AC,服务费底表!$K:$K,服务费明细!$B155,服务费底表!$H:$H,服务费明细!BL$3)</f>
        <v>48</v>
      </c>
      <c r="BM155" s="574">
        <f>SUMIFS(服务费底表!$AC:$AC,服务费底表!$K:$K,服务费明细!$B155,服务费底表!$H:$H,服务费明细!BM$3)</f>
        <v>0</v>
      </c>
      <c r="BN155" s="574">
        <f>SUMIFS(服务费底表!$AC:$AC,服务费底表!$K:$K,服务费明细!$B155,服务费底表!$H:$H,服务费明细!BN$3)</f>
        <v>0</v>
      </c>
      <c r="BO155" s="388">
        <f>SUMIFS(服务费底表!$AC:$AC,服务费底表!$K:$K,服务费明细!$B155,服务费底表!$H:$H,服务费明细!BO$3)</f>
        <v>0</v>
      </c>
      <c r="BQ155" s="389">
        <f>SUMIFS(服务费底表!$AD:$AD,服务费底表!$K:$K,服务费明细!$B155,服务费底表!$H:$H,服务费明细!BQ$3)</f>
        <v>0</v>
      </c>
      <c r="BR155" s="389">
        <f>SUMIFS(服务费底表!$AD:$AD,服务费底表!$K:$K,服务费明细!$B155,服务费底表!$H:$H,服务费明细!BR$3)</f>
        <v>0</v>
      </c>
      <c r="BS155" s="389">
        <f>SUMIFS(服务费底表!$AD:$AD,服务费底表!$K:$K,服务费明细!$B155,服务费底表!$H:$H,服务费明细!BS$3)</f>
        <v>0</v>
      </c>
      <c r="BT155" s="389">
        <f>SUMIFS(服务费底表!$AD:$AD,服务费底表!$K:$K,服务费明细!$B155,服务费底表!$H:$H,服务费明细!BT$3)</f>
        <v>12400</v>
      </c>
      <c r="BU155" s="389">
        <f>SUMIFS(服务费底表!$AD:$AD,服务费底表!$K:$K,服务费明细!$B155,服务费底表!$H:$H,服务费明细!BU$3)</f>
        <v>0</v>
      </c>
      <c r="BV155" s="389">
        <f>SUMIFS(服务费底表!$AD:$AD,服务费底表!$K:$K,服务费明细!$B155,服务费底表!$H:$H,服务费明细!BV$3)</f>
        <v>0</v>
      </c>
      <c r="BW155" s="389">
        <f>SUMIFS(服务费底表!$AD:$AD,服务费底表!$K:$K,服务费明细!$B155,服务费底表!$H:$H,服务费明细!BW$3)</f>
        <v>0</v>
      </c>
    </row>
    <row r="156" spans="2:75">
      <c r="B156" s="89" t="s">
        <v>335</v>
      </c>
      <c r="C156" s="89" t="str">
        <f>INDEX(二三级标准!$C:$C,MATCH(服务费明细!$B156,二三级标准!$B:$B,0))</f>
        <v>Dry Run</v>
      </c>
      <c r="D156" s="166">
        <f>IF(OR(Dry_Run次数=0,D143=0),0,1)</f>
        <v>1</v>
      </c>
      <c r="E156" s="166">
        <f>IF($D156=1,Dry_Run次数,0)</f>
        <v>1</v>
      </c>
      <c r="F156" s="89" t="str">
        <f>INDEX(二三级标准!$G:$G,MATCH(服务费明细!$B156,二三级标准!$B:$B,0))</f>
        <v>次</v>
      </c>
      <c r="G156" s="166">
        <f t="shared" si="276"/>
        <v>0</v>
      </c>
      <c r="H156" s="166">
        <f t="shared" si="277"/>
        <v>0</v>
      </c>
      <c r="I156" s="166">
        <f t="shared" si="278"/>
        <v>0</v>
      </c>
      <c r="J156" s="166">
        <f t="shared" si="279"/>
        <v>0</v>
      </c>
      <c r="K156" s="166">
        <f t="shared" si="280"/>
        <v>0</v>
      </c>
      <c r="L156" s="166">
        <f t="shared" si="281"/>
        <v>0</v>
      </c>
      <c r="M156" s="166">
        <f t="shared" si="282"/>
        <v>4</v>
      </c>
      <c r="N156" s="166">
        <f t="shared" si="283"/>
        <v>0</v>
      </c>
      <c r="O156" s="166">
        <f t="shared" si="284"/>
        <v>0</v>
      </c>
      <c r="P156" s="166">
        <f t="shared" si="285"/>
        <v>0</v>
      </c>
      <c r="Q156" s="166">
        <f t="shared" si="286"/>
        <v>0</v>
      </c>
      <c r="R156" s="166">
        <f t="shared" si="287"/>
        <v>0</v>
      </c>
      <c r="S156" s="166">
        <f t="shared" si="288"/>
        <v>0</v>
      </c>
      <c r="T156" s="166">
        <f t="shared" si="289"/>
        <v>46</v>
      </c>
      <c r="U156" s="166">
        <f t="shared" si="290"/>
        <v>4</v>
      </c>
      <c r="V156" s="166">
        <f t="shared" si="291"/>
        <v>17</v>
      </c>
      <c r="W156" s="166">
        <f t="shared" si="292"/>
        <v>0</v>
      </c>
      <c r="X156" s="166">
        <f t="shared" si="293"/>
        <v>0</v>
      </c>
      <c r="Y156" s="166">
        <f t="shared" si="294"/>
        <v>8</v>
      </c>
      <c r="Z156" s="166">
        <f t="shared" si="295"/>
        <v>0</v>
      </c>
      <c r="AA156" s="166">
        <f t="shared" si="296"/>
        <v>0</v>
      </c>
      <c r="AB156" s="166">
        <f t="shared" si="297"/>
        <v>0</v>
      </c>
      <c r="AC156" s="166" cm="1">
        <f t="array" ref="AC156">SUMPRODUCT(G156:AB156,$G$4:$AB$4)</f>
        <v>27150</v>
      </c>
      <c r="AD156" s="89" t="b">
        <f t="shared" si="298"/>
        <v>1</v>
      </c>
      <c r="AE156" s="386">
        <f>IFERROR(SUMIF(服务费底表!$K:$K,服务费明细!$B156,服务费底表!$AD:$AD)/E156,0)</f>
        <v>27150</v>
      </c>
      <c r="AF156" s="386">
        <f t="shared" si="299"/>
        <v>27150</v>
      </c>
      <c r="AG156" s="386">
        <f>IFERROR(SUMIF(服务费底表!$K:$K,服务费明细!$B156,服务费底表!$AG:$AG)/E156,0)</f>
        <v>27150</v>
      </c>
      <c r="AH156" s="386">
        <f t="shared" si="300"/>
        <v>27150</v>
      </c>
      <c r="AI156" s="577"/>
      <c r="AJ156" s="563">
        <f t="shared" si="301"/>
        <v>79</v>
      </c>
      <c r="AK156" s="564">
        <f>SUMIF(服务费底表!$K:$K,服务费明细!$B156,服务费底表!$AC:$AC)</f>
        <v>79</v>
      </c>
      <c r="AL156" s="166">
        <f>SUMIFS(服务费底表!$AC:$AC,服务费底表!$K:$K,服务费明细!$B156,服务费底表!$T:$T,AL$3)</f>
        <v>0</v>
      </c>
      <c r="AM156" s="166">
        <f>SUMIFS(服务费底表!$AC:$AC,服务费底表!$K:$K,服务费明细!$B156,服务费底表!$T:$T,AM$3)</f>
        <v>0</v>
      </c>
      <c r="AN156" s="166">
        <f>SUMIFS(服务费底表!$AC:$AC,服务费底表!$K:$K,服务费明细!$B156,服务费底表!$T:$T,AN$3)</f>
        <v>0</v>
      </c>
      <c r="AO156" s="166">
        <f>SUMIFS(服务费底表!$AC:$AC,服务费底表!$K:$K,服务费明细!$B156,服务费底表!$T:$T,AO$3)</f>
        <v>0</v>
      </c>
      <c r="AP156" s="166">
        <f>SUMIFS(服务费底表!$AC:$AC,服务费底表!$K:$K,服务费明细!$B156,服务费底表!$T:$T,AP$3)</f>
        <v>0</v>
      </c>
      <c r="AQ156" s="166">
        <f>SUMIFS(服务费底表!$AC:$AC,服务费底表!$K:$K,服务费明细!$B156,服务费底表!$T:$T,AQ$3)</f>
        <v>0</v>
      </c>
      <c r="AR156" s="166">
        <f>SUMIFS(服务费底表!$AC:$AC,服务费底表!$K:$K,服务费明细!$B156,服务费底表!$T:$T,AR$3)</f>
        <v>4</v>
      </c>
      <c r="AS156" s="166">
        <f>SUMIFS(服务费底表!$AC:$AC,服务费底表!$K:$K,服务费明细!$B156,服务费底表!$T:$T,AS$3)</f>
        <v>0</v>
      </c>
      <c r="AT156" s="166">
        <f>SUMIFS(服务费底表!$AC:$AC,服务费底表!$K:$K,服务费明细!$B156,服务费底表!$T:$T,AT$3)</f>
        <v>0</v>
      </c>
      <c r="AU156" s="166">
        <f>SUMIFS(服务费底表!$AC:$AC,服务费底表!$K:$K,服务费明细!$B156,服务费底表!$T:$T,AU$3)</f>
        <v>0</v>
      </c>
      <c r="AV156" s="166">
        <f>SUMIFS(服务费底表!$AC:$AC,服务费底表!$K:$K,服务费明细!$B156,服务费底表!$T:$T,AV$3)</f>
        <v>0</v>
      </c>
      <c r="AW156" s="166">
        <f>SUMIFS(服务费底表!$AC:$AC,服务费底表!$K:$K,服务费明细!$B156,服务费底表!$T:$T,AW$3)</f>
        <v>0</v>
      </c>
      <c r="AX156" s="166">
        <f>SUMIFS(服务费底表!$AC:$AC,服务费底表!$K:$K,服务费明细!$B156,服务费底表!$T:$T,AX$3)</f>
        <v>0</v>
      </c>
      <c r="AY156" s="166">
        <f>SUMIFS(服务费底表!$AC:$AC,服务费底表!$K:$K,服务费明细!$B156,服务费底表!$T:$T,AY$3)</f>
        <v>46</v>
      </c>
      <c r="AZ156" s="166">
        <f>SUMIFS(服务费底表!$AC:$AC,服务费底表!$K:$K,服务费明细!$B156,服务费底表!$T:$T,AZ$3)</f>
        <v>4</v>
      </c>
      <c r="BA156" s="166">
        <f>SUMIFS(服务费底表!$AC:$AC,服务费底表!$K:$K,服务费明细!$B156,服务费底表!$T:$T,BA$3)</f>
        <v>17</v>
      </c>
      <c r="BB156" s="166">
        <f>SUMIFS(服务费底表!$AC:$AC,服务费底表!$K:$K,服务费明细!$B156,服务费底表!$T:$T,BB$3)</f>
        <v>0</v>
      </c>
      <c r="BC156" s="166">
        <f>SUMIFS(服务费底表!$AC:$AC,服务费底表!$K:$K,服务费明细!$B156,服务费底表!$T:$T,BC$3)</f>
        <v>0</v>
      </c>
      <c r="BD156" s="166">
        <f>SUMIFS(服务费底表!$AC:$AC,服务费底表!$K:$K,服务费明细!$B156,服务费底表!$T:$T,BD$3)</f>
        <v>8</v>
      </c>
      <c r="BE156" s="166">
        <f>SUMIFS(服务费底表!$AC:$AC,服务费底表!$K:$K,服务费明细!$B156,服务费底表!$T:$T,BE$3)</f>
        <v>0</v>
      </c>
      <c r="BF156" s="166">
        <f>SUMIFS(服务费底表!$AC:$AC,服务费底表!$K:$K,服务费明细!$B156,服务费底表!$T:$T,BF$3)</f>
        <v>0</v>
      </c>
      <c r="BG156" s="166">
        <f>SUMIFS(服务费底表!$AC:$AC,服务费底表!$K:$K,服务费明细!$B156,服务费底表!$T:$T,BG$3)</f>
        <v>0</v>
      </c>
      <c r="BI156" s="388">
        <f>SUMIFS(服务费底表!$AC:$AC,服务费底表!$K:$K,服务费明细!$B156,服务费底表!$H:$H,服务费明细!BI$3)</f>
        <v>4</v>
      </c>
      <c r="BJ156" s="388">
        <f>SUMIFS(服务费底表!$AC:$AC,服务费底表!$K:$K,服务费明细!$B156,服务费底表!$H:$H,服务费明细!BJ$3)</f>
        <v>0</v>
      </c>
      <c r="BK156" s="388">
        <f>SUMIFS(服务费底表!$AC:$AC,服务费底表!$K:$K,服务费明细!$B156,服务费底表!$H:$H,服务费明细!BK$3)</f>
        <v>0</v>
      </c>
      <c r="BL156" s="388">
        <f>SUMIFS(服务费底表!$AC:$AC,服务费底表!$K:$K,服务费明细!$B156,服务费底表!$H:$H,服务费明细!BL$3)</f>
        <v>67</v>
      </c>
      <c r="BM156" s="388">
        <f>SUMIFS(服务费底表!$AC:$AC,服务费底表!$K:$K,服务费明细!$B156,服务费底表!$H:$H,服务费明细!BM$3)</f>
        <v>0</v>
      </c>
      <c r="BN156" s="388">
        <f>SUMIFS(服务费底表!$AC:$AC,服务费底表!$K:$K,服务费明细!$B156,服务费底表!$H:$H,服务费明细!BN$3)</f>
        <v>8</v>
      </c>
      <c r="BO156" s="388">
        <f>SUMIFS(服务费底表!$AC:$AC,服务费底表!$K:$K,服务费明细!$B156,服务费底表!$H:$H,服务费明细!BO$3)</f>
        <v>0</v>
      </c>
      <c r="BQ156" s="389">
        <f>SUMIFS(服务费底表!$AD:$AD,服务费底表!$K:$K,服务费明细!$B156,服务费底表!$H:$H,服务费明细!BQ$3)</f>
        <v>2600</v>
      </c>
      <c r="BR156" s="389">
        <f>SUMIFS(服务费底表!$AD:$AD,服务费底表!$K:$K,服务费明细!$B156,服务费底表!$H:$H,服务费明细!BR$3)</f>
        <v>0</v>
      </c>
      <c r="BS156" s="389">
        <f>SUMIFS(服务费底表!$AD:$AD,服务费底表!$K:$K,服务费明细!$B156,服务费底表!$H:$H,服务费明细!BS$3)</f>
        <v>0</v>
      </c>
      <c r="BT156" s="389">
        <f>SUMIFS(服务费底表!$AD:$AD,服务费底表!$K:$K,服务费明细!$B156,服务费底表!$H:$H,服务费明细!BT$3)</f>
        <v>18950</v>
      </c>
      <c r="BU156" s="389">
        <f>SUMIFS(服务费底表!$AD:$AD,服务费底表!$K:$K,服务费明细!$B156,服务费底表!$H:$H,服务费明细!BU$3)</f>
        <v>0</v>
      </c>
      <c r="BV156" s="389">
        <f>SUMIFS(服务费底表!$AD:$AD,服务费底表!$K:$K,服务费明细!$B156,服务费底表!$H:$H,服务费明细!BV$3)</f>
        <v>5600</v>
      </c>
      <c r="BW156" s="389">
        <f>SUMIFS(服务费底表!$AD:$AD,服务费底表!$K:$K,服务费明细!$B156,服务费底表!$H:$H,服务费明细!BW$3)</f>
        <v>0</v>
      </c>
    </row>
    <row r="157" ht="26.4" spans="2:75">
      <c r="B157" s="89" t="s">
        <v>337</v>
      </c>
      <c r="C157" s="89" t="str">
        <f>INDEX(二三级标准!$C:$C,MATCH(服务费明细!$B157,二三级标准!$B:$B,0))</f>
        <v>期中分析</v>
      </c>
      <c r="D157" s="166">
        <f>IF(AND($D$143=1,期中分析次数&gt;0),1,0)</f>
        <v>0</v>
      </c>
      <c r="E157" s="166">
        <f>IF($D157=1,期中分析次数,0)</f>
        <v>0</v>
      </c>
      <c r="F157" s="89" t="str">
        <f>INDEX(二三级标准!$G:$G,MATCH(服务费明细!$B157,二三级标准!$B:$B,0))</f>
        <v>次</v>
      </c>
      <c r="G157" s="166">
        <f t="shared" si="276"/>
        <v>0</v>
      </c>
      <c r="H157" s="166">
        <f t="shared" si="277"/>
        <v>0</v>
      </c>
      <c r="I157" s="166">
        <f t="shared" si="278"/>
        <v>0</v>
      </c>
      <c r="J157" s="166">
        <f t="shared" si="279"/>
        <v>0</v>
      </c>
      <c r="K157" s="166">
        <f t="shared" si="280"/>
        <v>0</v>
      </c>
      <c r="L157" s="166">
        <f t="shared" si="281"/>
        <v>0</v>
      </c>
      <c r="M157" s="166">
        <f t="shared" si="282"/>
        <v>0</v>
      </c>
      <c r="N157" s="166">
        <f t="shared" si="283"/>
        <v>0</v>
      </c>
      <c r="O157" s="166">
        <f t="shared" si="284"/>
        <v>0</v>
      </c>
      <c r="P157" s="166">
        <f t="shared" si="285"/>
        <v>0</v>
      </c>
      <c r="Q157" s="166">
        <f t="shared" si="286"/>
        <v>0</v>
      </c>
      <c r="R157" s="166">
        <f t="shared" si="287"/>
        <v>0</v>
      </c>
      <c r="S157" s="166">
        <f t="shared" si="288"/>
        <v>0</v>
      </c>
      <c r="T157" s="166">
        <f t="shared" si="289"/>
        <v>0</v>
      </c>
      <c r="U157" s="166">
        <f t="shared" si="290"/>
        <v>0</v>
      </c>
      <c r="V157" s="166">
        <f t="shared" si="291"/>
        <v>0</v>
      </c>
      <c r="W157" s="166">
        <f t="shared" si="292"/>
        <v>0</v>
      </c>
      <c r="X157" s="166">
        <f t="shared" si="293"/>
        <v>0</v>
      </c>
      <c r="Y157" s="166">
        <f t="shared" si="294"/>
        <v>0</v>
      </c>
      <c r="Z157" s="166">
        <f t="shared" si="295"/>
        <v>0</v>
      </c>
      <c r="AA157" s="166">
        <f t="shared" si="296"/>
        <v>0</v>
      </c>
      <c r="AB157" s="166">
        <f t="shared" si="297"/>
        <v>0</v>
      </c>
      <c r="AC157" s="166" cm="1">
        <f t="array" ref="AC157">SUMPRODUCT(G157:AB157,$G$4:$AB$4)</f>
        <v>0</v>
      </c>
      <c r="AD157" s="89" t="b">
        <f t="shared" si="298"/>
        <v>1</v>
      </c>
      <c r="AE157" s="386">
        <f>IFERROR(SUMIF(服务费底表!$K:$K,服务费明细!$B157,服务费底表!$AD:$AD)/E157,0)</f>
        <v>0</v>
      </c>
      <c r="AF157" s="386">
        <f t="shared" si="299"/>
        <v>0</v>
      </c>
      <c r="AG157" s="386">
        <f>IFERROR(SUMIF(服务费底表!$K:$K,服务费明细!$B157,服务费底表!$AG:$AG)/E157,0)</f>
        <v>0</v>
      </c>
      <c r="AH157" s="386">
        <f t="shared" si="300"/>
        <v>0</v>
      </c>
      <c r="AI157" s="577" t="s">
        <v>1079</v>
      </c>
      <c r="AJ157" s="563">
        <f t="shared" si="301"/>
        <v>0</v>
      </c>
      <c r="AK157" s="564">
        <f>SUMIF(服务费底表!$K:$K,服务费明细!$B157,服务费底表!$AC:$AC)</f>
        <v>0</v>
      </c>
      <c r="AL157" s="166">
        <f>SUMIFS(服务费底表!$AC:$AC,服务费底表!$K:$K,服务费明细!$B157,服务费底表!$T:$T,AL$3)</f>
        <v>0</v>
      </c>
      <c r="AM157" s="166">
        <f>SUMIFS(服务费底表!$AC:$AC,服务费底表!$K:$K,服务费明细!$B157,服务费底表!$T:$T,AM$3)</f>
        <v>0</v>
      </c>
      <c r="AN157" s="166">
        <f>SUMIFS(服务费底表!$AC:$AC,服务费底表!$K:$K,服务费明细!$B157,服务费底表!$T:$T,AN$3)</f>
        <v>0</v>
      </c>
      <c r="AO157" s="166">
        <f>SUMIFS(服务费底表!$AC:$AC,服务费底表!$K:$K,服务费明细!$B157,服务费底表!$T:$T,AO$3)</f>
        <v>0</v>
      </c>
      <c r="AP157" s="166">
        <f>SUMIFS(服务费底表!$AC:$AC,服务费底表!$K:$K,服务费明细!$B157,服务费底表!$T:$T,AP$3)</f>
        <v>0</v>
      </c>
      <c r="AQ157" s="166">
        <f>SUMIFS(服务费底表!$AC:$AC,服务费底表!$K:$K,服务费明细!$B157,服务费底表!$T:$T,AQ$3)</f>
        <v>0</v>
      </c>
      <c r="AR157" s="166">
        <f>SUMIFS(服务费底表!$AC:$AC,服务费底表!$K:$K,服务费明细!$B157,服务费底表!$T:$T,AR$3)</f>
        <v>0</v>
      </c>
      <c r="AS157" s="166">
        <f>SUMIFS(服务费底表!$AC:$AC,服务费底表!$K:$K,服务费明细!$B157,服务费底表!$T:$T,AS$3)</f>
        <v>0</v>
      </c>
      <c r="AT157" s="166">
        <f>SUMIFS(服务费底表!$AC:$AC,服务费底表!$K:$K,服务费明细!$B157,服务费底表!$T:$T,AT$3)</f>
        <v>0</v>
      </c>
      <c r="AU157" s="166">
        <f>SUMIFS(服务费底表!$AC:$AC,服务费底表!$K:$K,服务费明细!$B157,服务费底表!$T:$T,AU$3)</f>
        <v>0</v>
      </c>
      <c r="AV157" s="166">
        <f>SUMIFS(服务费底表!$AC:$AC,服务费底表!$K:$K,服务费明细!$B157,服务费底表!$T:$T,AV$3)</f>
        <v>0</v>
      </c>
      <c r="AW157" s="166">
        <f>SUMIFS(服务费底表!$AC:$AC,服务费底表!$K:$K,服务费明细!$B157,服务费底表!$T:$T,AW$3)</f>
        <v>0</v>
      </c>
      <c r="AX157" s="166">
        <f>SUMIFS(服务费底表!$AC:$AC,服务费底表!$K:$K,服务费明细!$B157,服务费底表!$T:$T,AX$3)</f>
        <v>0</v>
      </c>
      <c r="AY157" s="166">
        <f>SUMIFS(服务费底表!$AC:$AC,服务费底表!$K:$K,服务费明细!$B157,服务费底表!$T:$T,AY$3)</f>
        <v>0</v>
      </c>
      <c r="AZ157" s="166">
        <f>SUMIFS(服务费底表!$AC:$AC,服务费底表!$K:$K,服务费明细!$B157,服务费底表!$T:$T,AZ$3)</f>
        <v>0</v>
      </c>
      <c r="BA157" s="166">
        <f>SUMIFS(服务费底表!$AC:$AC,服务费底表!$K:$K,服务费明细!$B157,服务费底表!$T:$T,BA$3)</f>
        <v>0</v>
      </c>
      <c r="BB157" s="166">
        <f>SUMIFS(服务费底表!$AC:$AC,服务费底表!$K:$K,服务费明细!$B157,服务费底表!$T:$T,BB$3)</f>
        <v>0</v>
      </c>
      <c r="BC157" s="166">
        <f>SUMIFS(服务费底表!$AC:$AC,服务费底表!$K:$K,服务费明细!$B157,服务费底表!$T:$T,BC$3)</f>
        <v>0</v>
      </c>
      <c r="BD157" s="166">
        <f>SUMIFS(服务费底表!$AC:$AC,服务费底表!$K:$K,服务费明细!$B157,服务费底表!$T:$T,BD$3)</f>
        <v>0</v>
      </c>
      <c r="BE157" s="166">
        <f>SUMIFS(服务费底表!$AC:$AC,服务费底表!$K:$K,服务费明细!$B157,服务费底表!$T:$T,BE$3)</f>
        <v>0</v>
      </c>
      <c r="BF157" s="166">
        <f>SUMIFS(服务费底表!$AC:$AC,服务费底表!$K:$K,服务费明细!$B157,服务费底表!$T:$T,BF$3)</f>
        <v>0</v>
      </c>
      <c r="BG157" s="166">
        <f>SUMIFS(服务费底表!$AC:$AC,服务费底表!$K:$K,服务费明细!$B157,服务费底表!$T:$T,BG$3)</f>
        <v>0</v>
      </c>
      <c r="BI157" s="388">
        <f>SUMIFS(服务费底表!$AC:$AC,服务费底表!$K:$K,服务费明细!$B157,服务费底表!$H:$H,服务费明细!BI$3)</f>
        <v>0</v>
      </c>
      <c r="BJ157" s="388">
        <f>SUMIFS(服务费底表!$AC:$AC,服务费底表!$K:$K,服务费明细!$B157,服务费底表!$H:$H,服务费明细!BJ$3)</f>
        <v>0</v>
      </c>
      <c r="BK157" s="388">
        <f>SUMIFS(服务费底表!$AC:$AC,服务费底表!$K:$K,服务费明细!$B157,服务费底表!$H:$H,服务费明细!BK$3)</f>
        <v>0</v>
      </c>
      <c r="BL157" s="388">
        <f>SUMIFS(服务费底表!$AC:$AC,服务费底表!$K:$K,服务费明细!$B157,服务费底表!$H:$H,服务费明细!BL$3)</f>
        <v>0</v>
      </c>
      <c r="BM157" s="388">
        <f>SUMIFS(服务费底表!$AC:$AC,服务费底表!$K:$K,服务费明细!$B157,服务费底表!$H:$H,服务费明细!BM$3)</f>
        <v>0</v>
      </c>
      <c r="BN157" s="388">
        <f>SUMIFS(服务费底表!$AC:$AC,服务费底表!$K:$K,服务费明细!$B157,服务费底表!$H:$H,服务费明细!BN$3)</f>
        <v>0</v>
      </c>
      <c r="BO157" s="388">
        <f>SUMIFS(服务费底表!$AC:$AC,服务费底表!$K:$K,服务费明细!$B157,服务费底表!$H:$H,服务费明细!BO$3)</f>
        <v>0</v>
      </c>
      <c r="BQ157" s="389">
        <f>SUMIFS(服务费底表!$AD:$AD,服务费底表!$K:$K,服务费明细!$B157,服务费底表!$H:$H,服务费明细!BQ$3)</f>
        <v>0</v>
      </c>
      <c r="BR157" s="389">
        <f>SUMIFS(服务费底表!$AD:$AD,服务费底表!$K:$K,服务费明细!$B157,服务费底表!$H:$H,服务费明细!BR$3)</f>
        <v>0</v>
      </c>
      <c r="BS157" s="389">
        <f>SUMIFS(服务费底表!$AD:$AD,服务费底表!$K:$K,服务费明细!$B157,服务费底表!$H:$H,服务费明细!BS$3)</f>
        <v>0</v>
      </c>
      <c r="BT157" s="389">
        <f>SUMIFS(服务费底表!$AD:$AD,服务费底表!$K:$K,服务费明细!$B157,服务费底表!$H:$H,服务费明细!BT$3)</f>
        <v>0</v>
      </c>
      <c r="BU157" s="389">
        <f>SUMIFS(服务费底表!$AD:$AD,服务费底表!$K:$K,服务费明细!$B157,服务费底表!$H:$H,服务费明细!BU$3)</f>
        <v>0</v>
      </c>
      <c r="BV157" s="389">
        <f>SUMIFS(服务费底表!$AD:$AD,服务费底表!$K:$K,服务费明细!$B157,服务费底表!$H:$H,服务费明细!BV$3)</f>
        <v>0</v>
      </c>
      <c r="BW157" s="389">
        <f>SUMIFS(服务费底表!$AD:$AD,服务费底表!$K:$K,服务费明细!$B157,服务费底表!$H:$H,服务费明细!BW$3)</f>
        <v>0</v>
      </c>
    </row>
    <row r="158" spans="2:75">
      <c r="B158" s="89" t="s">
        <v>339</v>
      </c>
      <c r="C158" s="89" t="str">
        <f>INDEX(二三级标准!$C:$C,MATCH(服务费明细!$B158,二三级标准!$B:$B,0))</f>
        <v>最终分析</v>
      </c>
      <c r="D158" s="166">
        <f>IF($D$143=1,1,0)</f>
        <v>1</v>
      </c>
      <c r="E158" s="166">
        <f>IF($D158=1,1,0)</f>
        <v>1</v>
      </c>
      <c r="F158" s="89" t="str">
        <f>INDEX(二三级标准!$G:$G,MATCH(服务费明细!$B158,二三级标准!$B:$B,0))</f>
        <v>次</v>
      </c>
      <c r="G158" s="166">
        <f t="shared" si="276"/>
        <v>0</v>
      </c>
      <c r="H158" s="166">
        <f t="shared" si="277"/>
        <v>0</v>
      </c>
      <c r="I158" s="166">
        <f t="shared" si="278"/>
        <v>0</v>
      </c>
      <c r="J158" s="166">
        <f t="shared" si="279"/>
        <v>0</v>
      </c>
      <c r="K158" s="166">
        <f t="shared" si="280"/>
        <v>0</v>
      </c>
      <c r="L158" s="166">
        <f t="shared" si="281"/>
        <v>0</v>
      </c>
      <c r="M158" s="166">
        <f t="shared" si="282"/>
        <v>0</v>
      </c>
      <c r="N158" s="166">
        <f t="shared" si="283"/>
        <v>0</v>
      </c>
      <c r="O158" s="166">
        <f t="shared" si="284"/>
        <v>0</v>
      </c>
      <c r="P158" s="166">
        <f t="shared" si="285"/>
        <v>0</v>
      </c>
      <c r="Q158" s="166">
        <f t="shared" si="286"/>
        <v>0</v>
      </c>
      <c r="R158" s="166">
        <f t="shared" si="287"/>
        <v>0</v>
      </c>
      <c r="S158" s="166">
        <f t="shared" si="288"/>
        <v>0</v>
      </c>
      <c r="T158" s="166">
        <f t="shared" si="289"/>
        <v>36</v>
      </c>
      <c r="U158" s="166">
        <f t="shared" si="290"/>
        <v>4</v>
      </c>
      <c r="V158" s="166">
        <f t="shared" si="291"/>
        <v>13</v>
      </c>
      <c r="W158" s="166">
        <f t="shared" si="292"/>
        <v>0</v>
      </c>
      <c r="X158" s="166">
        <f t="shared" si="293"/>
        <v>0</v>
      </c>
      <c r="Y158" s="166">
        <f t="shared" si="294"/>
        <v>8</v>
      </c>
      <c r="Z158" s="166">
        <f t="shared" si="295"/>
        <v>0</v>
      </c>
      <c r="AA158" s="166">
        <f t="shared" si="296"/>
        <v>0</v>
      </c>
      <c r="AB158" s="166">
        <f t="shared" si="297"/>
        <v>0</v>
      </c>
      <c r="AC158" s="166" cm="1">
        <f t="array" ref="AC158">SUMPRODUCT(G158:AB158,$G$4:$AB$4)</f>
        <v>20700</v>
      </c>
      <c r="AD158" s="89" t="b">
        <f t="shared" si="298"/>
        <v>1</v>
      </c>
      <c r="AE158" s="386">
        <f>IFERROR(SUMIF(服务费底表!$K:$K,服务费明细!$B158,服务费底表!$AD:$AD)/E158,0)</f>
        <v>20700</v>
      </c>
      <c r="AF158" s="386">
        <f t="shared" si="299"/>
        <v>20700</v>
      </c>
      <c r="AG158" s="386">
        <f>IFERROR(SUMIF(服务费底表!$K:$K,服务费明细!$B158,服务费底表!$AG:$AG)/E158,0)</f>
        <v>20700</v>
      </c>
      <c r="AH158" s="386">
        <f t="shared" si="300"/>
        <v>20700</v>
      </c>
      <c r="AI158" s="577"/>
      <c r="AJ158" s="563">
        <f t="shared" si="301"/>
        <v>61</v>
      </c>
      <c r="AK158" s="564">
        <f>SUMIF(服务费底表!$K:$K,服务费明细!$B158,服务费底表!$AC:$AC)</f>
        <v>61</v>
      </c>
      <c r="AL158" s="166">
        <f>SUMIFS(服务费底表!$AC:$AC,服务费底表!$K:$K,服务费明细!$B158,服务费底表!$T:$T,AL$3)</f>
        <v>0</v>
      </c>
      <c r="AM158" s="166">
        <f>SUMIFS(服务费底表!$AC:$AC,服务费底表!$K:$K,服务费明细!$B158,服务费底表!$T:$T,AM$3)</f>
        <v>0</v>
      </c>
      <c r="AN158" s="166">
        <f>SUMIFS(服务费底表!$AC:$AC,服务费底表!$K:$K,服务费明细!$B158,服务费底表!$T:$T,AN$3)</f>
        <v>0</v>
      </c>
      <c r="AO158" s="166">
        <f>SUMIFS(服务费底表!$AC:$AC,服务费底表!$K:$K,服务费明细!$B158,服务费底表!$T:$T,AO$3)</f>
        <v>0</v>
      </c>
      <c r="AP158" s="166">
        <f>SUMIFS(服务费底表!$AC:$AC,服务费底表!$K:$K,服务费明细!$B158,服务费底表!$T:$T,AP$3)</f>
        <v>0</v>
      </c>
      <c r="AQ158" s="166">
        <f>SUMIFS(服务费底表!$AC:$AC,服务费底表!$K:$K,服务费明细!$B158,服务费底表!$T:$T,AQ$3)</f>
        <v>0</v>
      </c>
      <c r="AR158" s="166">
        <f>SUMIFS(服务费底表!$AC:$AC,服务费底表!$K:$K,服务费明细!$B158,服务费底表!$T:$T,AR$3)</f>
        <v>0</v>
      </c>
      <c r="AS158" s="166">
        <f>SUMIFS(服务费底表!$AC:$AC,服务费底表!$K:$K,服务费明细!$B158,服务费底表!$T:$T,AS$3)</f>
        <v>0</v>
      </c>
      <c r="AT158" s="166">
        <f>SUMIFS(服务费底表!$AC:$AC,服务费底表!$K:$K,服务费明细!$B158,服务费底表!$T:$T,AT$3)</f>
        <v>0</v>
      </c>
      <c r="AU158" s="166">
        <f>SUMIFS(服务费底表!$AC:$AC,服务费底表!$K:$K,服务费明细!$B158,服务费底表!$T:$T,AU$3)</f>
        <v>0</v>
      </c>
      <c r="AV158" s="166">
        <f>SUMIFS(服务费底表!$AC:$AC,服务费底表!$K:$K,服务费明细!$B158,服务费底表!$T:$T,AV$3)</f>
        <v>0</v>
      </c>
      <c r="AW158" s="166">
        <f>SUMIFS(服务费底表!$AC:$AC,服务费底表!$K:$K,服务费明细!$B158,服务费底表!$T:$T,AW$3)</f>
        <v>0</v>
      </c>
      <c r="AX158" s="166">
        <f>SUMIFS(服务费底表!$AC:$AC,服务费底表!$K:$K,服务费明细!$B158,服务费底表!$T:$T,AX$3)</f>
        <v>0</v>
      </c>
      <c r="AY158" s="166">
        <f>SUMIFS(服务费底表!$AC:$AC,服务费底表!$K:$K,服务费明细!$B158,服务费底表!$T:$T,AY$3)</f>
        <v>36</v>
      </c>
      <c r="AZ158" s="166">
        <f>SUMIFS(服务费底表!$AC:$AC,服务费底表!$K:$K,服务费明细!$B158,服务费底表!$T:$T,AZ$3)</f>
        <v>4</v>
      </c>
      <c r="BA158" s="166">
        <f>SUMIFS(服务费底表!$AC:$AC,服务费底表!$K:$K,服务费明细!$B158,服务费底表!$T:$T,BA$3)</f>
        <v>13</v>
      </c>
      <c r="BB158" s="166">
        <f>SUMIFS(服务费底表!$AC:$AC,服务费底表!$K:$K,服务费明细!$B158,服务费底表!$T:$T,BB$3)</f>
        <v>0</v>
      </c>
      <c r="BC158" s="166">
        <f>SUMIFS(服务费底表!$AC:$AC,服务费底表!$K:$K,服务费明细!$B158,服务费底表!$T:$T,BC$3)</f>
        <v>0</v>
      </c>
      <c r="BD158" s="166">
        <f>SUMIFS(服务费底表!$AC:$AC,服务费底表!$K:$K,服务费明细!$B158,服务费底表!$T:$T,BD$3)</f>
        <v>8</v>
      </c>
      <c r="BE158" s="166">
        <f>SUMIFS(服务费底表!$AC:$AC,服务费底表!$K:$K,服务费明细!$B158,服务费底表!$T:$T,BE$3)</f>
        <v>0</v>
      </c>
      <c r="BF158" s="166">
        <f>SUMIFS(服务费底表!$AC:$AC,服务费底表!$K:$K,服务费明细!$B158,服务费底表!$T:$T,BF$3)</f>
        <v>0</v>
      </c>
      <c r="BG158" s="166">
        <f>SUMIFS(服务费底表!$AC:$AC,服务费底表!$K:$K,服务费明细!$B158,服务费底表!$T:$T,BG$3)</f>
        <v>0</v>
      </c>
      <c r="BI158" s="388">
        <f>SUMIFS(服务费底表!$AC:$AC,服务费底表!$K:$K,服务费明细!$B158,服务费底表!$H:$H,服务费明细!BI$3)</f>
        <v>0</v>
      </c>
      <c r="BJ158" s="388">
        <f>SUMIFS(服务费底表!$AC:$AC,服务费底表!$K:$K,服务费明细!$B158,服务费底表!$H:$H,服务费明细!BJ$3)</f>
        <v>0</v>
      </c>
      <c r="BK158" s="388">
        <f>SUMIFS(服务费底表!$AC:$AC,服务费底表!$K:$K,服务费明细!$B158,服务费底表!$H:$H,服务费明细!BK$3)</f>
        <v>0</v>
      </c>
      <c r="BL158" s="388">
        <f>SUMIFS(服务费底表!$AC:$AC,服务费底表!$K:$K,服务费明细!$B158,服务费底表!$H:$H,服务费明细!BL$3)</f>
        <v>53</v>
      </c>
      <c r="BM158" s="388">
        <f>SUMIFS(服务费底表!$AC:$AC,服务费底表!$K:$K,服务费明细!$B158,服务费底表!$H:$H,服务费明细!BM$3)</f>
        <v>0</v>
      </c>
      <c r="BN158" s="388">
        <f>SUMIFS(服务费底表!$AC:$AC,服务费底表!$K:$K,服务费明细!$B158,服务费底表!$H:$H,服务费明细!BN$3)</f>
        <v>8</v>
      </c>
      <c r="BO158" s="388">
        <f>SUMIFS(服务费底表!$AC:$AC,服务费底表!$K:$K,服务费明细!$B158,服务费底表!$H:$H,服务费明细!BO$3)</f>
        <v>0</v>
      </c>
      <c r="BQ158" s="389">
        <f>SUMIFS(服务费底表!$AD:$AD,服务费底表!$K:$K,服务费明细!$B158,服务费底表!$H:$H,服务费明细!BQ$3)</f>
        <v>0</v>
      </c>
      <c r="BR158" s="389">
        <f>SUMIFS(服务费底表!$AD:$AD,服务费底表!$K:$K,服务费明细!$B158,服务费底表!$H:$H,服务费明细!BR$3)</f>
        <v>0</v>
      </c>
      <c r="BS158" s="389">
        <f>SUMIFS(服务费底表!$AD:$AD,服务费底表!$K:$K,服务费明细!$B158,服务费底表!$H:$H,服务费明细!BS$3)</f>
        <v>0</v>
      </c>
      <c r="BT158" s="389">
        <f>SUMIFS(服务费底表!$AD:$AD,服务费底表!$K:$K,服务费明细!$B158,服务费底表!$H:$H,服务费明细!BT$3)</f>
        <v>15100</v>
      </c>
      <c r="BU158" s="389">
        <f>SUMIFS(服务费底表!$AD:$AD,服务费底表!$K:$K,服务费明细!$B158,服务费底表!$H:$H,服务费明细!BU$3)</f>
        <v>0</v>
      </c>
      <c r="BV158" s="389">
        <f>SUMIFS(服务费底表!$AD:$AD,服务费底表!$K:$K,服务费明细!$B158,服务费底表!$H:$H,服务费明细!BV$3)</f>
        <v>5600</v>
      </c>
      <c r="BW158" s="389">
        <f>SUMIFS(服务费底表!$AD:$AD,服务费底表!$K:$K,服务费明细!$B158,服务费底表!$H:$H,服务费明细!BW$3)</f>
        <v>0</v>
      </c>
    </row>
    <row r="159" spans="2:75">
      <c r="B159" s="89" t="s">
        <v>341</v>
      </c>
      <c r="C159" s="89" t="str">
        <f>INDEX(二三级标准!$C:$C,MATCH(服务费明细!$B159,二三级标准!$B:$B,0))</f>
        <v>完成电子数据递交资料</v>
      </c>
      <c r="D159" s="166">
        <v>0</v>
      </c>
      <c r="E159" s="166">
        <f>IF($D159=1,1,0)</f>
        <v>0</v>
      </c>
      <c r="F159" s="89" t="str">
        <f>INDEX(二三级标准!$G:$G,MATCH(服务费明细!$B159,二三级标准!$B:$B,0))</f>
        <v>份</v>
      </c>
      <c r="G159" s="166">
        <f t="shared" si="276"/>
        <v>0</v>
      </c>
      <c r="H159" s="166">
        <f t="shared" si="277"/>
        <v>0</v>
      </c>
      <c r="I159" s="166">
        <f t="shared" si="278"/>
        <v>0</v>
      </c>
      <c r="J159" s="166">
        <f t="shared" si="279"/>
        <v>0</v>
      </c>
      <c r="K159" s="166">
        <f t="shared" si="280"/>
        <v>0</v>
      </c>
      <c r="L159" s="166">
        <f t="shared" si="281"/>
        <v>0</v>
      </c>
      <c r="M159" s="166">
        <f t="shared" si="282"/>
        <v>0</v>
      </c>
      <c r="N159" s="166">
        <f t="shared" si="283"/>
        <v>0</v>
      </c>
      <c r="O159" s="166">
        <f t="shared" si="284"/>
        <v>0</v>
      </c>
      <c r="P159" s="166">
        <f t="shared" si="285"/>
        <v>0</v>
      </c>
      <c r="Q159" s="166">
        <f t="shared" si="286"/>
        <v>0</v>
      </c>
      <c r="R159" s="166">
        <f t="shared" si="287"/>
        <v>0</v>
      </c>
      <c r="S159" s="166">
        <f t="shared" si="288"/>
        <v>0</v>
      </c>
      <c r="T159" s="166">
        <f t="shared" si="289"/>
        <v>0</v>
      </c>
      <c r="U159" s="166">
        <f t="shared" si="290"/>
        <v>0</v>
      </c>
      <c r="V159" s="166">
        <f t="shared" si="291"/>
        <v>0</v>
      </c>
      <c r="W159" s="166">
        <f t="shared" si="292"/>
        <v>0</v>
      </c>
      <c r="X159" s="166">
        <f t="shared" si="293"/>
        <v>0</v>
      </c>
      <c r="Y159" s="166">
        <f t="shared" si="294"/>
        <v>0</v>
      </c>
      <c r="Z159" s="166">
        <f t="shared" si="295"/>
        <v>0</v>
      </c>
      <c r="AA159" s="166">
        <f t="shared" si="296"/>
        <v>0</v>
      </c>
      <c r="AB159" s="166">
        <f t="shared" si="297"/>
        <v>0</v>
      </c>
      <c r="AC159" s="166" cm="1">
        <f t="array" ref="AC159">SUMPRODUCT(G159:AB159,$G$4:$AB$4)</f>
        <v>0</v>
      </c>
      <c r="AD159" s="89" t="b">
        <f t="shared" si="298"/>
        <v>1</v>
      </c>
      <c r="AE159" s="386">
        <f>IFERROR(SUMIF(服务费底表!$K:$K,服务费明细!$B159,服务费底表!$AD:$AD)/E159,0)</f>
        <v>0</v>
      </c>
      <c r="AF159" s="386">
        <f t="shared" si="299"/>
        <v>0</v>
      </c>
      <c r="AG159" s="386">
        <f>IFERROR(SUMIF(服务费底表!$K:$K,服务费明细!$B159,服务费底表!$AG:$AG)/E159,0)</f>
        <v>0</v>
      </c>
      <c r="AH159" s="386">
        <f t="shared" si="300"/>
        <v>0</v>
      </c>
      <c r="AI159" s="577"/>
      <c r="AJ159" s="563">
        <f t="shared" si="301"/>
        <v>0</v>
      </c>
      <c r="AK159" s="564">
        <f>SUMIF(服务费底表!$K:$K,服务费明细!$B159,服务费底表!$AC:$AC)</f>
        <v>0</v>
      </c>
      <c r="AL159" s="166">
        <f>SUMIFS(服务费底表!$AC:$AC,服务费底表!$K:$K,服务费明细!$B159,服务费底表!$T:$T,AL$3)</f>
        <v>0</v>
      </c>
      <c r="AM159" s="166">
        <f>SUMIFS(服务费底表!$AC:$AC,服务费底表!$K:$K,服务费明细!$B159,服务费底表!$T:$T,AM$3)</f>
        <v>0</v>
      </c>
      <c r="AN159" s="166">
        <f>SUMIFS(服务费底表!$AC:$AC,服务费底表!$K:$K,服务费明细!$B159,服务费底表!$T:$T,AN$3)</f>
        <v>0</v>
      </c>
      <c r="AO159" s="166">
        <f>SUMIFS(服务费底表!$AC:$AC,服务费底表!$K:$K,服务费明细!$B159,服务费底表!$T:$T,AO$3)</f>
        <v>0</v>
      </c>
      <c r="AP159" s="166">
        <f>SUMIFS(服务费底表!$AC:$AC,服务费底表!$K:$K,服务费明细!$B159,服务费底表!$T:$T,AP$3)</f>
        <v>0</v>
      </c>
      <c r="AQ159" s="166">
        <f>SUMIFS(服务费底表!$AC:$AC,服务费底表!$K:$K,服务费明细!$B159,服务费底表!$T:$T,AQ$3)</f>
        <v>0</v>
      </c>
      <c r="AR159" s="166">
        <f>SUMIFS(服务费底表!$AC:$AC,服务费底表!$K:$K,服务费明细!$B159,服务费底表!$T:$T,AR$3)</f>
        <v>0</v>
      </c>
      <c r="AS159" s="166">
        <f>SUMIFS(服务费底表!$AC:$AC,服务费底表!$K:$K,服务费明细!$B159,服务费底表!$T:$T,AS$3)</f>
        <v>0</v>
      </c>
      <c r="AT159" s="166">
        <f>SUMIFS(服务费底表!$AC:$AC,服务费底表!$K:$K,服务费明细!$B159,服务费底表!$T:$T,AT$3)</f>
        <v>0</v>
      </c>
      <c r="AU159" s="166">
        <f>SUMIFS(服务费底表!$AC:$AC,服务费底表!$K:$K,服务费明细!$B159,服务费底表!$T:$T,AU$3)</f>
        <v>0</v>
      </c>
      <c r="AV159" s="166">
        <f>SUMIFS(服务费底表!$AC:$AC,服务费底表!$K:$K,服务费明细!$B159,服务费底表!$T:$T,AV$3)</f>
        <v>0</v>
      </c>
      <c r="AW159" s="166">
        <f>SUMIFS(服务费底表!$AC:$AC,服务费底表!$K:$K,服务费明细!$B159,服务费底表!$T:$T,AW$3)</f>
        <v>0</v>
      </c>
      <c r="AX159" s="166">
        <f>SUMIFS(服务费底表!$AC:$AC,服务费底表!$K:$K,服务费明细!$B159,服务费底表!$T:$T,AX$3)</f>
        <v>0</v>
      </c>
      <c r="AY159" s="166">
        <f>SUMIFS(服务费底表!$AC:$AC,服务费底表!$K:$K,服务费明细!$B159,服务费底表!$T:$T,AY$3)</f>
        <v>0</v>
      </c>
      <c r="AZ159" s="166">
        <f>SUMIFS(服务费底表!$AC:$AC,服务费底表!$K:$K,服务费明细!$B159,服务费底表!$T:$T,AZ$3)</f>
        <v>0</v>
      </c>
      <c r="BA159" s="166">
        <f>SUMIFS(服务费底表!$AC:$AC,服务费底表!$K:$K,服务费明细!$B159,服务费底表!$T:$T,BA$3)</f>
        <v>0</v>
      </c>
      <c r="BB159" s="166">
        <f>SUMIFS(服务费底表!$AC:$AC,服务费底表!$K:$K,服务费明细!$B159,服务费底表!$T:$T,BB$3)</f>
        <v>0</v>
      </c>
      <c r="BC159" s="166">
        <f>SUMIFS(服务费底表!$AC:$AC,服务费底表!$K:$K,服务费明细!$B159,服务费底表!$T:$T,BC$3)</f>
        <v>0</v>
      </c>
      <c r="BD159" s="166">
        <f>SUMIFS(服务费底表!$AC:$AC,服务费底表!$K:$K,服务费明细!$B159,服务费底表!$T:$T,BD$3)</f>
        <v>0</v>
      </c>
      <c r="BE159" s="166">
        <f>SUMIFS(服务费底表!$AC:$AC,服务费底表!$K:$K,服务费明细!$B159,服务费底表!$T:$T,BE$3)</f>
        <v>0</v>
      </c>
      <c r="BF159" s="166">
        <f>SUMIFS(服务费底表!$AC:$AC,服务费底表!$K:$K,服务费明细!$B159,服务费底表!$T:$T,BF$3)</f>
        <v>0</v>
      </c>
      <c r="BG159" s="166">
        <f>SUMIFS(服务费底表!$AC:$AC,服务费底表!$K:$K,服务费明细!$B159,服务费底表!$T:$T,BG$3)</f>
        <v>0</v>
      </c>
      <c r="BI159" s="388">
        <f>SUMIFS(服务费底表!$AC:$AC,服务费底表!$K:$K,服务费明细!$B159,服务费底表!$H:$H,服务费明细!BI$3)</f>
        <v>0</v>
      </c>
      <c r="BJ159" s="388">
        <f>SUMIFS(服务费底表!$AC:$AC,服务费底表!$K:$K,服务费明细!$B159,服务费底表!$H:$H,服务费明细!BJ$3)</f>
        <v>0</v>
      </c>
      <c r="BK159" s="388">
        <f>SUMIFS(服务费底表!$AC:$AC,服务费底表!$K:$K,服务费明细!$B159,服务费底表!$H:$H,服务费明细!BK$3)</f>
        <v>0</v>
      </c>
      <c r="BL159" s="388">
        <f>SUMIFS(服务费底表!$AC:$AC,服务费底表!$K:$K,服务费明细!$B159,服务费底表!$H:$H,服务费明细!BL$3)</f>
        <v>0</v>
      </c>
      <c r="BM159" s="388">
        <f>SUMIFS(服务费底表!$AC:$AC,服务费底表!$K:$K,服务费明细!$B159,服务费底表!$H:$H,服务费明细!BM$3)</f>
        <v>0</v>
      </c>
      <c r="BN159" s="388">
        <f>SUMIFS(服务费底表!$AC:$AC,服务费底表!$K:$K,服务费明细!$B159,服务费底表!$H:$H,服务费明细!BN$3)</f>
        <v>0</v>
      </c>
      <c r="BO159" s="388">
        <f>SUMIFS(服务费底表!$AC:$AC,服务费底表!$K:$K,服务费明细!$B159,服务费底表!$H:$H,服务费明细!BO$3)</f>
        <v>0</v>
      </c>
      <c r="BQ159" s="389">
        <f>SUMIFS(服务费底表!$AD:$AD,服务费底表!$K:$K,服务费明细!$B159,服务费底表!$H:$H,服务费明细!BQ$3)</f>
        <v>0</v>
      </c>
      <c r="BR159" s="389">
        <f>SUMIFS(服务费底表!$AD:$AD,服务费底表!$K:$K,服务费明细!$B159,服务费底表!$H:$H,服务费明细!BR$3)</f>
        <v>0</v>
      </c>
      <c r="BS159" s="389">
        <f>SUMIFS(服务费底表!$AD:$AD,服务费底表!$K:$K,服务费明细!$B159,服务费底表!$H:$H,服务费明细!BS$3)</f>
        <v>0</v>
      </c>
      <c r="BT159" s="389">
        <f>SUMIFS(服务费底表!$AD:$AD,服务费底表!$K:$K,服务费明细!$B159,服务费底表!$H:$H,服务费明细!BT$3)</f>
        <v>0</v>
      </c>
      <c r="BU159" s="389">
        <f>SUMIFS(服务费底表!$AD:$AD,服务费底表!$K:$K,服务费明细!$B159,服务费底表!$H:$H,服务费明细!BU$3)</f>
        <v>0</v>
      </c>
      <c r="BV159" s="389">
        <f>SUMIFS(服务费底表!$AD:$AD,服务费底表!$K:$K,服务费明细!$B159,服务费底表!$H:$H,服务费明细!BV$3)</f>
        <v>0</v>
      </c>
      <c r="BW159" s="389">
        <f>SUMIFS(服务费底表!$AD:$AD,服务费底表!$K:$K,服务费明细!$B159,服务费底表!$H:$H,服务费明细!BW$3)</f>
        <v>0</v>
      </c>
    </row>
    <row r="160" spans="2:75">
      <c r="B160" s="89" t="s">
        <v>343</v>
      </c>
      <c r="C160" s="89" t="str">
        <f>INDEX(二三级标准!$C:$C,MATCH(服务费明细!$B160,二三级标准!$B:$B,0))</f>
        <v>撰写统计分析报告(SAR)</v>
      </c>
      <c r="D160" s="166">
        <v>0</v>
      </c>
      <c r="E160" s="166">
        <f>IF($D160=1,1,0)</f>
        <v>0</v>
      </c>
      <c r="F160" s="89" t="str">
        <f>INDEX(二三级标准!$G:$G,MATCH(服务费明细!$B160,二三级标准!$B:$B,0))</f>
        <v>份</v>
      </c>
      <c r="G160" s="166">
        <f t="shared" si="276"/>
        <v>0</v>
      </c>
      <c r="H160" s="166">
        <f t="shared" si="277"/>
        <v>0</v>
      </c>
      <c r="I160" s="166">
        <f t="shared" si="278"/>
        <v>0</v>
      </c>
      <c r="J160" s="166">
        <f t="shared" si="279"/>
        <v>0</v>
      </c>
      <c r="K160" s="166">
        <f t="shared" si="280"/>
        <v>0</v>
      </c>
      <c r="L160" s="166">
        <f t="shared" si="281"/>
        <v>0</v>
      </c>
      <c r="M160" s="166">
        <f t="shared" si="282"/>
        <v>0</v>
      </c>
      <c r="N160" s="166">
        <f t="shared" si="283"/>
        <v>0</v>
      </c>
      <c r="O160" s="166">
        <f t="shared" si="284"/>
        <v>0</v>
      </c>
      <c r="P160" s="166">
        <f t="shared" si="285"/>
        <v>0</v>
      </c>
      <c r="Q160" s="166">
        <f t="shared" si="286"/>
        <v>0</v>
      </c>
      <c r="R160" s="166">
        <f t="shared" si="287"/>
        <v>0</v>
      </c>
      <c r="S160" s="166">
        <f t="shared" si="288"/>
        <v>0</v>
      </c>
      <c r="T160" s="166">
        <f t="shared" si="289"/>
        <v>0</v>
      </c>
      <c r="U160" s="166">
        <f t="shared" si="290"/>
        <v>0</v>
      </c>
      <c r="V160" s="166">
        <f t="shared" si="291"/>
        <v>0</v>
      </c>
      <c r="W160" s="166">
        <f t="shared" si="292"/>
        <v>0</v>
      </c>
      <c r="X160" s="166">
        <f t="shared" si="293"/>
        <v>0</v>
      </c>
      <c r="Y160" s="166">
        <f t="shared" si="294"/>
        <v>0</v>
      </c>
      <c r="Z160" s="166">
        <f t="shared" si="295"/>
        <v>0</v>
      </c>
      <c r="AA160" s="166">
        <f t="shared" si="296"/>
        <v>0</v>
      </c>
      <c r="AB160" s="166">
        <f t="shared" si="297"/>
        <v>0</v>
      </c>
      <c r="AC160" s="166" cm="1">
        <f t="array" ref="AC160">SUMPRODUCT(G160:AB160,$G$4:$AB$4)</f>
        <v>0</v>
      </c>
      <c r="AD160" s="89" t="b">
        <f t="shared" si="298"/>
        <v>1</v>
      </c>
      <c r="AE160" s="386">
        <f>IFERROR(SUMIF(服务费底表!$K:$K,服务费明细!$B160,服务费底表!$AD:$AD)/E160,0)</f>
        <v>0</v>
      </c>
      <c r="AF160" s="386">
        <f t="shared" si="299"/>
        <v>0</v>
      </c>
      <c r="AG160" s="386">
        <f>IFERROR(SUMIF(服务费底表!$K:$K,服务费明细!$B160,服务费底表!$AG:$AG)/E160,0)</f>
        <v>0</v>
      </c>
      <c r="AH160" s="386">
        <f t="shared" si="300"/>
        <v>0</v>
      </c>
      <c r="AI160" s="577" t="s">
        <v>1072</v>
      </c>
      <c r="AJ160" s="563">
        <f t="shared" si="301"/>
        <v>0</v>
      </c>
      <c r="AK160" s="564">
        <f>SUMIF(服务费底表!$K:$K,服务费明细!$B160,服务费底表!$AC:$AC)</f>
        <v>0</v>
      </c>
      <c r="AL160" s="166">
        <f>SUMIFS(服务费底表!$AC:$AC,服务费底表!$K:$K,服务费明细!$B160,服务费底表!$T:$T,AL$3)</f>
        <v>0</v>
      </c>
      <c r="AM160" s="166">
        <f>SUMIFS(服务费底表!$AC:$AC,服务费底表!$K:$K,服务费明细!$B160,服务费底表!$T:$T,AM$3)</f>
        <v>0</v>
      </c>
      <c r="AN160" s="166">
        <f>SUMIFS(服务费底表!$AC:$AC,服务费底表!$K:$K,服务费明细!$B160,服务费底表!$T:$T,AN$3)</f>
        <v>0</v>
      </c>
      <c r="AO160" s="166">
        <f>SUMIFS(服务费底表!$AC:$AC,服务费底表!$K:$K,服务费明细!$B160,服务费底表!$T:$T,AO$3)</f>
        <v>0</v>
      </c>
      <c r="AP160" s="166">
        <f>SUMIFS(服务费底表!$AC:$AC,服务费底表!$K:$K,服务费明细!$B160,服务费底表!$T:$T,AP$3)</f>
        <v>0</v>
      </c>
      <c r="AQ160" s="166">
        <f>SUMIFS(服务费底表!$AC:$AC,服务费底表!$K:$K,服务费明细!$B160,服务费底表!$T:$T,AQ$3)</f>
        <v>0</v>
      </c>
      <c r="AR160" s="166">
        <f>SUMIFS(服务费底表!$AC:$AC,服务费底表!$K:$K,服务费明细!$B160,服务费底表!$T:$T,AR$3)</f>
        <v>0</v>
      </c>
      <c r="AS160" s="166">
        <f>SUMIFS(服务费底表!$AC:$AC,服务费底表!$K:$K,服务费明细!$B160,服务费底表!$T:$T,AS$3)</f>
        <v>0</v>
      </c>
      <c r="AT160" s="166">
        <f>SUMIFS(服务费底表!$AC:$AC,服务费底表!$K:$K,服务费明细!$B160,服务费底表!$T:$T,AT$3)</f>
        <v>0</v>
      </c>
      <c r="AU160" s="166">
        <f>SUMIFS(服务费底表!$AC:$AC,服务费底表!$K:$K,服务费明细!$B160,服务费底表!$T:$T,AU$3)</f>
        <v>0</v>
      </c>
      <c r="AV160" s="166">
        <f>SUMIFS(服务费底表!$AC:$AC,服务费底表!$K:$K,服务费明细!$B160,服务费底表!$T:$T,AV$3)</f>
        <v>0</v>
      </c>
      <c r="AW160" s="166">
        <f>SUMIFS(服务费底表!$AC:$AC,服务费底表!$K:$K,服务费明细!$B160,服务费底表!$T:$T,AW$3)</f>
        <v>0</v>
      </c>
      <c r="AX160" s="166">
        <f>SUMIFS(服务费底表!$AC:$AC,服务费底表!$K:$K,服务费明细!$B160,服务费底表!$T:$T,AX$3)</f>
        <v>0</v>
      </c>
      <c r="AY160" s="166">
        <f>SUMIFS(服务费底表!$AC:$AC,服务费底表!$K:$K,服务费明细!$B160,服务费底表!$T:$T,AY$3)</f>
        <v>0</v>
      </c>
      <c r="AZ160" s="166">
        <f>SUMIFS(服务费底表!$AC:$AC,服务费底表!$K:$K,服务费明细!$B160,服务费底表!$T:$T,AZ$3)</f>
        <v>0</v>
      </c>
      <c r="BA160" s="166">
        <f>SUMIFS(服务费底表!$AC:$AC,服务费底表!$K:$K,服务费明细!$B160,服务费底表!$T:$T,BA$3)</f>
        <v>0</v>
      </c>
      <c r="BB160" s="166">
        <f>SUMIFS(服务费底表!$AC:$AC,服务费底表!$K:$K,服务费明细!$B160,服务费底表!$T:$T,BB$3)</f>
        <v>0</v>
      </c>
      <c r="BC160" s="166">
        <f>SUMIFS(服务费底表!$AC:$AC,服务费底表!$K:$K,服务费明细!$B160,服务费底表!$T:$T,BC$3)</f>
        <v>0</v>
      </c>
      <c r="BD160" s="166">
        <f>SUMIFS(服务费底表!$AC:$AC,服务费底表!$K:$K,服务费明细!$B160,服务费底表!$T:$T,BD$3)</f>
        <v>0</v>
      </c>
      <c r="BE160" s="166">
        <f>SUMIFS(服务费底表!$AC:$AC,服务费底表!$K:$K,服务费明细!$B160,服务费底表!$T:$T,BE$3)</f>
        <v>0</v>
      </c>
      <c r="BF160" s="166">
        <f>SUMIFS(服务费底表!$AC:$AC,服务费底表!$K:$K,服务费明细!$B160,服务费底表!$T:$T,BF$3)</f>
        <v>0</v>
      </c>
      <c r="BG160" s="166">
        <f>SUMIFS(服务费底表!$AC:$AC,服务费底表!$K:$K,服务费明细!$B160,服务费底表!$T:$T,BG$3)</f>
        <v>0</v>
      </c>
      <c r="BI160" s="388">
        <f>SUMIFS(服务费底表!$AC:$AC,服务费底表!$K:$K,服务费明细!$B160,服务费底表!$H:$H,服务费明细!BI$3)</f>
        <v>0</v>
      </c>
      <c r="BJ160" s="388">
        <f>SUMIFS(服务费底表!$AC:$AC,服务费底表!$K:$K,服务费明细!$B160,服务费底表!$H:$H,服务费明细!BJ$3)</f>
        <v>0</v>
      </c>
      <c r="BK160" s="388">
        <f>SUMIFS(服务费底表!$AC:$AC,服务费底表!$K:$K,服务费明细!$B160,服务费底表!$H:$H,服务费明细!BK$3)</f>
        <v>0</v>
      </c>
      <c r="BL160" s="388">
        <f>SUMIFS(服务费底表!$AC:$AC,服务费底表!$K:$K,服务费明细!$B160,服务费底表!$H:$H,服务费明细!BL$3)</f>
        <v>0</v>
      </c>
      <c r="BM160" s="388">
        <f>SUMIFS(服务费底表!$AC:$AC,服务费底表!$K:$K,服务费明细!$B160,服务费底表!$H:$H,服务费明细!BM$3)</f>
        <v>0</v>
      </c>
      <c r="BN160" s="388">
        <f>SUMIFS(服务费底表!$AC:$AC,服务费底表!$K:$K,服务费明细!$B160,服务费底表!$H:$H,服务费明细!BN$3)</f>
        <v>0</v>
      </c>
      <c r="BO160" s="388">
        <f>SUMIFS(服务费底表!$AC:$AC,服务费底表!$K:$K,服务费明细!$B160,服务费底表!$H:$H,服务费明细!BO$3)</f>
        <v>0</v>
      </c>
      <c r="BQ160" s="389">
        <f>SUMIFS(服务费底表!$AD:$AD,服务费底表!$K:$K,服务费明细!$B160,服务费底表!$H:$H,服务费明细!BQ$3)</f>
        <v>0</v>
      </c>
      <c r="BR160" s="389">
        <f>SUMIFS(服务费底表!$AD:$AD,服务费底表!$K:$K,服务费明细!$B160,服务费底表!$H:$H,服务费明细!BR$3)</f>
        <v>0</v>
      </c>
      <c r="BS160" s="389">
        <f>SUMIFS(服务费底表!$AD:$AD,服务费底表!$K:$K,服务费明细!$B160,服务费底表!$H:$H,服务费明细!BS$3)</f>
        <v>0</v>
      </c>
      <c r="BT160" s="389">
        <f>SUMIFS(服务费底表!$AD:$AD,服务费底表!$K:$K,服务费明细!$B160,服务费底表!$H:$H,服务费明细!BT$3)</f>
        <v>0</v>
      </c>
      <c r="BU160" s="389">
        <f>SUMIFS(服务费底表!$AD:$AD,服务费底表!$K:$K,服务费明细!$B160,服务费底表!$H:$H,服务费明细!BU$3)</f>
        <v>0</v>
      </c>
      <c r="BV160" s="389">
        <f>SUMIFS(服务费底表!$AD:$AD,服务费底表!$K:$K,服务费明细!$B160,服务费底表!$H:$H,服务费明细!BV$3)</f>
        <v>0</v>
      </c>
      <c r="BW160" s="389">
        <f>SUMIFS(服务费底表!$AD:$AD,服务费底表!$K:$K,服务费明细!$B160,服务费底表!$H:$H,服务费明细!BW$3)</f>
        <v>0</v>
      </c>
    </row>
    <row r="161" spans="2:75">
      <c r="B161" s="89" t="s">
        <v>345</v>
      </c>
      <c r="C161" s="89" t="str">
        <f>INDEX(二三级标准!$C:$C,MATCH(服务费明细!$B161,二三级标准!$B:$B,0))</f>
        <v>生物统计及分析项目管理</v>
      </c>
      <c r="D161" s="166">
        <f>IF($D$143=1,1,0)</f>
        <v>1</v>
      </c>
      <c r="E161" s="166">
        <f>IF($D161=1,ROUND(1+入组月+治疗月+随访月+长随访月+锁库月,0),0)</f>
        <v>15</v>
      </c>
      <c r="F161" s="89" t="str">
        <f>INDEX(二三级标准!$G:$G,MATCH(服务费明细!$B161,二三级标准!$B:$B,0))</f>
        <v>月</v>
      </c>
      <c r="G161" s="166">
        <f t="shared" si="276"/>
        <v>0</v>
      </c>
      <c r="H161" s="166">
        <f t="shared" si="277"/>
        <v>0</v>
      </c>
      <c r="I161" s="166">
        <f t="shared" si="278"/>
        <v>0</v>
      </c>
      <c r="J161" s="166">
        <f t="shared" si="279"/>
        <v>0</v>
      </c>
      <c r="K161" s="166">
        <f t="shared" si="280"/>
        <v>0</v>
      </c>
      <c r="L161" s="166">
        <f t="shared" si="281"/>
        <v>0</v>
      </c>
      <c r="M161" s="166">
        <f t="shared" si="282"/>
        <v>0</v>
      </c>
      <c r="N161" s="166">
        <f t="shared" si="283"/>
        <v>0</v>
      </c>
      <c r="O161" s="166">
        <f t="shared" si="284"/>
        <v>0</v>
      </c>
      <c r="P161" s="166">
        <f t="shared" si="285"/>
        <v>0</v>
      </c>
      <c r="Q161" s="166">
        <f t="shared" si="286"/>
        <v>0</v>
      </c>
      <c r="R161" s="166">
        <f t="shared" si="287"/>
        <v>0</v>
      </c>
      <c r="S161" s="166">
        <f t="shared" si="288"/>
        <v>0</v>
      </c>
      <c r="T161" s="166">
        <f t="shared" si="289"/>
        <v>0</v>
      </c>
      <c r="U161" s="166">
        <f t="shared" si="290"/>
        <v>7.5</v>
      </c>
      <c r="V161" s="166">
        <f t="shared" si="291"/>
        <v>22.5</v>
      </c>
      <c r="W161" s="166">
        <f t="shared" si="292"/>
        <v>0</v>
      </c>
      <c r="X161" s="166">
        <f t="shared" si="293"/>
        <v>0</v>
      </c>
      <c r="Y161" s="166">
        <f t="shared" si="294"/>
        <v>0</v>
      </c>
      <c r="Z161" s="166">
        <f t="shared" si="295"/>
        <v>0</v>
      </c>
      <c r="AA161" s="166">
        <f t="shared" si="296"/>
        <v>0</v>
      </c>
      <c r="AB161" s="166">
        <f t="shared" si="297"/>
        <v>0</v>
      </c>
      <c r="AC161" s="166" cm="1">
        <f t="array" ref="AC161">SUMPRODUCT(G161:AB161,$G$4:$AB$4)</f>
        <v>12375</v>
      </c>
      <c r="AD161" s="89" t="b">
        <f t="shared" si="298"/>
        <v>1</v>
      </c>
      <c r="AE161" s="386">
        <f>IFERROR(SUMIF(服务费底表!$K:$K,服务费明细!$B161,服务费底表!$AD:$AD)/E161,0)</f>
        <v>825</v>
      </c>
      <c r="AF161" s="386">
        <f t="shared" si="299"/>
        <v>12375</v>
      </c>
      <c r="AG161" s="386">
        <f>IFERROR(SUMIF(服务费底表!$K:$K,服务费明细!$B161,服务费底表!$AG:$AG)/E161,0)</f>
        <v>825</v>
      </c>
      <c r="AH161" s="386">
        <f t="shared" si="300"/>
        <v>12375</v>
      </c>
      <c r="AI161" s="584" t="s">
        <v>1080</v>
      </c>
      <c r="AJ161" s="563">
        <f t="shared" si="301"/>
        <v>2</v>
      </c>
      <c r="AK161" s="564">
        <f>SUMIF(服务费底表!$K:$K,服务费明细!$B161,服务费底表!$AC:$AC)</f>
        <v>30</v>
      </c>
      <c r="AL161" s="166">
        <f>SUMIFS(服务费底表!$AC:$AC,服务费底表!$K:$K,服务费明细!$B161,服务费底表!$T:$T,AL$3)</f>
        <v>0</v>
      </c>
      <c r="AM161" s="166">
        <f>SUMIFS(服务费底表!$AC:$AC,服务费底表!$K:$K,服务费明细!$B161,服务费底表!$T:$T,AM$3)</f>
        <v>0</v>
      </c>
      <c r="AN161" s="166">
        <f>SUMIFS(服务费底表!$AC:$AC,服务费底表!$K:$K,服务费明细!$B161,服务费底表!$T:$T,AN$3)</f>
        <v>0</v>
      </c>
      <c r="AO161" s="166">
        <f>SUMIFS(服务费底表!$AC:$AC,服务费底表!$K:$K,服务费明细!$B161,服务费底表!$T:$T,AO$3)</f>
        <v>0</v>
      </c>
      <c r="AP161" s="166">
        <f>SUMIFS(服务费底表!$AC:$AC,服务费底表!$K:$K,服务费明细!$B161,服务费底表!$T:$T,AP$3)</f>
        <v>0</v>
      </c>
      <c r="AQ161" s="166">
        <f>SUMIFS(服务费底表!$AC:$AC,服务费底表!$K:$K,服务费明细!$B161,服务费底表!$T:$T,AQ$3)</f>
        <v>0</v>
      </c>
      <c r="AR161" s="166">
        <f>SUMIFS(服务费底表!$AC:$AC,服务费底表!$K:$K,服务费明细!$B161,服务费底表!$T:$T,AR$3)</f>
        <v>0</v>
      </c>
      <c r="AS161" s="166">
        <f>SUMIFS(服务费底表!$AC:$AC,服务费底表!$K:$K,服务费明细!$B161,服务费底表!$T:$T,AS$3)</f>
        <v>0</v>
      </c>
      <c r="AT161" s="166">
        <f>SUMIFS(服务费底表!$AC:$AC,服务费底表!$K:$K,服务费明细!$B161,服务费底表!$T:$T,AT$3)</f>
        <v>0</v>
      </c>
      <c r="AU161" s="166">
        <f>SUMIFS(服务费底表!$AC:$AC,服务费底表!$K:$K,服务费明细!$B161,服务费底表!$T:$T,AU$3)</f>
        <v>0</v>
      </c>
      <c r="AV161" s="166">
        <f>SUMIFS(服务费底表!$AC:$AC,服务费底表!$K:$K,服务费明细!$B161,服务费底表!$T:$T,AV$3)</f>
        <v>0</v>
      </c>
      <c r="AW161" s="166">
        <f>SUMIFS(服务费底表!$AC:$AC,服务费底表!$K:$K,服务费明细!$B161,服务费底表!$T:$T,AW$3)</f>
        <v>0</v>
      </c>
      <c r="AX161" s="166">
        <f>SUMIFS(服务费底表!$AC:$AC,服务费底表!$K:$K,服务费明细!$B161,服务费底表!$T:$T,AX$3)</f>
        <v>0</v>
      </c>
      <c r="AY161" s="166">
        <f>SUMIFS(服务费底表!$AC:$AC,服务费底表!$K:$K,服务费明细!$B161,服务费底表!$T:$T,AY$3)</f>
        <v>0</v>
      </c>
      <c r="AZ161" s="166">
        <f>SUMIFS(服务费底表!$AC:$AC,服务费底表!$K:$K,服务费明细!$B161,服务费底表!$T:$T,AZ$3)</f>
        <v>7.5</v>
      </c>
      <c r="BA161" s="166">
        <f>SUMIFS(服务费底表!$AC:$AC,服务费底表!$K:$K,服务费明细!$B161,服务费底表!$T:$T,BA$3)</f>
        <v>22.5</v>
      </c>
      <c r="BB161" s="166">
        <f>SUMIFS(服务费底表!$AC:$AC,服务费底表!$K:$K,服务费明细!$B161,服务费底表!$T:$T,BB$3)</f>
        <v>0</v>
      </c>
      <c r="BC161" s="166">
        <f>SUMIFS(服务费底表!$AC:$AC,服务费底表!$K:$K,服务费明细!$B161,服务费底表!$T:$T,BC$3)</f>
        <v>0</v>
      </c>
      <c r="BD161" s="166">
        <f>SUMIFS(服务费底表!$AC:$AC,服务费底表!$K:$K,服务费明细!$B161,服务费底表!$T:$T,BD$3)</f>
        <v>0</v>
      </c>
      <c r="BE161" s="166">
        <f>SUMIFS(服务费底表!$AC:$AC,服务费底表!$K:$K,服务费明细!$B161,服务费底表!$T:$T,BE$3)</f>
        <v>0</v>
      </c>
      <c r="BF161" s="166">
        <f>SUMIFS(服务费底表!$AC:$AC,服务费底表!$K:$K,服务费明细!$B161,服务费底表!$T:$T,BF$3)</f>
        <v>0</v>
      </c>
      <c r="BG161" s="166">
        <f>SUMIFS(服务费底表!$AC:$AC,服务费底表!$K:$K,服务费明细!$B161,服务费底表!$T:$T,BG$3)</f>
        <v>0</v>
      </c>
      <c r="BI161" s="388">
        <f>SUMIFS(服务费底表!$AC:$AC,服务费底表!$K:$K,服务费明细!$B161,服务费底表!$H:$H,服务费明细!BI$3)</f>
        <v>0</v>
      </c>
      <c r="BJ161" s="388">
        <f>SUMIFS(服务费底表!$AC:$AC,服务费底表!$K:$K,服务费明细!$B161,服务费底表!$H:$H,服务费明细!BJ$3)</f>
        <v>0</v>
      </c>
      <c r="BK161" s="388">
        <f>SUMIFS(服务费底表!$AC:$AC,服务费底表!$K:$K,服务费明细!$B161,服务费底表!$H:$H,服务费明细!BK$3)</f>
        <v>0</v>
      </c>
      <c r="BL161" s="388">
        <f>SUMIFS(服务费底表!$AC:$AC,服务费底表!$K:$K,服务费明细!$B161,服务费底表!$H:$H,服务费明细!BL$3)</f>
        <v>30</v>
      </c>
      <c r="BM161" s="388">
        <f>SUMIFS(服务费底表!$AC:$AC,服务费底表!$K:$K,服务费明细!$B161,服务费底表!$H:$H,服务费明细!BM$3)</f>
        <v>0</v>
      </c>
      <c r="BN161" s="388">
        <f>SUMIFS(服务费底表!$AC:$AC,服务费底表!$K:$K,服务费明细!$B161,服务费底表!$H:$H,服务费明细!BN$3)</f>
        <v>0</v>
      </c>
      <c r="BO161" s="388">
        <f>SUMIFS(服务费底表!$AC:$AC,服务费底表!$K:$K,服务费明细!$B161,服务费底表!$H:$H,服务费明细!BO$3)</f>
        <v>0</v>
      </c>
      <c r="BQ161" s="389">
        <f>SUMIFS(服务费底表!$AD:$AD,服务费底表!$K:$K,服务费明细!$B161,服务费底表!$H:$H,服务费明细!BQ$3)</f>
        <v>0</v>
      </c>
      <c r="BR161" s="389">
        <f>SUMIFS(服务费底表!$AD:$AD,服务费底表!$K:$K,服务费明细!$B161,服务费底表!$H:$H,服务费明细!BR$3)</f>
        <v>0</v>
      </c>
      <c r="BS161" s="389">
        <f>SUMIFS(服务费底表!$AD:$AD,服务费底表!$K:$K,服务费明细!$B161,服务费底表!$H:$H,服务费明细!BS$3)</f>
        <v>0</v>
      </c>
      <c r="BT161" s="389">
        <f>SUMIFS(服务费底表!$AD:$AD,服务费底表!$K:$K,服务费明细!$B161,服务费底表!$H:$H,服务费明细!BT$3)</f>
        <v>12375</v>
      </c>
      <c r="BU161" s="389">
        <f>SUMIFS(服务费底表!$AD:$AD,服务费底表!$K:$K,服务费明细!$B161,服务费底表!$H:$H,服务费明细!BU$3)</f>
        <v>0</v>
      </c>
      <c r="BV161" s="389">
        <f>SUMIFS(服务费底表!$AD:$AD,服务费底表!$K:$K,服务费明细!$B161,服务费底表!$H:$H,服务费明细!BV$3)</f>
        <v>0</v>
      </c>
      <c r="BW161" s="389">
        <f>SUMIFS(服务费底表!$AD:$AD,服务费底表!$K:$K,服务费明细!$B161,服务费底表!$H:$H,服务费明细!BW$3)</f>
        <v>0</v>
      </c>
    </row>
    <row r="162" spans="2:75">
      <c r="B162" s="89" t="s">
        <v>1081</v>
      </c>
      <c r="C162" s="89" t="str">
        <f>INDEX(二三级标准!$C:$C,MATCH(服务费明细!$B162,二三级标准!$B:$B,0))</f>
        <v>方案偏离列表编程</v>
      </c>
      <c r="D162" s="166">
        <v>0</v>
      </c>
      <c r="E162" s="166">
        <f>IF($D162=1,方案偏离列表,0)</f>
        <v>0</v>
      </c>
      <c r="F162" s="89" t="str">
        <f>INDEX(二三级标准!$G:$G,MATCH(服务费明细!$B162,二三级标准!$B:$B,0))</f>
        <v>条</v>
      </c>
      <c r="G162" s="166">
        <f t="shared" si="276"/>
        <v>0</v>
      </c>
      <c r="H162" s="166">
        <f t="shared" si="277"/>
        <v>0</v>
      </c>
      <c r="I162" s="166">
        <f t="shared" si="278"/>
        <v>0</v>
      </c>
      <c r="J162" s="166">
        <f t="shared" si="279"/>
        <v>0</v>
      </c>
      <c r="K162" s="166">
        <f t="shared" si="280"/>
        <v>0</v>
      </c>
      <c r="L162" s="166">
        <f t="shared" si="281"/>
        <v>0</v>
      </c>
      <c r="M162" s="166">
        <f t="shared" si="282"/>
        <v>0</v>
      </c>
      <c r="N162" s="166">
        <f t="shared" si="283"/>
        <v>0</v>
      </c>
      <c r="O162" s="166">
        <f t="shared" si="284"/>
        <v>0</v>
      </c>
      <c r="P162" s="166">
        <f t="shared" si="285"/>
        <v>0</v>
      </c>
      <c r="Q162" s="166">
        <f t="shared" si="286"/>
        <v>0</v>
      </c>
      <c r="R162" s="166">
        <f t="shared" si="287"/>
        <v>0</v>
      </c>
      <c r="S162" s="166">
        <f t="shared" si="288"/>
        <v>0</v>
      </c>
      <c r="T162" s="166">
        <f t="shared" si="289"/>
        <v>0</v>
      </c>
      <c r="U162" s="166">
        <f t="shared" si="290"/>
        <v>0</v>
      </c>
      <c r="V162" s="166">
        <f t="shared" si="291"/>
        <v>0</v>
      </c>
      <c r="W162" s="166">
        <f t="shared" si="292"/>
        <v>0</v>
      </c>
      <c r="X162" s="166">
        <f t="shared" si="293"/>
        <v>0</v>
      </c>
      <c r="Y162" s="166">
        <f t="shared" si="294"/>
        <v>0</v>
      </c>
      <c r="Z162" s="166">
        <f t="shared" si="295"/>
        <v>0</v>
      </c>
      <c r="AA162" s="166">
        <f t="shared" si="296"/>
        <v>0</v>
      </c>
      <c r="AB162" s="166">
        <f t="shared" si="297"/>
        <v>0</v>
      </c>
      <c r="AC162" s="166" cm="1">
        <f t="array" ref="AC162">SUMPRODUCT(G162:AB162,$G$4:$AB$4)</f>
        <v>0</v>
      </c>
      <c r="AD162" s="89" t="b">
        <f t="shared" si="298"/>
        <v>1</v>
      </c>
      <c r="AE162" s="386">
        <f>IFERROR(SUMIF(服务费底表!$K:$K,服务费明细!$B162,服务费底表!$AD:$AD)/E162,0)</f>
        <v>0</v>
      </c>
      <c r="AF162" s="386">
        <f t="shared" si="299"/>
        <v>0</v>
      </c>
      <c r="AG162" s="386">
        <f>IFERROR(SUMIF(服务费底表!$K:$K,服务费明细!$B162,服务费底表!$AG:$AG)/E162,0)</f>
        <v>0</v>
      </c>
      <c r="AH162" s="386">
        <f t="shared" si="300"/>
        <v>0</v>
      </c>
      <c r="AI162" s="577"/>
      <c r="AJ162" s="563">
        <f t="shared" si="301"/>
        <v>0</v>
      </c>
      <c r="AK162" s="564">
        <f>SUMIF(服务费底表!$K:$K,服务费明细!$B162,服务费底表!$AC:$AC)</f>
        <v>0</v>
      </c>
      <c r="AL162" s="166">
        <f>SUMIFS(服务费底表!$AC:$AC,服务费底表!$K:$K,服务费明细!$B162,服务费底表!$T:$T,AL$3)</f>
        <v>0</v>
      </c>
      <c r="AM162" s="166">
        <f>SUMIFS(服务费底表!$AC:$AC,服务费底表!$K:$K,服务费明细!$B162,服务费底表!$T:$T,AM$3)</f>
        <v>0</v>
      </c>
      <c r="AN162" s="166">
        <f>SUMIFS(服务费底表!$AC:$AC,服务费底表!$K:$K,服务费明细!$B162,服务费底表!$T:$T,AN$3)</f>
        <v>0</v>
      </c>
      <c r="AO162" s="166">
        <f>SUMIFS(服务费底表!$AC:$AC,服务费底表!$K:$K,服务费明细!$B162,服务费底表!$T:$T,AO$3)</f>
        <v>0</v>
      </c>
      <c r="AP162" s="166">
        <f>SUMIFS(服务费底表!$AC:$AC,服务费底表!$K:$K,服务费明细!$B162,服务费底表!$T:$T,AP$3)</f>
        <v>0</v>
      </c>
      <c r="AQ162" s="166">
        <f>SUMIFS(服务费底表!$AC:$AC,服务费底表!$K:$K,服务费明细!$B162,服务费底表!$T:$T,AQ$3)</f>
        <v>0</v>
      </c>
      <c r="AR162" s="166">
        <f>SUMIFS(服务费底表!$AC:$AC,服务费底表!$K:$K,服务费明细!$B162,服务费底表!$T:$T,AR$3)</f>
        <v>0</v>
      </c>
      <c r="AS162" s="166">
        <f>SUMIFS(服务费底表!$AC:$AC,服务费底表!$K:$K,服务费明细!$B162,服务费底表!$T:$T,AS$3)</f>
        <v>0</v>
      </c>
      <c r="AT162" s="166">
        <f>SUMIFS(服务费底表!$AC:$AC,服务费底表!$K:$K,服务费明细!$B162,服务费底表!$T:$T,AT$3)</f>
        <v>0</v>
      </c>
      <c r="AU162" s="166">
        <f>SUMIFS(服务费底表!$AC:$AC,服务费底表!$K:$K,服务费明细!$B162,服务费底表!$T:$T,AU$3)</f>
        <v>0</v>
      </c>
      <c r="AV162" s="166">
        <f>SUMIFS(服务费底表!$AC:$AC,服务费底表!$K:$K,服务费明细!$B162,服务费底表!$T:$T,AV$3)</f>
        <v>0</v>
      </c>
      <c r="AW162" s="166">
        <f>SUMIFS(服务费底表!$AC:$AC,服务费底表!$K:$K,服务费明细!$B162,服务费底表!$T:$T,AW$3)</f>
        <v>0</v>
      </c>
      <c r="AX162" s="166">
        <f>SUMIFS(服务费底表!$AC:$AC,服务费底表!$K:$K,服务费明细!$B162,服务费底表!$T:$T,AX$3)</f>
        <v>0</v>
      </c>
      <c r="AY162" s="166">
        <f>SUMIFS(服务费底表!$AC:$AC,服务费底表!$K:$K,服务费明细!$B162,服务费底表!$T:$T,AY$3)</f>
        <v>0</v>
      </c>
      <c r="AZ162" s="166">
        <f>SUMIFS(服务费底表!$AC:$AC,服务费底表!$K:$K,服务费明细!$B162,服务费底表!$T:$T,AZ$3)</f>
        <v>0</v>
      </c>
      <c r="BA162" s="166">
        <f>SUMIFS(服务费底表!$AC:$AC,服务费底表!$K:$K,服务费明细!$B162,服务费底表!$T:$T,BA$3)</f>
        <v>0</v>
      </c>
      <c r="BB162" s="166">
        <f>SUMIFS(服务费底表!$AC:$AC,服务费底表!$K:$K,服务费明细!$B162,服务费底表!$T:$T,BB$3)</f>
        <v>0</v>
      </c>
      <c r="BC162" s="166">
        <f>SUMIFS(服务费底表!$AC:$AC,服务费底表!$K:$K,服务费明细!$B162,服务费底表!$T:$T,BC$3)</f>
        <v>0</v>
      </c>
      <c r="BD162" s="166">
        <f>SUMIFS(服务费底表!$AC:$AC,服务费底表!$K:$K,服务费明细!$B162,服务费底表!$T:$T,BD$3)</f>
        <v>0</v>
      </c>
      <c r="BE162" s="166">
        <f>SUMIFS(服务费底表!$AC:$AC,服务费底表!$K:$K,服务费明细!$B162,服务费底表!$T:$T,BE$3)</f>
        <v>0</v>
      </c>
      <c r="BF162" s="166">
        <f>SUMIFS(服务费底表!$AC:$AC,服务费底表!$K:$K,服务费明细!$B162,服务费底表!$T:$T,BF$3)</f>
        <v>0</v>
      </c>
      <c r="BG162" s="166">
        <f>SUMIFS(服务费底表!$AC:$AC,服务费底表!$K:$K,服务费明细!$B162,服务费底表!$T:$T,BG$3)</f>
        <v>0</v>
      </c>
      <c r="BI162" s="388">
        <f>SUMIFS(服务费底表!$AC:$AC,服务费底表!$K:$K,服务费明细!$B162,服务费底表!$H:$H,服务费明细!BI$3)</f>
        <v>0</v>
      </c>
      <c r="BJ162" s="388">
        <f>SUMIFS(服务费底表!$AC:$AC,服务费底表!$K:$K,服务费明细!$B162,服务费底表!$H:$H,服务费明细!BJ$3)</f>
        <v>0</v>
      </c>
      <c r="BK162" s="388">
        <f>SUMIFS(服务费底表!$AC:$AC,服务费底表!$K:$K,服务费明细!$B162,服务费底表!$H:$H,服务费明细!BK$3)</f>
        <v>0</v>
      </c>
      <c r="BL162" s="388">
        <f>SUMIFS(服务费底表!$AC:$AC,服务费底表!$K:$K,服务费明细!$B162,服务费底表!$H:$H,服务费明细!BL$3)</f>
        <v>0</v>
      </c>
      <c r="BM162" s="388">
        <f>SUMIFS(服务费底表!$AC:$AC,服务费底表!$K:$K,服务费明细!$B162,服务费底表!$H:$H,服务费明细!BM$3)</f>
        <v>0</v>
      </c>
      <c r="BN162" s="388">
        <f>SUMIFS(服务费底表!$AC:$AC,服务费底表!$K:$K,服务费明细!$B162,服务费底表!$H:$H,服务费明细!BN$3)</f>
        <v>0</v>
      </c>
      <c r="BO162" s="388">
        <f>SUMIFS(服务费底表!$AC:$AC,服务费底表!$K:$K,服务费明细!$B162,服务费底表!$H:$H,服务费明细!BO$3)</f>
        <v>0</v>
      </c>
      <c r="BQ162" s="389">
        <f>SUMIFS(服务费底表!$AD:$AD,服务费底表!$K:$K,服务费明细!$B162,服务费底表!$H:$H,服务费明细!BQ$3)</f>
        <v>0</v>
      </c>
      <c r="BR162" s="389">
        <f>SUMIFS(服务费底表!$AD:$AD,服务费底表!$K:$K,服务费明细!$B162,服务费底表!$H:$H,服务费明细!BR$3)</f>
        <v>0</v>
      </c>
      <c r="BS162" s="389">
        <f>SUMIFS(服务费底表!$AD:$AD,服务费底表!$K:$K,服务费明细!$B162,服务费底表!$H:$H,服务费明细!BS$3)</f>
        <v>0</v>
      </c>
      <c r="BT162" s="389">
        <f>SUMIFS(服务费底表!$AD:$AD,服务费底表!$K:$K,服务费明细!$B162,服务费底表!$H:$H,服务费明细!BT$3)</f>
        <v>0</v>
      </c>
      <c r="BU162" s="389">
        <f>SUMIFS(服务费底表!$AD:$AD,服务费底表!$K:$K,服务费明细!$B162,服务费底表!$H:$H,服务费明细!BU$3)</f>
        <v>0</v>
      </c>
      <c r="BV162" s="389">
        <f>SUMIFS(服务费底表!$AD:$AD,服务费底表!$K:$K,服务费明细!$B162,服务费底表!$H:$H,服务费明细!BV$3)</f>
        <v>0</v>
      </c>
      <c r="BW162" s="389">
        <f>SUMIFS(服务费底表!$AD:$AD,服务费底表!$K:$K,服务费明细!$B162,服务费底表!$H:$H,服务费明细!BW$3)</f>
        <v>0</v>
      </c>
    </row>
    <row r="163" spans="2:75">
      <c r="B163" s="89" t="s">
        <v>1082</v>
      </c>
      <c r="C163" s="89" t="str">
        <f>INDEX(二三级标准!$C:$C,MATCH(服务费明细!$B163,二三级标准!$B:$B,0))</f>
        <v>方案偏离列表运行</v>
      </c>
      <c r="D163" s="166">
        <v>0</v>
      </c>
      <c r="E163" s="166">
        <f>IF($D163=1,方案偏离列表运行次数,0)</f>
        <v>0</v>
      </c>
      <c r="F163" s="89" t="str">
        <f>INDEX(二三级标准!$G:$G,MATCH(服务费明细!$B163,二三级标准!$B:$B,0))</f>
        <v>次</v>
      </c>
      <c r="G163" s="166">
        <f t="shared" si="276"/>
        <v>0</v>
      </c>
      <c r="H163" s="166">
        <f t="shared" si="277"/>
        <v>0</v>
      </c>
      <c r="I163" s="166">
        <f t="shared" si="278"/>
        <v>0</v>
      </c>
      <c r="J163" s="166">
        <f t="shared" si="279"/>
        <v>0</v>
      </c>
      <c r="K163" s="166">
        <f t="shared" si="280"/>
        <v>0</v>
      </c>
      <c r="L163" s="166">
        <f t="shared" si="281"/>
        <v>0</v>
      </c>
      <c r="M163" s="166">
        <f t="shared" si="282"/>
        <v>0</v>
      </c>
      <c r="N163" s="166">
        <f t="shared" si="283"/>
        <v>0</v>
      </c>
      <c r="O163" s="166">
        <f t="shared" si="284"/>
        <v>0</v>
      </c>
      <c r="P163" s="166">
        <f t="shared" si="285"/>
        <v>0</v>
      </c>
      <c r="Q163" s="166">
        <f t="shared" si="286"/>
        <v>0</v>
      </c>
      <c r="R163" s="166">
        <f t="shared" si="287"/>
        <v>0</v>
      </c>
      <c r="S163" s="166">
        <f t="shared" si="288"/>
        <v>0</v>
      </c>
      <c r="T163" s="166">
        <f t="shared" si="289"/>
        <v>0</v>
      </c>
      <c r="U163" s="166">
        <f t="shared" si="290"/>
        <v>0</v>
      </c>
      <c r="V163" s="166">
        <f t="shared" si="291"/>
        <v>0</v>
      </c>
      <c r="W163" s="166">
        <f t="shared" si="292"/>
        <v>0</v>
      </c>
      <c r="X163" s="166">
        <f t="shared" si="293"/>
        <v>0</v>
      </c>
      <c r="Y163" s="166">
        <f t="shared" si="294"/>
        <v>0</v>
      </c>
      <c r="Z163" s="166">
        <f t="shared" si="295"/>
        <v>0</v>
      </c>
      <c r="AA163" s="166">
        <f t="shared" si="296"/>
        <v>0</v>
      </c>
      <c r="AB163" s="166">
        <f t="shared" si="297"/>
        <v>0</v>
      </c>
      <c r="AC163" s="166" cm="1">
        <f t="array" ref="AC163">SUMPRODUCT(G163:AB163,$G$4:$AB$4)</f>
        <v>0</v>
      </c>
      <c r="AD163" s="89" t="b">
        <f t="shared" si="298"/>
        <v>1</v>
      </c>
      <c r="AE163" s="386">
        <f>IFERROR(SUMIF(服务费底表!$K:$K,服务费明细!$B163,服务费底表!$AD:$AD)/E163,0)</f>
        <v>0</v>
      </c>
      <c r="AF163" s="386">
        <f t="shared" si="299"/>
        <v>0</v>
      </c>
      <c r="AG163" s="386">
        <f>IFERROR(SUMIF(服务费底表!$K:$K,服务费明细!$B163,服务费底表!$AG:$AG)/E163,0)</f>
        <v>0</v>
      </c>
      <c r="AH163" s="386">
        <f t="shared" si="300"/>
        <v>0</v>
      </c>
      <c r="AI163" s="577"/>
      <c r="AJ163" s="563">
        <f t="shared" si="301"/>
        <v>0</v>
      </c>
      <c r="AK163" s="564">
        <f>SUMIF(服务费底表!$K:$K,服务费明细!$B163,服务费底表!$AC:$AC)</f>
        <v>0</v>
      </c>
      <c r="AL163" s="166">
        <f>SUMIFS(服务费底表!$AC:$AC,服务费底表!$K:$K,服务费明细!$B163,服务费底表!$T:$T,AL$3)</f>
        <v>0</v>
      </c>
      <c r="AM163" s="166">
        <f>SUMIFS(服务费底表!$AC:$AC,服务费底表!$K:$K,服务费明细!$B163,服务费底表!$T:$T,AM$3)</f>
        <v>0</v>
      </c>
      <c r="AN163" s="166">
        <f>SUMIFS(服务费底表!$AC:$AC,服务费底表!$K:$K,服务费明细!$B163,服务费底表!$T:$T,AN$3)</f>
        <v>0</v>
      </c>
      <c r="AO163" s="166">
        <f>SUMIFS(服务费底表!$AC:$AC,服务费底表!$K:$K,服务费明细!$B163,服务费底表!$T:$T,AO$3)</f>
        <v>0</v>
      </c>
      <c r="AP163" s="166">
        <f>SUMIFS(服务费底表!$AC:$AC,服务费底表!$K:$K,服务费明细!$B163,服务费底表!$T:$T,AP$3)</f>
        <v>0</v>
      </c>
      <c r="AQ163" s="166">
        <f>SUMIFS(服务费底表!$AC:$AC,服务费底表!$K:$K,服务费明细!$B163,服务费底表!$T:$T,AQ$3)</f>
        <v>0</v>
      </c>
      <c r="AR163" s="166">
        <f>SUMIFS(服务费底表!$AC:$AC,服务费底表!$K:$K,服务费明细!$B163,服务费底表!$T:$T,AR$3)</f>
        <v>0</v>
      </c>
      <c r="AS163" s="166">
        <f>SUMIFS(服务费底表!$AC:$AC,服务费底表!$K:$K,服务费明细!$B163,服务费底表!$T:$T,AS$3)</f>
        <v>0</v>
      </c>
      <c r="AT163" s="166">
        <f>SUMIFS(服务费底表!$AC:$AC,服务费底表!$K:$K,服务费明细!$B163,服务费底表!$T:$T,AT$3)</f>
        <v>0</v>
      </c>
      <c r="AU163" s="166">
        <f>SUMIFS(服务费底表!$AC:$AC,服务费底表!$K:$K,服务费明细!$B163,服务费底表!$T:$T,AU$3)</f>
        <v>0</v>
      </c>
      <c r="AV163" s="166">
        <f>SUMIFS(服务费底表!$AC:$AC,服务费底表!$K:$K,服务费明细!$B163,服务费底表!$T:$T,AV$3)</f>
        <v>0</v>
      </c>
      <c r="AW163" s="166">
        <f>SUMIFS(服务费底表!$AC:$AC,服务费底表!$K:$K,服务费明细!$B163,服务费底表!$T:$T,AW$3)</f>
        <v>0</v>
      </c>
      <c r="AX163" s="166">
        <f>SUMIFS(服务费底表!$AC:$AC,服务费底表!$K:$K,服务费明细!$B163,服务费底表!$T:$T,AX$3)</f>
        <v>0</v>
      </c>
      <c r="AY163" s="166">
        <f>SUMIFS(服务费底表!$AC:$AC,服务费底表!$K:$K,服务费明细!$B163,服务费底表!$T:$T,AY$3)</f>
        <v>0</v>
      </c>
      <c r="AZ163" s="166">
        <f>SUMIFS(服务费底表!$AC:$AC,服务费底表!$K:$K,服务费明细!$B163,服务费底表!$T:$T,AZ$3)</f>
        <v>0</v>
      </c>
      <c r="BA163" s="166">
        <f>SUMIFS(服务费底表!$AC:$AC,服务费底表!$K:$K,服务费明细!$B163,服务费底表!$T:$T,BA$3)</f>
        <v>0</v>
      </c>
      <c r="BB163" s="166">
        <f>SUMIFS(服务费底表!$AC:$AC,服务费底表!$K:$K,服务费明细!$B163,服务费底表!$T:$T,BB$3)</f>
        <v>0</v>
      </c>
      <c r="BC163" s="166">
        <f>SUMIFS(服务费底表!$AC:$AC,服务费底表!$K:$K,服务费明细!$B163,服务费底表!$T:$T,BC$3)</f>
        <v>0</v>
      </c>
      <c r="BD163" s="166">
        <f>SUMIFS(服务费底表!$AC:$AC,服务费底表!$K:$K,服务费明细!$B163,服务费底表!$T:$T,BD$3)</f>
        <v>0</v>
      </c>
      <c r="BE163" s="166">
        <f>SUMIFS(服务费底表!$AC:$AC,服务费底表!$K:$K,服务费明细!$B163,服务费底表!$T:$T,BE$3)</f>
        <v>0</v>
      </c>
      <c r="BF163" s="166">
        <f>SUMIFS(服务费底表!$AC:$AC,服务费底表!$K:$K,服务费明细!$B163,服务费底表!$T:$T,BF$3)</f>
        <v>0</v>
      </c>
      <c r="BG163" s="166">
        <f>SUMIFS(服务费底表!$AC:$AC,服务费底表!$K:$K,服务费明细!$B163,服务费底表!$T:$T,BG$3)</f>
        <v>0</v>
      </c>
      <c r="BI163" s="388">
        <f>SUMIFS(服务费底表!$AC:$AC,服务费底表!$K:$K,服务费明细!$B163,服务费底表!$H:$H,服务费明细!BI$3)</f>
        <v>0</v>
      </c>
      <c r="BJ163" s="388">
        <f>SUMIFS(服务费底表!$AC:$AC,服务费底表!$K:$K,服务费明细!$B163,服务费底表!$H:$H,服务费明细!BJ$3)</f>
        <v>0</v>
      </c>
      <c r="BK163" s="388">
        <f>SUMIFS(服务费底表!$AC:$AC,服务费底表!$K:$K,服务费明细!$B163,服务费底表!$H:$H,服务费明细!BK$3)</f>
        <v>0</v>
      </c>
      <c r="BL163" s="388">
        <f>SUMIFS(服务费底表!$AC:$AC,服务费底表!$K:$K,服务费明细!$B163,服务费底表!$H:$H,服务费明细!BL$3)</f>
        <v>0</v>
      </c>
      <c r="BM163" s="388">
        <f>SUMIFS(服务费底表!$AC:$AC,服务费底表!$K:$K,服务费明细!$B163,服务费底表!$H:$H,服务费明细!BM$3)</f>
        <v>0</v>
      </c>
      <c r="BN163" s="388">
        <f>SUMIFS(服务费底表!$AC:$AC,服务费底表!$K:$K,服务费明细!$B163,服务费底表!$H:$H,服务费明细!BN$3)</f>
        <v>0</v>
      </c>
      <c r="BO163" s="388">
        <f>SUMIFS(服务费底表!$AC:$AC,服务费底表!$K:$K,服务费明细!$B163,服务费底表!$H:$H,服务费明细!BO$3)</f>
        <v>0</v>
      </c>
      <c r="BQ163" s="389">
        <f>SUMIFS(服务费底表!$AD:$AD,服务费底表!$K:$K,服务费明细!$B163,服务费底表!$H:$H,服务费明细!BQ$3)</f>
        <v>0</v>
      </c>
      <c r="BR163" s="389">
        <f>SUMIFS(服务费底表!$AD:$AD,服务费底表!$K:$K,服务费明细!$B163,服务费底表!$H:$H,服务费明细!BR$3)</f>
        <v>0</v>
      </c>
      <c r="BS163" s="389">
        <f>SUMIFS(服务费底表!$AD:$AD,服务费底表!$K:$K,服务费明细!$B163,服务费底表!$H:$H,服务费明细!BS$3)</f>
        <v>0</v>
      </c>
      <c r="BT163" s="389">
        <f>SUMIFS(服务费底表!$AD:$AD,服务费底表!$K:$K,服务费明细!$B163,服务费底表!$H:$H,服务费明细!BT$3)</f>
        <v>0</v>
      </c>
      <c r="BU163" s="389">
        <f>SUMIFS(服务费底表!$AD:$AD,服务费底表!$K:$K,服务费明细!$B163,服务费底表!$H:$H,服务费明细!BU$3)</f>
        <v>0</v>
      </c>
      <c r="BV163" s="389">
        <f>SUMIFS(服务费底表!$AD:$AD,服务费底表!$K:$K,服务费明细!$B163,服务费底表!$H:$H,服务费明细!BV$3)</f>
        <v>0</v>
      </c>
      <c r="BW163" s="389">
        <f>SUMIFS(服务费底表!$AD:$AD,服务费底表!$K:$K,服务费明细!$B163,服务费底表!$H:$H,服务费明细!BW$3)</f>
        <v>0</v>
      </c>
    </row>
    <row r="164" spans="2:75">
      <c r="B164" s="89" t="s">
        <v>1083</v>
      </c>
      <c r="C164" s="89" t="str">
        <f>INDEX(二三级标准!$C:$C,MATCH(服务费明细!$B164,二三级标准!$B:$B,0))</f>
        <v>撰写DSMB/DMC/IDMC章程</v>
      </c>
      <c r="D164" s="166">
        <v>0</v>
      </c>
      <c r="E164" s="166">
        <f>IF($D164=1,1,0)</f>
        <v>0</v>
      </c>
      <c r="F164" s="89" t="str">
        <f>INDEX(二三级标准!$G:$G,MATCH(服务费明细!$B164,二三级标准!$B:$B,0))</f>
        <v>份</v>
      </c>
      <c r="G164" s="166">
        <f t="shared" si="276"/>
        <v>0</v>
      </c>
      <c r="H164" s="166">
        <f t="shared" si="277"/>
        <v>0</v>
      </c>
      <c r="I164" s="166">
        <f t="shared" si="278"/>
        <v>0</v>
      </c>
      <c r="J164" s="166">
        <f t="shared" si="279"/>
        <v>0</v>
      </c>
      <c r="K164" s="166">
        <f t="shared" si="280"/>
        <v>0</v>
      </c>
      <c r="L164" s="166">
        <f t="shared" si="281"/>
        <v>0</v>
      </c>
      <c r="M164" s="166">
        <f t="shared" si="282"/>
        <v>0</v>
      </c>
      <c r="N164" s="166">
        <f t="shared" si="283"/>
        <v>0</v>
      </c>
      <c r="O164" s="166">
        <f t="shared" si="284"/>
        <v>0</v>
      </c>
      <c r="P164" s="166">
        <f t="shared" si="285"/>
        <v>0</v>
      </c>
      <c r="Q164" s="166">
        <f t="shared" si="286"/>
        <v>0</v>
      </c>
      <c r="R164" s="166">
        <f t="shared" si="287"/>
        <v>0</v>
      </c>
      <c r="S164" s="166">
        <f t="shared" si="288"/>
        <v>0</v>
      </c>
      <c r="T164" s="166">
        <f t="shared" si="289"/>
        <v>0</v>
      </c>
      <c r="U164" s="166">
        <f t="shared" si="290"/>
        <v>0</v>
      </c>
      <c r="V164" s="166">
        <f t="shared" si="291"/>
        <v>0</v>
      </c>
      <c r="W164" s="166">
        <f t="shared" si="292"/>
        <v>0</v>
      </c>
      <c r="X164" s="166">
        <f t="shared" si="293"/>
        <v>0</v>
      </c>
      <c r="Y164" s="166">
        <f t="shared" si="294"/>
        <v>0</v>
      </c>
      <c r="Z164" s="166">
        <f t="shared" si="295"/>
        <v>0</v>
      </c>
      <c r="AA164" s="166">
        <f t="shared" si="296"/>
        <v>0</v>
      </c>
      <c r="AB164" s="166">
        <f t="shared" si="297"/>
        <v>0</v>
      </c>
      <c r="AC164" s="166" cm="1">
        <f t="array" ref="AC164">SUMPRODUCT(G164:AB164,$G$4:$AB$4)</f>
        <v>0</v>
      </c>
      <c r="AD164" s="89" t="b">
        <f t="shared" si="298"/>
        <v>1</v>
      </c>
      <c r="AE164" s="386">
        <f>IFERROR(SUMIF(服务费底表!$K:$K,服务费明细!$B164,服务费底表!$AD:$AD)/E164,0)</f>
        <v>0</v>
      </c>
      <c r="AF164" s="386">
        <f t="shared" si="299"/>
        <v>0</v>
      </c>
      <c r="AG164" s="386">
        <f>IFERROR(SUMIF(服务费底表!$K:$K,服务费明细!$B164,服务费底表!$AG:$AG)/E164,0)</f>
        <v>0</v>
      </c>
      <c r="AH164" s="386">
        <f t="shared" si="300"/>
        <v>0</v>
      </c>
      <c r="AI164" s="577"/>
      <c r="AJ164" s="563">
        <f t="shared" si="301"/>
        <v>0</v>
      </c>
      <c r="AK164" s="564">
        <f>SUMIF(服务费底表!$K:$K,服务费明细!$B164,服务费底表!$AC:$AC)</f>
        <v>0</v>
      </c>
      <c r="AL164" s="166">
        <f>SUMIFS(服务费底表!$AC:$AC,服务费底表!$K:$K,服务费明细!$B164,服务费底表!$T:$T,AL$3)</f>
        <v>0</v>
      </c>
      <c r="AM164" s="166">
        <f>SUMIFS(服务费底表!$AC:$AC,服务费底表!$K:$K,服务费明细!$B164,服务费底表!$T:$T,AM$3)</f>
        <v>0</v>
      </c>
      <c r="AN164" s="166">
        <f>SUMIFS(服务费底表!$AC:$AC,服务费底表!$K:$K,服务费明细!$B164,服务费底表!$T:$T,AN$3)</f>
        <v>0</v>
      </c>
      <c r="AO164" s="166">
        <f>SUMIFS(服务费底表!$AC:$AC,服务费底表!$K:$K,服务费明细!$B164,服务费底表!$T:$T,AO$3)</f>
        <v>0</v>
      </c>
      <c r="AP164" s="166">
        <f>SUMIFS(服务费底表!$AC:$AC,服务费底表!$K:$K,服务费明细!$B164,服务费底表!$T:$T,AP$3)</f>
        <v>0</v>
      </c>
      <c r="AQ164" s="166">
        <f>SUMIFS(服务费底表!$AC:$AC,服务费底表!$K:$K,服务费明细!$B164,服务费底表!$T:$T,AQ$3)</f>
        <v>0</v>
      </c>
      <c r="AR164" s="166">
        <f>SUMIFS(服务费底表!$AC:$AC,服务费底表!$K:$K,服务费明细!$B164,服务费底表!$T:$T,AR$3)</f>
        <v>0</v>
      </c>
      <c r="AS164" s="166">
        <f>SUMIFS(服务费底表!$AC:$AC,服务费底表!$K:$K,服务费明细!$B164,服务费底表!$T:$T,AS$3)</f>
        <v>0</v>
      </c>
      <c r="AT164" s="166">
        <f>SUMIFS(服务费底表!$AC:$AC,服务费底表!$K:$K,服务费明细!$B164,服务费底表!$T:$T,AT$3)</f>
        <v>0</v>
      </c>
      <c r="AU164" s="166">
        <f>SUMIFS(服务费底表!$AC:$AC,服务费底表!$K:$K,服务费明细!$B164,服务费底表!$T:$T,AU$3)</f>
        <v>0</v>
      </c>
      <c r="AV164" s="166">
        <f>SUMIFS(服务费底表!$AC:$AC,服务费底表!$K:$K,服务费明细!$B164,服务费底表!$T:$T,AV$3)</f>
        <v>0</v>
      </c>
      <c r="AW164" s="166">
        <f>SUMIFS(服务费底表!$AC:$AC,服务费底表!$K:$K,服务费明细!$B164,服务费底表!$T:$T,AW$3)</f>
        <v>0</v>
      </c>
      <c r="AX164" s="166">
        <f>SUMIFS(服务费底表!$AC:$AC,服务费底表!$K:$K,服务费明细!$B164,服务费底表!$T:$T,AX$3)</f>
        <v>0</v>
      </c>
      <c r="AY164" s="166">
        <f>SUMIFS(服务费底表!$AC:$AC,服务费底表!$K:$K,服务费明细!$B164,服务费底表!$T:$T,AY$3)</f>
        <v>0</v>
      </c>
      <c r="AZ164" s="166">
        <f>SUMIFS(服务费底表!$AC:$AC,服务费底表!$K:$K,服务费明细!$B164,服务费底表!$T:$T,AZ$3)</f>
        <v>0</v>
      </c>
      <c r="BA164" s="166">
        <f>SUMIFS(服务费底表!$AC:$AC,服务费底表!$K:$K,服务费明细!$B164,服务费底表!$T:$T,BA$3)</f>
        <v>0</v>
      </c>
      <c r="BB164" s="166">
        <f>SUMIFS(服务费底表!$AC:$AC,服务费底表!$K:$K,服务费明细!$B164,服务费底表!$T:$T,BB$3)</f>
        <v>0</v>
      </c>
      <c r="BC164" s="166">
        <f>SUMIFS(服务费底表!$AC:$AC,服务费底表!$K:$K,服务费明细!$B164,服务费底表!$T:$T,BC$3)</f>
        <v>0</v>
      </c>
      <c r="BD164" s="166">
        <f>SUMIFS(服务费底表!$AC:$AC,服务费底表!$K:$K,服务费明细!$B164,服务费底表!$T:$T,BD$3)</f>
        <v>0</v>
      </c>
      <c r="BE164" s="166">
        <f>SUMIFS(服务费底表!$AC:$AC,服务费底表!$K:$K,服务费明细!$B164,服务费底表!$T:$T,BE$3)</f>
        <v>0</v>
      </c>
      <c r="BF164" s="166">
        <f>SUMIFS(服务费底表!$AC:$AC,服务费底表!$K:$K,服务费明细!$B164,服务费底表!$T:$T,BF$3)</f>
        <v>0</v>
      </c>
      <c r="BG164" s="166">
        <f>SUMIFS(服务费底表!$AC:$AC,服务费底表!$K:$K,服务费明细!$B164,服务费底表!$T:$T,BG$3)</f>
        <v>0</v>
      </c>
      <c r="BI164" s="388">
        <f>SUMIFS(服务费底表!$AC:$AC,服务费底表!$K:$K,服务费明细!$B164,服务费底表!$H:$H,服务费明细!BI$3)</f>
        <v>0</v>
      </c>
      <c r="BJ164" s="388">
        <f>SUMIFS(服务费底表!$AC:$AC,服务费底表!$K:$K,服务费明细!$B164,服务费底表!$H:$H,服务费明细!BJ$3)</f>
        <v>0</v>
      </c>
      <c r="BK164" s="388">
        <f>SUMIFS(服务费底表!$AC:$AC,服务费底表!$K:$K,服务费明细!$B164,服务费底表!$H:$H,服务费明细!BK$3)</f>
        <v>0</v>
      </c>
      <c r="BL164" s="388">
        <f>SUMIFS(服务费底表!$AC:$AC,服务费底表!$K:$K,服务费明细!$B164,服务费底表!$H:$H,服务费明细!BL$3)</f>
        <v>0</v>
      </c>
      <c r="BM164" s="388">
        <f>SUMIFS(服务费底表!$AC:$AC,服务费底表!$K:$K,服务费明细!$B164,服务费底表!$H:$H,服务费明细!BM$3)</f>
        <v>0</v>
      </c>
      <c r="BN164" s="388">
        <f>SUMIFS(服务费底表!$AC:$AC,服务费底表!$K:$K,服务费明细!$B164,服务费底表!$H:$H,服务费明细!BN$3)</f>
        <v>0</v>
      </c>
      <c r="BO164" s="388">
        <f>SUMIFS(服务费底表!$AC:$AC,服务费底表!$K:$K,服务费明细!$B164,服务费底表!$H:$H,服务费明细!BO$3)</f>
        <v>0</v>
      </c>
      <c r="BQ164" s="389">
        <f>SUMIFS(服务费底表!$AD:$AD,服务费底表!$K:$K,服务费明细!$B164,服务费底表!$H:$H,服务费明细!BQ$3)</f>
        <v>0</v>
      </c>
      <c r="BR164" s="389">
        <f>SUMIFS(服务费底表!$AD:$AD,服务费底表!$K:$K,服务费明细!$B164,服务费底表!$H:$H,服务费明细!BR$3)</f>
        <v>0</v>
      </c>
      <c r="BS164" s="389">
        <f>SUMIFS(服务费底表!$AD:$AD,服务费底表!$K:$K,服务费明细!$B164,服务费底表!$H:$H,服务费明细!BS$3)</f>
        <v>0</v>
      </c>
      <c r="BT164" s="389">
        <f>SUMIFS(服务费底表!$AD:$AD,服务费底表!$K:$K,服务费明细!$B164,服务费底表!$H:$H,服务费明细!BT$3)</f>
        <v>0</v>
      </c>
      <c r="BU164" s="389">
        <f>SUMIFS(服务费底表!$AD:$AD,服务费底表!$K:$K,服务费明细!$B164,服务费底表!$H:$H,服务费明细!BU$3)</f>
        <v>0</v>
      </c>
      <c r="BV164" s="389">
        <f>SUMIFS(服务费底表!$AD:$AD,服务费底表!$K:$K,服务费明细!$B164,服务费底表!$H:$H,服务费明细!BV$3)</f>
        <v>0</v>
      </c>
      <c r="BW164" s="389">
        <f>SUMIFS(服务费底表!$AD:$AD,服务费底表!$K:$K,服务费明细!$B164,服务费底表!$H:$H,服务费明细!BW$3)</f>
        <v>0</v>
      </c>
    </row>
    <row r="165" spans="2:75">
      <c r="B165" s="89" t="s">
        <v>1084</v>
      </c>
      <c r="C165" s="89" t="str">
        <f>INDEX(二三级标准!$C:$C,MATCH(服务费明细!$B165,二三级标准!$B:$B,0))</f>
        <v>撰写DSMB/DMC/IDMC统计分析计划</v>
      </c>
      <c r="D165" s="166">
        <v>0</v>
      </c>
      <c r="E165" s="166">
        <f>IF($D165=1,1,0)</f>
        <v>0</v>
      </c>
      <c r="F165" s="89" t="str">
        <f>INDEX(二三级标准!$G:$G,MATCH(服务费明细!$B165,二三级标准!$B:$B,0))</f>
        <v>份</v>
      </c>
      <c r="G165" s="166">
        <f t="shared" si="276"/>
        <v>0</v>
      </c>
      <c r="H165" s="166">
        <f t="shared" si="277"/>
        <v>0</v>
      </c>
      <c r="I165" s="166">
        <f t="shared" si="278"/>
        <v>0</v>
      </c>
      <c r="J165" s="166">
        <f t="shared" si="279"/>
        <v>0</v>
      </c>
      <c r="K165" s="166">
        <f t="shared" si="280"/>
        <v>0</v>
      </c>
      <c r="L165" s="166">
        <f t="shared" si="281"/>
        <v>0</v>
      </c>
      <c r="M165" s="166">
        <f t="shared" si="282"/>
        <v>0</v>
      </c>
      <c r="N165" s="166">
        <f t="shared" si="283"/>
        <v>0</v>
      </c>
      <c r="O165" s="166">
        <f t="shared" si="284"/>
        <v>0</v>
      </c>
      <c r="P165" s="166">
        <f t="shared" si="285"/>
        <v>0</v>
      </c>
      <c r="Q165" s="166">
        <f t="shared" si="286"/>
        <v>0</v>
      </c>
      <c r="R165" s="166">
        <f t="shared" si="287"/>
        <v>0</v>
      </c>
      <c r="S165" s="166">
        <f t="shared" si="288"/>
        <v>0</v>
      </c>
      <c r="T165" s="166">
        <f t="shared" si="289"/>
        <v>0</v>
      </c>
      <c r="U165" s="166">
        <f t="shared" si="290"/>
        <v>0</v>
      </c>
      <c r="V165" s="166">
        <f t="shared" si="291"/>
        <v>0</v>
      </c>
      <c r="W165" s="166">
        <f t="shared" si="292"/>
        <v>0</v>
      </c>
      <c r="X165" s="166">
        <f t="shared" si="293"/>
        <v>0</v>
      </c>
      <c r="Y165" s="166">
        <f t="shared" si="294"/>
        <v>0</v>
      </c>
      <c r="Z165" s="166">
        <f t="shared" si="295"/>
        <v>0</v>
      </c>
      <c r="AA165" s="166">
        <f t="shared" si="296"/>
        <v>0</v>
      </c>
      <c r="AB165" s="166">
        <f t="shared" si="297"/>
        <v>0</v>
      </c>
      <c r="AC165" s="166" cm="1">
        <f t="array" ref="AC165">SUMPRODUCT(G165:AB165,$G$4:$AB$4)</f>
        <v>0</v>
      </c>
      <c r="AD165" s="89" t="b">
        <f t="shared" si="298"/>
        <v>1</v>
      </c>
      <c r="AE165" s="386">
        <f>IFERROR(SUMIF(服务费底表!$K:$K,服务费明细!$B165,服务费底表!$AD:$AD)/E165,0)</f>
        <v>0</v>
      </c>
      <c r="AF165" s="386">
        <f t="shared" si="299"/>
        <v>0</v>
      </c>
      <c r="AG165" s="386">
        <f>IFERROR(SUMIF(服务费底表!$K:$K,服务费明细!$B165,服务费底表!$AG:$AG)/E165,0)</f>
        <v>0</v>
      </c>
      <c r="AH165" s="386">
        <f t="shared" si="300"/>
        <v>0</v>
      </c>
      <c r="AI165" s="577"/>
      <c r="AJ165" s="563">
        <f t="shared" si="301"/>
        <v>0</v>
      </c>
      <c r="AK165" s="564">
        <f>SUMIF(服务费底表!$K:$K,服务费明细!$B165,服务费底表!$AC:$AC)</f>
        <v>0</v>
      </c>
      <c r="AL165" s="166">
        <f>SUMIFS(服务费底表!$AC:$AC,服务费底表!$K:$K,服务费明细!$B165,服务费底表!$T:$T,AL$3)</f>
        <v>0</v>
      </c>
      <c r="AM165" s="166">
        <f>SUMIFS(服务费底表!$AC:$AC,服务费底表!$K:$K,服务费明细!$B165,服务费底表!$T:$T,AM$3)</f>
        <v>0</v>
      </c>
      <c r="AN165" s="166">
        <f>SUMIFS(服务费底表!$AC:$AC,服务费底表!$K:$K,服务费明细!$B165,服务费底表!$T:$T,AN$3)</f>
        <v>0</v>
      </c>
      <c r="AO165" s="166">
        <f>SUMIFS(服务费底表!$AC:$AC,服务费底表!$K:$K,服务费明细!$B165,服务费底表!$T:$T,AO$3)</f>
        <v>0</v>
      </c>
      <c r="AP165" s="166">
        <f>SUMIFS(服务费底表!$AC:$AC,服务费底表!$K:$K,服务费明细!$B165,服务费底表!$T:$T,AP$3)</f>
        <v>0</v>
      </c>
      <c r="AQ165" s="166">
        <f>SUMIFS(服务费底表!$AC:$AC,服务费底表!$K:$K,服务费明细!$B165,服务费底表!$T:$T,AQ$3)</f>
        <v>0</v>
      </c>
      <c r="AR165" s="166">
        <f>SUMIFS(服务费底表!$AC:$AC,服务费底表!$K:$K,服务费明细!$B165,服务费底表!$T:$T,AR$3)</f>
        <v>0</v>
      </c>
      <c r="AS165" s="166">
        <f>SUMIFS(服务费底表!$AC:$AC,服务费底表!$K:$K,服务费明细!$B165,服务费底表!$T:$T,AS$3)</f>
        <v>0</v>
      </c>
      <c r="AT165" s="166">
        <f>SUMIFS(服务费底表!$AC:$AC,服务费底表!$K:$K,服务费明细!$B165,服务费底表!$T:$T,AT$3)</f>
        <v>0</v>
      </c>
      <c r="AU165" s="166">
        <f>SUMIFS(服务费底表!$AC:$AC,服务费底表!$K:$K,服务费明细!$B165,服务费底表!$T:$T,AU$3)</f>
        <v>0</v>
      </c>
      <c r="AV165" s="166">
        <f>SUMIFS(服务费底表!$AC:$AC,服务费底表!$K:$K,服务费明细!$B165,服务费底表!$T:$T,AV$3)</f>
        <v>0</v>
      </c>
      <c r="AW165" s="166">
        <f>SUMIFS(服务费底表!$AC:$AC,服务费底表!$K:$K,服务费明细!$B165,服务费底表!$T:$T,AW$3)</f>
        <v>0</v>
      </c>
      <c r="AX165" s="166">
        <f>SUMIFS(服务费底表!$AC:$AC,服务费底表!$K:$K,服务费明细!$B165,服务费底表!$T:$T,AX$3)</f>
        <v>0</v>
      </c>
      <c r="AY165" s="166">
        <f>SUMIFS(服务费底表!$AC:$AC,服务费底表!$K:$K,服务费明细!$B165,服务费底表!$T:$T,AY$3)</f>
        <v>0</v>
      </c>
      <c r="AZ165" s="166">
        <f>SUMIFS(服务费底表!$AC:$AC,服务费底表!$K:$K,服务费明细!$B165,服务费底表!$T:$T,AZ$3)</f>
        <v>0</v>
      </c>
      <c r="BA165" s="166">
        <f>SUMIFS(服务费底表!$AC:$AC,服务费底表!$K:$K,服务费明细!$B165,服务费底表!$T:$T,BA$3)</f>
        <v>0</v>
      </c>
      <c r="BB165" s="166">
        <f>SUMIFS(服务费底表!$AC:$AC,服务费底表!$K:$K,服务费明细!$B165,服务费底表!$T:$T,BB$3)</f>
        <v>0</v>
      </c>
      <c r="BC165" s="166">
        <f>SUMIFS(服务费底表!$AC:$AC,服务费底表!$K:$K,服务费明细!$B165,服务费底表!$T:$T,BC$3)</f>
        <v>0</v>
      </c>
      <c r="BD165" s="166">
        <f>SUMIFS(服务费底表!$AC:$AC,服务费底表!$K:$K,服务费明细!$B165,服务费底表!$T:$T,BD$3)</f>
        <v>0</v>
      </c>
      <c r="BE165" s="166">
        <f>SUMIFS(服务费底表!$AC:$AC,服务费底表!$K:$K,服务费明细!$B165,服务费底表!$T:$T,BE$3)</f>
        <v>0</v>
      </c>
      <c r="BF165" s="166">
        <f>SUMIFS(服务费底表!$AC:$AC,服务费底表!$K:$K,服务费明细!$B165,服务费底表!$T:$T,BF$3)</f>
        <v>0</v>
      </c>
      <c r="BG165" s="166">
        <f>SUMIFS(服务费底表!$AC:$AC,服务费底表!$K:$K,服务费明细!$B165,服务费底表!$T:$T,BG$3)</f>
        <v>0</v>
      </c>
      <c r="BI165" s="388">
        <f>SUMIFS(服务费底表!$AC:$AC,服务费底表!$K:$K,服务费明细!$B165,服务费底表!$H:$H,服务费明细!BI$3)</f>
        <v>0</v>
      </c>
      <c r="BJ165" s="388">
        <f>SUMIFS(服务费底表!$AC:$AC,服务费底表!$K:$K,服务费明细!$B165,服务费底表!$H:$H,服务费明细!BJ$3)</f>
        <v>0</v>
      </c>
      <c r="BK165" s="388">
        <f>SUMIFS(服务费底表!$AC:$AC,服务费底表!$K:$K,服务费明细!$B165,服务费底表!$H:$H,服务费明细!BK$3)</f>
        <v>0</v>
      </c>
      <c r="BL165" s="388">
        <f>SUMIFS(服务费底表!$AC:$AC,服务费底表!$K:$K,服务费明细!$B165,服务费底表!$H:$H,服务费明细!BL$3)</f>
        <v>0</v>
      </c>
      <c r="BM165" s="388">
        <f>SUMIFS(服务费底表!$AC:$AC,服务费底表!$K:$K,服务费明细!$B165,服务费底表!$H:$H,服务费明细!BM$3)</f>
        <v>0</v>
      </c>
      <c r="BN165" s="388">
        <f>SUMIFS(服务费底表!$AC:$AC,服务费底表!$K:$K,服务费明细!$B165,服务费底表!$H:$H,服务费明细!BN$3)</f>
        <v>0</v>
      </c>
      <c r="BO165" s="388">
        <f>SUMIFS(服务费底表!$AC:$AC,服务费底表!$K:$K,服务费明细!$B165,服务费底表!$H:$H,服务费明细!BO$3)</f>
        <v>0</v>
      </c>
      <c r="BQ165" s="389">
        <f>SUMIFS(服务费底表!$AD:$AD,服务费底表!$K:$K,服务费明细!$B165,服务费底表!$H:$H,服务费明细!BQ$3)</f>
        <v>0</v>
      </c>
      <c r="BR165" s="389">
        <f>SUMIFS(服务费底表!$AD:$AD,服务费底表!$K:$K,服务费明细!$B165,服务费底表!$H:$H,服务费明细!BR$3)</f>
        <v>0</v>
      </c>
      <c r="BS165" s="389">
        <f>SUMIFS(服务费底表!$AD:$AD,服务费底表!$K:$K,服务费明细!$B165,服务费底表!$H:$H,服务费明细!BS$3)</f>
        <v>0</v>
      </c>
      <c r="BT165" s="389">
        <f>SUMIFS(服务费底表!$AD:$AD,服务费底表!$K:$K,服务费明细!$B165,服务费底表!$H:$H,服务费明细!BT$3)</f>
        <v>0</v>
      </c>
      <c r="BU165" s="389">
        <f>SUMIFS(服务费底表!$AD:$AD,服务费底表!$K:$K,服务费明细!$B165,服务费底表!$H:$H,服务费明细!BU$3)</f>
        <v>0</v>
      </c>
      <c r="BV165" s="389">
        <f>SUMIFS(服务费底表!$AD:$AD,服务费底表!$K:$K,服务费明细!$B165,服务费底表!$H:$H,服务费明细!BV$3)</f>
        <v>0</v>
      </c>
      <c r="BW165" s="389">
        <f>SUMIFS(服务费底表!$AD:$AD,服务费底表!$K:$K,服务费明细!$B165,服务费底表!$H:$H,服务费明细!BW$3)</f>
        <v>0</v>
      </c>
    </row>
    <row r="166" spans="2:75">
      <c r="B166" s="89" t="s">
        <v>1085</v>
      </c>
      <c r="C166" s="89" t="str">
        <f>INDEX(二三级标准!$C:$C,MATCH(服务费明细!$B166,二三级标准!$B:$B,0))</f>
        <v>制定DSMB/DMC/IDMC统计TFLs模版</v>
      </c>
      <c r="D166" s="166">
        <v>0</v>
      </c>
      <c r="E166" s="166">
        <f t="shared" ref="E166:E172" si="303">IF($D166=1,1,0)</f>
        <v>0</v>
      </c>
      <c r="F166" s="89" t="str">
        <f>INDEX(二三级标准!$G:$G,MATCH(服务费明细!$B166,二三级标准!$B:$B,0))</f>
        <v>份</v>
      </c>
      <c r="G166" s="166">
        <f t="shared" si="276"/>
        <v>0</v>
      </c>
      <c r="H166" s="166">
        <f t="shared" si="277"/>
        <v>0</v>
      </c>
      <c r="I166" s="166">
        <f t="shared" si="278"/>
        <v>0</v>
      </c>
      <c r="J166" s="166">
        <f t="shared" si="279"/>
        <v>0</v>
      </c>
      <c r="K166" s="166">
        <f t="shared" si="280"/>
        <v>0</v>
      </c>
      <c r="L166" s="166">
        <f t="shared" si="281"/>
        <v>0</v>
      </c>
      <c r="M166" s="166">
        <f t="shared" si="282"/>
        <v>0</v>
      </c>
      <c r="N166" s="166">
        <f t="shared" si="283"/>
        <v>0</v>
      </c>
      <c r="O166" s="166">
        <f t="shared" si="284"/>
        <v>0</v>
      </c>
      <c r="P166" s="166">
        <f t="shared" si="285"/>
        <v>0</v>
      </c>
      <c r="Q166" s="166">
        <f t="shared" si="286"/>
        <v>0</v>
      </c>
      <c r="R166" s="166">
        <f t="shared" si="287"/>
        <v>0</v>
      </c>
      <c r="S166" s="166">
        <f t="shared" si="288"/>
        <v>0</v>
      </c>
      <c r="T166" s="166">
        <f t="shared" si="289"/>
        <v>0</v>
      </c>
      <c r="U166" s="166">
        <f t="shared" si="290"/>
        <v>0</v>
      </c>
      <c r="V166" s="166">
        <f t="shared" si="291"/>
        <v>0</v>
      </c>
      <c r="W166" s="166">
        <f t="shared" si="292"/>
        <v>0</v>
      </c>
      <c r="X166" s="166">
        <f t="shared" si="293"/>
        <v>0</v>
      </c>
      <c r="Y166" s="166">
        <f t="shared" si="294"/>
        <v>0</v>
      </c>
      <c r="Z166" s="166">
        <f t="shared" si="295"/>
        <v>0</v>
      </c>
      <c r="AA166" s="166">
        <f t="shared" si="296"/>
        <v>0</v>
      </c>
      <c r="AB166" s="166">
        <f t="shared" si="297"/>
        <v>0</v>
      </c>
      <c r="AC166" s="166" cm="1">
        <f t="array" ref="AC166">SUMPRODUCT(G166:AB166,$G$4:$AB$4)</f>
        <v>0</v>
      </c>
      <c r="AD166" s="89" t="b">
        <f t="shared" ref="AD166:AD172" si="304">IF(AF166=AC166,TRUE,FALSE)</f>
        <v>1</v>
      </c>
      <c r="AE166" s="386">
        <f>IFERROR(SUMIF(服务费底表!$K:$K,服务费明细!$B166,服务费底表!$AD:$AD)/E166,0)</f>
        <v>0</v>
      </c>
      <c r="AF166" s="386">
        <f t="shared" ref="AF166:AF172" si="305">E166*AE166</f>
        <v>0</v>
      </c>
      <c r="AG166" s="386">
        <f>IFERROR(SUMIF(服务费底表!$K:$K,服务费明细!$B166,服务费底表!$AG:$AG)/E166,0)</f>
        <v>0</v>
      </c>
      <c r="AH166" s="386">
        <f t="shared" ref="AH166:AH172" si="306">AG166*E166</f>
        <v>0</v>
      </c>
      <c r="AI166" s="577"/>
      <c r="AJ166" s="563">
        <f t="shared" si="301"/>
        <v>0</v>
      </c>
      <c r="AK166" s="564">
        <f>SUMIF(服务费底表!$K:$K,服务费明细!$B166,服务费底表!$AC:$AC)</f>
        <v>0</v>
      </c>
      <c r="AL166" s="166">
        <f>SUMIFS(服务费底表!$AC:$AC,服务费底表!$K:$K,服务费明细!$B166,服务费底表!$T:$T,AL$3)</f>
        <v>0</v>
      </c>
      <c r="AM166" s="166">
        <f>SUMIFS(服务费底表!$AC:$AC,服务费底表!$K:$K,服务费明细!$B166,服务费底表!$T:$T,AM$3)</f>
        <v>0</v>
      </c>
      <c r="AN166" s="166">
        <f>SUMIFS(服务费底表!$AC:$AC,服务费底表!$K:$K,服务费明细!$B166,服务费底表!$T:$T,AN$3)</f>
        <v>0</v>
      </c>
      <c r="AO166" s="166">
        <f>SUMIFS(服务费底表!$AC:$AC,服务费底表!$K:$K,服务费明细!$B166,服务费底表!$T:$T,AO$3)</f>
        <v>0</v>
      </c>
      <c r="AP166" s="166">
        <f>SUMIFS(服务费底表!$AC:$AC,服务费底表!$K:$K,服务费明细!$B166,服务费底表!$T:$T,AP$3)</f>
        <v>0</v>
      </c>
      <c r="AQ166" s="166">
        <f>SUMIFS(服务费底表!$AC:$AC,服务费底表!$K:$K,服务费明细!$B166,服务费底表!$T:$T,AQ$3)</f>
        <v>0</v>
      </c>
      <c r="AR166" s="166">
        <f>SUMIFS(服务费底表!$AC:$AC,服务费底表!$K:$K,服务费明细!$B166,服务费底表!$T:$T,AR$3)</f>
        <v>0</v>
      </c>
      <c r="AS166" s="166">
        <f>SUMIFS(服务费底表!$AC:$AC,服务费底表!$K:$K,服务费明细!$B166,服务费底表!$T:$T,AS$3)</f>
        <v>0</v>
      </c>
      <c r="AT166" s="166">
        <f>SUMIFS(服务费底表!$AC:$AC,服务费底表!$K:$K,服务费明细!$B166,服务费底表!$T:$T,AT$3)</f>
        <v>0</v>
      </c>
      <c r="AU166" s="166">
        <f>SUMIFS(服务费底表!$AC:$AC,服务费底表!$K:$K,服务费明细!$B166,服务费底表!$T:$T,AU$3)</f>
        <v>0</v>
      </c>
      <c r="AV166" s="166">
        <f>SUMIFS(服务费底表!$AC:$AC,服务费底表!$K:$K,服务费明细!$B166,服务费底表!$T:$T,AV$3)</f>
        <v>0</v>
      </c>
      <c r="AW166" s="166">
        <f>SUMIFS(服务费底表!$AC:$AC,服务费底表!$K:$K,服务费明细!$B166,服务费底表!$T:$T,AW$3)</f>
        <v>0</v>
      </c>
      <c r="AX166" s="166">
        <f>SUMIFS(服务费底表!$AC:$AC,服务费底表!$K:$K,服务费明细!$B166,服务费底表!$T:$T,AX$3)</f>
        <v>0</v>
      </c>
      <c r="AY166" s="166">
        <f>SUMIFS(服务费底表!$AC:$AC,服务费底表!$K:$K,服务费明细!$B166,服务费底表!$T:$T,AY$3)</f>
        <v>0</v>
      </c>
      <c r="AZ166" s="166">
        <f>SUMIFS(服务费底表!$AC:$AC,服务费底表!$K:$K,服务费明细!$B166,服务费底表!$T:$T,AZ$3)</f>
        <v>0</v>
      </c>
      <c r="BA166" s="166">
        <f>SUMIFS(服务费底表!$AC:$AC,服务费底表!$K:$K,服务费明细!$B166,服务费底表!$T:$T,BA$3)</f>
        <v>0</v>
      </c>
      <c r="BB166" s="166">
        <f>SUMIFS(服务费底表!$AC:$AC,服务费底表!$K:$K,服务费明细!$B166,服务费底表!$T:$T,BB$3)</f>
        <v>0</v>
      </c>
      <c r="BC166" s="166">
        <f>SUMIFS(服务费底表!$AC:$AC,服务费底表!$K:$K,服务费明细!$B166,服务费底表!$T:$T,BC$3)</f>
        <v>0</v>
      </c>
      <c r="BD166" s="166">
        <f>SUMIFS(服务费底表!$AC:$AC,服务费底表!$K:$K,服务费明细!$B166,服务费底表!$T:$T,BD$3)</f>
        <v>0</v>
      </c>
      <c r="BE166" s="166">
        <f>SUMIFS(服务费底表!$AC:$AC,服务费底表!$K:$K,服务费明细!$B166,服务费底表!$T:$T,BE$3)</f>
        <v>0</v>
      </c>
      <c r="BF166" s="166">
        <f>SUMIFS(服务费底表!$AC:$AC,服务费底表!$K:$K,服务费明细!$B166,服务费底表!$T:$T,BF$3)</f>
        <v>0</v>
      </c>
      <c r="BG166" s="166">
        <f>SUMIFS(服务费底表!$AC:$AC,服务费底表!$K:$K,服务费明细!$B166,服务费底表!$T:$T,BG$3)</f>
        <v>0</v>
      </c>
      <c r="BI166" s="388">
        <f>SUMIFS(服务费底表!$AC:$AC,服务费底表!$K:$K,服务费明细!$B166,服务费底表!$H:$H,服务费明细!BI$3)</f>
        <v>0</v>
      </c>
      <c r="BJ166" s="388">
        <f>SUMIFS(服务费底表!$AC:$AC,服务费底表!$K:$K,服务费明细!$B166,服务费底表!$H:$H,服务费明细!BJ$3)</f>
        <v>0</v>
      </c>
      <c r="BK166" s="388">
        <f>SUMIFS(服务费底表!$AC:$AC,服务费底表!$K:$K,服务费明细!$B166,服务费底表!$H:$H,服务费明细!BK$3)</f>
        <v>0</v>
      </c>
      <c r="BL166" s="388">
        <f>SUMIFS(服务费底表!$AC:$AC,服务费底表!$K:$K,服务费明细!$B166,服务费底表!$H:$H,服务费明细!BL$3)</f>
        <v>0</v>
      </c>
      <c r="BM166" s="388">
        <f>SUMIFS(服务费底表!$AC:$AC,服务费底表!$K:$K,服务费明细!$B166,服务费底表!$H:$H,服务费明细!BM$3)</f>
        <v>0</v>
      </c>
      <c r="BN166" s="388">
        <f>SUMIFS(服务费底表!$AC:$AC,服务费底表!$K:$K,服务费明细!$B166,服务费底表!$H:$H,服务费明细!BN$3)</f>
        <v>0</v>
      </c>
      <c r="BO166" s="388">
        <f>SUMIFS(服务费底表!$AC:$AC,服务费底表!$K:$K,服务费明细!$B166,服务费底表!$H:$H,服务费明细!BO$3)</f>
        <v>0</v>
      </c>
      <c r="BQ166" s="389">
        <f>SUMIFS(服务费底表!$AD:$AD,服务费底表!$K:$K,服务费明细!$B166,服务费底表!$H:$H,服务费明细!BQ$3)</f>
        <v>0</v>
      </c>
      <c r="BR166" s="389">
        <f>SUMIFS(服务费底表!$AD:$AD,服务费底表!$K:$K,服务费明细!$B166,服务费底表!$H:$H,服务费明细!BR$3)</f>
        <v>0</v>
      </c>
      <c r="BS166" s="389">
        <f>SUMIFS(服务费底表!$AD:$AD,服务费底表!$K:$K,服务费明细!$B166,服务费底表!$H:$H,服务费明细!BS$3)</f>
        <v>0</v>
      </c>
      <c r="BT166" s="389">
        <f>SUMIFS(服务费底表!$AD:$AD,服务费底表!$K:$K,服务费明细!$B166,服务费底表!$H:$H,服务费明细!BT$3)</f>
        <v>0</v>
      </c>
      <c r="BU166" s="389">
        <f>SUMIFS(服务费底表!$AD:$AD,服务费底表!$K:$K,服务费明细!$B166,服务费底表!$H:$H,服务费明细!BU$3)</f>
        <v>0</v>
      </c>
      <c r="BV166" s="389">
        <f>SUMIFS(服务费底表!$AD:$AD,服务费底表!$K:$K,服务费明细!$B166,服务费底表!$H:$H,服务费明细!BV$3)</f>
        <v>0</v>
      </c>
      <c r="BW166" s="389">
        <f>SUMIFS(服务费底表!$AD:$AD,服务费底表!$K:$K,服务费明细!$B166,服务费底表!$H:$H,服务费明细!BW$3)</f>
        <v>0</v>
      </c>
    </row>
    <row r="167" spans="2:75">
      <c r="B167" s="89" t="s">
        <v>1086</v>
      </c>
      <c r="C167" s="89" t="str">
        <f>INDEX(二三级标准!$C:$C,MATCH(服务费明细!$B167,二三级标准!$B:$B,0))</f>
        <v>DSMB/DMC/IDMC统计TFLs Dry Run</v>
      </c>
      <c r="D167" s="166">
        <v>0</v>
      </c>
      <c r="E167" s="166">
        <f>IF($D167=1,DSMB_DMC_IDMC会议的Dry_Run次数,0)</f>
        <v>0</v>
      </c>
      <c r="F167" s="89" t="str">
        <f>INDEX(二三级标准!$G:$G,MATCH(服务费明细!$B167,二三级标准!$B:$B,0))</f>
        <v>次</v>
      </c>
      <c r="G167" s="166">
        <f t="shared" si="276"/>
        <v>0</v>
      </c>
      <c r="H167" s="166">
        <f t="shared" si="277"/>
        <v>0</v>
      </c>
      <c r="I167" s="166">
        <f t="shared" si="278"/>
        <v>0</v>
      </c>
      <c r="J167" s="166">
        <f t="shared" si="279"/>
        <v>0</v>
      </c>
      <c r="K167" s="166">
        <f t="shared" si="280"/>
        <v>0</v>
      </c>
      <c r="L167" s="166">
        <f t="shared" si="281"/>
        <v>0</v>
      </c>
      <c r="M167" s="166">
        <f t="shared" si="282"/>
        <v>0</v>
      </c>
      <c r="N167" s="166">
        <f t="shared" si="283"/>
        <v>0</v>
      </c>
      <c r="O167" s="166">
        <f t="shared" si="284"/>
        <v>0</v>
      </c>
      <c r="P167" s="166">
        <f t="shared" si="285"/>
        <v>0</v>
      </c>
      <c r="Q167" s="166">
        <f t="shared" si="286"/>
        <v>0</v>
      </c>
      <c r="R167" s="166">
        <f t="shared" si="287"/>
        <v>0</v>
      </c>
      <c r="S167" s="166">
        <f t="shared" si="288"/>
        <v>0</v>
      </c>
      <c r="T167" s="166">
        <f t="shared" si="289"/>
        <v>0</v>
      </c>
      <c r="U167" s="166">
        <f t="shared" si="290"/>
        <v>0</v>
      </c>
      <c r="V167" s="166">
        <f t="shared" si="291"/>
        <v>0</v>
      </c>
      <c r="W167" s="166">
        <f t="shared" si="292"/>
        <v>0</v>
      </c>
      <c r="X167" s="166">
        <f t="shared" si="293"/>
        <v>0</v>
      </c>
      <c r="Y167" s="166">
        <f t="shared" si="294"/>
        <v>0</v>
      </c>
      <c r="Z167" s="166">
        <f t="shared" si="295"/>
        <v>0</v>
      </c>
      <c r="AA167" s="166">
        <f t="shared" si="296"/>
        <v>0</v>
      </c>
      <c r="AB167" s="166">
        <f t="shared" si="297"/>
        <v>0</v>
      </c>
      <c r="AC167" s="166" cm="1">
        <f t="array" ref="AC167">SUMPRODUCT(G167:AB167,$G$4:$AB$4)</f>
        <v>0</v>
      </c>
      <c r="AD167" s="89" t="b">
        <f t="shared" si="304"/>
        <v>1</v>
      </c>
      <c r="AE167" s="386">
        <f>IFERROR(SUMIF(服务费底表!$K:$K,服务费明细!$B167,服务费底表!$AD:$AD)/E167,0)</f>
        <v>0</v>
      </c>
      <c r="AF167" s="386">
        <f t="shared" si="305"/>
        <v>0</v>
      </c>
      <c r="AG167" s="386">
        <f>IFERROR(SUMIF(服务费底表!$K:$K,服务费明细!$B167,服务费底表!$AG:$AG)/E167,0)</f>
        <v>0</v>
      </c>
      <c r="AH167" s="386">
        <f t="shared" si="306"/>
        <v>0</v>
      </c>
      <c r="AI167" s="577"/>
      <c r="AJ167" s="563">
        <f t="shared" si="301"/>
        <v>0</v>
      </c>
      <c r="AK167" s="564">
        <f>SUMIF(服务费底表!$K:$K,服务费明细!$B167,服务费底表!$AC:$AC)</f>
        <v>0</v>
      </c>
      <c r="AL167" s="166">
        <f>SUMIFS(服务费底表!$AC:$AC,服务费底表!$K:$K,服务费明细!$B167,服务费底表!$T:$T,AL$3)</f>
        <v>0</v>
      </c>
      <c r="AM167" s="166">
        <f>SUMIFS(服务费底表!$AC:$AC,服务费底表!$K:$K,服务费明细!$B167,服务费底表!$T:$T,AM$3)</f>
        <v>0</v>
      </c>
      <c r="AN167" s="166">
        <f>SUMIFS(服务费底表!$AC:$AC,服务费底表!$K:$K,服务费明细!$B167,服务费底表!$T:$T,AN$3)</f>
        <v>0</v>
      </c>
      <c r="AO167" s="166">
        <f>SUMIFS(服务费底表!$AC:$AC,服务费底表!$K:$K,服务费明细!$B167,服务费底表!$T:$T,AO$3)</f>
        <v>0</v>
      </c>
      <c r="AP167" s="166">
        <f>SUMIFS(服务费底表!$AC:$AC,服务费底表!$K:$K,服务费明细!$B167,服务费底表!$T:$T,AP$3)</f>
        <v>0</v>
      </c>
      <c r="AQ167" s="166">
        <f>SUMIFS(服务费底表!$AC:$AC,服务费底表!$K:$K,服务费明细!$B167,服务费底表!$T:$T,AQ$3)</f>
        <v>0</v>
      </c>
      <c r="AR167" s="166">
        <f>SUMIFS(服务费底表!$AC:$AC,服务费底表!$K:$K,服务费明细!$B167,服务费底表!$T:$T,AR$3)</f>
        <v>0</v>
      </c>
      <c r="AS167" s="166">
        <f>SUMIFS(服务费底表!$AC:$AC,服务费底表!$K:$K,服务费明细!$B167,服务费底表!$T:$T,AS$3)</f>
        <v>0</v>
      </c>
      <c r="AT167" s="166">
        <f>SUMIFS(服务费底表!$AC:$AC,服务费底表!$K:$K,服务费明细!$B167,服务费底表!$T:$T,AT$3)</f>
        <v>0</v>
      </c>
      <c r="AU167" s="166">
        <f>SUMIFS(服务费底表!$AC:$AC,服务费底表!$K:$K,服务费明细!$B167,服务费底表!$T:$T,AU$3)</f>
        <v>0</v>
      </c>
      <c r="AV167" s="166">
        <f>SUMIFS(服务费底表!$AC:$AC,服务费底表!$K:$K,服务费明细!$B167,服务费底表!$T:$T,AV$3)</f>
        <v>0</v>
      </c>
      <c r="AW167" s="166">
        <f>SUMIFS(服务费底表!$AC:$AC,服务费底表!$K:$K,服务费明细!$B167,服务费底表!$T:$T,AW$3)</f>
        <v>0</v>
      </c>
      <c r="AX167" s="166">
        <f>SUMIFS(服务费底表!$AC:$AC,服务费底表!$K:$K,服务费明细!$B167,服务费底表!$T:$T,AX$3)</f>
        <v>0</v>
      </c>
      <c r="AY167" s="166">
        <f>SUMIFS(服务费底表!$AC:$AC,服务费底表!$K:$K,服务费明细!$B167,服务费底表!$T:$T,AY$3)</f>
        <v>0</v>
      </c>
      <c r="AZ167" s="166">
        <f>SUMIFS(服务费底表!$AC:$AC,服务费底表!$K:$K,服务费明细!$B167,服务费底表!$T:$T,AZ$3)</f>
        <v>0</v>
      </c>
      <c r="BA167" s="166">
        <f>SUMIFS(服务费底表!$AC:$AC,服务费底表!$K:$K,服务费明细!$B167,服务费底表!$T:$T,BA$3)</f>
        <v>0</v>
      </c>
      <c r="BB167" s="166">
        <f>SUMIFS(服务费底表!$AC:$AC,服务费底表!$K:$K,服务费明细!$B167,服务费底表!$T:$T,BB$3)</f>
        <v>0</v>
      </c>
      <c r="BC167" s="166">
        <f>SUMIFS(服务费底表!$AC:$AC,服务费底表!$K:$K,服务费明细!$B167,服务费底表!$T:$T,BC$3)</f>
        <v>0</v>
      </c>
      <c r="BD167" s="166">
        <f>SUMIFS(服务费底表!$AC:$AC,服务费底表!$K:$K,服务费明细!$B167,服务费底表!$T:$T,BD$3)</f>
        <v>0</v>
      </c>
      <c r="BE167" s="166">
        <f>SUMIFS(服务费底表!$AC:$AC,服务费底表!$K:$K,服务费明细!$B167,服务费底表!$T:$T,BE$3)</f>
        <v>0</v>
      </c>
      <c r="BF167" s="166">
        <f>SUMIFS(服务费底表!$AC:$AC,服务费底表!$K:$K,服务费明细!$B167,服务费底表!$T:$T,BF$3)</f>
        <v>0</v>
      </c>
      <c r="BG167" s="166">
        <f>SUMIFS(服务费底表!$AC:$AC,服务费底表!$K:$K,服务费明细!$B167,服务费底表!$T:$T,BG$3)</f>
        <v>0</v>
      </c>
      <c r="BI167" s="388">
        <f>SUMIFS(服务费底表!$AC:$AC,服务费底表!$K:$K,服务费明细!$B167,服务费底表!$H:$H,服务费明细!BI$3)</f>
        <v>0</v>
      </c>
      <c r="BJ167" s="388">
        <f>SUMIFS(服务费底表!$AC:$AC,服务费底表!$K:$K,服务费明细!$B167,服务费底表!$H:$H,服务费明细!BJ$3)</f>
        <v>0</v>
      </c>
      <c r="BK167" s="388">
        <f>SUMIFS(服务费底表!$AC:$AC,服务费底表!$K:$K,服务费明细!$B167,服务费底表!$H:$H,服务费明细!BK$3)</f>
        <v>0</v>
      </c>
      <c r="BL167" s="388">
        <f>SUMIFS(服务费底表!$AC:$AC,服务费底表!$K:$K,服务费明细!$B167,服务费底表!$H:$H,服务费明细!BL$3)</f>
        <v>0</v>
      </c>
      <c r="BM167" s="388">
        <f>SUMIFS(服务费底表!$AC:$AC,服务费底表!$K:$K,服务费明细!$B167,服务费底表!$H:$H,服务费明细!BM$3)</f>
        <v>0</v>
      </c>
      <c r="BN167" s="388">
        <f>SUMIFS(服务费底表!$AC:$AC,服务费底表!$K:$K,服务费明细!$B167,服务费底表!$H:$H,服务费明细!BN$3)</f>
        <v>0</v>
      </c>
      <c r="BO167" s="388">
        <f>SUMIFS(服务费底表!$AC:$AC,服务费底表!$K:$K,服务费明细!$B167,服务费底表!$H:$H,服务费明细!BO$3)</f>
        <v>0</v>
      </c>
      <c r="BQ167" s="389">
        <f>SUMIFS(服务费底表!$AD:$AD,服务费底表!$K:$K,服务费明细!$B167,服务费底表!$H:$H,服务费明细!BQ$3)</f>
        <v>0</v>
      </c>
      <c r="BR167" s="389">
        <f>SUMIFS(服务费底表!$AD:$AD,服务费底表!$K:$K,服务费明细!$B167,服务费底表!$H:$H,服务费明细!BR$3)</f>
        <v>0</v>
      </c>
      <c r="BS167" s="389">
        <f>SUMIFS(服务费底表!$AD:$AD,服务费底表!$K:$K,服务费明细!$B167,服务费底表!$H:$H,服务费明细!BS$3)</f>
        <v>0</v>
      </c>
      <c r="BT167" s="389">
        <f>SUMIFS(服务费底表!$AD:$AD,服务费底表!$K:$K,服务费明细!$B167,服务费底表!$H:$H,服务费明细!BT$3)</f>
        <v>0</v>
      </c>
      <c r="BU167" s="389">
        <f>SUMIFS(服务费底表!$AD:$AD,服务费底表!$K:$K,服务费明细!$B167,服务费底表!$H:$H,服务费明细!BU$3)</f>
        <v>0</v>
      </c>
      <c r="BV167" s="389">
        <f>SUMIFS(服务费底表!$AD:$AD,服务费底表!$K:$K,服务费明细!$B167,服务费底表!$H:$H,服务费明细!BV$3)</f>
        <v>0</v>
      </c>
      <c r="BW167" s="389">
        <f>SUMIFS(服务费底表!$AD:$AD,服务费底表!$K:$K,服务费明细!$B167,服务费底表!$H:$H,服务费明细!BW$3)</f>
        <v>0</v>
      </c>
    </row>
    <row r="168" spans="2:75">
      <c r="B168" s="89" t="s">
        <v>1087</v>
      </c>
      <c r="C168" s="89" t="str">
        <f>INDEX(二三级标准!$C:$C,MATCH(服务费明细!$B168,二三级标准!$B:$B,0))</f>
        <v>参加和协助DSMB/DMC/IDMC启动会</v>
      </c>
      <c r="D168" s="166">
        <v>0</v>
      </c>
      <c r="E168" s="166">
        <f t="shared" si="303"/>
        <v>0</v>
      </c>
      <c r="F168" s="89" t="str">
        <f>INDEX(二三级标准!$G:$G,MATCH(服务费明细!$B168,二三级标准!$B:$B,0))</f>
        <v>次</v>
      </c>
      <c r="G168" s="166">
        <f t="shared" si="276"/>
        <v>0</v>
      </c>
      <c r="H168" s="166">
        <f t="shared" si="277"/>
        <v>0</v>
      </c>
      <c r="I168" s="166">
        <f t="shared" si="278"/>
        <v>0</v>
      </c>
      <c r="J168" s="166">
        <f t="shared" si="279"/>
        <v>0</v>
      </c>
      <c r="K168" s="166">
        <f t="shared" si="280"/>
        <v>0</v>
      </c>
      <c r="L168" s="166">
        <f t="shared" si="281"/>
        <v>0</v>
      </c>
      <c r="M168" s="166">
        <f t="shared" si="282"/>
        <v>0</v>
      </c>
      <c r="N168" s="166">
        <f t="shared" si="283"/>
        <v>0</v>
      </c>
      <c r="O168" s="166">
        <f t="shared" si="284"/>
        <v>0</v>
      </c>
      <c r="P168" s="166">
        <f t="shared" si="285"/>
        <v>0</v>
      </c>
      <c r="Q168" s="166">
        <f t="shared" si="286"/>
        <v>0</v>
      </c>
      <c r="R168" s="166">
        <f t="shared" si="287"/>
        <v>0</v>
      </c>
      <c r="S168" s="166">
        <f t="shared" si="288"/>
        <v>0</v>
      </c>
      <c r="T168" s="166">
        <f t="shared" si="289"/>
        <v>0</v>
      </c>
      <c r="U168" s="166">
        <f t="shared" si="290"/>
        <v>0</v>
      </c>
      <c r="V168" s="166">
        <f t="shared" si="291"/>
        <v>0</v>
      </c>
      <c r="W168" s="166">
        <f t="shared" si="292"/>
        <v>0</v>
      </c>
      <c r="X168" s="166">
        <f t="shared" si="293"/>
        <v>0</v>
      </c>
      <c r="Y168" s="166">
        <f t="shared" si="294"/>
        <v>0</v>
      </c>
      <c r="Z168" s="166">
        <f t="shared" si="295"/>
        <v>0</v>
      </c>
      <c r="AA168" s="166">
        <f t="shared" si="296"/>
        <v>0</v>
      </c>
      <c r="AB168" s="166">
        <f t="shared" si="297"/>
        <v>0</v>
      </c>
      <c r="AC168" s="166" cm="1">
        <f t="array" ref="AC168">SUMPRODUCT(G168:AB168,$G$4:$AB$4)</f>
        <v>0</v>
      </c>
      <c r="AD168" s="89" t="b">
        <f t="shared" si="304"/>
        <v>1</v>
      </c>
      <c r="AE168" s="386">
        <f>IFERROR(SUMIF(服务费底表!$K:$K,服务费明细!$B168,服务费底表!$AD:$AD)/E168,0)</f>
        <v>0</v>
      </c>
      <c r="AF168" s="386">
        <f t="shared" si="305"/>
        <v>0</v>
      </c>
      <c r="AG168" s="386">
        <f>IFERROR(SUMIF(服务费底表!$K:$K,服务费明细!$B168,服务费底表!$AG:$AG)/E168,0)</f>
        <v>0</v>
      </c>
      <c r="AH168" s="386">
        <f t="shared" si="306"/>
        <v>0</v>
      </c>
      <c r="AI168" s="577"/>
      <c r="AJ168" s="563">
        <f t="shared" si="301"/>
        <v>0</v>
      </c>
      <c r="AK168" s="564">
        <f>SUMIF(服务费底表!$K:$K,服务费明细!$B168,服务费底表!$AC:$AC)</f>
        <v>0</v>
      </c>
      <c r="AL168" s="166">
        <f>SUMIFS(服务费底表!$AC:$AC,服务费底表!$K:$K,服务费明细!$B168,服务费底表!$T:$T,AL$3)</f>
        <v>0</v>
      </c>
      <c r="AM168" s="166">
        <f>SUMIFS(服务费底表!$AC:$AC,服务费底表!$K:$K,服务费明细!$B168,服务费底表!$T:$T,AM$3)</f>
        <v>0</v>
      </c>
      <c r="AN168" s="166">
        <f>SUMIFS(服务费底表!$AC:$AC,服务费底表!$K:$K,服务费明细!$B168,服务费底表!$T:$T,AN$3)</f>
        <v>0</v>
      </c>
      <c r="AO168" s="166">
        <f>SUMIFS(服务费底表!$AC:$AC,服务费底表!$K:$K,服务费明细!$B168,服务费底表!$T:$T,AO$3)</f>
        <v>0</v>
      </c>
      <c r="AP168" s="166">
        <f>SUMIFS(服务费底表!$AC:$AC,服务费底表!$K:$K,服务费明细!$B168,服务费底表!$T:$T,AP$3)</f>
        <v>0</v>
      </c>
      <c r="AQ168" s="166">
        <f>SUMIFS(服务费底表!$AC:$AC,服务费底表!$K:$K,服务费明细!$B168,服务费底表!$T:$T,AQ$3)</f>
        <v>0</v>
      </c>
      <c r="AR168" s="166">
        <f>SUMIFS(服务费底表!$AC:$AC,服务费底表!$K:$K,服务费明细!$B168,服务费底表!$T:$T,AR$3)</f>
        <v>0</v>
      </c>
      <c r="AS168" s="166">
        <f>SUMIFS(服务费底表!$AC:$AC,服务费底表!$K:$K,服务费明细!$B168,服务费底表!$T:$T,AS$3)</f>
        <v>0</v>
      </c>
      <c r="AT168" s="166">
        <f>SUMIFS(服务费底表!$AC:$AC,服务费底表!$K:$K,服务费明细!$B168,服务费底表!$T:$T,AT$3)</f>
        <v>0</v>
      </c>
      <c r="AU168" s="166">
        <f>SUMIFS(服务费底表!$AC:$AC,服务费底表!$K:$K,服务费明细!$B168,服务费底表!$T:$T,AU$3)</f>
        <v>0</v>
      </c>
      <c r="AV168" s="166">
        <f>SUMIFS(服务费底表!$AC:$AC,服务费底表!$K:$K,服务费明细!$B168,服务费底表!$T:$T,AV$3)</f>
        <v>0</v>
      </c>
      <c r="AW168" s="166">
        <f>SUMIFS(服务费底表!$AC:$AC,服务费底表!$K:$K,服务费明细!$B168,服务费底表!$T:$T,AW$3)</f>
        <v>0</v>
      </c>
      <c r="AX168" s="166">
        <f>SUMIFS(服务费底表!$AC:$AC,服务费底表!$K:$K,服务费明细!$B168,服务费底表!$T:$T,AX$3)</f>
        <v>0</v>
      </c>
      <c r="AY168" s="166">
        <f>SUMIFS(服务费底表!$AC:$AC,服务费底表!$K:$K,服务费明细!$B168,服务费底表!$T:$T,AY$3)</f>
        <v>0</v>
      </c>
      <c r="AZ168" s="166">
        <f>SUMIFS(服务费底表!$AC:$AC,服务费底表!$K:$K,服务费明细!$B168,服务费底表!$T:$T,AZ$3)</f>
        <v>0</v>
      </c>
      <c r="BA168" s="166">
        <f>SUMIFS(服务费底表!$AC:$AC,服务费底表!$K:$K,服务费明细!$B168,服务费底表!$T:$T,BA$3)</f>
        <v>0</v>
      </c>
      <c r="BB168" s="166">
        <f>SUMIFS(服务费底表!$AC:$AC,服务费底表!$K:$K,服务费明细!$B168,服务费底表!$T:$T,BB$3)</f>
        <v>0</v>
      </c>
      <c r="BC168" s="166">
        <f>SUMIFS(服务费底表!$AC:$AC,服务费底表!$K:$K,服务费明细!$B168,服务费底表!$T:$T,BC$3)</f>
        <v>0</v>
      </c>
      <c r="BD168" s="166">
        <f>SUMIFS(服务费底表!$AC:$AC,服务费底表!$K:$K,服务费明细!$B168,服务费底表!$T:$T,BD$3)</f>
        <v>0</v>
      </c>
      <c r="BE168" s="166">
        <f>SUMIFS(服务费底表!$AC:$AC,服务费底表!$K:$K,服务费明细!$B168,服务费底表!$T:$T,BE$3)</f>
        <v>0</v>
      </c>
      <c r="BF168" s="166">
        <f>SUMIFS(服务费底表!$AC:$AC,服务费底表!$K:$K,服务费明细!$B168,服务费底表!$T:$T,BF$3)</f>
        <v>0</v>
      </c>
      <c r="BG168" s="166">
        <f>SUMIFS(服务费底表!$AC:$AC,服务费底表!$K:$K,服务费明细!$B168,服务费底表!$T:$T,BG$3)</f>
        <v>0</v>
      </c>
      <c r="BI168" s="388">
        <f>SUMIFS(服务费底表!$AC:$AC,服务费底表!$K:$K,服务费明细!$B168,服务费底表!$H:$H,服务费明细!BI$3)</f>
        <v>0</v>
      </c>
      <c r="BJ168" s="388">
        <f>SUMIFS(服务费底表!$AC:$AC,服务费底表!$K:$K,服务费明细!$B168,服务费底表!$H:$H,服务费明细!BJ$3)</f>
        <v>0</v>
      </c>
      <c r="BK168" s="388">
        <f>SUMIFS(服务费底表!$AC:$AC,服务费底表!$K:$K,服务费明细!$B168,服务费底表!$H:$H,服务费明细!BK$3)</f>
        <v>0</v>
      </c>
      <c r="BL168" s="388">
        <f>SUMIFS(服务费底表!$AC:$AC,服务费底表!$K:$K,服务费明细!$B168,服务费底表!$H:$H,服务费明细!BL$3)</f>
        <v>0</v>
      </c>
      <c r="BM168" s="388">
        <f>SUMIFS(服务费底表!$AC:$AC,服务费底表!$K:$K,服务费明细!$B168,服务费底表!$H:$H,服务费明细!BM$3)</f>
        <v>0</v>
      </c>
      <c r="BN168" s="388">
        <f>SUMIFS(服务费底表!$AC:$AC,服务费底表!$K:$K,服务费明细!$B168,服务费底表!$H:$H,服务费明细!BN$3)</f>
        <v>0</v>
      </c>
      <c r="BO168" s="388">
        <f>SUMIFS(服务费底表!$AC:$AC,服务费底表!$K:$K,服务费明细!$B168,服务费底表!$H:$H,服务费明细!BO$3)</f>
        <v>0</v>
      </c>
      <c r="BQ168" s="389">
        <f>SUMIFS(服务费底表!$AD:$AD,服务费底表!$K:$K,服务费明细!$B168,服务费底表!$H:$H,服务费明细!BQ$3)</f>
        <v>0</v>
      </c>
      <c r="BR168" s="389">
        <f>SUMIFS(服务费底表!$AD:$AD,服务费底表!$K:$K,服务费明细!$B168,服务费底表!$H:$H,服务费明细!BR$3)</f>
        <v>0</v>
      </c>
      <c r="BS168" s="389">
        <f>SUMIFS(服务费底表!$AD:$AD,服务费底表!$K:$K,服务费明细!$B168,服务费底表!$H:$H,服务费明细!BS$3)</f>
        <v>0</v>
      </c>
      <c r="BT168" s="389">
        <f>SUMIFS(服务费底表!$AD:$AD,服务费底表!$K:$K,服务费明细!$B168,服务费底表!$H:$H,服务费明细!BT$3)</f>
        <v>0</v>
      </c>
      <c r="BU168" s="389">
        <f>SUMIFS(服务费底表!$AD:$AD,服务费底表!$K:$K,服务费明细!$B168,服务费底表!$H:$H,服务费明细!BU$3)</f>
        <v>0</v>
      </c>
      <c r="BV168" s="389">
        <f>SUMIFS(服务费底表!$AD:$AD,服务费底表!$K:$K,服务费明细!$B168,服务费底表!$H:$H,服务费明细!BV$3)</f>
        <v>0</v>
      </c>
      <c r="BW168" s="389">
        <f>SUMIFS(服务费底表!$AD:$AD,服务费底表!$K:$K,服务费明细!$B168,服务费底表!$H:$H,服务费明细!BW$3)</f>
        <v>0</v>
      </c>
    </row>
    <row r="169" spans="2:75">
      <c r="B169" s="89" t="s">
        <v>1088</v>
      </c>
      <c r="C169" s="89" t="str">
        <f>INDEX(二三级标准!$C:$C,MATCH(服务费明细!$B169,二三级标准!$B:$B,0))</f>
        <v>参加和协助DSMB/DMC/IDMC会议</v>
      </c>
      <c r="D169" s="166">
        <v>0</v>
      </c>
      <c r="E169" s="166">
        <f>IF($D169=1,DSMB_DMC_IDMC次数,0)</f>
        <v>0</v>
      </c>
      <c r="F169" s="89" t="str">
        <f>INDEX(二三级标准!$G:$G,MATCH(服务费明细!$B169,二三级标准!$B:$B,0))</f>
        <v>次</v>
      </c>
      <c r="G169" s="166">
        <f t="shared" si="276"/>
        <v>0</v>
      </c>
      <c r="H169" s="166">
        <f t="shared" si="277"/>
        <v>0</v>
      </c>
      <c r="I169" s="166">
        <f t="shared" si="278"/>
        <v>0</v>
      </c>
      <c r="J169" s="166">
        <f t="shared" si="279"/>
        <v>0</v>
      </c>
      <c r="K169" s="166">
        <f t="shared" si="280"/>
        <v>0</v>
      </c>
      <c r="L169" s="166">
        <f t="shared" si="281"/>
        <v>0</v>
      </c>
      <c r="M169" s="166">
        <f t="shared" si="282"/>
        <v>0</v>
      </c>
      <c r="N169" s="166">
        <f t="shared" si="283"/>
        <v>0</v>
      </c>
      <c r="O169" s="166">
        <f t="shared" si="284"/>
        <v>0</v>
      </c>
      <c r="P169" s="166">
        <f t="shared" si="285"/>
        <v>0</v>
      </c>
      <c r="Q169" s="166">
        <f t="shared" si="286"/>
        <v>0</v>
      </c>
      <c r="R169" s="166">
        <f t="shared" si="287"/>
        <v>0</v>
      </c>
      <c r="S169" s="166">
        <f t="shared" si="288"/>
        <v>0</v>
      </c>
      <c r="T169" s="166">
        <f t="shared" si="289"/>
        <v>0</v>
      </c>
      <c r="U169" s="166">
        <f t="shared" si="290"/>
        <v>0</v>
      </c>
      <c r="V169" s="166">
        <f t="shared" si="291"/>
        <v>0</v>
      </c>
      <c r="W169" s="166">
        <f t="shared" si="292"/>
        <v>0</v>
      </c>
      <c r="X169" s="166">
        <f t="shared" si="293"/>
        <v>0</v>
      </c>
      <c r="Y169" s="166">
        <f t="shared" si="294"/>
        <v>0</v>
      </c>
      <c r="Z169" s="166">
        <f t="shared" si="295"/>
        <v>0</v>
      </c>
      <c r="AA169" s="166">
        <f t="shared" si="296"/>
        <v>0</v>
      </c>
      <c r="AB169" s="166">
        <f t="shared" si="297"/>
        <v>0</v>
      </c>
      <c r="AC169" s="166" cm="1">
        <f t="array" ref="AC169">SUMPRODUCT(G169:AB169,$G$4:$AB$4)</f>
        <v>0</v>
      </c>
      <c r="AD169" s="89" t="b">
        <f t="shared" si="304"/>
        <v>1</v>
      </c>
      <c r="AE169" s="386">
        <f>IFERROR(SUMIF(服务费底表!$K:$K,服务费明细!$B169,服务费底表!$AD:$AD)/E169,0)</f>
        <v>0</v>
      </c>
      <c r="AF169" s="386">
        <f t="shared" si="305"/>
        <v>0</v>
      </c>
      <c r="AG169" s="386">
        <f>IFERROR(SUMIF(服务费底表!$K:$K,服务费明细!$B169,服务费底表!$AG:$AG)/E169,0)</f>
        <v>0</v>
      </c>
      <c r="AH169" s="386">
        <f t="shared" si="306"/>
        <v>0</v>
      </c>
      <c r="AI169" s="577"/>
      <c r="AJ169" s="563">
        <f t="shared" si="301"/>
        <v>0</v>
      </c>
      <c r="AK169" s="564">
        <f>SUMIF(服务费底表!$K:$K,服务费明细!$B169,服务费底表!$AC:$AC)</f>
        <v>0</v>
      </c>
      <c r="AL169" s="166">
        <f>SUMIFS(服务费底表!$AC:$AC,服务费底表!$K:$K,服务费明细!$B169,服务费底表!$T:$T,AL$3)</f>
        <v>0</v>
      </c>
      <c r="AM169" s="166">
        <f>SUMIFS(服务费底表!$AC:$AC,服务费底表!$K:$K,服务费明细!$B169,服务费底表!$T:$T,AM$3)</f>
        <v>0</v>
      </c>
      <c r="AN169" s="166">
        <f>SUMIFS(服务费底表!$AC:$AC,服务费底表!$K:$K,服务费明细!$B169,服务费底表!$T:$T,AN$3)</f>
        <v>0</v>
      </c>
      <c r="AO169" s="166">
        <f>SUMIFS(服务费底表!$AC:$AC,服务费底表!$K:$K,服务费明细!$B169,服务费底表!$T:$T,AO$3)</f>
        <v>0</v>
      </c>
      <c r="AP169" s="166">
        <f>SUMIFS(服务费底表!$AC:$AC,服务费底表!$K:$K,服务费明细!$B169,服务费底表!$T:$T,AP$3)</f>
        <v>0</v>
      </c>
      <c r="AQ169" s="166">
        <f>SUMIFS(服务费底表!$AC:$AC,服务费底表!$K:$K,服务费明细!$B169,服务费底表!$T:$T,AQ$3)</f>
        <v>0</v>
      </c>
      <c r="AR169" s="166">
        <f>SUMIFS(服务费底表!$AC:$AC,服务费底表!$K:$K,服务费明细!$B169,服务费底表!$T:$T,AR$3)</f>
        <v>0</v>
      </c>
      <c r="AS169" s="166">
        <f>SUMIFS(服务费底表!$AC:$AC,服务费底表!$K:$K,服务费明细!$B169,服务费底表!$T:$T,AS$3)</f>
        <v>0</v>
      </c>
      <c r="AT169" s="166">
        <f>SUMIFS(服务费底表!$AC:$AC,服务费底表!$K:$K,服务费明细!$B169,服务费底表!$T:$T,AT$3)</f>
        <v>0</v>
      </c>
      <c r="AU169" s="166">
        <f>SUMIFS(服务费底表!$AC:$AC,服务费底表!$K:$K,服务费明细!$B169,服务费底表!$T:$T,AU$3)</f>
        <v>0</v>
      </c>
      <c r="AV169" s="166">
        <f>SUMIFS(服务费底表!$AC:$AC,服务费底表!$K:$K,服务费明细!$B169,服务费底表!$T:$T,AV$3)</f>
        <v>0</v>
      </c>
      <c r="AW169" s="166">
        <f>SUMIFS(服务费底表!$AC:$AC,服务费底表!$K:$K,服务费明细!$B169,服务费底表!$T:$T,AW$3)</f>
        <v>0</v>
      </c>
      <c r="AX169" s="166">
        <f>SUMIFS(服务费底表!$AC:$AC,服务费底表!$K:$K,服务费明细!$B169,服务费底表!$T:$T,AX$3)</f>
        <v>0</v>
      </c>
      <c r="AY169" s="166">
        <f>SUMIFS(服务费底表!$AC:$AC,服务费底表!$K:$K,服务费明细!$B169,服务费底表!$T:$T,AY$3)</f>
        <v>0</v>
      </c>
      <c r="AZ169" s="166">
        <f>SUMIFS(服务费底表!$AC:$AC,服务费底表!$K:$K,服务费明细!$B169,服务费底表!$T:$T,AZ$3)</f>
        <v>0</v>
      </c>
      <c r="BA169" s="166">
        <f>SUMIFS(服务费底表!$AC:$AC,服务费底表!$K:$K,服务费明细!$B169,服务费底表!$T:$T,BA$3)</f>
        <v>0</v>
      </c>
      <c r="BB169" s="166">
        <f>SUMIFS(服务费底表!$AC:$AC,服务费底表!$K:$K,服务费明细!$B169,服务费底表!$T:$T,BB$3)</f>
        <v>0</v>
      </c>
      <c r="BC169" s="166">
        <f>SUMIFS(服务费底表!$AC:$AC,服务费底表!$K:$K,服务费明细!$B169,服务费底表!$T:$T,BC$3)</f>
        <v>0</v>
      </c>
      <c r="BD169" s="166">
        <f>SUMIFS(服务费底表!$AC:$AC,服务费底表!$K:$K,服务费明细!$B169,服务费底表!$T:$T,BD$3)</f>
        <v>0</v>
      </c>
      <c r="BE169" s="166">
        <f>SUMIFS(服务费底表!$AC:$AC,服务费底表!$K:$K,服务费明细!$B169,服务费底表!$T:$T,BE$3)</f>
        <v>0</v>
      </c>
      <c r="BF169" s="166">
        <f>SUMIFS(服务费底表!$AC:$AC,服务费底表!$K:$K,服务费明细!$B169,服务费底表!$T:$T,BF$3)</f>
        <v>0</v>
      </c>
      <c r="BG169" s="166">
        <f>SUMIFS(服务费底表!$AC:$AC,服务费底表!$K:$K,服务费明细!$B169,服务费底表!$T:$T,BG$3)</f>
        <v>0</v>
      </c>
      <c r="BI169" s="388">
        <f>SUMIFS(服务费底表!$AC:$AC,服务费底表!$K:$K,服务费明细!$B169,服务费底表!$H:$H,服务费明细!BI$3)</f>
        <v>0</v>
      </c>
      <c r="BJ169" s="388">
        <f>SUMIFS(服务费底表!$AC:$AC,服务费底表!$K:$K,服务费明细!$B169,服务费底表!$H:$H,服务费明细!BJ$3)</f>
        <v>0</v>
      </c>
      <c r="BK169" s="388">
        <f>SUMIFS(服务费底表!$AC:$AC,服务费底表!$K:$K,服务费明细!$B169,服务费底表!$H:$H,服务费明细!BK$3)</f>
        <v>0</v>
      </c>
      <c r="BL169" s="388">
        <f>SUMIFS(服务费底表!$AC:$AC,服务费底表!$K:$K,服务费明细!$B169,服务费底表!$H:$H,服务费明细!BL$3)</f>
        <v>0</v>
      </c>
      <c r="BM169" s="388">
        <f>SUMIFS(服务费底表!$AC:$AC,服务费底表!$K:$K,服务费明细!$B169,服务费底表!$H:$H,服务费明细!BM$3)</f>
        <v>0</v>
      </c>
      <c r="BN169" s="388">
        <f>SUMIFS(服务费底表!$AC:$AC,服务费底表!$K:$K,服务费明细!$B169,服务费底表!$H:$H,服务费明细!BN$3)</f>
        <v>0</v>
      </c>
      <c r="BO169" s="388">
        <f>SUMIFS(服务费底表!$AC:$AC,服务费底表!$K:$K,服务费明细!$B169,服务费底表!$H:$H,服务费明细!BO$3)</f>
        <v>0</v>
      </c>
      <c r="BQ169" s="389">
        <f>SUMIFS(服务费底表!$AD:$AD,服务费底表!$K:$K,服务费明细!$B169,服务费底表!$H:$H,服务费明细!BQ$3)</f>
        <v>0</v>
      </c>
      <c r="BR169" s="389">
        <f>SUMIFS(服务费底表!$AD:$AD,服务费底表!$K:$K,服务费明细!$B169,服务费底表!$H:$H,服务费明细!BR$3)</f>
        <v>0</v>
      </c>
      <c r="BS169" s="389">
        <f>SUMIFS(服务费底表!$AD:$AD,服务费底表!$K:$K,服务费明细!$B169,服务费底表!$H:$H,服务费明细!BS$3)</f>
        <v>0</v>
      </c>
      <c r="BT169" s="389">
        <f>SUMIFS(服务费底表!$AD:$AD,服务费底表!$K:$K,服务费明细!$B169,服务费底表!$H:$H,服务费明细!BT$3)</f>
        <v>0</v>
      </c>
      <c r="BU169" s="389">
        <f>SUMIFS(服务费底表!$AD:$AD,服务费底表!$K:$K,服务费明细!$B169,服务费底表!$H:$H,服务费明细!BU$3)</f>
        <v>0</v>
      </c>
      <c r="BV169" s="389">
        <f>SUMIFS(服务费底表!$AD:$AD,服务费底表!$K:$K,服务费明细!$B169,服务费底表!$H:$H,服务费明细!BV$3)</f>
        <v>0</v>
      </c>
      <c r="BW169" s="389">
        <f>SUMIFS(服务费底表!$AD:$AD,服务费底表!$K:$K,服务费明细!$B169,服务费底表!$H:$H,服务费明细!BW$3)</f>
        <v>0</v>
      </c>
    </row>
    <row r="170" ht="26.4" spans="2:75">
      <c r="B170" s="89" t="s">
        <v>1089</v>
      </c>
      <c r="C170" s="89" t="str">
        <f>INDEX(二三级标准!$C:$C,MATCH(服务费明细!$B170,二三级标准!$B:$B,0))</f>
        <v>DSMB/DMC/IDMC项目管理</v>
      </c>
      <c r="D170" s="166">
        <v>0</v>
      </c>
      <c r="E170" s="166">
        <f t="shared" si="303"/>
        <v>0</v>
      </c>
      <c r="F170" s="89" t="str">
        <f>INDEX(二三级标准!$G:$G,MATCH(服务费明细!$B170,二三级标准!$B:$B,0))</f>
        <v>项目</v>
      </c>
      <c r="G170" s="166">
        <f t="shared" si="276"/>
        <v>0</v>
      </c>
      <c r="H170" s="166">
        <f t="shared" si="277"/>
        <v>0</v>
      </c>
      <c r="I170" s="166">
        <f t="shared" si="278"/>
        <v>0</v>
      </c>
      <c r="J170" s="166">
        <f t="shared" si="279"/>
        <v>0</v>
      </c>
      <c r="K170" s="166">
        <f t="shared" si="280"/>
        <v>0</v>
      </c>
      <c r="L170" s="166">
        <f t="shared" si="281"/>
        <v>0</v>
      </c>
      <c r="M170" s="166">
        <f t="shared" si="282"/>
        <v>0</v>
      </c>
      <c r="N170" s="166">
        <f t="shared" si="283"/>
        <v>0</v>
      </c>
      <c r="O170" s="166">
        <f t="shared" si="284"/>
        <v>0</v>
      </c>
      <c r="P170" s="166">
        <f t="shared" si="285"/>
        <v>0</v>
      </c>
      <c r="Q170" s="166">
        <f t="shared" si="286"/>
        <v>0</v>
      </c>
      <c r="R170" s="166">
        <f t="shared" si="287"/>
        <v>0</v>
      </c>
      <c r="S170" s="166">
        <f t="shared" si="288"/>
        <v>0</v>
      </c>
      <c r="T170" s="166">
        <f t="shared" si="289"/>
        <v>0</v>
      </c>
      <c r="U170" s="166">
        <f t="shared" si="290"/>
        <v>0</v>
      </c>
      <c r="V170" s="166">
        <f t="shared" si="291"/>
        <v>0</v>
      </c>
      <c r="W170" s="166">
        <f t="shared" si="292"/>
        <v>0</v>
      </c>
      <c r="X170" s="166">
        <f t="shared" si="293"/>
        <v>0</v>
      </c>
      <c r="Y170" s="166">
        <f t="shared" si="294"/>
        <v>0</v>
      </c>
      <c r="Z170" s="166">
        <f t="shared" si="295"/>
        <v>0</v>
      </c>
      <c r="AA170" s="166">
        <f t="shared" si="296"/>
        <v>0</v>
      </c>
      <c r="AB170" s="166">
        <f t="shared" si="297"/>
        <v>0</v>
      </c>
      <c r="AC170" s="166" cm="1">
        <f t="array" ref="AC170">SUMPRODUCT(G170:AB170,$G$4:$AB$4)</f>
        <v>0</v>
      </c>
      <c r="AD170" s="89" t="b">
        <f t="shared" si="304"/>
        <v>1</v>
      </c>
      <c r="AE170" s="386">
        <f>IFERROR(SUMIF(服务费底表!$K:$K,服务费明细!$B170,服务费底表!$AD:$AD)/E170,0)</f>
        <v>0</v>
      </c>
      <c r="AF170" s="386">
        <f t="shared" si="305"/>
        <v>0</v>
      </c>
      <c r="AG170" s="386">
        <f>IFERROR(SUMIF(服务费底表!$K:$K,服务费明细!$B170,服务费底表!$AG:$AG)/E170,0)</f>
        <v>0</v>
      </c>
      <c r="AH170" s="386">
        <f t="shared" si="306"/>
        <v>0</v>
      </c>
      <c r="AI170" s="584" t="s">
        <v>1090</v>
      </c>
      <c r="AJ170" s="563">
        <f t="shared" si="301"/>
        <v>0</v>
      </c>
      <c r="AK170" s="564">
        <f>SUMIF(服务费底表!$K:$K,服务费明细!$B170,服务费底表!$AC:$AC)</f>
        <v>0</v>
      </c>
      <c r="AL170" s="166">
        <f>SUMIFS(服务费底表!$AC:$AC,服务费底表!$K:$K,服务费明细!$B170,服务费底表!$T:$T,AL$3)</f>
        <v>0</v>
      </c>
      <c r="AM170" s="166">
        <f>SUMIFS(服务费底表!$AC:$AC,服务费底表!$K:$K,服务费明细!$B170,服务费底表!$T:$T,AM$3)</f>
        <v>0</v>
      </c>
      <c r="AN170" s="166">
        <f>SUMIFS(服务费底表!$AC:$AC,服务费底表!$K:$K,服务费明细!$B170,服务费底表!$T:$T,AN$3)</f>
        <v>0</v>
      </c>
      <c r="AO170" s="166">
        <f>SUMIFS(服务费底表!$AC:$AC,服务费底表!$K:$K,服务费明细!$B170,服务费底表!$T:$T,AO$3)</f>
        <v>0</v>
      </c>
      <c r="AP170" s="166">
        <f>SUMIFS(服务费底表!$AC:$AC,服务费底表!$K:$K,服务费明细!$B170,服务费底表!$T:$T,AP$3)</f>
        <v>0</v>
      </c>
      <c r="AQ170" s="166">
        <f>SUMIFS(服务费底表!$AC:$AC,服务费底表!$K:$K,服务费明细!$B170,服务费底表!$T:$T,AQ$3)</f>
        <v>0</v>
      </c>
      <c r="AR170" s="166">
        <f>SUMIFS(服务费底表!$AC:$AC,服务费底表!$K:$K,服务费明细!$B170,服务费底表!$T:$T,AR$3)</f>
        <v>0</v>
      </c>
      <c r="AS170" s="166">
        <f>SUMIFS(服务费底表!$AC:$AC,服务费底表!$K:$K,服务费明细!$B170,服务费底表!$T:$T,AS$3)</f>
        <v>0</v>
      </c>
      <c r="AT170" s="166">
        <f>SUMIFS(服务费底表!$AC:$AC,服务费底表!$K:$K,服务费明细!$B170,服务费底表!$T:$T,AT$3)</f>
        <v>0</v>
      </c>
      <c r="AU170" s="166">
        <f>SUMIFS(服务费底表!$AC:$AC,服务费底表!$K:$K,服务费明细!$B170,服务费底表!$T:$T,AU$3)</f>
        <v>0</v>
      </c>
      <c r="AV170" s="166">
        <f>SUMIFS(服务费底表!$AC:$AC,服务费底表!$K:$K,服务费明细!$B170,服务费底表!$T:$T,AV$3)</f>
        <v>0</v>
      </c>
      <c r="AW170" s="166">
        <f>SUMIFS(服务费底表!$AC:$AC,服务费底表!$K:$K,服务费明细!$B170,服务费底表!$T:$T,AW$3)</f>
        <v>0</v>
      </c>
      <c r="AX170" s="166">
        <f>SUMIFS(服务费底表!$AC:$AC,服务费底表!$K:$K,服务费明细!$B170,服务费底表!$T:$T,AX$3)</f>
        <v>0</v>
      </c>
      <c r="AY170" s="166">
        <f>SUMIFS(服务费底表!$AC:$AC,服务费底表!$K:$K,服务费明细!$B170,服务费底表!$T:$T,AY$3)</f>
        <v>0</v>
      </c>
      <c r="AZ170" s="166">
        <f>SUMIFS(服务费底表!$AC:$AC,服务费底表!$K:$K,服务费明细!$B170,服务费底表!$T:$T,AZ$3)</f>
        <v>0</v>
      </c>
      <c r="BA170" s="166">
        <f>SUMIFS(服务费底表!$AC:$AC,服务费底表!$K:$K,服务费明细!$B170,服务费底表!$T:$T,BA$3)</f>
        <v>0</v>
      </c>
      <c r="BB170" s="166">
        <f>SUMIFS(服务费底表!$AC:$AC,服务费底表!$K:$K,服务费明细!$B170,服务费底表!$T:$T,BB$3)</f>
        <v>0</v>
      </c>
      <c r="BC170" s="166">
        <f>SUMIFS(服务费底表!$AC:$AC,服务费底表!$K:$K,服务费明细!$B170,服务费底表!$T:$T,BC$3)</f>
        <v>0</v>
      </c>
      <c r="BD170" s="166">
        <f>SUMIFS(服务费底表!$AC:$AC,服务费底表!$K:$K,服务费明细!$B170,服务费底表!$T:$T,BD$3)</f>
        <v>0</v>
      </c>
      <c r="BE170" s="166">
        <f>SUMIFS(服务费底表!$AC:$AC,服务费底表!$K:$K,服务费明细!$B170,服务费底表!$T:$T,BE$3)</f>
        <v>0</v>
      </c>
      <c r="BF170" s="166">
        <f>SUMIFS(服务费底表!$AC:$AC,服务费底表!$K:$K,服务费明细!$B170,服务费底表!$T:$T,BF$3)</f>
        <v>0</v>
      </c>
      <c r="BG170" s="166">
        <f>SUMIFS(服务费底表!$AC:$AC,服务费底表!$K:$K,服务费明细!$B170,服务费底表!$T:$T,BG$3)</f>
        <v>0</v>
      </c>
      <c r="BI170" s="388">
        <f>SUMIFS(服务费底表!$AC:$AC,服务费底表!$K:$K,服务费明细!$B170,服务费底表!$H:$H,服务费明细!BI$3)</f>
        <v>0</v>
      </c>
      <c r="BJ170" s="388">
        <f>SUMIFS(服务费底表!$AC:$AC,服务费底表!$K:$K,服务费明细!$B170,服务费底表!$H:$H,服务费明细!BJ$3)</f>
        <v>0</v>
      </c>
      <c r="BK170" s="388">
        <f>SUMIFS(服务费底表!$AC:$AC,服务费底表!$K:$K,服务费明细!$B170,服务费底表!$H:$H,服务费明细!BK$3)</f>
        <v>0</v>
      </c>
      <c r="BL170" s="388">
        <f>SUMIFS(服务费底表!$AC:$AC,服务费底表!$K:$K,服务费明细!$B170,服务费底表!$H:$H,服务费明细!BL$3)</f>
        <v>0</v>
      </c>
      <c r="BM170" s="388">
        <f>SUMIFS(服务费底表!$AC:$AC,服务费底表!$K:$K,服务费明细!$B170,服务费底表!$H:$H,服务费明细!BM$3)</f>
        <v>0</v>
      </c>
      <c r="BN170" s="388">
        <f>SUMIFS(服务费底表!$AC:$AC,服务费底表!$K:$K,服务费明细!$B170,服务费底表!$H:$H,服务费明细!BN$3)</f>
        <v>0</v>
      </c>
      <c r="BO170" s="388">
        <f>SUMIFS(服务费底表!$AC:$AC,服务费底表!$K:$K,服务费明细!$B170,服务费底表!$H:$H,服务费明细!BO$3)</f>
        <v>0</v>
      </c>
      <c r="BQ170" s="389">
        <f>SUMIFS(服务费底表!$AD:$AD,服务费底表!$K:$K,服务费明细!$B170,服务费底表!$H:$H,服务费明细!BQ$3)</f>
        <v>0</v>
      </c>
      <c r="BR170" s="389">
        <f>SUMIFS(服务费底表!$AD:$AD,服务费底表!$K:$K,服务费明细!$B170,服务费底表!$H:$H,服务费明细!BR$3)</f>
        <v>0</v>
      </c>
      <c r="BS170" s="389">
        <f>SUMIFS(服务费底表!$AD:$AD,服务费底表!$K:$K,服务费明细!$B170,服务费底表!$H:$H,服务费明细!BS$3)</f>
        <v>0</v>
      </c>
      <c r="BT170" s="389">
        <f>SUMIFS(服务费底表!$AD:$AD,服务费底表!$K:$K,服务费明细!$B170,服务费底表!$H:$H,服务费明细!BT$3)</f>
        <v>0</v>
      </c>
      <c r="BU170" s="389">
        <f>SUMIFS(服务费底表!$AD:$AD,服务费底表!$K:$K,服务费明细!$B170,服务费底表!$H:$H,服务费明细!BU$3)</f>
        <v>0</v>
      </c>
      <c r="BV170" s="389">
        <f>SUMIFS(服务费底表!$AD:$AD,服务费底表!$K:$K,服务费明细!$B170,服务费底表!$H:$H,服务费明细!BV$3)</f>
        <v>0</v>
      </c>
      <c r="BW170" s="389">
        <f>SUMIFS(服务费底表!$AD:$AD,服务费底表!$K:$K,服务费明细!$B170,服务费底表!$H:$H,服务费明细!BW$3)</f>
        <v>0</v>
      </c>
    </row>
    <row r="171" spans="2:75">
      <c r="B171" s="89" t="s">
        <v>1091</v>
      </c>
      <c r="C171" s="89" t="str">
        <f>INDEX(二三级标准!$C:$C,MATCH(服务费明细!$B171,二三级标准!$B:$B,0))</f>
        <v>文章发表支持</v>
      </c>
      <c r="D171" s="166">
        <v>0</v>
      </c>
      <c r="E171" s="166">
        <f t="shared" si="303"/>
        <v>0</v>
      </c>
      <c r="F171" s="89" t="str">
        <f>INDEX(二三级标准!$G:$G,MATCH(服务费明细!$B171,二三级标准!$B:$B,0))</f>
        <v>次</v>
      </c>
      <c r="G171" s="166">
        <f t="shared" si="276"/>
        <v>0</v>
      </c>
      <c r="H171" s="166">
        <f t="shared" si="277"/>
        <v>0</v>
      </c>
      <c r="I171" s="166">
        <f t="shared" si="278"/>
        <v>0</v>
      </c>
      <c r="J171" s="166">
        <f t="shared" si="279"/>
        <v>0</v>
      </c>
      <c r="K171" s="166">
        <f t="shared" si="280"/>
        <v>0</v>
      </c>
      <c r="L171" s="166">
        <f t="shared" si="281"/>
        <v>0</v>
      </c>
      <c r="M171" s="166">
        <f t="shared" si="282"/>
        <v>0</v>
      </c>
      <c r="N171" s="166">
        <f t="shared" si="283"/>
        <v>0</v>
      </c>
      <c r="O171" s="166">
        <f t="shared" si="284"/>
        <v>0</v>
      </c>
      <c r="P171" s="166">
        <f t="shared" si="285"/>
        <v>0</v>
      </c>
      <c r="Q171" s="166">
        <f t="shared" si="286"/>
        <v>0</v>
      </c>
      <c r="R171" s="166">
        <f t="shared" si="287"/>
        <v>0</v>
      </c>
      <c r="S171" s="166">
        <f t="shared" si="288"/>
        <v>0</v>
      </c>
      <c r="T171" s="166">
        <f t="shared" si="289"/>
        <v>0</v>
      </c>
      <c r="U171" s="166">
        <f t="shared" si="290"/>
        <v>0</v>
      </c>
      <c r="V171" s="166">
        <f t="shared" si="291"/>
        <v>0</v>
      </c>
      <c r="W171" s="166">
        <f t="shared" si="292"/>
        <v>0</v>
      </c>
      <c r="X171" s="166">
        <f t="shared" si="293"/>
        <v>0</v>
      </c>
      <c r="Y171" s="166">
        <f t="shared" si="294"/>
        <v>0</v>
      </c>
      <c r="Z171" s="166">
        <f t="shared" si="295"/>
        <v>0</v>
      </c>
      <c r="AA171" s="166">
        <f t="shared" si="296"/>
        <v>0</v>
      </c>
      <c r="AB171" s="166">
        <f t="shared" si="297"/>
        <v>0</v>
      </c>
      <c r="AC171" s="166" cm="1">
        <f t="array" ref="AC171">SUMPRODUCT(G171:AB171,$G$4:$AB$4)</f>
        <v>0</v>
      </c>
      <c r="AD171" s="89" t="b">
        <f t="shared" si="304"/>
        <v>1</v>
      </c>
      <c r="AE171" s="386">
        <f>IFERROR(SUMIF(服务费底表!$K:$K,服务费明细!$B171,服务费底表!$AD:$AD)/E171,0)</f>
        <v>0</v>
      </c>
      <c r="AF171" s="386">
        <f t="shared" si="305"/>
        <v>0</v>
      </c>
      <c r="AG171" s="386">
        <f>IFERROR(SUMIF(服务费底表!$K:$K,服务费明细!$B171,服务费底表!$AG:$AG)/E171,0)</f>
        <v>0</v>
      </c>
      <c r="AH171" s="386">
        <f t="shared" si="306"/>
        <v>0</v>
      </c>
      <c r="AI171" s="409"/>
      <c r="AJ171" s="563">
        <f t="shared" si="301"/>
        <v>0</v>
      </c>
      <c r="AK171" s="564">
        <f>SUMIF(服务费底表!$K:$K,服务费明细!$B171,服务费底表!$AC:$AC)</f>
        <v>0</v>
      </c>
      <c r="AL171" s="166">
        <f>SUMIFS(服务费底表!$AC:$AC,服务费底表!$K:$K,服务费明细!$B171,服务费底表!$T:$T,AL$3)</f>
        <v>0</v>
      </c>
      <c r="AM171" s="166">
        <f>SUMIFS(服务费底表!$AC:$AC,服务费底表!$K:$K,服务费明细!$B171,服务费底表!$T:$T,AM$3)</f>
        <v>0</v>
      </c>
      <c r="AN171" s="166">
        <f>SUMIFS(服务费底表!$AC:$AC,服务费底表!$K:$K,服务费明细!$B171,服务费底表!$T:$T,AN$3)</f>
        <v>0</v>
      </c>
      <c r="AO171" s="166">
        <f>SUMIFS(服务费底表!$AC:$AC,服务费底表!$K:$K,服务费明细!$B171,服务费底表!$T:$T,AO$3)</f>
        <v>0</v>
      </c>
      <c r="AP171" s="166">
        <f>SUMIFS(服务费底表!$AC:$AC,服务费底表!$K:$K,服务费明细!$B171,服务费底表!$T:$T,AP$3)</f>
        <v>0</v>
      </c>
      <c r="AQ171" s="166">
        <f>SUMIFS(服务费底表!$AC:$AC,服务费底表!$K:$K,服务费明细!$B171,服务费底表!$T:$T,AQ$3)</f>
        <v>0</v>
      </c>
      <c r="AR171" s="166">
        <f>SUMIFS(服务费底表!$AC:$AC,服务费底表!$K:$K,服务费明细!$B171,服务费底表!$T:$T,AR$3)</f>
        <v>0</v>
      </c>
      <c r="AS171" s="166">
        <f>SUMIFS(服务费底表!$AC:$AC,服务费底表!$K:$K,服务费明细!$B171,服务费底表!$T:$T,AS$3)</f>
        <v>0</v>
      </c>
      <c r="AT171" s="166">
        <f>SUMIFS(服务费底表!$AC:$AC,服务费底表!$K:$K,服务费明细!$B171,服务费底表!$T:$T,AT$3)</f>
        <v>0</v>
      </c>
      <c r="AU171" s="166">
        <f>SUMIFS(服务费底表!$AC:$AC,服务费底表!$K:$K,服务费明细!$B171,服务费底表!$T:$T,AU$3)</f>
        <v>0</v>
      </c>
      <c r="AV171" s="166">
        <f>SUMIFS(服务费底表!$AC:$AC,服务费底表!$K:$K,服务费明细!$B171,服务费底表!$T:$T,AV$3)</f>
        <v>0</v>
      </c>
      <c r="AW171" s="166">
        <f>SUMIFS(服务费底表!$AC:$AC,服务费底表!$K:$K,服务费明细!$B171,服务费底表!$T:$T,AW$3)</f>
        <v>0</v>
      </c>
      <c r="AX171" s="166">
        <f>SUMIFS(服务费底表!$AC:$AC,服务费底表!$K:$K,服务费明细!$B171,服务费底表!$T:$T,AX$3)</f>
        <v>0</v>
      </c>
      <c r="AY171" s="166">
        <f>SUMIFS(服务费底表!$AC:$AC,服务费底表!$K:$K,服务费明细!$B171,服务费底表!$T:$T,AY$3)</f>
        <v>0</v>
      </c>
      <c r="AZ171" s="166">
        <f>SUMIFS(服务费底表!$AC:$AC,服务费底表!$K:$K,服务费明细!$B171,服务费底表!$T:$T,AZ$3)</f>
        <v>0</v>
      </c>
      <c r="BA171" s="166">
        <f>SUMIFS(服务费底表!$AC:$AC,服务费底表!$K:$K,服务费明细!$B171,服务费底表!$T:$T,BA$3)</f>
        <v>0</v>
      </c>
      <c r="BB171" s="166">
        <f>SUMIFS(服务费底表!$AC:$AC,服务费底表!$K:$K,服务费明细!$B171,服务费底表!$T:$T,BB$3)</f>
        <v>0</v>
      </c>
      <c r="BC171" s="166">
        <f>SUMIFS(服务费底表!$AC:$AC,服务费底表!$K:$K,服务费明细!$B171,服务费底表!$T:$T,BC$3)</f>
        <v>0</v>
      </c>
      <c r="BD171" s="166">
        <f>SUMIFS(服务费底表!$AC:$AC,服务费底表!$K:$K,服务费明细!$B171,服务费底表!$T:$T,BD$3)</f>
        <v>0</v>
      </c>
      <c r="BE171" s="166">
        <f>SUMIFS(服务费底表!$AC:$AC,服务费底表!$K:$K,服务费明细!$B171,服务费底表!$T:$T,BE$3)</f>
        <v>0</v>
      </c>
      <c r="BF171" s="166">
        <f>SUMIFS(服务费底表!$AC:$AC,服务费底表!$K:$K,服务费明细!$B171,服务费底表!$T:$T,BF$3)</f>
        <v>0</v>
      </c>
      <c r="BG171" s="166">
        <f>SUMIFS(服务费底表!$AC:$AC,服务费底表!$K:$K,服务费明细!$B171,服务费底表!$T:$T,BG$3)</f>
        <v>0</v>
      </c>
      <c r="BI171" s="388">
        <f>SUMIFS(服务费底表!$AC:$AC,服务费底表!$K:$K,服务费明细!$B171,服务费底表!$H:$H,服务费明细!BI$3)</f>
        <v>0</v>
      </c>
      <c r="BJ171" s="388">
        <f>SUMIFS(服务费底表!$AC:$AC,服务费底表!$K:$K,服务费明细!$B171,服务费底表!$H:$H,服务费明细!BJ$3)</f>
        <v>0</v>
      </c>
      <c r="BK171" s="388">
        <f>SUMIFS(服务费底表!$AC:$AC,服务费底表!$K:$K,服务费明细!$B171,服务费底表!$H:$H,服务费明细!BK$3)</f>
        <v>0</v>
      </c>
      <c r="BL171" s="388">
        <f>SUMIFS(服务费底表!$AC:$AC,服务费底表!$K:$K,服务费明细!$B171,服务费底表!$H:$H,服务费明细!BL$3)</f>
        <v>0</v>
      </c>
      <c r="BM171" s="388">
        <f>SUMIFS(服务费底表!$AC:$AC,服务费底表!$K:$K,服务费明细!$B171,服务费底表!$H:$H,服务费明细!BM$3)</f>
        <v>0</v>
      </c>
      <c r="BN171" s="388">
        <f>SUMIFS(服务费底表!$AC:$AC,服务费底表!$K:$K,服务费明细!$B171,服务费底表!$H:$H,服务费明细!BN$3)</f>
        <v>0</v>
      </c>
      <c r="BO171" s="388">
        <f>SUMIFS(服务费底表!$AC:$AC,服务费底表!$K:$K,服务费明细!$B171,服务费底表!$H:$H,服务费明细!BO$3)</f>
        <v>0</v>
      </c>
      <c r="BQ171" s="389">
        <f>SUMIFS(服务费底表!$AD:$AD,服务费底表!$K:$K,服务费明细!$B171,服务费底表!$H:$H,服务费明细!BQ$3)</f>
        <v>0</v>
      </c>
      <c r="BR171" s="389">
        <f>SUMIFS(服务费底表!$AD:$AD,服务费底表!$K:$K,服务费明细!$B171,服务费底表!$H:$H,服务费明细!BR$3)</f>
        <v>0</v>
      </c>
      <c r="BS171" s="389">
        <f>SUMIFS(服务费底表!$AD:$AD,服务费底表!$K:$K,服务费明细!$B171,服务费底表!$H:$H,服务费明细!BS$3)</f>
        <v>0</v>
      </c>
      <c r="BT171" s="389">
        <f>SUMIFS(服务费底表!$AD:$AD,服务费底表!$K:$K,服务费明细!$B171,服务费底表!$H:$H,服务费明细!BT$3)</f>
        <v>0</v>
      </c>
      <c r="BU171" s="389">
        <f>SUMIFS(服务费底表!$AD:$AD,服务费底表!$K:$K,服务费明细!$B171,服务费底表!$H:$H,服务费明细!BU$3)</f>
        <v>0</v>
      </c>
      <c r="BV171" s="389">
        <f>SUMIFS(服务费底表!$AD:$AD,服务费底表!$K:$K,服务费明细!$B171,服务费底表!$H:$H,服务费明细!BV$3)</f>
        <v>0</v>
      </c>
      <c r="BW171" s="389">
        <f>SUMIFS(服务费底表!$AD:$AD,服务费底表!$K:$K,服务费明细!$B171,服务费底表!$H:$H,服务费明细!BW$3)</f>
        <v>0</v>
      </c>
    </row>
    <row r="172" spans="2:75">
      <c r="B172" s="89" t="s">
        <v>1092</v>
      </c>
      <c r="C172" s="89" t="str">
        <f>INDEX(二三级标准!$C:$C,MATCH(服务费明细!$B172,二三级标准!$B:$B,0))</f>
        <v>CDE申报后额外分析</v>
      </c>
      <c r="D172" s="166">
        <v>0</v>
      </c>
      <c r="E172" s="166">
        <f t="shared" si="303"/>
        <v>0</v>
      </c>
      <c r="F172" s="89" t="str">
        <f>INDEX(二三级标准!$G:$G,MATCH(服务费明细!$B172,二三级标准!$B:$B,0))</f>
        <v>次</v>
      </c>
      <c r="G172" s="166">
        <f t="shared" si="276"/>
        <v>0</v>
      </c>
      <c r="H172" s="166">
        <f t="shared" si="277"/>
        <v>0</v>
      </c>
      <c r="I172" s="166">
        <f t="shared" si="278"/>
        <v>0</v>
      </c>
      <c r="J172" s="166">
        <f t="shared" si="279"/>
        <v>0</v>
      </c>
      <c r="K172" s="166">
        <f t="shared" si="280"/>
        <v>0</v>
      </c>
      <c r="L172" s="166">
        <f t="shared" si="281"/>
        <v>0</v>
      </c>
      <c r="M172" s="166">
        <f t="shared" si="282"/>
        <v>0</v>
      </c>
      <c r="N172" s="166">
        <f t="shared" si="283"/>
        <v>0</v>
      </c>
      <c r="O172" s="166">
        <f t="shared" si="284"/>
        <v>0</v>
      </c>
      <c r="P172" s="166">
        <f t="shared" si="285"/>
        <v>0</v>
      </c>
      <c r="Q172" s="166">
        <f t="shared" si="286"/>
        <v>0</v>
      </c>
      <c r="R172" s="166">
        <f t="shared" si="287"/>
        <v>0</v>
      </c>
      <c r="S172" s="166">
        <f t="shared" si="288"/>
        <v>0</v>
      </c>
      <c r="T172" s="166">
        <f t="shared" si="289"/>
        <v>0</v>
      </c>
      <c r="U172" s="166">
        <f t="shared" si="290"/>
        <v>0</v>
      </c>
      <c r="V172" s="166">
        <f t="shared" si="291"/>
        <v>0</v>
      </c>
      <c r="W172" s="166">
        <f t="shared" si="292"/>
        <v>0</v>
      </c>
      <c r="X172" s="166">
        <f t="shared" si="293"/>
        <v>0</v>
      </c>
      <c r="Y172" s="166">
        <f t="shared" si="294"/>
        <v>0</v>
      </c>
      <c r="Z172" s="166">
        <f t="shared" si="295"/>
        <v>0</v>
      </c>
      <c r="AA172" s="166">
        <f t="shared" si="296"/>
        <v>0</v>
      </c>
      <c r="AB172" s="166">
        <f t="shared" si="297"/>
        <v>0</v>
      </c>
      <c r="AC172" s="166" cm="1">
        <f t="array" ref="AC172">SUMPRODUCT(G172:AB172,$G$4:$AB$4)</f>
        <v>0</v>
      </c>
      <c r="AD172" s="89" t="b">
        <f t="shared" si="304"/>
        <v>1</v>
      </c>
      <c r="AE172" s="386">
        <f>IFERROR(SUMIF(服务费底表!$K:$K,服务费明细!$B172,服务费底表!$AD:$AD)/E172,0)</f>
        <v>0</v>
      </c>
      <c r="AF172" s="386">
        <f t="shared" si="305"/>
        <v>0</v>
      </c>
      <c r="AG172" s="386">
        <f>IFERROR(SUMIF(服务费底表!$K:$K,服务费明细!$B172,服务费底表!$AG:$AG)/E172,0)</f>
        <v>0</v>
      </c>
      <c r="AH172" s="386">
        <f t="shared" si="306"/>
        <v>0</v>
      </c>
      <c r="AI172" s="409"/>
      <c r="AJ172" s="563">
        <f t="shared" si="301"/>
        <v>0</v>
      </c>
      <c r="AK172" s="564">
        <f>SUMIF(服务费底表!$K:$K,服务费明细!$B172,服务费底表!$AC:$AC)</f>
        <v>0</v>
      </c>
      <c r="AL172" s="166">
        <f>SUMIFS(服务费底表!$AC:$AC,服务费底表!$K:$K,服务费明细!$B172,服务费底表!$T:$T,AL$3)</f>
        <v>0</v>
      </c>
      <c r="AM172" s="166">
        <f>SUMIFS(服务费底表!$AC:$AC,服务费底表!$K:$K,服务费明细!$B172,服务费底表!$T:$T,AM$3)</f>
        <v>0</v>
      </c>
      <c r="AN172" s="166">
        <f>SUMIFS(服务费底表!$AC:$AC,服务费底表!$K:$K,服务费明细!$B172,服务费底表!$T:$T,AN$3)</f>
        <v>0</v>
      </c>
      <c r="AO172" s="166">
        <f>SUMIFS(服务费底表!$AC:$AC,服务费底表!$K:$K,服务费明细!$B172,服务费底表!$T:$T,AO$3)</f>
        <v>0</v>
      </c>
      <c r="AP172" s="166">
        <f>SUMIFS(服务费底表!$AC:$AC,服务费底表!$K:$K,服务费明细!$B172,服务费底表!$T:$T,AP$3)</f>
        <v>0</v>
      </c>
      <c r="AQ172" s="166">
        <f>SUMIFS(服务费底表!$AC:$AC,服务费底表!$K:$K,服务费明细!$B172,服务费底表!$T:$T,AQ$3)</f>
        <v>0</v>
      </c>
      <c r="AR172" s="166">
        <f>SUMIFS(服务费底表!$AC:$AC,服务费底表!$K:$K,服务费明细!$B172,服务费底表!$T:$T,AR$3)</f>
        <v>0</v>
      </c>
      <c r="AS172" s="166">
        <f>SUMIFS(服务费底表!$AC:$AC,服务费底表!$K:$K,服务费明细!$B172,服务费底表!$T:$T,AS$3)</f>
        <v>0</v>
      </c>
      <c r="AT172" s="166">
        <f>SUMIFS(服务费底表!$AC:$AC,服务费底表!$K:$K,服务费明细!$B172,服务费底表!$T:$T,AT$3)</f>
        <v>0</v>
      </c>
      <c r="AU172" s="166">
        <f>SUMIFS(服务费底表!$AC:$AC,服务费底表!$K:$K,服务费明细!$B172,服务费底表!$T:$T,AU$3)</f>
        <v>0</v>
      </c>
      <c r="AV172" s="166">
        <f>SUMIFS(服务费底表!$AC:$AC,服务费底表!$K:$K,服务费明细!$B172,服务费底表!$T:$T,AV$3)</f>
        <v>0</v>
      </c>
      <c r="AW172" s="166">
        <f>SUMIFS(服务费底表!$AC:$AC,服务费底表!$K:$K,服务费明细!$B172,服务费底表!$T:$T,AW$3)</f>
        <v>0</v>
      </c>
      <c r="AX172" s="166">
        <f>SUMIFS(服务费底表!$AC:$AC,服务费底表!$K:$K,服务费明细!$B172,服务费底表!$T:$T,AX$3)</f>
        <v>0</v>
      </c>
      <c r="AY172" s="166">
        <f>SUMIFS(服务费底表!$AC:$AC,服务费底表!$K:$K,服务费明细!$B172,服务费底表!$T:$T,AY$3)</f>
        <v>0</v>
      </c>
      <c r="AZ172" s="166">
        <f>SUMIFS(服务费底表!$AC:$AC,服务费底表!$K:$K,服务费明细!$B172,服务费底表!$T:$T,AZ$3)</f>
        <v>0</v>
      </c>
      <c r="BA172" s="166">
        <f>SUMIFS(服务费底表!$AC:$AC,服务费底表!$K:$K,服务费明细!$B172,服务费底表!$T:$T,BA$3)</f>
        <v>0</v>
      </c>
      <c r="BB172" s="166">
        <f>SUMIFS(服务费底表!$AC:$AC,服务费底表!$K:$K,服务费明细!$B172,服务费底表!$T:$T,BB$3)</f>
        <v>0</v>
      </c>
      <c r="BC172" s="166">
        <f>SUMIFS(服务费底表!$AC:$AC,服务费底表!$K:$K,服务费明细!$B172,服务费底表!$T:$T,BC$3)</f>
        <v>0</v>
      </c>
      <c r="BD172" s="166">
        <f>SUMIFS(服务费底表!$AC:$AC,服务费底表!$K:$K,服务费明细!$B172,服务费底表!$T:$T,BD$3)</f>
        <v>0</v>
      </c>
      <c r="BE172" s="166">
        <f>SUMIFS(服务费底表!$AC:$AC,服务费底表!$K:$K,服务费明细!$B172,服务费底表!$T:$T,BE$3)</f>
        <v>0</v>
      </c>
      <c r="BF172" s="166">
        <f>SUMIFS(服务费底表!$AC:$AC,服务费底表!$K:$K,服务费明细!$B172,服务费底表!$T:$T,BF$3)</f>
        <v>0</v>
      </c>
      <c r="BG172" s="166">
        <f>SUMIFS(服务费底表!$AC:$AC,服务费底表!$K:$K,服务费明细!$B172,服务费底表!$T:$T,BG$3)</f>
        <v>0</v>
      </c>
      <c r="BI172" s="388">
        <f>SUMIFS(服务费底表!$AC:$AC,服务费底表!$K:$K,服务费明细!$B172,服务费底表!$H:$H,服务费明细!BI$3)</f>
        <v>0</v>
      </c>
      <c r="BJ172" s="388">
        <f>SUMIFS(服务费底表!$AC:$AC,服务费底表!$K:$K,服务费明细!$B172,服务费底表!$H:$H,服务费明细!BJ$3)</f>
        <v>0</v>
      </c>
      <c r="BK172" s="388">
        <f>SUMIFS(服务费底表!$AC:$AC,服务费底表!$K:$K,服务费明细!$B172,服务费底表!$H:$H,服务费明细!BK$3)</f>
        <v>0</v>
      </c>
      <c r="BL172" s="388">
        <f>SUMIFS(服务费底表!$AC:$AC,服务费底表!$K:$K,服务费明细!$B172,服务费底表!$H:$H,服务费明细!BL$3)</f>
        <v>0</v>
      </c>
      <c r="BM172" s="388">
        <f>SUMIFS(服务费底表!$AC:$AC,服务费底表!$K:$K,服务费明细!$B172,服务费底表!$H:$H,服务费明细!BM$3)</f>
        <v>0</v>
      </c>
      <c r="BN172" s="388">
        <f>SUMIFS(服务费底表!$AC:$AC,服务费底表!$K:$K,服务费明细!$B172,服务费底表!$H:$H,服务费明细!BN$3)</f>
        <v>0</v>
      </c>
      <c r="BO172" s="388">
        <f>SUMIFS(服务费底表!$AC:$AC,服务费底表!$K:$K,服务费明细!$B172,服务费底表!$H:$H,服务费明细!BO$3)</f>
        <v>0</v>
      </c>
      <c r="BQ172" s="389">
        <f>SUMIFS(服务费底表!$AD:$AD,服务费底表!$K:$K,服务费明细!$B172,服务费底表!$H:$H,服务费明细!BQ$3)</f>
        <v>0</v>
      </c>
      <c r="BR172" s="389">
        <f>SUMIFS(服务费底表!$AD:$AD,服务费底表!$K:$K,服务费明细!$B172,服务费底表!$H:$H,服务费明细!BR$3)</f>
        <v>0</v>
      </c>
      <c r="BS172" s="389">
        <f>SUMIFS(服务费底表!$AD:$AD,服务费底表!$K:$K,服务费明细!$B172,服务费底表!$H:$H,服务费明细!BS$3)</f>
        <v>0</v>
      </c>
      <c r="BT172" s="389">
        <f>SUMIFS(服务费底表!$AD:$AD,服务费底表!$K:$K,服务费明细!$B172,服务费底表!$H:$H,服务费明细!BT$3)</f>
        <v>0</v>
      </c>
      <c r="BU172" s="389">
        <f>SUMIFS(服务费底表!$AD:$AD,服务费底表!$K:$K,服务费明细!$B172,服务费底表!$H:$H,服务费明细!BU$3)</f>
        <v>0</v>
      </c>
      <c r="BV172" s="389">
        <f>SUMIFS(服务费底表!$AD:$AD,服务费底表!$K:$K,服务费明细!$B172,服务费底表!$H:$H,服务费明细!BV$3)</f>
        <v>0</v>
      </c>
      <c r="BW172" s="389">
        <f>SUMIFS(服务费底表!$AD:$AD,服务费底表!$K:$K,服务费明细!$B172,服务费底表!$H:$H,服务费明细!BW$3)</f>
        <v>0</v>
      </c>
    </row>
    <row r="173" ht="15.6" spans="2:75">
      <c r="B173" s="88" t="s">
        <v>925</v>
      </c>
      <c r="C173" s="88" t="str">
        <f>INDEX(二三级标准!$Q:$Q,MATCH(服务费明细!$B173,二三级标准!$O:$O,0))</f>
        <v>临床药理</v>
      </c>
      <c r="D173" s="376">
        <f>IF(临床药理YN=1,1,0)</f>
        <v>1</v>
      </c>
      <c r="E173" s="377"/>
      <c r="F173" s="378"/>
      <c r="G173" s="429">
        <f>SUM(G174:G203)</f>
        <v>0</v>
      </c>
      <c r="H173" s="429">
        <f t="shared" ref="H173:AB173" si="307">SUM(H174:H203)</f>
        <v>0</v>
      </c>
      <c r="I173" s="429">
        <f t="shared" si="307"/>
        <v>0</v>
      </c>
      <c r="J173" s="429">
        <f t="shared" si="307"/>
        <v>0</v>
      </c>
      <c r="K173" s="429">
        <f t="shared" si="307"/>
        <v>0</v>
      </c>
      <c r="L173" s="429">
        <f t="shared" si="307"/>
        <v>0</v>
      </c>
      <c r="M173" s="429">
        <f t="shared" si="307"/>
        <v>0</v>
      </c>
      <c r="N173" s="429">
        <f t="shared" si="307"/>
        <v>0</v>
      </c>
      <c r="O173" s="429">
        <f t="shared" si="307"/>
        <v>0</v>
      </c>
      <c r="P173" s="429">
        <f t="shared" si="307"/>
        <v>0</v>
      </c>
      <c r="Q173" s="429">
        <f t="shared" si="307"/>
        <v>0</v>
      </c>
      <c r="R173" s="429">
        <f t="shared" si="307"/>
        <v>0</v>
      </c>
      <c r="S173" s="429">
        <f t="shared" si="307"/>
        <v>0</v>
      </c>
      <c r="T173" s="556">
        <f t="shared" si="307"/>
        <v>56.2</v>
      </c>
      <c r="U173" s="556">
        <f t="shared" si="307"/>
        <v>2.7</v>
      </c>
      <c r="V173" s="429">
        <f t="shared" si="307"/>
        <v>0</v>
      </c>
      <c r="W173" s="429">
        <f t="shared" si="307"/>
        <v>0</v>
      </c>
      <c r="X173" s="429">
        <f t="shared" si="307"/>
        <v>118.5</v>
      </c>
      <c r="Y173" s="429">
        <f t="shared" si="307"/>
        <v>44.5</v>
      </c>
      <c r="Z173" s="429">
        <f t="shared" si="307"/>
        <v>0</v>
      </c>
      <c r="AA173" s="429">
        <f t="shared" si="307"/>
        <v>0</v>
      </c>
      <c r="AB173" s="429">
        <f t="shared" si="307"/>
        <v>0</v>
      </c>
      <c r="AC173" s="378"/>
      <c r="AD173" s="378">
        <f>SUM(G173:AB173)</f>
        <v>221.9</v>
      </c>
      <c r="AE173" s="379"/>
      <c r="AF173" s="380">
        <f>SUM(AF174:AF203)</f>
        <v>113740</v>
      </c>
      <c r="AG173" s="380"/>
      <c r="AH173" s="380">
        <f>SUM(AH174:AH203)</f>
        <v>113740</v>
      </c>
      <c r="AI173" s="570"/>
      <c r="AJ173" s="566"/>
      <c r="AK173" s="559">
        <f>SUM(AK174:AK203)</f>
        <v>221.9</v>
      </c>
      <c r="AL173" s="571"/>
      <c r="AM173" s="572"/>
      <c r="AN173" s="572"/>
      <c r="AO173" s="572"/>
      <c r="AP173" s="572"/>
      <c r="AQ173" s="572"/>
      <c r="AR173" s="572"/>
      <c r="AS173" s="572"/>
      <c r="AT173" s="572"/>
      <c r="AU173" s="572"/>
      <c r="AV173" s="572"/>
      <c r="AW173" s="572"/>
      <c r="AX173" s="572"/>
      <c r="AY173" s="572"/>
      <c r="AZ173" s="572"/>
      <c r="BA173" s="572"/>
      <c r="BB173" s="572"/>
      <c r="BC173" s="572"/>
      <c r="BD173" s="572"/>
      <c r="BE173" s="572"/>
      <c r="BF173" s="572"/>
      <c r="BG173" s="572"/>
      <c r="BH173" s="572"/>
      <c r="BI173" s="568">
        <f t="shared" ref="BI173:BO173" si="308">SUM(BI174:BI203)</f>
        <v>0</v>
      </c>
      <c r="BJ173" s="568">
        <f t="shared" si="308"/>
        <v>0</v>
      </c>
      <c r="BK173" s="568">
        <f t="shared" si="308"/>
        <v>0</v>
      </c>
      <c r="BL173" s="568">
        <f t="shared" si="308"/>
        <v>58.9</v>
      </c>
      <c r="BM173" s="568">
        <f t="shared" si="308"/>
        <v>0</v>
      </c>
      <c r="BN173" s="568">
        <f t="shared" si="308"/>
        <v>163</v>
      </c>
      <c r="BO173" s="568">
        <f t="shared" si="308"/>
        <v>0</v>
      </c>
      <c r="BQ173" s="569">
        <f t="shared" ref="BQ173:BW173" si="309">SUM(BQ174:BQ203)</f>
        <v>0</v>
      </c>
      <c r="BR173" s="569">
        <f t="shared" si="309"/>
        <v>0</v>
      </c>
      <c r="BS173" s="569">
        <f t="shared" si="309"/>
        <v>0</v>
      </c>
      <c r="BT173" s="569">
        <f t="shared" si="309"/>
        <v>13860</v>
      </c>
      <c r="BU173" s="569">
        <f t="shared" si="309"/>
        <v>0</v>
      </c>
      <c r="BV173" s="569">
        <f t="shared" si="309"/>
        <v>99880</v>
      </c>
      <c r="BW173" s="569">
        <f t="shared" si="309"/>
        <v>0</v>
      </c>
    </row>
    <row r="174" spans="2:75">
      <c r="B174" s="89" t="s">
        <v>1093</v>
      </c>
      <c r="C174" s="89" t="str">
        <f>INDEX(二三级标准!$C:$C,MATCH(服务费明细!$B174,二三级标准!$B:$B,0))</f>
        <v>FIH研究剂量预测-数据/文献的传输支持和整理</v>
      </c>
      <c r="D174" s="166">
        <v>0</v>
      </c>
      <c r="E174" s="166">
        <f t="shared" ref="E174:E182" si="310">IF($D174=1,1,0)</f>
        <v>0</v>
      </c>
      <c r="F174" s="89" t="str">
        <f>INDEX(二三级标准!$G:$G,MATCH(服务费明细!$B174,二三级标准!$B:$B,0))</f>
        <v>次</v>
      </c>
      <c r="G174" s="166">
        <f t="shared" ref="G174:AB174" si="311">AL174</f>
        <v>0</v>
      </c>
      <c r="H174" s="166">
        <f t="shared" si="311"/>
        <v>0</v>
      </c>
      <c r="I174" s="166">
        <f t="shared" si="311"/>
        <v>0</v>
      </c>
      <c r="J174" s="166">
        <f t="shared" si="311"/>
        <v>0</v>
      </c>
      <c r="K174" s="166">
        <f t="shared" si="311"/>
        <v>0</v>
      </c>
      <c r="L174" s="166">
        <f t="shared" si="311"/>
        <v>0</v>
      </c>
      <c r="M174" s="166">
        <f t="shared" si="311"/>
        <v>0</v>
      </c>
      <c r="N174" s="166">
        <f t="shared" si="311"/>
        <v>0</v>
      </c>
      <c r="O174" s="166">
        <f t="shared" si="311"/>
        <v>0</v>
      </c>
      <c r="P174" s="166">
        <f t="shared" si="311"/>
        <v>0</v>
      </c>
      <c r="Q174" s="166">
        <f t="shared" si="311"/>
        <v>0</v>
      </c>
      <c r="R174" s="166">
        <f t="shared" si="311"/>
        <v>0</v>
      </c>
      <c r="S174" s="166">
        <f t="shared" si="311"/>
        <v>0</v>
      </c>
      <c r="T174" s="166">
        <f t="shared" si="311"/>
        <v>0</v>
      </c>
      <c r="U174" s="166">
        <f t="shared" si="311"/>
        <v>0</v>
      </c>
      <c r="V174" s="166">
        <f t="shared" si="311"/>
        <v>0</v>
      </c>
      <c r="W174" s="166">
        <f t="shared" si="311"/>
        <v>0</v>
      </c>
      <c r="X174" s="166">
        <f t="shared" si="311"/>
        <v>0</v>
      </c>
      <c r="Y174" s="166">
        <f t="shared" si="311"/>
        <v>0</v>
      </c>
      <c r="Z174" s="166">
        <f t="shared" si="311"/>
        <v>0</v>
      </c>
      <c r="AA174" s="166">
        <f t="shared" si="311"/>
        <v>0</v>
      </c>
      <c r="AB174" s="166">
        <f t="shared" si="311"/>
        <v>0</v>
      </c>
      <c r="AC174" s="166" cm="1">
        <f t="array" ref="AC174">SUMPRODUCT(G174:AB174,$G$4:$AB$4)</f>
        <v>0</v>
      </c>
      <c r="AD174" s="89" t="b">
        <f t="shared" ref="AD174:AD180" si="312">IF(AF174=AC174,TRUE,FALSE)</f>
        <v>1</v>
      </c>
      <c r="AE174" s="386">
        <f>IFERROR(SUMIF(服务费底表!$K:$K,服务费明细!$B174,服务费底表!$AD:$AD)/E174,0)</f>
        <v>0</v>
      </c>
      <c r="AF174" s="386">
        <f t="shared" ref="AF174:AF183" si="313">E174*AE174</f>
        <v>0</v>
      </c>
      <c r="AG174" s="386">
        <f>IFERROR(SUMIF(服务费底表!$K:$K,服务费明细!$B174,服务费底表!$AG:$AG)/E174,0)</f>
        <v>0</v>
      </c>
      <c r="AH174" s="386">
        <f t="shared" ref="AH174:AH194" si="314">AG174*E174</f>
        <v>0</v>
      </c>
      <c r="AI174" s="409"/>
      <c r="AJ174" s="563">
        <f t="shared" ref="AJ174:AJ193" si="315">IF(D174=1,AK174/E174,0)</f>
        <v>0</v>
      </c>
      <c r="AK174" s="564">
        <f>SUMIF(服务费底表!$K:$K,服务费明细!$B174,服务费底表!$AC:$AC)</f>
        <v>0</v>
      </c>
      <c r="AL174" s="166">
        <f>SUMIFS(服务费底表!$AC:$AC,服务费底表!$K:$K,服务费明细!$B174,服务费底表!$T:$T,AL$3)</f>
        <v>0</v>
      </c>
      <c r="AM174" s="166">
        <f>SUMIFS(服务费底表!$AC:$AC,服务费底表!$K:$K,服务费明细!$B174,服务费底表!$T:$T,AM$3)</f>
        <v>0</v>
      </c>
      <c r="AN174" s="166">
        <f>SUMIFS(服务费底表!$AC:$AC,服务费底表!$K:$K,服务费明细!$B174,服务费底表!$T:$T,AN$3)</f>
        <v>0</v>
      </c>
      <c r="AO174" s="166">
        <f>SUMIFS(服务费底表!$AC:$AC,服务费底表!$K:$K,服务费明细!$B174,服务费底表!$T:$T,AO$3)</f>
        <v>0</v>
      </c>
      <c r="AP174" s="166">
        <f>SUMIFS(服务费底表!$AC:$AC,服务费底表!$K:$K,服务费明细!$B174,服务费底表!$T:$T,AP$3)</f>
        <v>0</v>
      </c>
      <c r="AQ174" s="166">
        <f>SUMIFS(服务费底表!$AC:$AC,服务费底表!$K:$K,服务费明细!$B174,服务费底表!$T:$T,AQ$3)</f>
        <v>0</v>
      </c>
      <c r="AR174" s="166">
        <f>SUMIFS(服务费底表!$AC:$AC,服务费底表!$K:$K,服务费明细!$B174,服务费底表!$T:$T,AR$3)</f>
        <v>0</v>
      </c>
      <c r="AS174" s="166">
        <f>SUMIFS(服务费底表!$AC:$AC,服务费底表!$K:$K,服务费明细!$B174,服务费底表!$T:$T,AS$3)</f>
        <v>0</v>
      </c>
      <c r="AT174" s="166">
        <f>SUMIFS(服务费底表!$AC:$AC,服务费底表!$K:$K,服务费明细!$B174,服务费底表!$T:$T,AT$3)</f>
        <v>0</v>
      </c>
      <c r="AU174" s="166">
        <f>SUMIFS(服务费底表!$AC:$AC,服务费底表!$K:$K,服务费明细!$B174,服务费底表!$T:$T,AU$3)</f>
        <v>0</v>
      </c>
      <c r="AV174" s="166">
        <f>SUMIFS(服务费底表!$AC:$AC,服务费底表!$K:$K,服务费明细!$B174,服务费底表!$T:$T,AV$3)</f>
        <v>0</v>
      </c>
      <c r="AW174" s="166">
        <f>SUMIFS(服务费底表!$AC:$AC,服务费底表!$K:$K,服务费明细!$B174,服务费底表!$T:$T,AW$3)</f>
        <v>0</v>
      </c>
      <c r="AX174" s="166">
        <f>SUMIFS(服务费底表!$AC:$AC,服务费底表!$K:$K,服务费明细!$B174,服务费底表!$T:$T,AX$3)</f>
        <v>0</v>
      </c>
      <c r="AY174" s="166">
        <f>SUMIFS(服务费底表!$AC:$AC,服务费底表!$K:$K,服务费明细!$B174,服务费底表!$T:$T,AY$3)</f>
        <v>0</v>
      </c>
      <c r="AZ174" s="166">
        <f>SUMIFS(服务费底表!$AC:$AC,服务费底表!$K:$K,服务费明细!$B174,服务费底表!$T:$T,AZ$3)</f>
        <v>0</v>
      </c>
      <c r="BA174" s="166">
        <f>SUMIFS(服务费底表!$AC:$AC,服务费底表!$K:$K,服务费明细!$B174,服务费底表!$T:$T,BA$3)</f>
        <v>0</v>
      </c>
      <c r="BB174" s="166">
        <f>SUMIFS(服务费底表!$AC:$AC,服务费底表!$K:$K,服务费明细!$B174,服务费底表!$T:$T,BB$3)</f>
        <v>0</v>
      </c>
      <c r="BC174" s="166">
        <f>SUMIFS(服务费底表!$AC:$AC,服务费底表!$K:$K,服务费明细!$B174,服务费底表!$T:$T,BC$3)</f>
        <v>0</v>
      </c>
      <c r="BD174" s="166">
        <f>SUMIFS(服务费底表!$AC:$AC,服务费底表!$K:$K,服务费明细!$B174,服务费底表!$T:$T,BD$3)</f>
        <v>0</v>
      </c>
      <c r="BE174" s="166">
        <f>SUMIFS(服务费底表!$AC:$AC,服务费底表!$K:$K,服务费明细!$B174,服务费底表!$T:$T,BE$3)</f>
        <v>0</v>
      </c>
      <c r="BF174" s="166">
        <f>SUMIFS(服务费底表!$AC:$AC,服务费底表!$K:$K,服务费明细!$B174,服务费底表!$T:$T,BF$3)</f>
        <v>0</v>
      </c>
      <c r="BG174" s="166">
        <f>SUMIFS(服务费底表!$AC:$AC,服务费底表!$K:$K,服务费明细!$B174,服务费底表!$T:$T,BG$3)</f>
        <v>0</v>
      </c>
      <c r="BI174" s="388">
        <f>SUMIFS(服务费底表!$AC:$AC,服务费底表!$K:$K,服务费明细!$B174,服务费底表!$H:$H,服务费明细!BI$3)</f>
        <v>0</v>
      </c>
      <c r="BJ174" s="388">
        <f>SUMIFS(服务费底表!$AC:$AC,服务费底表!$K:$K,服务费明细!$B174,服务费底表!$H:$H,服务费明细!BJ$3)</f>
        <v>0</v>
      </c>
      <c r="BK174" s="388">
        <f>SUMIFS(服务费底表!$AC:$AC,服务费底表!$K:$K,服务费明细!$B174,服务费底表!$H:$H,服务费明细!BK$3)</f>
        <v>0</v>
      </c>
      <c r="BL174" s="388">
        <f>SUMIFS(服务费底表!$AC:$AC,服务费底表!$K:$K,服务费明细!$B174,服务费底表!$H:$H,服务费明细!BL$3)</f>
        <v>0</v>
      </c>
      <c r="BM174" s="388">
        <f>SUMIFS(服务费底表!$AC:$AC,服务费底表!$K:$K,服务费明细!$B174,服务费底表!$H:$H,服务费明细!BM$3)</f>
        <v>0</v>
      </c>
      <c r="BN174" s="388">
        <f>SUMIFS(服务费底表!$AC:$AC,服务费底表!$K:$K,服务费明细!$B174,服务费底表!$H:$H,服务费明细!BN$3)</f>
        <v>0</v>
      </c>
      <c r="BO174" s="388">
        <f>SUMIFS(服务费底表!$AC:$AC,服务费底表!$K:$K,服务费明细!$B174,服务费底表!$H:$H,服务费明细!BO$3)</f>
        <v>0</v>
      </c>
      <c r="BQ174" s="389">
        <f>SUMIFS(服务费底表!$AD:$AD,服务费底表!$K:$K,服务费明细!$B174,服务费底表!$H:$H,服务费明细!BQ$3)</f>
        <v>0</v>
      </c>
      <c r="BR174" s="389">
        <f>SUMIFS(服务费底表!$AD:$AD,服务费底表!$K:$K,服务费明细!$B174,服务费底表!$H:$H,服务费明细!BR$3)</f>
        <v>0</v>
      </c>
      <c r="BS174" s="389">
        <f>SUMIFS(服务费底表!$AD:$AD,服务费底表!$K:$K,服务费明细!$B174,服务费底表!$H:$H,服务费明细!BS$3)</f>
        <v>0</v>
      </c>
      <c r="BT174" s="389">
        <f>SUMIFS(服务费底表!$AD:$AD,服务费底表!$K:$K,服务费明细!$B174,服务费底表!$H:$H,服务费明细!BT$3)</f>
        <v>0</v>
      </c>
      <c r="BU174" s="389">
        <f>SUMIFS(服务费底表!$AD:$AD,服务费底表!$K:$K,服务费明细!$B174,服务费底表!$H:$H,服务费明细!BU$3)</f>
        <v>0</v>
      </c>
      <c r="BV174" s="389">
        <f>SUMIFS(服务费底表!$AD:$AD,服务费底表!$K:$K,服务费明细!$B174,服务费底表!$H:$H,服务费明细!BV$3)</f>
        <v>0</v>
      </c>
      <c r="BW174" s="389">
        <f>SUMIFS(服务费底表!$AD:$AD,服务费底表!$K:$K,服务费明细!$B174,服务费底表!$H:$H,服务费明细!BW$3)</f>
        <v>0</v>
      </c>
    </row>
    <row r="175" spans="2:75">
      <c r="B175" s="89" t="s">
        <v>1094</v>
      </c>
      <c r="C175" s="89" t="str">
        <f>INDEX(二三级标准!$C:$C,MATCH(服务费明细!$B175,二三级标准!$B:$B,0))</f>
        <v>FIH研究剂量预测-异速放大法</v>
      </c>
      <c r="D175" s="166">
        <v>0</v>
      </c>
      <c r="E175" s="166">
        <f t="shared" si="310"/>
        <v>0</v>
      </c>
      <c r="F175" s="89" t="str">
        <f>INDEX(二三级标准!$G:$G,MATCH(服务费明细!$B175,二三级标准!$B:$B,0))</f>
        <v>次</v>
      </c>
      <c r="G175" s="166">
        <f t="shared" ref="G175:G203" si="316">AL175</f>
        <v>0</v>
      </c>
      <c r="H175" s="166">
        <f t="shared" ref="H175:H203" si="317">AM175</f>
        <v>0</v>
      </c>
      <c r="I175" s="166">
        <f t="shared" ref="I175:I203" si="318">AN175</f>
        <v>0</v>
      </c>
      <c r="J175" s="166">
        <f t="shared" ref="J175:J203" si="319">AO175</f>
        <v>0</v>
      </c>
      <c r="K175" s="166">
        <f t="shared" ref="K175:K203" si="320">AP175</f>
        <v>0</v>
      </c>
      <c r="L175" s="166">
        <f t="shared" ref="L175:L203" si="321">AQ175</f>
        <v>0</v>
      </c>
      <c r="M175" s="166">
        <f t="shared" ref="M175:M203" si="322">AR175</f>
        <v>0</v>
      </c>
      <c r="N175" s="166">
        <f t="shared" ref="N175:N203" si="323">AS175</f>
        <v>0</v>
      </c>
      <c r="O175" s="166">
        <f t="shared" ref="O175:O203" si="324">AT175</f>
        <v>0</v>
      </c>
      <c r="P175" s="166">
        <f t="shared" ref="P175:P203" si="325">AU175</f>
        <v>0</v>
      </c>
      <c r="Q175" s="166">
        <f t="shared" ref="Q175:Q203" si="326">AV175</f>
        <v>0</v>
      </c>
      <c r="R175" s="166">
        <f t="shared" ref="R175:R203" si="327">AW175</f>
        <v>0</v>
      </c>
      <c r="S175" s="166">
        <f t="shared" ref="S175:S203" si="328">AX175</f>
        <v>0</v>
      </c>
      <c r="T175" s="166">
        <f t="shared" ref="T175:T203" si="329">AY175</f>
        <v>0</v>
      </c>
      <c r="U175" s="166">
        <f t="shared" ref="U175:U203" si="330">AZ175</f>
        <v>0</v>
      </c>
      <c r="V175" s="166">
        <f t="shared" ref="V175:V203" si="331">BA175</f>
        <v>0</v>
      </c>
      <c r="W175" s="166">
        <f t="shared" ref="W175:W203" si="332">BB175</f>
        <v>0</v>
      </c>
      <c r="X175" s="166">
        <f t="shared" ref="X175:X203" si="333">BC175</f>
        <v>0</v>
      </c>
      <c r="Y175" s="166">
        <f t="shared" ref="Y175:Y203" si="334">BD175</f>
        <v>0</v>
      </c>
      <c r="Z175" s="166">
        <f t="shared" ref="Z175:Z203" si="335">BE175</f>
        <v>0</v>
      </c>
      <c r="AA175" s="166">
        <f t="shared" ref="AA175:AA203" si="336">BF175</f>
        <v>0</v>
      </c>
      <c r="AB175" s="166">
        <f t="shared" ref="AB175:AB203" si="337">BG175</f>
        <v>0</v>
      </c>
      <c r="AC175" s="166" cm="1">
        <f t="array" ref="AC175">SUMPRODUCT(G175:AB175,$G$4:$AB$4)</f>
        <v>0</v>
      </c>
      <c r="AD175" s="89" t="b">
        <f t="shared" si="312"/>
        <v>1</v>
      </c>
      <c r="AE175" s="386">
        <f>IFERROR(SUMIF(服务费底表!$K:$K,服务费明细!$B175,服务费底表!$AD:$AD)/E175,0)</f>
        <v>0</v>
      </c>
      <c r="AF175" s="386">
        <f t="shared" si="313"/>
        <v>0</v>
      </c>
      <c r="AG175" s="386">
        <f>IFERROR(SUMIF(服务费底表!$K:$K,服务费明细!$B175,服务费底表!$AG:$AG)/E175,0)</f>
        <v>0</v>
      </c>
      <c r="AH175" s="386">
        <f t="shared" si="314"/>
        <v>0</v>
      </c>
      <c r="AI175" s="409"/>
      <c r="AJ175" s="563">
        <f t="shared" si="315"/>
        <v>0</v>
      </c>
      <c r="AK175" s="564">
        <f>SUMIF(服务费底表!$K:$K,服务费明细!$B175,服务费底表!$AC:$AC)</f>
        <v>0</v>
      </c>
      <c r="AL175" s="166">
        <f>SUMIFS(服务费底表!$AC:$AC,服务费底表!$K:$K,服务费明细!$B175,服务费底表!$T:$T,AL$3)</f>
        <v>0</v>
      </c>
      <c r="AM175" s="166">
        <f>SUMIFS(服务费底表!$AC:$AC,服务费底表!$K:$K,服务费明细!$B175,服务费底表!$T:$T,AM$3)</f>
        <v>0</v>
      </c>
      <c r="AN175" s="166">
        <f>SUMIFS(服务费底表!$AC:$AC,服务费底表!$K:$K,服务费明细!$B175,服务费底表!$T:$T,AN$3)</f>
        <v>0</v>
      </c>
      <c r="AO175" s="166">
        <f>SUMIFS(服务费底表!$AC:$AC,服务费底表!$K:$K,服务费明细!$B175,服务费底表!$T:$T,AO$3)</f>
        <v>0</v>
      </c>
      <c r="AP175" s="166">
        <f>SUMIFS(服务费底表!$AC:$AC,服务费底表!$K:$K,服务费明细!$B175,服务费底表!$T:$T,AP$3)</f>
        <v>0</v>
      </c>
      <c r="AQ175" s="166">
        <f>SUMIFS(服务费底表!$AC:$AC,服务费底表!$K:$K,服务费明细!$B175,服务费底表!$T:$T,AQ$3)</f>
        <v>0</v>
      </c>
      <c r="AR175" s="166">
        <f>SUMIFS(服务费底表!$AC:$AC,服务费底表!$K:$K,服务费明细!$B175,服务费底表!$T:$T,AR$3)</f>
        <v>0</v>
      </c>
      <c r="AS175" s="166">
        <f>SUMIFS(服务费底表!$AC:$AC,服务费底表!$K:$K,服务费明细!$B175,服务费底表!$T:$T,AS$3)</f>
        <v>0</v>
      </c>
      <c r="AT175" s="166">
        <f>SUMIFS(服务费底表!$AC:$AC,服务费底表!$K:$K,服务费明细!$B175,服务费底表!$T:$T,AT$3)</f>
        <v>0</v>
      </c>
      <c r="AU175" s="166">
        <f>SUMIFS(服务费底表!$AC:$AC,服务费底表!$K:$K,服务费明细!$B175,服务费底表!$T:$T,AU$3)</f>
        <v>0</v>
      </c>
      <c r="AV175" s="166">
        <f>SUMIFS(服务费底表!$AC:$AC,服务费底表!$K:$K,服务费明细!$B175,服务费底表!$T:$T,AV$3)</f>
        <v>0</v>
      </c>
      <c r="AW175" s="166">
        <f>SUMIFS(服务费底表!$AC:$AC,服务费底表!$K:$K,服务费明细!$B175,服务费底表!$T:$T,AW$3)</f>
        <v>0</v>
      </c>
      <c r="AX175" s="166">
        <f>SUMIFS(服务费底表!$AC:$AC,服务费底表!$K:$K,服务费明细!$B175,服务费底表!$T:$T,AX$3)</f>
        <v>0</v>
      </c>
      <c r="AY175" s="166">
        <f>SUMIFS(服务费底表!$AC:$AC,服务费底表!$K:$K,服务费明细!$B175,服务费底表!$T:$T,AY$3)</f>
        <v>0</v>
      </c>
      <c r="AZ175" s="166">
        <f>SUMIFS(服务费底表!$AC:$AC,服务费底表!$K:$K,服务费明细!$B175,服务费底表!$T:$T,AZ$3)</f>
        <v>0</v>
      </c>
      <c r="BA175" s="166">
        <f>SUMIFS(服务费底表!$AC:$AC,服务费底表!$K:$K,服务费明细!$B175,服务费底表!$T:$T,BA$3)</f>
        <v>0</v>
      </c>
      <c r="BB175" s="166">
        <f>SUMIFS(服务费底表!$AC:$AC,服务费底表!$K:$K,服务费明细!$B175,服务费底表!$T:$T,BB$3)</f>
        <v>0</v>
      </c>
      <c r="BC175" s="166">
        <f>SUMIFS(服务费底表!$AC:$AC,服务费底表!$K:$K,服务费明细!$B175,服务费底表!$T:$T,BC$3)</f>
        <v>0</v>
      </c>
      <c r="BD175" s="166">
        <f>SUMIFS(服务费底表!$AC:$AC,服务费底表!$K:$K,服务费明细!$B175,服务费底表!$T:$T,BD$3)</f>
        <v>0</v>
      </c>
      <c r="BE175" s="166">
        <f>SUMIFS(服务费底表!$AC:$AC,服务费底表!$K:$K,服务费明细!$B175,服务费底表!$T:$T,BE$3)</f>
        <v>0</v>
      </c>
      <c r="BF175" s="166">
        <f>SUMIFS(服务费底表!$AC:$AC,服务费底表!$K:$K,服务费明细!$B175,服务费底表!$T:$T,BF$3)</f>
        <v>0</v>
      </c>
      <c r="BG175" s="166">
        <f>SUMIFS(服务费底表!$AC:$AC,服务费底表!$K:$K,服务费明细!$B175,服务费底表!$T:$T,BG$3)</f>
        <v>0</v>
      </c>
      <c r="BI175" s="388">
        <f>SUMIFS(服务费底表!$AC:$AC,服务费底表!$K:$K,服务费明细!$B175,服务费底表!$H:$H,服务费明细!BI$3)</f>
        <v>0</v>
      </c>
      <c r="BJ175" s="388">
        <f>SUMIFS(服务费底表!$AC:$AC,服务费底表!$K:$K,服务费明细!$B175,服务费底表!$H:$H,服务费明细!BJ$3)</f>
        <v>0</v>
      </c>
      <c r="BK175" s="388">
        <f>SUMIFS(服务费底表!$AC:$AC,服务费底表!$K:$K,服务费明细!$B175,服务费底表!$H:$H,服务费明细!BK$3)</f>
        <v>0</v>
      </c>
      <c r="BL175" s="388">
        <f>SUMIFS(服务费底表!$AC:$AC,服务费底表!$K:$K,服务费明细!$B175,服务费底表!$H:$H,服务费明细!BL$3)</f>
        <v>0</v>
      </c>
      <c r="BM175" s="388">
        <f>SUMIFS(服务费底表!$AC:$AC,服务费底表!$K:$K,服务费明细!$B175,服务费底表!$H:$H,服务费明细!BM$3)</f>
        <v>0</v>
      </c>
      <c r="BN175" s="388">
        <f>SUMIFS(服务费底表!$AC:$AC,服务费底表!$K:$K,服务费明细!$B175,服务费底表!$H:$H,服务费明细!BN$3)</f>
        <v>0</v>
      </c>
      <c r="BO175" s="388">
        <f>SUMIFS(服务费底表!$AC:$AC,服务费底表!$K:$K,服务费明细!$B175,服务费底表!$H:$H,服务费明细!BO$3)</f>
        <v>0</v>
      </c>
      <c r="BQ175" s="389">
        <f>SUMIFS(服务费底表!$AD:$AD,服务费底表!$K:$K,服务费明细!$B175,服务费底表!$H:$H,服务费明细!BQ$3)</f>
        <v>0</v>
      </c>
      <c r="BR175" s="389">
        <f>SUMIFS(服务费底表!$AD:$AD,服务费底表!$K:$K,服务费明细!$B175,服务费底表!$H:$H,服务费明细!BR$3)</f>
        <v>0</v>
      </c>
      <c r="BS175" s="389">
        <f>SUMIFS(服务费底表!$AD:$AD,服务费底表!$K:$K,服务费明细!$B175,服务费底表!$H:$H,服务费明细!BS$3)</f>
        <v>0</v>
      </c>
      <c r="BT175" s="389">
        <f>SUMIFS(服务费底表!$AD:$AD,服务费底表!$K:$K,服务费明细!$B175,服务费底表!$H:$H,服务费明细!BT$3)</f>
        <v>0</v>
      </c>
      <c r="BU175" s="389">
        <f>SUMIFS(服务费底表!$AD:$AD,服务费底表!$K:$K,服务费明细!$B175,服务费底表!$H:$H,服务费明细!BU$3)</f>
        <v>0</v>
      </c>
      <c r="BV175" s="389">
        <f>SUMIFS(服务费底表!$AD:$AD,服务费底表!$K:$K,服务费明细!$B175,服务费底表!$H:$H,服务费明细!BV$3)</f>
        <v>0</v>
      </c>
      <c r="BW175" s="389">
        <f>SUMIFS(服务费底表!$AD:$AD,服务费底表!$K:$K,服务费明细!$B175,服务费底表!$H:$H,服务费明细!BW$3)</f>
        <v>0</v>
      </c>
    </row>
    <row r="176" spans="2:75">
      <c r="B176" s="89" t="s">
        <v>1095</v>
      </c>
      <c r="C176" s="89" t="str">
        <f>INDEX(二三级标准!$C:$C,MATCH(服务费明细!$B176,二三级标准!$B:$B,0))</f>
        <v>FIH研究剂量预测-体表面积法</v>
      </c>
      <c r="D176" s="166">
        <v>0</v>
      </c>
      <c r="E176" s="166">
        <f t="shared" si="310"/>
        <v>0</v>
      </c>
      <c r="F176" s="89" t="str">
        <f>INDEX(二三级标准!$G:$G,MATCH(服务费明细!$B176,二三级标准!$B:$B,0))</f>
        <v>次</v>
      </c>
      <c r="G176" s="166">
        <f t="shared" si="316"/>
        <v>0</v>
      </c>
      <c r="H176" s="166">
        <f t="shared" si="317"/>
        <v>0</v>
      </c>
      <c r="I176" s="166">
        <f t="shared" si="318"/>
        <v>0</v>
      </c>
      <c r="J176" s="166">
        <f t="shared" si="319"/>
        <v>0</v>
      </c>
      <c r="K176" s="166">
        <f t="shared" si="320"/>
        <v>0</v>
      </c>
      <c r="L176" s="166">
        <f t="shared" si="321"/>
        <v>0</v>
      </c>
      <c r="M176" s="166">
        <f t="shared" si="322"/>
        <v>0</v>
      </c>
      <c r="N176" s="166">
        <f t="shared" si="323"/>
        <v>0</v>
      </c>
      <c r="O176" s="166">
        <f t="shared" si="324"/>
        <v>0</v>
      </c>
      <c r="P176" s="166">
        <f t="shared" si="325"/>
        <v>0</v>
      </c>
      <c r="Q176" s="166">
        <f t="shared" si="326"/>
        <v>0</v>
      </c>
      <c r="R176" s="166">
        <f t="shared" si="327"/>
        <v>0</v>
      </c>
      <c r="S176" s="166">
        <f t="shared" si="328"/>
        <v>0</v>
      </c>
      <c r="T176" s="166">
        <f t="shared" si="329"/>
        <v>0</v>
      </c>
      <c r="U176" s="166">
        <f t="shared" si="330"/>
        <v>0</v>
      </c>
      <c r="V176" s="166">
        <f t="shared" si="331"/>
        <v>0</v>
      </c>
      <c r="W176" s="166">
        <f t="shared" si="332"/>
        <v>0</v>
      </c>
      <c r="X176" s="166">
        <f t="shared" si="333"/>
        <v>0</v>
      </c>
      <c r="Y176" s="166">
        <f t="shared" si="334"/>
        <v>0</v>
      </c>
      <c r="Z176" s="166">
        <f t="shared" si="335"/>
        <v>0</v>
      </c>
      <c r="AA176" s="166">
        <f t="shared" si="336"/>
        <v>0</v>
      </c>
      <c r="AB176" s="166">
        <f t="shared" si="337"/>
        <v>0</v>
      </c>
      <c r="AC176" s="166" cm="1">
        <f t="array" ref="AC176">SUMPRODUCT(G176:AB176,$G$4:$AB$4)</f>
        <v>0</v>
      </c>
      <c r="AD176" s="89" t="b">
        <f t="shared" si="312"/>
        <v>1</v>
      </c>
      <c r="AE176" s="386">
        <f>IFERROR(SUMIF(服务费底表!$K:$K,服务费明细!$B176,服务费底表!$AD:$AD)/E176,0)</f>
        <v>0</v>
      </c>
      <c r="AF176" s="386">
        <f t="shared" si="313"/>
        <v>0</v>
      </c>
      <c r="AG176" s="386">
        <f>IFERROR(SUMIF(服务费底表!$K:$K,服务费明细!$B176,服务费底表!$AG:$AG)/E176,0)</f>
        <v>0</v>
      </c>
      <c r="AH176" s="386">
        <f t="shared" si="314"/>
        <v>0</v>
      </c>
      <c r="AI176" s="409"/>
      <c r="AJ176" s="563">
        <f t="shared" si="315"/>
        <v>0</v>
      </c>
      <c r="AK176" s="564">
        <f>SUMIF(服务费底表!$K:$K,服务费明细!$B176,服务费底表!$AC:$AC)</f>
        <v>0</v>
      </c>
      <c r="AL176" s="166">
        <f>SUMIFS(服务费底表!$AC:$AC,服务费底表!$K:$K,服务费明细!$B176,服务费底表!$T:$T,AL$3)</f>
        <v>0</v>
      </c>
      <c r="AM176" s="166">
        <f>SUMIFS(服务费底表!$AC:$AC,服务费底表!$K:$K,服务费明细!$B176,服务费底表!$T:$T,AM$3)</f>
        <v>0</v>
      </c>
      <c r="AN176" s="166">
        <f>SUMIFS(服务费底表!$AC:$AC,服务费底表!$K:$K,服务费明细!$B176,服务费底表!$T:$T,AN$3)</f>
        <v>0</v>
      </c>
      <c r="AO176" s="166">
        <f>SUMIFS(服务费底表!$AC:$AC,服务费底表!$K:$K,服务费明细!$B176,服务费底表!$T:$T,AO$3)</f>
        <v>0</v>
      </c>
      <c r="AP176" s="166">
        <f>SUMIFS(服务费底表!$AC:$AC,服务费底表!$K:$K,服务费明细!$B176,服务费底表!$T:$T,AP$3)</f>
        <v>0</v>
      </c>
      <c r="AQ176" s="166">
        <f>SUMIFS(服务费底表!$AC:$AC,服务费底表!$K:$K,服务费明细!$B176,服务费底表!$T:$T,AQ$3)</f>
        <v>0</v>
      </c>
      <c r="AR176" s="166">
        <f>SUMIFS(服务费底表!$AC:$AC,服务费底表!$K:$K,服务费明细!$B176,服务费底表!$T:$T,AR$3)</f>
        <v>0</v>
      </c>
      <c r="AS176" s="166">
        <f>SUMIFS(服务费底表!$AC:$AC,服务费底表!$K:$K,服务费明细!$B176,服务费底表!$T:$T,AS$3)</f>
        <v>0</v>
      </c>
      <c r="AT176" s="166">
        <f>SUMIFS(服务费底表!$AC:$AC,服务费底表!$K:$K,服务费明细!$B176,服务费底表!$T:$T,AT$3)</f>
        <v>0</v>
      </c>
      <c r="AU176" s="166">
        <f>SUMIFS(服务费底表!$AC:$AC,服务费底表!$K:$K,服务费明细!$B176,服务费底表!$T:$T,AU$3)</f>
        <v>0</v>
      </c>
      <c r="AV176" s="166">
        <f>SUMIFS(服务费底表!$AC:$AC,服务费底表!$K:$K,服务费明细!$B176,服务费底表!$T:$T,AV$3)</f>
        <v>0</v>
      </c>
      <c r="AW176" s="166">
        <f>SUMIFS(服务费底表!$AC:$AC,服务费底表!$K:$K,服务费明细!$B176,服务费底表!$T:$T,AW$3)</f>
        <v>0</v>
      </c>
      <c r="AX176" s="166">
        <f>SUMIFS(服务费底表!$AC:$AC,服务费底表!$K:$K,服务费明细!$B176,服务费底表!$T:$T,AX$3)</f>
        <v>0</v>
      </c>
      <c r="AY176" s="166">
        <f>SUMIFS(服务费底表!$AC:$AC,服务费底表!$K:$K,服务费明细!$B176,服务费底表!$T:$T,AY$3)</f>
        <v>0</v>
      </c>
      <c r="AZ176" s="166">
        <f>SUMIFS(服务费底表!$AC:$AC,服务费底表!$K:$K,服务费明细!$B176,服务费底表!$T:$T,AZ$3)</f>
        <v>0</v>
      </c>
      <c r="BA176" s="166">
        <f>SUMIFS(服务费底表!$AC:$AC,服务费底表!$K:$K,服务费明细!$B176,服务费底表!$T:$T,BA$3)</f>
        <v>0</v>
      </c>
      <c r="BB176" s="166">
        <f>SUMIFS(服务费底表!$AC:$AC,服务费底表!$K:$K,服务费明细!$B176,服务费底表!$T:$T,BB$3)</f>
        <v>0</v>
      </c>
      <c r="BC176" s="166">
        <f>SUMIFS(服务费底表!$AC:$AC,服务费底表!$K:$K,服务费明细!$B176,服务费底表!$T:$T,BC$3)</f>
        <v>0</v>
      </c>
      <c r="BD176" s="166">
        <f>SUMIFS(服务费底表!$AC:$AC,服务费底表!$K:$K,服务费明细!$B176,服务费底表!$T:$T,BD$3)</f>
        <v>0</v>
      </c>
      <c r="BE176" s="166">
        <f>SUMIFS(服务费底表!$AC:$AC,服务费底表!$K:$K,服务费明细!$B176,服务费底表!$T:$T,BE$3)</f>
        <v>0</v>
      </c>
      <c r="BF176" s="166">
        <f>SUMIFS(服务费底表!$AC:$AC,服务费底表!$K:$K,服务费明细!$B176,服务费底表!$T:$T,BF$3)</f>
        <v>0</v>
      </c>
      <c r="BG176" s="166">
        <f>SUMIFS(服务费底表!$AC:$AC,服务费底表!$K:$K,服务费明细!$B176,服务费底表!$T:$T,BG$3)</f>
        <v>0</v>
      </c>
      <c r="BI176" s="388">
        <f>SUMIFS(服务费底表!$AC:$AC,服务费底表!$K:$K,服务费明细!$B176,服务费底表!$H:$H,服务费明细!BI$3)</f>
        <v>0</v>
      </c>
      <c r="BJ176" s="388">
        <f>SUMIFS(服务费底表!$AC:$AC,服务费底表!$K:$K,服务费明细!$B176,服务费底表!$H:$H,服务费明细!BJ$3)</f>
        <v>0</v>
      </c>
      <c r="BK176" s="388">
        <f>SUMIFS(服务费底表!$AC:$AC,服务费底表!$K:$K,服务费明细!$B176,服务费底表!$H:$H,服务费明细!BK$3)</f>
        <v>0</v>
      </c>
      <c r="BL176" s="388">
        <f>SUMIFS(服务费底表!$AC:$AC,服务费底表!$K:$K,服务费明细!$B176,服务费底表!$H:$H,服务费明细!BL$3)</f>
        <v>0</v>
      </c>
      <c r="BM176" s="388">
        <f>SUMIFS(服务费底表!$AC:$AC,服务费底表!$K:$K,服务费明细!$B176,服务费底表!$H:$H,服务费明细!BM$3)</f>
        <v>0</v>
      </c>
      <c r="BN176" s="388">
        <f>SUMIFS(服务费底表!$AC:$AC,服务费底表!$K:$K,服务费明细!$B176,服务费底表!$H:$H,服务费明细!BN$3)</f>
        <v>0</v>
      </c>
      <c r="BO176" s="388">
        <f>SUMIFS(服务费底表!$AC:$AC,服务费底表!$K:$K,服务费明细!$B176,服务费底表!$H:$H,服务费明细!BO$3)</f>
        <v>0</v>
      </c>
      <c r="BQ176" s="389">
        <f>SUMIFS(服务费底表!$AD:$AD,服务费底表!$K:$K,服务费明细!$B176,服务费底表!$H:$H,服务费明细!BQ$3)</f>
        <v>0</v>
      </c>
      <c r="BR176" s="389">
        <f>SUMIFS(服务费底表!$AD:$AD,服务费底表!$K:$K,服务费明细!$B176,服务费底表!$H:$H,服务费明细!BR$3)</f>
        <v>0</v>
      </c>
      <c r="BS176" s="389">
        <f>SUMIFS(服务费底表!$AD:$AD,服务费底表!$K:$K,服务费明细!$B176,服务费底表!$H:$H,服务费明细!BS$3)</f>
        <v>0</v>
      </c>
      <c r="BT176" s="389">
        <f>SUMIFS(服务费底表!$AD:$AD,服务费底表!$K:$K,服务费明细!$B176,服务费底表!$H:$H,服务费明细!BT$3)</f>
        <v>0</v>
      </c>
      <c r="BU176" s="389">
        <f>SUMIFS(服务费底表!$AD:$AD,服务费底表!$K:$K,服务费明细!$B176,服务费底表!$H:$H,服务费明细!BU$3)</f>
        <v>0</v>
      </c>
      <c r="BV176" s="389">
        <f>SUMIFS(服务费底表!$AD:$AD,服务费底表!$K:$K,服务费明细!$B176,服务费底表!$H:$H,服务费明细!BV$3)</f>
        <v>0</v>
      </c>
      <c r="BW176" s="389">
        <f>SUMIFS(服务费底表!$AD:$AD,服务费底表!$K:$K,服务费明细!$B176,服务费底表!$H:$H,服务费明细!BW$3)</f>
        <v>0</v>
      </c>
    </row>
    <row r="177" spans="2:75">
      <c r="B177" s="89" t="s">
        <v>1096</v>
      </c>
      <c r="C177" s="89" t="str">
        <f>INDEX(二三级标准!$C:$C,MATCH(服务费明细!$B177,二三级标准!$B:$B,0))</f>
        <v>转化PK/PD</v>
      </c>
      <c r="D177" s="166">
        <v>0</v>
      </c>
      <c r="E177" s="166">
        <f t="shared" si="310"/>
        <v>0</v>
      </c>
      <c r="F177" s="89" t="str">
        <f>INDEX(二三级标准!$G:$G,MATCH(服务费明细!$B177,二三级标准!$B:$B,0))</f>
        <v>次</v>
      </c>
      <c r="G177" s="166">
        <f t="shared" si="316"/>
        <v>0</v>
      </c>
      <c r="H177" s="166">
        <f t="shared" si="317"/>
        <v>0</v>
      </c>
      <c r="I177" s="166">
        <f t="shared" si="318"/>
        <v>0</v>
      </c>
      <c r="J177" s="166">
        <f t="shared" si="319"/>
        <v>0</v>
      </c>
      <c r="K177" s="166">
        <f t="shared" si="320"/>
        <v>0</v>
      </c>
      <c r="L177" s="166">
        <f t="shared" si="321"/>
        <v>0</v>
      </c>
      <c r="M177" s="166">
        <f t="shared" si="322"/>
        <v>0</v>
      </c>
      <c r="N177" s="166">
        <f t="shared" si="323"/>
        <v>0</v>
      </c>
      <c r="O177" s="166">
        <f t="shared" si="324"/>
        <v>0</v>
      </c>
      <c r="P177" s="166">
        <f t="shared" si="325"/>
        <v>0</v>
      </c>
      <c r="Q177" s="166">
        <f t="shared" si="326"/>
        <v>0</v>
      </c>
      <c r="R177" s="166">
        <f t="shared" si="327"/>
        <v>0</v>
      </c>
      <c r="S177" s="166">
        <f t="shared" si="328"/>
        <v>0</v>
      </c>
      <c r="T177" s="166">
        <f t="shared" si="329"/>
        <v>0</v>
      </c>
      <c r="U177" s="166">
        <f t="shared" si="330"/>
        <v>0</v>
      </c>
      <c r="V177" s="166">
        <f t="shared" si="331"/>
        <v>0</v>
      </c>
      <c r="W177" s="166">
        <f t="shared" si="332"/>
        <v>0</v>
      </c>
      <c r="X177" s="166">
        <f t="shared" si="333"/>
        <v>0</v>
      </c>
      <c r="Y177" s="166">
        <f t="shared" si="334"/>
        <v>0</v>
      </c>
      <c r="Z177" s="166">
        <f t="shared" si="335"/>
        <v>0</v>
      </c>
      <c r="AA177" s="166">
        <f t="shared" si="336"/>
        <v>0</v>
      </c>
      <c r="AB177" s="166">
        <f t="shared" si="337"/>
        <v>0</v>
      </c>
      <c r="AC177" s="166" cm="1">
        <f t="array" ref="AC177">SUMPRODUCT(G177:AB177,$G$4:$AB$4)</f>
        <v>0</v>
      </c>
      <c r="AD177" s="89" t="b">
        <f t="shared" si="312"/>
        <v>1</v>
      </c>
      <c r="AE177" s="386">
        <f>IFERROR(SUMIF(服务费底表!$K:$K,服务费明细!$B177,服务费底表!$AD:$AD)/E177,0)</f>
        <v>0</v>
      </c>
      <c r="AF177" s="386">
        <f t="shared" si="313"/>
        <v>0</v>
      </c>
      <c r="AG177" s="386">
        <f>IFERROR(SUMIF(服务费底表!$K:$K,服务费明细!$B177,服务费底表!$AG:$AG)/E177,0)</f>
        <v>0</v>
      </c>
      <c r="AH177" s="386">
        <f t="shared" si="314"/>
        <v>0</v>
      </c>
      <c r="AI177" s="409"/>
      <c r="AJ177" s="563">
        <f t="shared" si="315"/>
        <v>0</v>
      </c>
      <c r="AK177" s="564">
        <f>SUMIF(服务费底表!$K:$K,服务费明细!$B177,服务费底表!$AC:$AC)</f>
        <v>0</v>
      </c>
      <c r="AL177" s="166">
        <f>SUMIFS(服务费底表!$AC:$AC,服务费底表!$K:$K,服务费明细!$B177,服务费底表!$T:$T,AL$3)</f>
        <v>0</v>
      </c>
      <c r="AM177" s="166">
        <f>SUMIFS(服务费底表!$AC:$AC,服务费底表!$K:$K,服务费明细!$B177,服务费底表!$T:$T,AM$3)</f>
        <v>0</v>
      </c>
      <c r="AN177" s="166">
        <f>SUMIFS(服务费底表!$AC:$AC,服务费底表!$K:$K,服务费明细!$B177,服务费底表!$T:$T,AN$3)</f>
        <v>0</v>
      </c>
      <c r="AO177" s="166">
        <f>SUMIFS(服务费底表!$AC:$AC,服务费底表!$K:$K,服务费明细!$B177,服务费底表!$T:$T,AO$3)</f>
        <v>0</v>
      </c>
      <c r="AP177" s="166">
        <f>SUMIFS(服务费底表!$AC:$AC,服务费底表!$K:$K,服务费明细!$B177,服务费底表!$T:$T,AP$3)</f>
        <v>0</v>
      </c>
      <c r="AQ177" s="166">
        <f>SUMIFS(服务费底表!$AC:$AC,服务费底表!$K:$K,服务费明细!$B177,服务费底表!$T:$T,AQ$3)</f>
        <v>0</v>
      </c>
      <c r="AR177" s="166">
        <f>SUMIFS(服务费底表!$AC:$AC,服务费底表!$K:$K,服务费明细!$B177,服务费底表!$T:$T,AR$3)</f>
        <v>0</v>
      </c>
      <c r="AS177" s="166">
        <f>SUMIFS(服务费底表!$AC:$AC,服务费底表!$K:$K,服务费明细!$B177,服务费底表!$T:$T,AS$3)</f>
        <v>0</v>
      </c>
      <c r="AT177" s="166">
        <f>SUMIFS(服务费底表!$AC:$AC,服务费底表!$K:$K,服务费明细!$B177,服务费底表!$T:$T,AT$3)</f>
        <v>0</v>
      </c>
      <c r="AU177" s="166">
        <f>SUMIFS(服务费底表!$AC:$AC,服务费底表!$K:$K,服务费明细!$B177,服务费底表!$T:$T,AU$3)</f>
        <v>0</v>
      </c>
      <c r="AV177" s="166">
        <f>SUMIFS(服务费底表!$AC:$AC,服务费底表!$K:$K,服务费明细!$B177,服务费底表!$T:$T,AV$3)</f>
        <v>0</v>
      </c>
      <c r="AW177" s="166">
        <f>SUMIFS(服务费底表!$AC:$AC,服务费底表!$K:$K,服务费明细!$B177,服务费底表!$T:$T,AW$3)</f>
        <v>0</v>
      </c>
      <c r="AX177" s="166">
        <f>SUMIFS(服务费底表!$AC:$AC,服务费底表!$K:$K,服务费明细!$B177,服务费底表!$T:$T,AX$3)</f>
        <v>0</v>
      </c>
      <c r="AY177" s="166">
        <f>SUMIFS(服务费底表!$AC:$AC,服务费底表!$K:$K,服务费明细!$B177,服务费底表!$T:$T,AY$3)</f>
        <v>0</v>
      </c>
      <c r="AZ177" s="166">
        <f>SUMIFS(服务费底表!$AC:$AC,服务费底表!$K:$K,服务费明细!$B177,服务费底表!$T:$T,AZ$3)</f>
        <v>0</v>
      </c>
      <c r="BA177" s="166">
        <f>SUMIFS(服务费底表!$AC:$AC,服务费底表!$K:$K,服务费明细!$B177,服务费底表!$T:$T,BA$3)</f>
        <v>0</v>
      </c>
      <c r="BB177" s="166">
        <f>SUMIFS(服务费底表!$AC:$AC,服务费底表!$K:$K,服务费明细!$B177,服务费底表!$T:$T,BB$3)</f>
        <v>0</v>
      </c>
      <c r="BC177" s="166">
        <f>SUMIFS(服务费底表!$AC:$AC,服务费底表!$K:$K,服务费明细!$B177,服务费底表!$T:$T,BC$3)</f>
        <v>0</v>
      </c>
      <c r="BD177" s="166">
        <f>SUMIFS(服务费底表!$AC:$AC,服务费底表!$K:$K,服务费明细!$B177,服务费底表!$T:$T,BD$3)</f>
        <v>0</v>
      </c>
      <c r="BE177" s="166">
        <f>SUMIFS(服务费底表!$AC:$AC,服务费底表!$K:$K,服务费明细!$B177,服务费底表!$T:$T,BE$3)</f>
        <v>0</v>
      </c>
      <c r="BF177" s="166">
        <f>SUMIFS(服务费底表!$AC:$AC,服务费底表!$K:$K,服务费明细!$B177,服务费底表!$T:$T,BF$3)</f>
        <v>0</v>
      </c>
      <c r="BG177" s="166">
        <f>SUMIFS(服务费底表!$AC:$AC,服务费底表!$K:$K,服务费明细!$B177,服务费底表!$T:$T,BG$3)</f>
        <v>0</v>
      </c>
      <c r="BI177" s="388">
        <f>SUMIFS(服务费底表!$AC:$AC,服务费底表!$K:$K,服务费明细!$B177,服务费底表!$H:$H,服务费明细!BI$3)</f>
        <v>0</v>
      </c>
      <c r="BJ177" s="388">
        <f>SUMIFS(服务费底表!$AC:$AC,服务费底表!$K:$K,服务费明细!$B177,服务费底表!$H:$H,服务费明细!BJ$3)</f>
        <v>0</v>
      </c>
      <c r="BK177" s="388">
        <f>SUMIFS(服务费底表!$AC:$AC,服务费底表!$K:$K,服务费明细!$B177,服务费底表!$H:$H,服务费明细!BK$3)</f>
        <v>0</v>
      </c>
      <c r="BL177" s="388">
        <f>SUMIFS(服务费底表!$AC:$AC,服务费底表!$K:$K,服务费明细!$B177,服务费底表!$H:$H,服务费明细!BL$3)</f>
        <v>0</v>
      </c>
      <c r="BM177" s="388">
        <f>SUMIFS(服务费底表!$AC:$AC,服务费底表!$K:$K,服务费明细!$B177,服务费底表!$H:$H,服务费明细!BM$3)</f>
        <v>0</v>
      </c>
      <c r="BN177" s="388">
        <f>SUMIFS(服务费底表!$AC:$AC,服务费底表!$K:$K,服务费明细!$B177,服务费底表!$H:$H,服务费明细!BN$3)</f>
        <v>0</v>
      </c>
      <c r="BO177" s="388">
        <f>SUMIFS(服务费底表!$AC:$AC,服务费底表!$K:$K,服务费明细!$B177,服务费底表!$H:$H,服务费明细!BO$3)</f>
        <v>0</v>
      </c>
      <c r="BQ177" s="389">
        <f>SUMIFS(服务费底表!$AD:$AD,服务费底表!$K:$K,服务费明细!$B177,服务费底表!$H:$H,服务费明细!BQ$3)</f>
        <v>0</v>
      </c>
      <c r="BR177" s="389">
        <f>SUMIFS(服务费底表!$AD:$AD,服务费底表!$K:$K,服务费明细!$B177,服务费底表!$H:$H,服务费明细!BR$3)</f>
        <v>0</v>
      </c>
      <c r="BS177" s="389">
        <f>SUMIFS(服务费底表!$AD:$AD,服务费底表!$K:$K,服务费明细!$B177,服务费底表!$H:$H,服务费明细!BS$3)</f>
        <v>0</v>
      </c>
      <c r="BT177" s="389">
        <f>SUMIFS(服务费底表!$AD:$AD,服务费底表!$K:$K,服务费明细!$B177,服务费底表!$H:$H,服务费明细!BT$3)</f>
        <v>0</v>
      </c>
      <c r="BU177" s="389">
        <f>SUMIFS(服务费底表!$AD:$AD,服务费底表!$K:$K,服务费明细!$B177,服务费底表!$H:$H,服务费明细!BU$3)</f>
        <v>0</v>
      </c>
      <c r="BV177" s="389">
        <f>SUMIFS(服务费底表!$AD:$AD,服务费底表!$K:$K,服务费明细!$B177,服务费底表!$H:$H,服务费明细!BV$3)</f>
        <v>0</v>
      </c>
      <c r="BW177" s="389">
        <f>SUMIFS(服务费底表!$AD:$AD,服务费底表!$K:$K,服务费明细!$B177,服务费底表!$H:$H,服务费明细!BW$3)</f>
        <v>0</v>
      </c>
    </row>
    <row r="178" spans="2:75">
      <c r="B178" s="89" t="s">
        <v>1097</v>
      </c>
      <c r="C178" s="89" t="str">
        <f>INDEX(二三级标准!$C:$C,MATCH(服务费明细!$B178,二三级标准!$B:$B,0))</f>
        <v>外部沟通PPT整理,QC</v>
      </c>
      <c r="D178" s="166">
        <v>0</v>
      </c>
      <c r="E178" s="166">
        <f t="shared" si="310"/>
        <v>0</v>
      </c>
      <c r="F178" s="89" t="str">
        <f>INDEX(二三级标准!$G:$G,MATCH(服务费明细!$B178,二三级标准!$B:$B,0))</f>
        <v>次</v>
      </c>
      <c r="G178" s="166">
        <f t="shared" si="316"/>
        <v>0</v>
      </c>
      <c r="H178" s="166">
        <f t="shared" si="317"/>
        <v>0</v>
      </c>
      <c r="I178" s="166">
        <f t="shared" si="318"/>
        <v>0</v>
      </c>
      <c r="J178" s="166">
        <f t="shared" si="319"/>
        <v>0</v>
      </c>
      <c r="K178" s="166">
        <f t="shared" si="320"/>
        <v>0</v>
      </c>
      <c r="L178" s="166">
        <f t="shared" si="321"/>
        <v>0</v>
      </c>
      <c r="M178" s="166">
        <f t="shared" si="322"/>
        <v>0</v>
      </c>
      <c r="N178" s="166">
        <f t="shared" si="323"/>
        <v>0</v>
      </c>
      <c r="O178" s="166">
        <f t="shared" si="324"/>
        <v>0</v>
      </c>
      <c r="P178" s="166">
        <f t="shared" si="325"/>
        <v>0</v>
      </c>
      <c r="Q178" s="166">
        <f t="shared" si="326"/>
        <v>0</v>
      </c>
      <c r="R178" s="166">
        <f t="shared" si="327"/>
        <v>0</v>
      </c>
      <c r="S178" s="166">
        <f t="shared" si="328"/>
        <v>0</v>
      </c>
      <c r="T178" s="166">
        <f t="shared" si="329"/>
        <v>0</v>
      </c>
      <c r="U178" s="166">
        <f t="shared" si="330"/>
        <v>0</v>
      </c>
      <c r="V178" s="166">
        <f t="shared" si="331"/>
        <v>0</v>
      </c>
      <c r="W178" s="166">
        <f t="shared" si="332"/>
        <v>0</v>
      </c>
      <c r="X178" s="166">
        <f t="shared" si="333"/>
        <v>0</v>
      </c>
      <c r="Y178" s="166">
        <f t="shared" si="334"/>
        <v>0</v>
      </c>
      <c r="Z178" s="166">
        <f t="shared" si="335"/>
        <v>0</v>
      </c>
      <c r="AA178" s="166">
        <f t="shared" si="336"/>
        <v>0</v>
      </c>
      <c r="AB178" s="166">
        <f t="shared" si="337"/>
        <v>0</v>
      </c>
      <c r="AC178" s="166" cm="1">
        <f t="array" ref="AC178">SUMPRODUCT(G178:AB178,$G$4:$AB$4)</f>
        <v>0</v>
      </c>
      <c r="AD178" s="89" t="b">
        <f t="shared" si="312"/>
        <v>1</v>
      </c>
      <c r="AE178" s="386">
        <f>IFERROR(SUMIF(服务费底表!$K:$K,服务费明细!$B178,服务费底表!$AD:$AD)/E178,0)</f>
        <v>0</v>
      </c>
      <c r="AF178" s="386">
        <f t="shared" si="313"/>
        <v>0</v>
      </c>
      <c r="AG178" s="386">
        <f>IFERROR(SUMIF(服务费底表!$K:$K,服务费明细!$B178,服务费底表!$AG:$AG)/E178,0)</f>
        <v>0</v>
      </c>
      <c r="AH178" s="386">
        <f t="shared" si="314"/>
        <v>0</v>
      </c>
      <c r="AI178" s="409"/>
      <c r="AJ178" s="563">
        <f t="shared" si="315"/>
        <v>0</v>
      </c>
      <c r="AK178" s="564">
        <f>SUMIF(服务费底表!$K:$K,服务费明细!$B178,服务费底表!$AC:$AC)</f>
        <v>0</v>
      </c>
      <c r="AL178" s="166">
        <f>SUMIFS(服务费底表!$AC:$AC,服务费底表!$K:$K,服务费明细!$B178,服务费底表!$T:$T,AL$3)</f>
        <v>0</v>
      </c>
      <c r="AM178" s="166">
        <f>SUMIFS(服务费底表!$AC:$AC,服务费底表!$K:$K,服务费明细!$B178,服务费底表!$T:$T,AM$3)</f>
        <v>0</v>
      </c>
      <c r="AN178" s="166">
        <f>SUMIFS(服务费底表!$AC:$AC,服务费底表!$K:$K,服务费明细!$B178,服务费底表!$T:$T,AN$3)</f>
        <v>0</v>
      </c>
      <c r="AO178" s="166">
        <f>SUMIFS(服务费底表!$AC:$AC,服务费底表!$K:$K,服务费明细!$B178,服务费底表!$T:$T,AO$3)</f>
        <v>0</v>
      </c>
      <c r="AP178" s="166">
        <f>SUMIFS(服务费底表!$AC:$AC,服务费底表!$K:$K,服务费明细!$B178,服务费底表!$T:$T,AP$3)</f>
        <v>0</v>
      </c>
      <c r="AQ178" s="166">
        <f>SUMIFS(服务费底表!$AC:$AC,服务费底表!$K:$K,服务费明细!$B178,服务费底表!$T:$T,AQ$3)</f>
        <v>0</v>
      </c>
      <c r="AR178" s="166">
        <f>SUMIFS(服务费底表!$AC:$AC,服务费底表!$K:$K,服务费明细!$B178,服务费底表!$T:$T,AR$3)</f>
        <v>0</v>
      </c>
      <c r="AS178" s="166">
        <f>SUMIFS(服务费底表!$AC:$AC,服务费底表!$K:$K,服务费明细!$B178,服务费底表!$T:$T,AS$3)</f>
        <v>0</v>
      </c>
      <c r="AT178" s="166">
        <f>SUMIFS(服务费底表!$AC:$AC,服务费底表!$K:$K,服务费明细!$B178,服务费底表!$T:$T,AT$3)</f>
        <v>0</v>
      </c>
      <c r="AU178" s="166">
        <f>SUMIFS(服务费底表!$AC:$AC,服务费底表!$K:$K,服务费明细!$B178,服务费底表!$T:$T,AU$3)</f>
        <v>0</v>
      </c>
      <c r="AV178" s="166">
        <f>SUMIFS(服务费底表!$AC:$AC,服务费底表!$K:$K,服务费明细!$B178,服务费底表!$T:$T,AV$3)</f>
        <v>0</v>
      </c>
      <c r="AW178" s="166">
        <f>SUMIFS(服务费底表!$AC:$AC,服务费底表!$K:$K,服务费明细!$B178,服务费底表!$T:$T,AW$3)</f>
        <v>0</v>
      </c>
      <c r="AX178" s="166">
        <f>SUMIFS(服务费底表!$AC:$AC,服务费底表!$K:$K,服务费明细!$B178,服务费底表!$T:$T,AX$3)</f>
        <v>0</v>
      </c>
      <c r="AY178" s="166">
        <f>SUMIFS(服务费底表!$AC:$AC,服务费底表!$K:$K,服务费明细!$B178,服务费底表!$T:$T,AY$3)</f>
        <v>0</v>
      </c>
      <c r="AZ178" s="166">
        <f>SUMIFS(服务费底表!$AC:$AC,服务费底表!$K:$K,服务费明细!$B178,服务费底表!$T:$T,AZ$3)</f>
        <v>0</v>
      </c>
      <c r="BA178" s="166">
        <f>SUMIFS(服务费底表!$AC:$AC,服务费底表!$K:$K,服务费明细!$B178,服务费底表!$T:$T,BA$3)</f>
        <v>0</v>
      </c>
      <c r="BB178" s="166">
        <f>SUMIFS(服务费底表!$AC:$AC,服务费底表!$K:$K,服务费明细!$B178,服务费底表!$T:$T,BB$3)</f>
        <v>0</v>
      </c>
      <c r="BC178" s="166">
        <f>SUMIFS(服务费底表!$AC:$AC,服务费底表!$K:$K,服务费明细!$B178,服务费底表!$T:$T,BC$3)</f>
        <v>0</v>
      </c>
      <c r="BD178" s="166">
        <f>SUMIFS(服务费底表!$AC:$AC,服务费底表!$K:$K,服务费明细!$B178,服务费底表!$T:$T,BD$3)</f>
        <v>0</v>
      </c>
      <c r="BE178" s="166">
        <f>SUMIFS(服务费底表!$AC:$AC,服务费底表!$K:$K,服务费明细!$B178,服务费底表!$T:$T,BE$3)</f>
        <v>0</v>
      </c>
      <c r="BF178" s="166">
        <f>SUMIFS(服务费底表!$AC:$AC,服务费底表!$K:$K,服务费明细!$B178,服务费底表!$T:$T,BF$3)</f>
        <v>0</v>
      </c>
      <c r="BG178" s="166">
        <f>SUMIFS(服务费底表!$AC:$AC,服务费底表!$K:$K,服务费明细!$B178,服务费底表!$T:$T,BG$3)</f>
        <v>0</v>
      </c>
      <c r="BI178" s="388">
        <f>SUMIFS(服务费底表!$AC:$AC,服务费底表!$K:$K,服务费明细!$B178,服务费底表!$H:$H,服务费明细!BI$3)</f>
        <v>0</v>
      </c>
      <c r="BJ178" s="388">
        <f>SUMIFS(服务费底表!$AC:$AC,服务费底表!$K:$K,服务费明细!$B178,服务费底表!$H:$H,服务费明细!BJ$3)</f>
        <v>0</v>
      </c>
      <c r="BK178" s="388">
        <f>SUMIFS(服务费底表!$AC:$AC,服务费底表!$K:$K,服务费明细!$B178,服务费底表!$H:$H,服务费明细!BK$3)</f>
        <v>0</v>
      </c>
      <c r="BL178" s="388">
        <f>SUMIFS(服务费底表!$AC:$AC,服务费底表!$K:$K,服务费明细!$B178,服务费底表!$H:$H,服务费明细!BL$3)</f>
        <v>0</v>
      </c>
      <c r="BM178" s="388">
        <f>SUMIFS(服务费底表!$AC:$AC,服务费底表!$K:$K,服务费明细!$B178,服务费底表!$H:$H,服务费明细!BM$3)</f>
        <v>0</v>
      </c>
      <c r="BN178" s="388">
        <f>SUMIFS(服务费底表!$AC:$AC,服务费底表!$K:$K,服务费明细!$B178,服务费底表!$H:$H,服务费明细!BN$3)</f>
        <v>0</v>
      </c>
      <c r="BO178" s="388">
        <f>SUMIFS(服务费底表!$AC:$AC,服务费底表!$K:$K,服务费明细!$B178,服务费底表!$H:$H,服务费明细!BO$3)</f>
        <v>0</v>
      </c>
      <c r="BQ178" s="389">
        <f>SUMIFS(服务费底表!$AD:$AD,服务费底表!$K:$K,服务费明细!$B178,服务费底表!$H:$H,服务费明细!BQ$3)</f>
        <v>0</v>
      </c>
      <c r="BR178" s="389">
        <f>SUMIFS(服务费底表!$AD:$AD,服务费底表!$K:$K,服务费明细!$B178,服务费底表!$H:$H,服务费明细!BR$3)</f>
        <v>0</v>
      </c>
      <c r="BS178" s="389">
        <f>SUMIFS(服务费底表!$AD:$AD,服务费底表!$K:$K,服务费明细!$B178,服务费底表!$H:$H,服务费明细!BS$3)</f>
        <v>0</v>
      </c>
      <c r="BT178" s="389">
        <f>SUMIFS(服务费底表!$AD:$AD,服务费底表!$K:$K,服务费明细!$B178,服务费底表!$H:$H,服务费明细!BT$3)</f>
        <v>0</v>
      </c>
      <c r="BU178" s="389">
        <f>SUMIFS(服务费底表!$AD:$AD,服务费底表!$K:$K,服务费明细!$B178,服务费底表!$H:$H,服务费明细!BU$3)</f>
        <v>0</v>
      </c>
      <c r="BV178" s="389">
        <f>SUMIFS(服务费底表!$AD:$AD,服务费底表!$K:$K,服务费明细!$B178,服务费底表!$H:$H,服务费明细!BV$3)</f>
        <v>0</v>
      </c>
      <c r="BW178" s="389">
        <f>SUMIFS(服务费底表!$AD:$AD,服务费底表!$K:$K,服务费明细!$B178,服务费底表!$H:$H,服务费明细!BW$3)</f>
        <v>0</v>
      </c>
    </row>
    <row r="179" spans="2:75">
      <c r="B179" s="89" t="s">
        <v>1098</v>
      </c>
      <c r="C179" s="89" t="str">
        <f>INDEX(二三级标准!$C:$C,MATCH(服务费明细!$B179,二三级标准!$B:$B,0))</f>
        <v>外部会议讨论</v>
      </c>
      <c r="D179" s="166">
        <v>0</v>
      </c>
      <c r="E179" s="166">
        <f t="shared" si="310"/>
        <v>0</v>
      </c>
      <c r="F179" s="89" t="str">
        <f>INDEX(二三级标准!$G:$G,MATCH(服务费明细!$B179,二三级标准!$B:$B,0))</f>
        <v>次</v>
      </c>
      <c r="G179" s="166">
        <f t="shared" si="316"/>
        <v>0</v>
      </c>
      <c r="H179" s="166">
        <f t="shared" si="317"/>
        <v>0</v>
      </c>
      <c r="I179" s="166">
        <f t="shared" si="318"/>
        <v>0</v>
      </c>
      <c r="J179" s="166">
        <f t="shared" si="319"/>
        <v>0</v>
      </c>
      <c r="K179" s="166">
        <f t="shared" si="320"/>
        <v>0</v>
      </c>
      <c r="L179" s="166">
        <f t="shared" si="321"/>
        <v>0</v>
      </c>
      <c r="M179" s="166">
        <f t="shared" si="322"/>
        <v>0</v>
      </c>
      <c r="N179" s="166">
        <f t="shared" si="323"/>
        <v>0</v>
      </c>
      <c r="O179" s="166">
        <f t="shared" si="324"/>
        <v>0</v>
      </c>
      <c r="P179" s="166">
        <f t="shared" si="325"/>
        <v>0</v>
      </c>
      <c r="Q179" s="166">
        <f t="shared" si="326"/>
        <v>0</v>
      </c>
      <c r="R179" s="166">
        <f t="shared" si="327"/>
        <v>0</v>
      </c>
      <c r="S179" s="166">
        <f t="shared" si="328"/>
        <v>0</v>
      </c>
      <c r="T179" s="166">
        <f t="shared" si="329"/>
        <v>0</v>
      </c>
      <c r="U179" s="166">
        <f t="shared" si="330"/>
        <v>0</v>
      </c>
      <c r="V179" s="166">
        <f t="shared" si="331"/>
        <v>0</v>
      </c>
      <c r="W179" s="166">
        <f t="shared" si="332"/>
        <v>0</v>
      </c>
      <c r="X179" s="166">
        <f t="shared" si="333"/>
        <v>0</v>
      </c>
      <c r="Y179" s="166">
        <f t="shared" si="334"/>
        <v>0</v>
      </c>
      <c r="Z179" s="166">
        <f t="shared" si="335"/>
        <v>0</v>
      </c>
      <c r="AA179" s="166">
        <f t="shared" si="336"/>
        <v>0</v>
      </c>
      <c r="AB179" s="166">
        <f t="shared" si="337"/>
        <v>0</v>
      </c>
      <c r="AC179" s="166" cm="1">
        <f t="array" ref="AC179">SUMPRODUCT(G179:AB179,$G$4:$AB$4)</f>
        <v>0</v>
      </c>
      <c r="AD179" s="89" t="b">
        <f t="shared" si="312"/>
        <v>1</v>
      </c>
      <c r="AE179" s="386">
        <f>IFERROR(SUMIF(服务费底表!$K:$K,服务费明细!$B179,服务费底表!$AD:$AD)/E179,0)</f>
        <v>0</v>
      </c>
      <c r="AF179" s="386">
        <f t="shared" si="313"/>
        <v>0</v>
      </c>
      <c r="AG179" s="386">
        <f>IFERROR(SUMIF(服务费底表!$K:$K,服务费明细!$B179,服务费底表!$AG:$AG)/E179,0)</f>
        <v>0</v>
      </c>
      <c r="AH179" s="386">
        <f t="shared" si="314"/>
        <v>0</v>
      </c>
      <c r="AI179" s="409"/>
      <c r="AJ179" s="563">
        <f t="shared" si="315"/>
        <v>0</v>
      </c>
      <c r="AK179" s="564">
        <f>SUMIF(服务费底表!$K:$K,服务费明细!$B179,服务费底表!$AC:$AC)</f>
        <v>0</v>
      </c>
      <c r="AL179" s="166">
        <f>SUMIFS(服务费底表!$AC:$AC,服务费底表!$K:$K,服务费明细!$B179,服务费底表!$T:$T,AL$3)</f>
        <v>0</v>
      </c>
      <c r="AM179" s="166">
        <f>SUMIFS(服务费底表!$AC:$AC,服务费底表!$K:$K,服务费明细!$B179,服务费底表!$T:$T,AM$3)</f>
        <v>0</v>
      </c>
      <c r="AN179" s="166">
        <f>SUMIFS(服务费底表!$AC:$AC,服务费底表!$K:$K,服务费明细!$B179,服务费底表!$T:$T,AN$3)</f>
        <v>0</v>
      </c>
      <c r="AO179" s="166">
        <f>SUMIFS(服务费底表!$AC:$AC,服务费底表!$K:$K,服务费明细!$B179,服务费底表!$T:$T,AO$3)</f>
        <v>0</v>
      </c>
      <c r="AP179" s="166">
        <f>SUMIFS(服务费底表!$AC:$AC,服务费底表!$K:$K,服务费明细!$B179,服务费底表!$T:$T,AP$3)</f>
        <v>0</v>
      </c>
      <c r="AQ179" s="166">
        <f>SUMIFS(服务费底表!$AC:$AC,服务费底表!$K:$K,服务费明细!$B179,服务费底表!$T:$T,AQ$3)</f>
        <v>0</v>
      </c>
      <c r="AR179" s="166">
        <f>SUMIFS(服务费底表!$AC:$AC,服务费底表!$K:$K,服务费明细!$B179,服务费底表!$T:$T,AR$3)</f>
        <v>0</v>
      </c>
      <c r="AS179" s="166">
        <f>SUMIFS(服务费底表!$AC:$AC,服务费底表!$K:$K,服务费明细!$B179,服务费底表!$T:$T,AS$3)</f>
        <v>0</v>
      </c>
      <c r="AT179" s="166">
        <f>SUMIFS(服务费底表!$AC:$AC,服务费底表!$K:$K,服务费明细!$B179,服务费底表!$T:$T,AT$3)</f>
        <v>0</v>
      </c>
      <c r="AU179" s="166">
        <f>SUMIFS(服务费底表!$AC:$AC,服务费底表!$K:$K,服务费明细!$B179,服务费底表!$T:$T,AU$3)</f>
        <v>0</v>
      </c>
      <c r="AV179" s="166">
        <f>SUMIFS(服务费底表!$AC:$AC,服务费底表!$K:$K,服务费明细!$B179,服务费底表!$T:$T,AV$3)</f>
        <v>0</v>
      </c>
      <c r="AW179" s="166">
        <f>SUMIFS(服务费底表!$AC:$AC,服务费底表!$K:$K,服务费明细!$B179,服务费底表!$T:$T,AW$3)</f>
        <v>0</v>
      </c>
      <c r="AX179" s="166">
        <f>SUMIFS(服务费底表!$AC:$AC,服务费底表!$K:$K,服务费明细!$B179,服务费底表!$T:$T,AX$3)</f>
        <v>0</v>
      </c>
      <c r="AY179" s="166">
        <f>SUMIFS(服务费底表!$AC:$AC,服务费底表!$K:$K,服务费明细!$B179,服务费底表!$T:$T,AY$3)</f>
        <v>0</v>
      </c>
      <c r="AZ179" s="166">
        <f>SUMIFS(服务费底表!$AC:$AC,服务费底表!$K:$K,服务费明细!$B179,服务费底表!$T:$T,AZ$3)</f>
        <v>0</v>
      </c>
      <c r="BA179" s="166">
        <f>SUMIFS(服务费底表!$AC:$AC,服务费底表!$K:$K,服务费明细!$B179,服务费底表!$T:$T,BA$3)</f>
        <v>0</v>
      </c>
      <c r="BB179" s="166">
        <f>SUMIFS(服务费底表!$AC:$AC,服务费底表!$K:$K,服务费明细!$B179,服务费底表!$T:$T,BB$3)</f>
        <v>0</v>
      </c>
      <c r="BC179" s="166">
        <f>SUMIFS(服务费底表!$AC:$AC,服务费底表!$K:$K,服务费明细!$B179,服务费底表!$T:$T,BC$3)</f>
        <v>0</v>
      </c>
      <c r="BD179" s="166">
        <f>SUMIFS(服务费底表!$AC:$AC,服务费底表!$K:$K,服务费明细!$B179,服务费底表!$T:$T,BD$3)</f>
        <v>0</v>
      </c>
      <c r="BE179" s="166">
        <f>SUMIFS(服务费底表!$AC:$AC,服务费底表!$K:$K,服务费明细!$B179,服务费底表!$T:$T,BE$3)</f>
        <v>0</v>
      </c>
      <c r="BF179" s="166">
        <f>SUMIFS(服务费底表!$AC:$AC,服务费底表!$K:$K,服务费明细!$B179,服务费底表!$T:$T,BF$3)</f>
        <v>0</v>
      </c>
      <c r="BG179" s="166">
        <f>SUMIFS(服务费底表!$AC:$AC,服务费底表!$K:$K,服务费明细!$B179,服务费底表!$T:$T,BG$3)</f>
        <v>0</v>
      </c>
      <c r="BI179" s="388">
        <f>SUMIFS(服务费底表!$AC:$AC,服务费底表!$K:$K,服务费明细!$B179,服务费底表!$H:$H,服务费明细!BI$3)</f>
        <v>0</v>
      </c>
      <c r="BJ179" s="388">
        <f>SUMIFS(服务费底表!$AC:$AC,服务费底表!$K:$K,服务费明细!$B179,服务费底表!$H:$H,服务费明细!BJ$3)</f>
        <v>0</v>
      </c>
      <c r="BK179" s="388">
        <f>SUMIFS(服务费底表!$AC:$AC,服务费底表!$K:$K,服务费明细!$B179,服务费底表!$H:$H,服务费明细!BK$3)</f>
        <v>0</v>
      </c>
      <c r="BL179" s="388">
        <f>SUMIFS(服务费底表!$AC:$AC,服务费底表!$K:$K,服务费明细!$B179,服务费底表!$H:$H,服务费明细!BL$3)</f>
        <v>0</v>
      </c>
      <c r="BM179" s="388">
        <f>SUMIFS(服务费底表!$AC:$AC,服务费底表!$K:$K,服务费明细!$B179,服务费底表!$H:$H,服务费明细!BM$3)</f>
        <v>0</v>
      </c>
      <c r="BN179" s="388">
        <f>SUMIFS(服务费底表!$AC:$AC,服务费底表!$K:$K,服务费明细!$B179,服务费底表!$H:$H,服务费明细!BN$3)</f>
        <v>0</v>
      </c>
      <c r="BO179" s="388">
        <f>SUMIFS(服务费底表!$AC:$AC,服务费底表!$K:$K,服务费明细!$B179,服务费底表!$H:$H,服务费明细!BO$3)</f>
        <v>0</v>
      </c>
      <c r="BQ179" s="389">
        <f>SUMIFS(服务费底表!$AD:$AD,服务费底表!$K:$K,服务费明细!$B179,服务费底表!$H:$H,服务费明细!BQ$3)</f>
        <v>0</v>
      </c>
      <c r="BR179" s="389">
        <f>SUMIFS(服务费底表!$AD:$AD,服务费底表!$K:$K,服务费明细!$B179,服务费底表!$H:$H,服务费明细!BR$3)</f>
        <v>0</v>
      </c>
      <c r="BS179" s="389">
        <f>SUMIFS(服务费底表!$AD:$AD,服务费底表!$K:$K,服务费明细!$B179,服务费底表!$H:$H,服务费明细!BS$3)</f>
        <v>0</v>
      </c>
      <c r="BT179" s="389">
        <f>SUMIFS(服务费底表!$AD:$AD,服务费底表!$K:$K,服务费明细!$B179,服务费底表!$H:$H,服务费明细!BT$3)</f>
        <v>0</v>
      </c>
      <c r="BU179" s="389">
        <f>SUMIFS(服务费底表!$AD:$AD,服务费底表!$K:$K,服务费明细!$B179,服务费底表!$H:$H,服务费明细!BU$3)</f>
        <v>0</v>
      </c>
      <c r="BV179" s="389">
        <f>SUMIFS(服务费底表!$AD:$AD,服务费底表!$K:$K,服务费明细!$B179,服务费底表!$H:$H,服务费明细!BV$3)</f>
        <v>0</v>
      </c>
      <c r="BW179" s="389">
        <f>SUMIFS(服务费底表!$AD:$AD,服务费底表!$K:$K,服务费明细!$B179,服务费底表!$H:$H,服务费明细!BW$3)</f>
        <v>0</v>
      </c>
    </row>
    <row r="180" spans="2:75">
      <c r="B180" s="89" t="s">
        <v>1099</v>
      </c>
      <c r="C180" s="89" t="str">
        <f>INDEX(二三级标准!$C:$C,MATCH(服务费明细!$B180,二三级标准!$B:$B,0))</f>
        <v>中文报告</v>
      </c>
      <c r="D180" s="166">
        <v>0</v>
      </c>
      <c r="E180" s="166">
        <f t="shared" si="310"/>
        <v>0</v>
      </c>
      <c r="F180" s="89" t="str">
        <f>INDEX(二三级标准!$G:$G,MATCH(服务费明细!$B180,二三级标准!$B:$B,0))</f>
        <v>份</v>
      </c>
      <c r="G180" s="166">
        <f t="shared" si="316"/>
        <v>0</v>
      </c>
      <c r="H180" s="166">
        <f t="shared" si="317"/>
        <v>0</v>
      </c>
      <c r="I180" s="166">
        <f t="shared" si="318"/>
        <v>0</v>
      </c>
      <c r="J180" s="166">
        <f t="shared" si="319"/>
        <v>0</v>
      </c>
      <c r="K180" s="166">
        <f t="shared" si="320"/>
        <v>0</v>
      </c>
      <c r="L180" s="166">
        <f t="shared" si="321"/>
        <v>0</v>
      </c>
      <c r="M180" s="166">
        <f t="shared" si="322"/>
        <v>0</v>
      </c>
      <c r="N180" s="166">
        <f t="shared" si="323"/>
        <v>0</v>
      </c>
      <c r="O180" s="166">
        <f t="shared" si="324"/>
        <v>0</v>
      </c>
      <c r="P180" s="166">
        <f t="shared" si="325"/>
        <v>0</v>
      </c>
      <c r="Q180" s="166">
        <f t="shared" si="326"/>
        <v>0</v>
      </c>
      <c r="R180" s="166">
        <f t="shared" si="327"/>
        <v>0</v>
      </c>
      <c r="S180" s="166">
        <f t="shared" si="328"/>
        <v>0</v>
      </c>
      <c r="T180" s="166">
        <f t="shared" si="329"/>
        <v>0</v>
      </c>
      <c r="U180" s="166">
        <f t="shared" si="330"/>
        <v>0</v>
      </c>
      <c r="V180" s="166">
        <f t="shared" si="331"/>
        <v>0</v>
      </c>
      <c r="W180" s="166">
        <f t="shared" si="332"/>
        <v>0</v>
      </c>
      <c r="X180" s="166">
        <f t="shared" si="333"/>
        <v>0</v>
      </c>
      <c r="Y180" s="166">
        <f t="shared" si="334"/>
        <v>0</v>
      </c>
      <c r="Z180" s="166">
        <f t="shared" si="335"/>
        <v>0</v>
      </c>
      <c r="AA180" s="166">
        <f t="shared" si="336"/>
        <v>0</v>
      </c>
      <c r="AB180" s="166">
        <f t="shared" si="337"/>
        <v>0</v>
      </c>
      <c r="AC180" s="166" cm="1">
        <f t="array" ref="AC180">SUMPRODUCT(G180:AB180,$G$4:$AB$4)</f>
        <v>0</v>
      </c>
      <c r="AD180" s="89" t="b">
        <f t="shared" si="312"/>
        <v>1</v>
      </c>
      <c r="AE180" s="386">
        <f>IFERROR(SUMIF(服务费底表!$K:$K,服务费明细!$B180,服务费底表!$AD:$AD)/E180,0)</f>
        <v>0</v>
      </c>
      <c r="AF180" s="386">
        <f t="shared" si="313"/>
        <v>0</v>
      </c>
      <c r="AG180" s="386">
        <f>IFERROR(SUMIF(服务费底表!$K:$K,服务费明细!$B180,服务费底表!$AG:$AG)/E180,0)</f>
        <v>0</v>
      </c>
      <c r="AH180" s="386">
        <f t="shared" si="314"/>
        <v>0</v>
      </c>
      <c r="AI180" s="409"/>
      <c r="AJ180" s="563">
        <f t="shared" si="315"/>
        <v>0</v>
      </c>
      <c r="AK180" s="564">
        <f>SUMIF(服务费底表!$K:$K,服务费明细!$B180,服务费底表!$AC:$AC)</f>
        <v>0</v>
      </c>
      <c r="AL180" s="166">
        <f>SUMIFS(服务费底表!$AC:$AC,服务费底表!$K:$K,服务费明细!$B180,服务费底表!$T:$T,AL$3)</f>
        <v>0</v>
      </c>
      <c r="AM180" s="166">
        <f>SUMIFS(服务费底表!$AC:$AC,服务费底表!$K:$K,服务费明细!$B180,服务费底表!$T:$T,AM$3)</f>
        <v>0</v>
      </c>
      <c r="AN180" s="166">
        <f>SUMIFS(服务费底表!$AC:$AC,服务费底表!$K:$K,服务费明细!$B180,服务费底表!$T:$T,AN$3)</f>
        <v>0</v>
      </c>
      <c r="AO180" s="166">
        <f>SUMIFS(服务费底表!$AC:$AC,服务费底表!$K:$K,服务费明细!$B180,服务费底表!$T:$T,AO$3)</f>
        <v>0</v>
      </c>
      <c r="AP180" s="166">
        <f>SUMIFS(服务费底表!$AC:$AC,服务费底表!$K:$K,服务费明细!$B180,服务费底表!$T:$T,AP$3)</f>
        <v>0</v>
      </c>
      <c r="AQ180" s="166">
        <f>SUMIFS(服务费底表!$AC:$AC,服务费底表!$K:$K,服务费明细!$B180,服务费底表!$T:$T,AQ$3)</f>
        <v>0</v>
      </c>
      <c r="AR180" s="166">
        <f>SUMIFS(服务费底表!$AC:$AC,服务费底表!$K:$K,服务费明细!$B180,服务费底表!$T:$T,AR$3)</f>
        <v>0</v>
      </c>
      <c r="AS180" s="166">
        <f>SUMIFS(服务费底表!$AC:$AC,服务费底表!$K:$K,服务费明细!$B180,服务费底表!$T:$T,AS$3)</f>
        <v>0</v>
      </c>
      <c r="AT180" s="166">
        <f>SUMIFS(服务费底表!$AC:$AC,服务费底表!$K:$K,服务费明细!$B180,服务费底表!$T:$T,AT$3)</f>
        <v>0</v>
      </c>
      <c r="AU180" s="166">
        <f>SUMIFS(服务费底表!$AC:$AC,服务费底表!$K:$K,服务费明细!$B180,服务费底表!$T:$T,AU$3)</f>
        <v>0</v>
      </c>
      <c r="AV180" s="166">
        <f>SUMIFS(服务费底表!$AC:$AC,服务费底表!$K:$K,服务费明细!$B180,服务费底表!$T:$T,AV$3)</f>
        <v>0</v>
      </c>
      <c r="AW180" s="166">
        <f>SUMIFS(服务费底表!$AC:$AC,服务费底表!$K:$K,服务费明细!$B180,服务费底表!$T:$T,AW$3)</f>
        <v>0</v>
      </c>
      <c r="AX180" s="166">
        <f>SUMIFS(服务费底表!$AC:$AC,服务费底表!$K:$K,服务费明细!$B180,服务费底表!$T:$T,AX$3)</f>
        <v>0</v>
      </c>
      <c r="AY180" s="166">
        <f>SUMIFS(服务费底表!$AC:$AC,服务费底表!$K:$K,服务费明细!$B180,服务费底表!$T:$T,AY$3)</f>
        <v>0</v>
      </c>
      <c r="AZ180" s="166">
        <f>SUMIFS(服务费底表!$AC:$AC,服务费底表!$K:$K,服务费明细!$B180,服务费底表!$T:$T,AZ$3)</f>
        <v>0</v>
      </c>
      <c r="BA180" s="166">
        <f>SUMIFS(服务费底表!$AC:$AC,服务费底表!$K:$K,服务费明细!$B180,服务费底表!$T:$T,BA$3)</f>
        <v>0</v>
      </c>
      <c r="BB180" s="166">
        <f>SUMIFS(服务费底表!$AC:$AC,服务费底表!$K:$K,服务费明细!$B180,服务费底表!$T:$T,BB$3)</f>
        <v>0</v>
      </c>
      <c r="BC180" s="166">
        <f>SUMIFS(服务费底表!$AC:$AC,服务费底表!$K:$K,服务费明细!$B180,服务费底表!$T:$T,BC$3)</f>
        <v>0</v>
      </c>
      <c r="BD180" s="166">
        <f>SUMIFS(服务费底表!$AC:$AC,服务费底表!$K:$K,服务费明细!$B180,服务费底表!$T:$T,BD$3)</f>
        <v>0</v>
      </c>
      <c r="BE180" s="166">
        <f>SUMIFS(服务费底表!$AC:$AC,服务费底表!$K:$K,服务费明细!$B180,服务费底表!$T:$T,BE$3)</f>
        <v>0</v>
      </c>
      <c r="BF180" s="166">
        <f>SUMIFS(服务费底表!$AC:$AC,服务费底表!$K:$K,服务费明细!$B180,服务费底表!$T:$T,BF$3)</f>
        <v>0</v>
      </c>
      <c r="BG180" s="166">
        <f>SUMIFS(服务费底表!$AC:$AC,服务费底表!$K:$K,服务费明细!$B180,服务费底表!$T:$T,BG$3)</f>
        <v>0</v>
      </c>
      <c r="BI180" s="388">
        <f>SUMIFS(服务费底表!$AC:$AC,服务费底表!$K:$K,服务费明细!$B180,服务费底表!$H:$H,服务费明细!BI$3)</f>
        <v>0</v>
      </c>
      <c r="BJ180" s="388">
        <f>SUMIFS(服务费底表!$AC:$AC,服务费底表!$K:$K,服务费明细!$B180,服务费底表!$H:$H,服务费明细!BJ$3)</f>
        <v>0</v>
      </c>
      <c r="BK180" s="388">
        <f>SUMIFS(服务费底表!$AC:$AC,服务费底表!$K:$K,服务费明细!$B180,服务费底表!$H:$H,服务费明细!BK$3)</f>
        <v>0</v>
      </c>
      <c r="BL180" s="388">
        <f>SUMIFS(服务费底表!$AC:$AC,服务费底表!$K:$K,服务费明细!$B180,服务费底表!$H:$H,服务费明细!BL$3)</f>
        <v>0</v>
      </c>
      <c r="BM180" s="388">
        <f>SUMIFS(服务费底表!$AC:$AC,服务费底表!$K:$K,服务费明细!$B180,服务费底表!$H:$H,服务费明细!BM$3)</f>
        <v>0</v>
      </c>
      <c r="BN180" s="388">
        <f>SUMIFS(服务费底表!$AC:$AC,服务费底表!$K:$K,服务费明细!$B180,服务费底表!$H:$H,服务费明细!BN$3)</f>
        <v>0</v>
      </c>
      <c r="BO180" s="388">
        <f>SUMIFS(服务费底表!$AC:$AC,服务费底表!$K:$K,服务费明细!$B180,服务费底表!$H:$H,服务费明细!BO$3)</f>
        <v>0</v>
      </c>
      <c r="BQ180" s="389">
        <f>SUMIFS(服务费底表!$AD:$AD,服务费底表!$K:$K,服务费明细!$B180,服务费底表!$H:$H,服务费明细!BQ$3)</f>
        <v>0</v>
      </c>
      <c r="BR180" s="389">
        <f>SUMIFS(服务费底表!$AD:$AD,服务费底表!$K:$K,服务费明细!$B180,服务费底表!$H:$H,服务费明细!BR$3)</f>
        <v>0</v>
      </c>
      <c r="BS180" s="389">
        <f>SUMIFS(服务费底表!$AD:$AD,服务费底表!$K:$K,服务费明细!$B180,服务费底表!$H:$H,服务费明细!BS$3)</f>
        <v>0</v>
      </c>
      <c r="BT180" s="389">
        <f>SUMIFS(服务费底表!$AD:$AD,服务费底表!$K:$K,服务费明细!$B180,服务费底表!$H:$H,服务费明细!BT$3)</f>
        <v>0</v>
      </c>
      <c r="BU180" s="389">
        <f>SUMIFS(服务费底表!$AD:$AD,服务费底表!$K:$K,服务费明细!$B180,服务费底表!$H:$H,服务费明细!BU$3)</f>
        <v>0</v>
      </c>
      <c r="BV180" s="389">
        <f>SUMIFS(服务费底表!$AD:$AD,服务费底表!$K:$K,服务费明细!$B180,服务费底表!$H:$H,服务费明细!BV$3)</f>
        <v>0</v>
      </c>
      <c r="BW180" s="389">
        <f>SUMIFS(服务费底表!$AD:$AD,服务费底表!$K:$K,服务费明细!$B180,服务费底表!$H:$H,服务费明细!BW$3)</f>
        <v>0</v>
      </c>
    </row>
    <row r="181" spans="2:75">
      <c r="B181" s="89" t="s">
        <v>1100</v>
      </c>
      <c r="C181" s="89" t="str">
        <f>INDEX(二三级标准!$C:$C,MATCH(服务费明细!$B181,二三级标准!$B:$B,0))</f>
        <v>英文报告</v>
      </c>
      <c r="D181" s="166">
        <v>0</v>
      </c>
      <c r="E181" s="166">
        <f t="shared" si="310"/>
        <v>0</v>
      </c>
      <c r="F181" s="89" t="str">
        <f>INDEX(二三级标准!$G:$G,MATCH(服务费明细!$B181,二三级标准!$B:$B,0))</f>
        <v>份</v>
      </c>
      <c r="G181" s="166">
        <f t="shared" si="316"/>
        <v>0</v>
      </c>
      <c r="H181" s="166">
        <f t="shared" si="317"/>
        <v>0</v>
      </c>
      <c r="I181" s="166">
        <f t="shared" si="318"/>
        <v>0</v>
      </c>
      <c r="J181" s="166">
        <f t="shared" si="319"/>
        <v>0</v>
      </c>
      <c r="K181" s="166">
        <f t="shared" si="320"/>
        <v>0</v>
      </c>
      <c r="L181" s="166">
        <f t="shared" si="321"/>
        <v>0</v>
      </c>
      <c r="M181" s="166">
        <f t="shared" si="322"/>
        <v>0</v>
      </c>
      <c r="N181" s="166">
        <f t="shared" si="323"/>
        <v>0</v>
      </c>
      <c r="O181" s="166">
        <f t="shared" si="324"/>
        <v>0</v>
      </c>
      <c r="P181" s="166">
        <f t="shared" si="325"/>
        <v>0</v>
      </c>
      <c r="Q181" s="166">
        <f t="shared" si="326"/>
        <v>0</v>
      </c>
      <c r="R181" s="166">
        <f t="shared" si="327"/>
        <v>0</v>
      </c>
      <c r="S181" s="166">
        <f t="shared" si="328"/>
        <v>0</v>
      </c>
      <c r="T181" s="166">
        <f t="shared" si="329"/>
        <v>0</v>
      </c>
      <c r="U181" s="166">
        <f t="shared" si="330"/>
        <v>0</v>
      </c>
      <c r="V181" s="166">
        <f t="shared" si="331"/>
        <v>0</v>
      </c>
      <c r="W181" s="166">
        <f t="shared" si="332"/>
        <v>0</v>
      </c>
      <c r="X181" s="166">
        <f t="shared" si="333"/>
        <v>0</v>
      </c>
      <c r="Y181" s="166">
        <f t="shared" si="334"/>
        <v>0</v>
      </c>
      <c r="Z181" s="166">
        <f t="shared" si="335"/>
        <v>0</v>
      </c>
      <c r="AA181" s="166">
        <f t="shared" si="336"/>
        <v>0</v>
      </c>
      <c r="AB181" s="166">
        <f t="shared" si="337"/>
        <v>0</v>
      </c>
      <c r="AC181" s="166" cm="1">
        <f t="array" ref="AC181">SUMPRODUCT(G181:AB181,$G$4:$AB$4)</f>
        <v>0</v>
      </c>
      <c r="AD181" s="89" t="b">
        <f t="shared" ref="AD181:AD186" si="338">IF(AF181=AC181,TRUE,FALSE)</f>
        <v>1</v>
      </c>
      <c r="AE181" s="386">
        <f>IFERROR(SUMIF(服务费底表!$K:$K,服务费明细!$B181,服务费底表!$AD:$AD)/E181,0)</f>
        <v>0</v>
      </c>
      <c r="AF181" s="386">
        <f t="shared" si="313"/>
        <v>0</v>
      </c>
      <c r="AG181" s="386">
        <f>IFERROR(SUMIF(服务费底表!$K:$K,服务费明细!$B181,服务费底表!$AG:$AG)/E181,0)</f>
        <v>0</v>
      </c>
      <c r="AH181" s="386">
        <f t="shared" si="314"/>
        <v>0</v>
      </c>
      <c r="AI181" s="409"/>
      <c r="AJ181" s="563">
        <f t="shared" si="315"/>
        <v>0</v>
      </c>
      <c r="AK181" s="564">
        <f>SUMIF(服务费底表!$K:$K,服务费明细!$B181,服务费底表!$AC:$AC)</f>
        <v>0</v>
      </c>
      <c r="AL181" s="166">
        <f>SUMIFS(服务费底表!$AC:$AC,服务费底表!$K:$K,服务费明细!$B181,服务费底表!$T:$T,AL$3)</f>
        <v>0</v>
      </c>
      <c r="AM181" s="166">
        <f>SUMIFS(服务费底表!$AC:$AC,服务费底表!$K:$K,服务费明细!$B181,服务费底表!$T:$T,AM$3)</f>
        <v>0</v>
      </c>
      <c r="AN181" s="166">
        <f>SUMIFS(服务费底表!$AC:$AC,服务费底表!$K:$K,服务费明细!$B181,服务费底表!$T:$T,AN$3)</f>
        <v>0</v>
      </c>
      <c r="AO181" s="166">
        <f>SUMIFS(服务费底表!$AC:$AC,服务费底表!$K:$K,服务费明细!$B181,服务费底表!$T:$T,AO$3)</f>
        <v>0</v>
      </c>
      <c r="AP181" s="166">
        <f>SUMIFS(服务费底表!$AC:$AC,服务费底表!$K:$K,服务费明细!$B181,服务费底表!$T:$T,AP$3)</f>
        <v>0</v>
      </c>
      <c r="AQ181" s="166">
        <f>SUMIFS(服务费底表!$AC:$AC,服务费底表!$K:$K,服务费明细!$B181,服务费底表!$T:$T,AQ$3)</f>
        <v>0</v>
      </c>
      <c r="AR181" s="166">
        <f>SUMIFS(服务费底表!$AC:$AC,服务费底表!$K:$K,服务费明细!$B181,服务费底表!$T:$T,AR$3)</f>
        <v>0</v>
      </c>
      <c r="AS181" s="166">
        <f>SUMIFS(服务费底表!$AC:$AC,服务费底表!$K:$K,服务费明细!$B181,服务费底表!$T:$T,AS$3)</f>
        <v>0</v>
      </c>
      <c r="AT181" s="166">
        <f>SUMIFS(服务费底表!$AC:$AC,服务费底表!$K:$K,服务费明细!$B181,服务费底表!$T:$T,AT$3)</f>
        <v>0</v>
      </c>
      <c r="AU181" s="166">
        <f>SUMIFS(服务费底表!$AC:$AC,服务费底表!$K:$K,服务费明细!$B181,服务费底表!$T:$T,AU$3)</f>
        <v>0</v>
      </c>
      <c r="AV181" s="166">
        <f>SUMIFS(服务费底表!$AC:$AC,服务费底表!$K:$K,服务费明细!$B181,服务费底表!$T:$T,AV$3)</f>
        <v>0</v>
      </c>
      <c r="AW181" s="166">
        <f>SUMIFS(服务费底表!$AC:$AC,服务费底表!$K:$K,服务费明细!$B181,服务费底表!$T:$T,AW$3)</f>
        <v>0</v>
      </c>
      <c r="AX181" s="166">
        <f>SUMIFS(服务费底表!$AC:$AC,服务费底表!$K:$K,服务费明细!$B181,服务费底表!$T:$T,AX$3)</f>
        <v>0</v>
      </c>
      <c r="AY181" s="166">
        <f>SUMIFS(服务费底表!$AC:$AC,服务费底表!$K:$K,服务费明细!$B181,服务费底表!$T:$T,AY$3)</f>
        <v>0</v>
      </c>
      <c r="AZ181" s="166">
        <f>SUMIFS(服务费底表!$AC:$AC,服务费底表!$K:$K,服务费明细!$B181,服务费底表!$T:$T,AZ$3)</f>
        <v>0</v>
      </c>
      <c r="BA181" s="166">
        <f>SUMIFS(服务费底表!$AC:$AC,服务费底表!$K:$K,服务费明细!$B181,服务费底表!$T:$T,BA$3)</f>
        <v>0</v>
      </c>
      <c r="BB181" s="166">
        <f>SUMIFS(服务费底表!$AC:$AC,服务费底表!$K:$K,服务费明细!$B181,服务费底表!$T:$T,BB$3)</f>
        <v>0</v>
      </c>
      <c r="BC181" s="166">
        <f>SUMIFS(服务费底表!$AC:$AC,服务费底表!$K:$K,服务费明细!$B181,服务费底表!$T:$T,BC$3)</f>
        <v>0</v>
      </c>
      <c r="BD181" s="166">
        <f>SUMIFS(服务费底表!$AC:$AC,服务费底表!$K:$K,服务费明细!$B181,服务费底表!$T:$T,BD$3)</f>
        <v>0</v>
      </c>
      <c r="BE181" s="166">
        <f>SUMIFS(服务费底表!$AC:$AC,服务费底表!$K:$K,服务费明细!$B181,服务费底表!$T:$T,BE$3)</f>
        <v>0</v>
      </c>
      <c r="BF181" s="166">
        <f>SUMIFS(服务费底表!$AC:$AC,服务费底表!$K:$K,服务费明细!$B181,服务费底表!$T:$T,BF$3)</f>
        <v>0</v>
      </c>
      <c r="BG181" s="166">
        <f>SUMIFS(服务费底表!$AC:$AC,服务费底表!$K:$K,服务费明细!$B181,服务费底表!$T:$T,BG$3)</f>
        <v>0</v>
      </c>
      <c r="BI181" s="388">
        <f>SUMIFS(服务费底表!$AC:$AC,服务费底表!$K:$K,服务费明细!$B181,服务费底表!$H:$H,服务费明细!BI$3)</f>
        <v>0</v>
      </c>
      <c r="BJ181" s="388">
        <f>SUMIFS(服务费底表!$AC:$AC,服务费底表!$K:$K,服务费明细!$B181,服务费底表!$H:$H,服务费明细!BJ$3)</f>
        <v>0</v>
      </c>
      <c r="BK181" s="388">
        <f>SUMIFS(服务费底表!$AC:$AC,服务费底表!$K:$K,服务费明细!$B181,服务费底表!$H:$H,服务费明细!BK$3)</f>
        <v>0</v>
      </c>
      <c r="BL181" s="388">
        <f>SUMIFS(服务费底表!$AC:$AC,服务费底表!$K:$K,服务费明细!$B181,服务费底表!$H:$H,服务费明细!BL$3)</f>
        <v>0</v>
      </c>
      <c r="BM181" s="388">
        <f>SUMIFS(服务费底表!$AC:$AC,服务费底表!$K:$K,服务费明细!$B181,服务费底表!$H:$H,服务费明细!BM$3)</f>
        <v>0</v>
      </c>
      <c r="BN181" s="388">
        <f>SUMIFS(服务费底表!$AC:$AC,服务费底表!$K:$K,服务费明细!$B181,服务费底表!$H:$H,服务费明细!BN$3)</f>
        <v>0</v>
      </c>
      <c r="BO181" s="388">
        <f>SUMIFS(服务费底表!$AC:$AC,服务费底表!$K:$K,服务费明细!$B181,服务费底表!$H:$H,服务费明细!BO$3)</f>
        <v>0</v>
      </c>
      <c r="BQ181" s="389">
        <f>SUMIFS(服务费底表!$AD:$AD,服务费底表!$K:$K,服务费明细!$B181,服务费底表!$H:$H,服务费明细!BQ$3)</f>
        <v>0</v>
      </c>
      <c r="BR181" s="389">
        <f>SUMIFS(服务费底表!$AD:$AD,服务费底表!$K:$K,服务费明细!$B181,服务费底表!$H:$H,服务费明细!BR$3)</f>
        <v>0</v>
      </c>
      <c r="BS181" s="389">
        <f>SUMIFS(服务费底表!$AD:$AD,服务费底表!$K:$K,服务费明细!$B181,服务费底表!$H:$H,服务费明细!BS$3)</f>
        <v>0</v>
      </c>
      <c r="BT181" s="389">
        <f>SUMIFS(服务费底表!$AD:$AD,服务费底表!$K:$K,服务费明细!$B181,服务费底表!$H:$H,服务费明细!BT$3)</f>
        <v>0</v>
      </c>
      <c r="BU181" s="389">
        <f>SUMIFS(服务费底表!$AD:$AD,服务费底表!$K:$K,服务费明细!$B181,服务费底表!$H:$H,服务费明细!BU$3)</f>
        <v>0</v>
      </c>
      <c r="BV181" s="389">
        <f>SUMIFS(服务费底表!$AD:$AD,服务费底表!$K:$K,服务费明细!$B181,服务费底表!$H:$H,服务费明细!BV$3)</f>
        <v>0</v>
      </c>
      <c r="BW181" s="389">
        <f>SUMIFS(服务费底表!$AD:$AD,服务费底表!$K:$K,服务费明细!$B181,服务费底表!$H:$H,服务费明细!BW$3)</f>
        <v>0</v>
      </c>
    </row>
    <row r="182" spans="2:75">
      <c r="B182" s="89" t="s">
        <v>1101</v>
      </c>
      <c r="C182" s="89" t="str">
        <f>INDEX(二三级标准!$C:$C,MATCH(服务费明细!$B182,二三级标准!$B:$B,0))</f>
        <v>撰写PK SAP</v>
      </c>
      <c r="D182" s="166">
        <f t="shared" ref="D182:D186" si="339">IF($D$173=1,1,0)</f>
        <v>1</v>
      </c>
      <c r="E182" s="166">
        <f t="shared" si="310"/>
        <v>1</v>
      </c>
      <c r="F182" s="89" t="str">
        <f>INDEX(二三级标准!$G:$G,MATCH(服务费明细!$B182,二三级标准!$B:$B,0))</f>
        <v>份</v>
      </c>
      <c r="G182" s="166">
        <f t="shared" si="316"/>
        <v>0</v>
      </c>
      <c r="H182" s="166">
        <f t="shared" si="317"/>
        <v>0</v>
      </c>
      <c r="I182" s="166">
        <f t="shared" si="318"/>
        <v>0</v>
      </c>
      <c r="J182" s="166">
        <f t="shared" si="319"/>
        <v>0</v>
      </c>
      <c r="K182" s="166">
        <f t="shared" si="320"/>
        <v>0</v>
      </c>
      <c r="L182" s="166">
        <f t="shared" si="321"/>
        <v>0</v>
      </c>
      <c r="M182" s="166">
        <f t="shared" si="322"/>
        <v>0</v>
      </c>
      <c r="N182" s="166">
        <f t="shared" si="323"/>
        <v>0</v>
      </c>
      <c r="O182" s="166">
        <f t="shared" si="324"/>
        <v>0</v>
      </c>
      <c r="P182" s="166">
        <f t="shared" si="325"/>
        <v>0</v>
      </c>
      <c r="Q182" s="166">
        <f t="shared" si="326"/>
        <v>0</v>
      </c>
      <c r="R182" s="166">
        <f t="shared" si="327"/>
        <v>0</v>
      </c>
      <c r="S182" s="166">
        <f t="shared" si="328"/>
        <v>0</v>
      </c>
      <c r="T182" s="166">
        <f t="shared" si="329"/>
        <v>0</v>
      </c>
      <c r="U182" s="166">
        <f t="shared" si="330"/>
        <v>0</v>
      </c>
      <c r="V182" s="166">
        <f t="shared" si="331"/>
        <v>0</v>
      </c>
      <c r="W182" s="166">
        <f t="shared" si="332"/>
        <v>0</v>
      </c>
      <c r="X182" s="166">
        <f t="shared" si="333"/>
        <v>18</v>
      </c>
      <c r="Y182" s="166">
        <f t="shared" si="334"/>
        <v>2</v>
      </c>
      <c r="Z182" s="166">
        <f t="shared" si="335"/>
        <v>0</v>
      </c>
      <c r="AA182" s="166">
        <f t="shared" si="336"/>
        <v>0</v>
      </c>
      <c r="AB182" s="166">
        <f t="shared" si="337"/>
        <v>0</v>
      </c>
      <c r="AC182" s="166" cm="1">
        <f t="array" ref="AC182">SUMPRODUCT(G182:AB182,$G$4:$AB$4)</f>
        <v>11840</v>
      </c>
      <c r="AD182" s="89" t="b">
        <f t="shared" si="338"/>
        <v>1</v>
      </c>
      <c r="AE182" s="386">
        <f>IFERROR(SUMIF(服务费底表!$K:$K,服务费明细!$B182,服务费底表!$AD:$AD)/E182,0)</f>
        <v>11840</v>
      </c>
      <c r="AF182" s="386">
        <f t="shared" si="313"/>
        <v>11840</v>
      </c>
      <c r="AG182" s="386">
        <f>IFERROR(SUMIF(服务费底表!$K:$K,服务费明细!$B182,服务费底表!$AG:$AG)/E182,0)</f>
        <v>11840</v>
      </c>
      <c r="AH182" s="386">
        <f t="shared" si="314"/>
        <v>11840</v>
      </c>
      <c r="AI182" s="409"/>
      <c r="AJ182" s="563">
        <f t="shared" si="315"/>
        <v>20</v>
      </c>
      <c r="AK182" s="564">
        <f>SUMIF(服务费底表!$K:$K,服务费明细!$B182,服务费底表!$AC:$AC)</f>
        <v>20</v>
      </c>
      <c r="AL182" s="166">
        <f>SUMIFS(服务费底表!$AC:$AC,服务费底表!$K:$K,服务费明细!$B182,服务费底表!$T:$T,AL$3)</f>
        <v>0</v>
      </c>
      <c r="AM182" s="166">
        <f>SUMIFS(服务费底表!$AC:$AC,服务费底表!$K:$K,服务费明细!$B182,服务费底表!$T:$T,AM$3)</f>
        <v>0</v>
      </c>
      <c r="AN182" s="166">
        <f>SUMIFS(服务费底表!$AC:$AC,服务费底表!$K:$K,服务费明细!$B182,服务费底表!$T:$T,AN$3)</f>
        <v>0</v>
      </c>
      <c r="AO182" s="166">
        <f>SUMIFS(服务费底表!$AC:$AC,服务费底表!$K:$K,服务费明细!$B182,服务费底表!$T:$T,AO$3)</f>
        <v>0</v>
      </c>
      <c r="AP182" s="166">
        <f>SUMIFS(服务费底表!$AC:$AC,服务费底表!$K:$K,服务费明细!$B182,服务费底表!$T:$T,AP$3)</f>
        <v>0</v>
      </c>
      <c r="AQ182" s="166">
        <f>SUMIFS(服务费底表!$AC:$AC,服务费底表!$K:$K,服务费明细!$B182,服务费底表!$T:$T,AQ$3)</f>
        <v>0</v>
      </c>
      <c r="AR182" s="166">
        <f>SUMIFS(服务费底表!$AC:$AC,服务费底表!$K:$K,服务费明细!$B182,服务费底表!$T:$T,AR$3)</f>
        <v>0</v>
      </c>
      <c r="AS182" s="166">
        <f>SUMIFS(服务费底表!$AC:$AC,服务费底表!$K:$K,服务费明细!$B182,服务费底表!$T:$T,AS$3)</f>
        <v>0</v>
      </c>
      <c r="AT182" s="166">
        <f>SUMIFS(服务费底表!$AC:$AC,服务费底表!$K:$K,服务费明细!$B182,服务费底表!$T:$T,AT$3)</f>
        <v>0</v>
      </c>
      <c r="AU182" s="166">
        <f>SUMIFS(服务费底表!$AC:$AC,服务费底表!$K:$K,服务费明细!$B182,服务费底表!$T:$T,AU$3)</f>
        <v>0</v>
      </c>
      <c r="AV182" s="166">
        <f>SUMIFS(服务费底表!$AC:$AC,服务费底表!$K:$K,服务费明细!$B182,服务费底表!$T:$T,AV$3)</f>
        <v>0</v>
      </c>
      <c r="AW182" s="166">
        <f>SUMIFS(服务费底表!$AC:$AC,服务费底表!$K:$K,服务费明细!$B182,服务费底表!$T:$T,AW$3)</f>
        <v>0</v>
      </c>
      <c r="AX182" s="166">
        <f>SUMIFS(服务费底表!$AC:$AC,服务费底表!$K:$K,服务费明细!$B182,服务费底表!$T:$T,AX$3)</f>
        <v>0</v>
      </c>
      <c r="AY182" s="166">
        <f>SUMIFS(服务费底表!$AC:$AC,服务费底表!$K:$K,服务费明细!$B182,服务费底表!$T:$T,AY$3)</f>
        <v>0</v>
      </c>
      <c r="AZ182" s="166">
        <f>SUMIFS(服务费底表!$AC:$AC,服务费底表!$K:$K,服务费明细!$B182,服务费底表!$T:$T,AZ$3)</f>
        <v>0</v>
      </c>
      <c r="BA182" s="166">
        <f>SUMIFS(服务费底表!$AC:$AC,服务费底表!$K:$K,服务费明细!$B182,服务费底表!$T:$T,BA$3)</f>
        <v>0</v>
      </c>
      <c r="BB182" s="166">
        <f>SUMIFS(服务费底表!$AC:$AC,服务费底表!$K:$K,服务费明细!$B182,服务费底表!$T:$T,BB$3)</f>
        <v>0</v>
      </c>
      <c r="BC182" s="166">
        <f>SUMIFS(服务费底表!$AC:$AC,服务费底表!$K:$K,服务费明细!$B182,服务费底表!$T:$T,BC$3)</f>
        <v>18</v>
      </c>
      <c r="BD182" s="166">
        <f>SUMIFS(服务费底表!$AC:$AC,服务费底表!$K:$K,服务费明细!$B182,服务费底表!$T:$T,BD$3)</f>
        <v>2</v>
      </c>
      <c r="BE182" s="166">
        <f>SUMIFS(服务费底表!$AC:$AC,服务费底表!$K:$K,服务费明细!$B182,服务费底表!$T:$T,BE$3)</f>
        <v>0</v>
      </c>
      <c r="BF182" s="166">
        <f>SUMIFS(服务费底表!$AC:$AC,服务费底表!$K:$K,服务费明细!$B182,服务费底表!$T:$T,BF$3)</f>
        <v>0</v>
      </c>
      <c r="BG182" s="166">
        <f>SUMIFS(服务费底表!$AC:$AC,服务费底表!$K:$K,服务费明细!$B182,服务费底表!$T:$T,BG$3)</f>
        <v>0</v>
      </c>
      <c r="BI182" s="388">
        <f>SUMIFS(服务费底表!$AC:$AC,服务费底表!$K:$K,服务费明细!$B182,服务费底表!$H:$H,服务费明细!BI$3)</f>
        <v>0</v>
      </c>
      <c r="BJ182" s="388">
        <f>SUMIFS(服务费底表!$AC:$AC,服务费底表!$K:$K,服务费明细!$B182,服务费底表!$H:$H,服务费明细!BJ$3)</f>
        <v>0</v>
      </c>
      <c r="BK182" s="388">
        <f>SUMIFS(服务费底表!$AC:$AC,服务费底表!$K:$K,服务费明细!$B182,服务费底表!$H:$H,服务费明细!BK$3)</f>
        <v>0</v>
      </c>
      <c r="BL182" s="388">
        <f>SUMIFS(服务费底表!$AC:$AC,服务费底表!$K:$K,服务费明细!$B182,服务费底表!$H:$H,服务费明细!BL$3)</f>
        <v>0</v>
      </c>
      <c r="BM182" s="388">
        <f>SUMIFS(服务费底表!$AC:$AC,服务费底表!$K:$K,服务费明细!$B182,服务费底表!$H:$H,服务费明细!BM$3)</f>
        <v>0</v>
      </c>
      <c r="BN182" s="388">
        <f>SUMIFS(服务费底表!$AC:$AC,服务费底表!$K:$K,服务费明细!$B182,服务费底表!$H:$H,服务费明细!BN$3)</f>
        <v>20</v>
      </c>
      <c r="BO182" s="388">
        <f>SUMIFS(服务费底表!$AC:$AC,服务费底表!$K:$K,服务费明细!$B182,服务费底表!$H:$H,服务费明细!BO$3)</f>
        <v>0</v>
      </c>
      <c r="BQ182" s="389">
        <f>SUMIFS(服务费底表!$AD:$AD,服务费底表!$K:$K,服务费明细!$B182,服务费底表!$H:$H,服务费明细!BQ$3)</f>
        <v>0</v>
      </c>
      <c r="BR182" s="389">
        <f>SUMIFS(服务费底表!$AD:$AD,服务费底表!$K:$K,服务费明细!$B182,服务费底表!$H:$H,服务费明细!BR$3)</f>
        <v>0</v>
      </c>
      <c r="BS182" s="389">
        <f>SUMIFS(服务费底表!$AD:$AD,服务费底表!$K:$K,服务费明细!$B182,服务费底表!$H:$H,服务费明细!BS$3)</f>
        <v>0</v>
      </c>
      <c r="BT182" s="389">
        <f>SUMIFS(服务费底表!$AD:$AD,服务费底表!$K:$K,服务费明细!$B182,服务费底表!$H:$H,服务费明细!BT$3)</f>
        <v>0</v>
      </c>
      <c r="BU182" s="389">
        <f>SUMIFS(服务费底表!$AD:$AD,服务费底表!$K:$K,服务费明细!$B182,服务费底表!$H:$H,服务费明细!BU$3)</f>
        <v>0</v>
      </c>
      <c r="BV182" s="389">
        <f>SUMIFS(服务费底表!$AD:$AD,服务费底表!$K:$K,服务费明细!$B182,服务费底表!$H:$H,服务费明细!BV$3)</f>
        <v>11840</v>
      </c>
      <c r="BW182" s="389">
        <f>SUMIFS(服务费底表!$AD:$AD,服务费底表!$K:$K,服务费明细!$B182,服务费底表!$H:$H,服务费明细!BW$3)</f>
        <v>0</v>
      </c>
    </row>
    <row r="183" spans="2:75">
      <c r="B183" s="89" t="s">
        <v>1102</v>
      </c>
      <c r="C183" s="89" t="str">
        <f>INDEX(二三级标准!$C:$C,MATCH(服务费明细!$B183,二三级标准!$B:$B,0))</f>
        <v>制定PK/PD TFLs模板</v>
      </c>
      <c r="D183" s="166">
        <f t="shared" si="339"/>
        <v>1</v>
      </c>
      <c r="E183" s="166">
        <f>IF($D183=1,独立PK表格+独立PK图表,0)</f>
        <v>10</v>
      </c>
      <c r="F183" s="89" t="str">
        <f>INDEX(二三级标准!$G:$G,MATCH(服务费明细!$B183,二三级标准!$B:$B,0))</f>
        <v>个</v>
      </c>
      <c r="G183" s="166">
        <f t="shared" si="316"/>
        <v>0</v>
      </c>
      <c r="H183" s="166">
        <f t="shared" si="317"/>
        <v>0</v>
      </c>
      <c r="I183" s="166">
        <f t="shared" si="318"/>
        <v>0</v>
      </c>
      <c r="J183" s="166">
        <f t="shared" si="319"/>
        <v>0</v>
      </c>
      <c r="K183" s="166">
        <f t="shared" si="320"/>
        <v>0</v>
      </c>
      <c r="L183" s="166">
        <f t="shared" si="321"/>
        <v>0</v>
      </c>
      <c r="M183" s="166">
        <f t="shared" si="322"/>
        <v>0</v>
      </c>
      <c r="N183" s="166">
        <f t="shared" si="323"/>
        <v>0</v>
      </c>
      <c r="O183" s="166">
        <f t="shared" si="324"/>
        <v>0</v>
      </c>
      <c r="P183" s="166">
        <f t="shared" si="325"/>
        <v>0</v>
      </c>
      <c r="Q183" s="166">
        <f t="shared" si="326"/>
        <v>0</v>
      </c>
      <c r="R183" s="166">
        <f t="shared" si="327"/>
        <v>0</v>
      </c>
      <c r="S183" s="166">
        <f t="shared" si="328"/>
        <v>0</v>
      </c>
      <c r="T183" s="166">
        <f t="shared" si="329"/>
        <v>0</v>
      </c>
      <c r="U183" s="166">
        <f t="shared" si="330"/>
        <v>0</v>
      </c>
      <c r="V183" s="166">
        <f t="shared" si="331"/>
        <v>0</v>
      </c>
      <c r="W183" s="166">
        <f t="shared" si="332"/>
        <v>0</v>
      </c>
      <c r="X183" s="166">
        <f t="shared" si="333"/>
        <v>4.5</v>
      </c>
      <c r="Y183" s="166">
        <f t="shared" si="334"/>
        <v>5</v>
      </c>
      <c r="Z183" s="166">
        <f t="shared" si="335"/>
        <v>0</v>
      </c>
      <c r="AA183" s="166">
        <f t="shared" si="336"/>
        <v>0</v>
      </c>
      <c r="AB183" s="166">
        <f t="shared" si="337"/>
        <v>0</v>
      </c>
      <c r="AC183" s="166" cm="1">
        <f t="array" ref="AC183">SUMPRODUCT(G183:AB183,$G$4:$AB$4)</f>
        <v>6110</v>
      </c>
      <c r="AD183" s="89" t="b">
        <f t="shared" si="338"/>
        <v>1</v>
      </c>
      <c r="AE183" s="386">
        <f>IFERROR(SUMIF(服务费底表!$K:$K,服务费明细!$B183,服务费底表!$AD:$AD)/E183,0)</f>
        <v>611</v>
      </c>
      <c r="AF183" s="386">
        <f t="shared" si="313"/>
        <v>6110</v>
      </c>
      <c r="AG183" s="386">
        <f>IFERROR(SUMIF(服务费底表!$K:$K,服务费明细!$B183,服务费底表!$AG:$AG)/E183,0)</f>
        <v>611</v>
      </c>
      <c r="AH183" s="386">
        <f t="shared" si="314"/>
        <v>6110</v>
      </c>
      <c r="AI183" s="409"/>
      <c r="AJ183" s="563">
        <f t="shared" si="315"/>
        <v>0.95</v>
      </c>
      <c r="AK183" s="564">
        <f>SUMIF(服务费底表!$K:$K,服务费明细!$B183,服务费底表!$AC:$AC)</f>
        <v>9.5</v>
      </c>
      <c r="AL183" s="166">
        <f>SUMIFS(服务费底表!$AC:$AC,服务费底表!$K:$K,服务费明细!$B183,服务费底表!$T:$T,AL$3)</f>
        <v>0</v>
      </c>
      <c r="AM183" s="166">
        <f>SUMIFS(服务费底表!$AC:$AC,服务费底表!$K:$K,服务费明细!$B183,服务费底表!$T:$T,AM$3)</f>
        <v>0</v>
      </c>
      <c r="AN183" s="166">
        <f>SUMIFS(服务费底表!$AC:$AC,服务费底表!$K:$K,服务费明细!$B183,服务费底表!$T:$T,AN$3)</f>
        <v>0</v>
      </c>
      <c r="AO183" s="166">
        <f>SUMIFS(服务费底表!$AC:$AC,服务费底表!$K:$K,服务费明细!$B183,服务费底表!$T:$T,AO$3)</f>
        <v>0</v>
      </c>
      <c r="AP183" s="166">
        <f>SUMIFS(服务费底表!$AC:$AC,服务费底表!$K:$K,服务费明细!$B183,服务费底表!$T:$T,AP$3)</f>
        <v>0</v>
      </c>
      <c r="AQ183" s="166">
        <f>SUMIFS(服务费底表!$AC:$AC,服务费底表!$K:$K,服务费明细!$B183,服务费底表!$T:$T,AQ$3)</f>
        <v>0</v>
      </c>
      <c r="AR183" s="166">
        <f>SUMIFS(服务费底表!$AC:$AC,服务费底表!$K:$K,服务费明细!$B183,服务费底表!$T:$T,AR$3)</f>
        <v>0</v>
      </c>
      <c r="AS183" s="166">
        <f>SUMIFS(服务费底表!$AC:$AC,服务费底表!$K:$K,服务费明细!$B183,服务费底表!$T:$T,AS$3)</f>
        <v>0</v>
      </c>
      <c r="AT183" s="166">
        <f>SUMIFS(服务费底表!$AC:$AC,服务费底表!$K:$K,服务费明细!$B183,服务费底表!$T:$T,AT$3)</f>
        <v>0</v>
      </c>
      <c r="AU183" s="166">
        <f>SUMIFS(服务费底表!$AC:$AC,服务费底表!$K:$K,服务费明细!$B183,服务费底表!$T:$T,AU$3)</f>
        <v>0</v>
      </c>
      <c r="AV183" s="166">
        <f>SUMIFS(服务费底表!$AC:$AC,服务费底表!$K:$K,服务费明细!$B183,服务费底表!$T:$T,AV$3)</f>
        <v>0</v>
      </c>
      <c r="AW183" s="166">
        <f>SUMIFS(服务费底表!$AC:$AC,服务费底表!$K:$K,服务费明细!$B183,服务费底表!$T:$T,AW$3)</f>
        <v>0</v>
      </c>
      <c r="AX183" s="166">
        <f>SUMIFS(服务费底表!$AC:$AC,服务费底表!$K:$K,服务费明细!$B183,服务费底表!$T:$T,AX$3)</f>
        <v>0</v>
      </c>
      <c r="AY183" s="166">
        <f>SUMIFS(服务费底表!$AC:$AC,服务费底表!$K:$K,服务费明细!$B183,服务费底表!$T:$T,AY$3)</f>
        <v>0</v>
      </c>
      <c r="AZ183" s="166">
        <f>SUMIFS(服务费底表!$AC:$AC,服务费底表!$K:$K,服务费明细!$B183,服务费底表!$T:$T,AZ$3)</f>
        <v>0</v>
      </c>
      <c r="BA183" s="166">
        <f>SUMIFS(服务费底表!$AC:$AC,服务费底表!$K:$K,服务费明细!$B183,服务费底表!$T:$T,BA$3)</f>
        <v>0</v>
      </c>
      <c r="BB183" s="166">
        <f>SUMIFS(服务费底表!$AC:$AC,服务费底表!$K:$K,服务费明细!$B183,服务费底表!$T:$T,BB$3)</f>
        <v>0</v>
      </c>
      <c r="BC183" s="166">
        <f>SUMIFS(服务费底表!$AC:$AC,服务费底表!$K:$K,服务费明细!$B183,服务费底表!$T:$T,BC$3)</f>
        <v>4.5</v>
      </c>
      <c r="BD183" s="166">
        <f>SUMIFS(服务费底表!$AC:$AC,服务费底表!$K:$K,服务费明细!$B183,服务费底表!$T:$T,BD$3)</f>
        <v>5</v>
      </c>
      <c r="BE183" s="166">
        <f>SUMIFS(服务费底表!$AC:$AC,服务费底表!$K:$K,服务费明细!$B183,服务费底表!$T:$T,BE$3)</f>
        <v>0</v>
      </c>
      <c r="BF183" s="166">
        <f>SUMIFS(服务费底表!$AC:$AC,服务费底表!$K:$K,服务费明细!$B183,服务费底表!$T:$T,BF$3)</f>
        <v>0</v>
      </c>
      <c r="BG183" s="166">
        <f>SUMIFS(服务费底表!$AC:$AC,服务费底表!$K:$K,服务费明细!$B183,服务费底表!$T:$T,BG$3)</f>
        <v>0</v>
      </c>
      <c r="BI183" s="388">
        <f>SUMIFS(服务费底表!$AC:$AC,服务费底表!$K:$K,服务费明细!$B183,服务费底表!$H:$H,服务费明细!BI$3)</f>
        <v>0</v>
      </c>
      <c r="BJ183" s="388">
        <f>SUMIFS(服务费底表!$AC:$AC,服务费底表!$K:$K,服务费明细!$B183,服务费底表!$H:$H,服务费明细!BJ$3)</f>
        <v>0</v>
      </c>
      <c r="BK183" s="388">
        <f>SUMIFS(服务费底表!$AC:$AC,服务费底表!$K:$K,服务费明细!$B183,服务费底表!$H:$H,服务费明细!BK$3)</f>
        <v>0</v>
      </c>
      <c r="BL183" s="388">
        <f>SUMIFS(服务费底表!$AC:$AC,服务费底表!$K:$K,服务费明细!$B183,服务费底表!$H:$H,服务费明细!BL$3)</f>
        <v>0</v>
      </c>
      <c r="BM183" s="388">
        <f>SUMIFS(服务费底表!$AC:$AC,服务费底表!$K:$K,服务费明细!$B183,服务费底表!$H:$H,服务费明细!BM$3)</f>
        <v>0</v>
      </c>
      <c r="BN183" s="388">
        <f>SUMIFS(服务费底表!$AC:$AC,服务费底表!$K:$K,服务费明细!$B183,服务费底表!$H:$H,服务费明细!BN$3)</f>
        <v>9.5</v>
      </c>
      <c r="BO183" s="388">
        <f>SUMIFS(服务费底表!$AC:$AC,服务费底表!$K:$K,服务费明细!$B183,服务费底表!$H:$H,服务费明细!BO$3)</f>
        <v>0</v>
      </c>
      <c r="BQ183" s="389">
        <f>SUMIFS(服务费底表!$AD:$AD,服务费底表!$K:$K,服务费明细!$B183,服务费底表!$H:$H,服务费明细!BQ$3)</f>
        <v>0</v>
      </c>
      <c r="BR183" s="389">
        <f>SUMIFS(服务费底表!$AD:$AD,服务费底表!$K:$K,服务费明细!$B183,服务费底表!$H:$H,服务费明细!BR$3)</f>
        <v>0</v>
      </c>
      <c r="BS183" s="389">
        <f>SUMIFS(服务费底表!$AD:$AD,服务费底表!$K:$K,服务费明细!$B183,服务费底表!$H:$H,服务费明细!BS$3)</f>
        <v>0</v>
      </c>
      <c r="BT183" s="389">
        <f>SUMIFS(服务费底表!$AD:$AD,服务费底表!$K:$K,服务费明细!$B183,服务费底表!$H:$H,服务费明细!BT$3)</f>
        <v>0</v>
      </c>
      <c r="BU183" s="389">
        <f>SUMIFS(服务费底表!$AD:$AD,服务费底表!$K:$K,服务费明细!$B183,服务费底表!$H:$H,服务费明细!BU$3)</f>
        <v>0</v>
      </c>
      <c r="BV183" s="389">
        <f>SUMIFS(服务费底表!$AD:$AD,服务费底表!$K:$K,服务费明细!$B183,服务费底表!$H:$H,服务费明细!BV$3)</f>
        <v>6110</v>
      </c>
      <c r="BW183" s="389">
        <f>SUMIFS(服务费底表!$AD:$AD,服务费底表!$K:$K,服务费明细!$B183,服务费底表!$H:$H,服务费明细!BW$3)</f>
        <v>0</v>
      </c>
    </row>
    <row r="184" spans="2:75">
      <c r="B184" s="89" t="s">
        <v>353</v>
      </c>
      <c r="C184" s="89" t="str">
        <f>INDEX(二三级标准!$C:$C,MATCH(服务费明细!$B184,二三级标准!$B:$B,0))</f>
        <v>PK分析</v>
      </c>
      <c r="D184" s="166">
        <f t="shared" si="339"/>
        <v>1</v>
      </c>
      <c r="E184" s="166">
        <f>IF($D184=1,SRC会议次数,0)</f>
        <v>6</v>
      </c>
      <c r="F184" s="89" t="str">
        <f>INDEX(二三级标准!$G:$G,MATCH(服务费明细!$B184,二三级标准!$B:$B,0))</f>
        <v>次</v>
      </c>
      <c r="G184" s="166">
        <f t="shared" si="316"/>
        <v>0</v>
      </c>
      <c r="H184" s="166">
        <f t="shared" si="317"/>
        <v>0</v>
      </c>
      <c r="I184" s="166">
        <f t="shared" si="318"/>
        <v>0</v>
      </c>
      <c r="J184" s="166">
        <f t="shared" si="319"/>
        <v>0</v>
      </c>
      <c r="K184" s="166">
        <f t="shared" si="320"/>
        <v>0</v>
      </c>
      <c r="L184" s="166">
        <f t="shared" si="321"/>
        <v>0</v>
      </c>
      <c r="M184" s="166">
        <f t="shared" si="322"/>
        <v>0</v>
      </c>
      <c r="N184" s="166">
        <f t="shared" si="323"/>
        <v>0</v>
      </c>
      <c r="O184" s="166">
        <f t="shared" si="324"/>
        <v>0</v>
      </c>
      <c r="P184" s="166">
        <f t="shared" si="325"/>
        <v>0</v>
      </c>
      <c r="Q184" s="166">
        <f t="shared" si="326"/>
        <v>0</v>
      </c>
      <c r="R184" s="166">
        <f t="shared" si="327"/>
        <v>0</v>
      </c>
      <c r="S184" s="166">
        <f t="shared" si="328"/>
        <v>0</v>
      </c>
      <c r="T184" s="166">
        <f t="shared" si="329"/>
        <v>0</v>
      </c>
      <c r="U184" s="166">
        <f t="shared" si="330"/>
        <v>0</v>
      </c>
      <c r="V184" s="166">
        <f t="shared" si="331"/>
        <v>0</v>
      </c>
      <c r="W184" s="166">
        <f t="shared" si="332"/>
        <v>0</v>
      </c>
      <c r="X184" s="166">
        <f t="shared" si="333"/>
        <v>78</v>
      </c>
      <c r="Y184" s="166">
        <f t="shared" si="334"/>
        <v>18</v>
      </c>
      <c r="Z184" s="166">
        <f t="shared" si="335"/>
        <v>0</v>
      </c>
      <c r="AA184" s="166">
        <f t="shared" si="336"/>
        <v>0</v>
      </c>
      <c r="AB184" s="166">
        <f t="shared" si="337"/>
        <v>0</v>
      </c>
      <c r="AC184" s="166" cm="1">
        <f t="array" ref="AC184">SUMPRODUCT(G184:AB184,$G$4:$AB$4)</f>
        <v>57840</v>
      </c>
      <c r="AD184" s="89" t="b">
        <f t="shared" si="338"/>
        <v>1</v>
      </c>
      <c r="AE184" s="386">
        <f>IFERROR(SUMIF(服务费底表!$K:$K,服务费明细!$B184,服务费底表!$AD:$AD)/E184,0)</f>
        <v>9640</v>
      </c>
      <c r="AF184" s="386">
        <f t="shared" ref="AF184:AF190" si="340">E184*AE184</f>
        <v>57840</v>
      </c>
      <c r="AG184" s="386">
        <f>IFERROR(SUMIF(服务费底表!$K:$K,服务费明细!$B184,服务费底表!$AG:$AG)/E184,0)</f>
        <v>9640</v>
      </c>
      <c r="AH184" s="386">
        <f t="shared" si="314"/>
        <v>57840</v>
      </c>
      <c r="AI184" s="409" t="s">
        <v>1103</v>
      </c>
      <c r="AJ184" s="563">
        <f t="shared" si="315"/>
        <v>16</v>
      </c>
      <c r="AK184" s="564">
        <f>SUMIF(服务费底表!$K:$K,服务费明细!$B184,服务费底表!$AC:$AC)</f>
        <v>96</v>
      </c>
      <c r="AL184" s="166">
        <f>SUMIFS(服务费底表!$AC:$AC,服务费底表!$K:$K,服务费明细!$B184,服务费底表!$T:$T,AL$3)</f>
        <v>0</v>
      </c>
      <c r="AM184" s="166">
        <f>SUMIFS(服务费底表!$AC:$AC,服务费底表!$K:$K,服务费明细!$B184,服务费底表!$T:$T,AM$3)</f>
        <v>0</v>
      </c>
      <c r="AN184" s="166">
        <f>SUMIFS(服务费底表!$AC:$AC,服务费底表!$K:$K,服务费明细!$B184,服务费底表!$T:$T,AN$3)</f>
        <v>0</v>
      </c>
      <c r="AO184" s="166">
        <f>SUMIFS(服务费底表!$AC:$AC,服务费底表!$K:$K,服务费明细!$B184,服务费底表!$T:$T,AO$3)</f>
        <v>0</v>
      </c>
      <c r="AP184" s="166">
        <f>SUMIFS(服务费底表!$AC:$AC,服务费底表!$K:$K,服务费明细!$B184,服务费底表!$T:$T,AP$3)</f>
        <v>0</v>
      </c>
      <c r="AQ184" s="166">
        <f>SUMIFS(服务费底表!$AC:$AC,服务费底表!$K:$K,服务费明细!$B184,服务费底表!$T:$T,AQ$3)</f>
        <v>0</v>
      </c>
      <c r="AR184" s="166">
        <f>SUMIFS(服务费底表!$AC:$AC,服务费底表!$K:$K,服务费明细!$B184,服务费底表!$T:$T,AR$3)</f>
        <v>0</v>
      </c>
      <c r="AS184" s="166">
        <f>SUMIFS(服务费底表!$AC:$AC,服务费底表!$K:$K,服务费明细!$B184,服务费底表!$T:$T,AS$3)</f>
        <v>0</v>
      </c>
      <c r="AT184" s="166">
        <f>SUMIFS(服务费底表!$AC:$AC,服务费底表!$K:$K,服务费明细!$B184,服务费底表!$T:$T,AT$3)</f>
        <v>0</v>
      </c>
      <c r="AU184" s="166">
        <f>SUMIFS(服务费底表!$AC:$AC,服务费底表!$K:$K,服务费明细!$B184,服务费底表!$T:$T,AU$3)</f>
        <v>0</v>
      </c>
      <c r="AV184" s="166">
        <f>SUMIFS(服务费底表!$AC:$AC,服务费底表!$K:$K,服务费明细!$B184,服务费底表!$T:$T,AV$3)</f>
        <v>0</v>
      </c>
      <c r="AW184" s="166">
        <f>SUMIFS(服务费底表!$AC:$AC,服务费底表!$K:$K,服务费明细!$B184,服务费底表!$T:$T,AW$3)</f>
        <v>0</v>
      </c>
      <c r="AX184" s="166">
        <f>SUMIFS(服务费底表!$AC:$AC,服务费底表!$K:$K,服务费明细!$B184,服务费底表!$T:$T,AX$3)</f>
        <v>0</v>
      </c>
      <c r="AY184" s="166">
        <f>SUMIFS(服务费底表!$AC:$AC,服务费底表!$K:$K,服务费明细!$B184,服务费底表!$T:$T,AY$3)</f>
        <v>0</v>
      </c>
      <c r="AZ184" s="166">
        <f>SUMIFS(服务费底表!$AC:$AC,服务费底表!$K:$K,服务费明细!$B184,服务费底表!$T:$T,AZ$3)</f>
        <v>0</v>
      </c>
      <c r="BA184" s="166">
        <f>SUMIFS(服务费底表!$AC:$AC,服务费底表!$K:$K,服务费明细!$B184,服务费底表!$T:$T,BA$3)</f>
        <v>0</v>
      </c>
      <c r="BB184" s="166">
        <f>SUMIFS(服务费底表!$AC:$AC,服务费底表!$K:$K,服务费明细!$B184,服务费底表!$T:$T,BB$3)</f>
        <v>0</v>
      </c>
      <c r="BC184" s="166">
        <f>SUMIFS(服务费底表!$AC:$AC,服务费底表!$K:$K,服务费明细!$B184,服务费底表!$T:$T,BC$3)</f>
        <v>78</v>
      </c>
      <c r="BD184" s="166">
        <f>SUMIFS(服务费底表!$AC:$AC,服务费底表!$K:$K,服务费明细!$B184,服务费底表!$T:$T,BD$3)</f>
        <v>18</v>
      </c>
      <c r="BE184" s="166">
        <f>SUMIFS(服务费底表!$AC:$AC,服务费底表!$K:$K,服务费明细!$B184,服务费底表!$T:$T,BE$3)</f>
        <v>0</v>
      </c>
      <c r="BF184" s="166">
        <f>SUMIFS(服务费底表!$AC:$AC,服务费底表!$K:$K,服务费明细!$B184,服务费底表!$T:$T,BF$3)</f>
        <v>0</v>
      </c>
      <c r="BG184" s="166">
        <f>SUMIFS(服务费底表!$AC:$AC,服务费底表!$K:$K,服务费明细!$B184,服务费底表!$T:$T,BG$3)</f>
        <v>0</v>
      </c>
      <c r="BI184" s="388">
        <f>SUMIFS(服务费底表!$AC:$AC,服务费底表!$K:$K,服务费明细!$B184,服务费底表!$H:$H,服务费明细!BI$3)</f>
        <v>0</v>
      </c>
      <c r="BJ184" s="388">
        <f>SUMIFS(服务费底表!$AC:$AC,服务费底表!$K:$K,服务费明细!$B184,服务费底表!$H:$H,服务费明细!BJ$3)</f>
        <v>0</v>
      </c>
      <c r="BK184" s="388">
        <f>SUMIFS(服务费底表!$AC:$AC,服务费底表!$K:$K,服务费明细!$B184,服务费底表!$H:$H,服务费明细!BK$3)</f>
        <v>0</v>
      </c>
      <c r="BL184" s="388">
        <f>SUMIFS(服务费底表!$AC:$AC,服务费底表!$K:$K,服务费明细!$B184,服务费底表!$H:$H,服务费明细!BL$3)</f>
        <v>0</v>
      </c>
      <c r="BM184" s="388">
        <f>SUMIFS(服务费底表!$AC:$AC,服务费底表!$K:$K,服务费明细!$B184,服务费底表!$H:$H,服务费明细!BM$3)</f>
        <v>0</v>
      </c>
      <c r="BN184" s="388">
        <f>SUMIFS(服务费底表!$AC:$AC,服务费底表!$K:$K,服务费明细!$B184,服务费底表!$H:$H,服务费明细!BN$3)</f>
        <v>96</v>
      </c>
      <c r="BO184" s="388">
        <f>SUMIFS(服务费底表!$AC:$AC,服务费底表!$K:$K,服务费明细!$B184,服务费底表!$H:$H,服务费明细!BO$3)</f>
        <v>0</v>
      </c>
      <c r="BQ184" s="389">
        <f>SUMIFS(服务费底表!$AD:$AD,服务费底表!$K:$K,服务费明细!$B184,服务费底表!$H:$H,服务费明细!BQ$3)</f>
        <v>0</v>
      </c>
      <c r="BR184" s="389">
        <f>SUMIFS(服务费底表!$AD:$AD,服务费底表!$K:$K,服务费明细!$B184,服务费底表!$H:$H,服务费明细!BR$3)</f>
        <v>0</v>
      </c>
      <c r="BS184" s="389">
        <f>SUMIFS(服务费底表!$AD:$AD,服务费底表!$K:$K,服务费明细!$B184,服务费底表!$H:$H,服务费明细!BS$3)</f>
        <v>0</v>
      </c>
      <c r="BT184" s="389">
        <f>SUMIFS(服务费底表!$AD:$AD,服务费底表!$K:$K,服务费明细!$B184,服务费底表!$H:$H,服务费明细!BT$3)</f>
        <v>0</v>
      </c>
      <c r="BU184" s="389">
        <f>SUMIFS(服务费底表!$AD:$AD,服务费底表!$K:$K,服务费明细!$B184,服务费底表!$H:$H,服务费明细!BU$3)</f>
        <v>0</v>
      </c>
      <c r="BV184" s="389">
        <f>SUMIFS(服务费底表!$AD:$AD,服务费底表!$K:$K,服务费明细!$B184,服务费底表!$H:$H,服务费明细!BV$3)</f>
        <v>57840</v>
      </c>
      <c r="BW184" s="389">
        <f>SUMIFS(服务费底表!$AD:$AD,服务费底表!$K:$K,服务费明细!$B184,服务费底表!$H:$H,服务费明细!BW$3)</f>
        <v>0</v>
      </c>
    </row>
    <row r="185" spans="2:75">
      <c r="B185" s="89" t="s">
        <v>1104</v>
      </c>
      <c r="C185" s="89" t="str">
        <f>INDEX(二三级标准!$C:$C,MATCH(服务费明细!$B185,二三级标准!$B:$B,0))</f>
        <v>PD分析</v>
      </c>
      <c r="D185" s="166">
        <f t="shared" si="339"/>
        <v>1</v>
      </c>
      <c r="E185" s="166">
        <f>IF($D185=1,SRC会议次数,0)</f>
        <v>6</v>
      </c>
      <c r="F185" s="89" t="str">
        <f>INDEX(二三级标准!$G:$G,MATCH(服务费明细!$B185,二三级标准!$B:$B,0))</f>
        <v>次</v>
      </c>
      <c r="G185" s="166">
        <f t="shared" si="316"/>
        <v>0</v>
      </c>
      <c r="H185" s="166">
        <f t="shared" si="317"/>
        <v>0</v>
      </c>
      <c r="I185" s="166">
        <f t="shared" si="318"/>
        <v>0</v>
      </c>
      <c r="J185" s="166">
        <f t="shared" si="319"/>
        <v>0</v>
      </c>
      <c r="K185" s="166">
        <f t="shared" si="320"/>
        <v>0</v>
      </c>
      <c r="L185" s="166">
        <f t="shared" si="321"/>
        <v>0</v>
      </c>
      <c r="M185" s="166">
        <f t="shared" si="322"/>
        <v>0</v>
      </c>
      <c r="N185" s="166">
        <f t="shared" si="323"/>
        <v>0</v>
      </c>
      <c r="O185" s="166">
        <f t="shared" si="324"/>
        <v>0</v>
      </c>
      <c r="P185" s="166">
        <f t="shared" si="325"/>
        <v>0</v>
      </c>
      <c r="Q185" s="166">
        <f t="shared" si="326"/>
        <v>0</v>
      </c>
      <c r="R185" s="166">
        <f t="shared" si="327"/>
        <v>0</v>
      </c>
      <c r="S185" s="166">
        <f t="shared" si="328"/>
        <v>0</v>
      </c>
      <c r="T185" s="166">
        <f t="shared" si="329"/>
        <v>0</v>
      </c>
      <c r="U185" s="166">
        <f t="shared" si="330"/>
        <v>0</v>
      </c>
      <c r="V185" s="166">
        <f t="shared" si="331"/>
        <v>0</v>
      </c>
      <c r="W185" s="166">
        <f t="shared" si="332"/>
        <v>0</v>
      </c>
      <c r="X185" s="166">
        <f t="shared" si="333"/>
        <v>18</v>
      </c>
      <c r="Y185" s="166">
        <f t="shared" si="334"/>
        <v>12</v>
      </c>
      <c r="Z185" s="166">
        <f t="shared" si="335"/>
        <v>0</v>
      </c>
      <c r="AA185" s="166">
        <f t="shared" si="336"/>
        <v>0</v>
      </c>
      <c r="AB185" s="166">
        <f t="shared" si="337"/>
        <v>0</v>
      </c>
      <c r="AC185" s="166" cm="1">
        <f t="array" ref="AC185">SUMPRODUCT(G185:AB185,$G$4:$AB$4)</f>
        <v>18840</v>
      </c>
      <c r="AD185" s="89" t="b">
        <f t="shared" si="338"/>
        <v>1</v>
      </c>
      <c r="AE185" s="386">
        <f>IFERROR(SUMIF(服务费底表!$K:$K,服务费明细!$B185,服务费底表!$AD:$AD)/E185,0)</f>
        <v>3140</v>
      </c>
      <c r="AF185" s="386">
        <f t="shared" si="340"/>
        <v>18840</v>
      </c>
      <c r="AG185" s="386">
        <f>IFERROR(SUMIF(服务费底表!$K:$K,服务费明细!$B185,服务费底表!$AG:$AG)/E185,0)</f>
        <v>3140</v>
      </c>
      <c r="AH185" s="386">
        <f t="shared" si="314"/>
        <v>18840</v>
      </c>
      <c r="AI185" s="409" t="s">
        <v>1105</v>
      </c>
      <c r="AJ185" s="563">
        <f t="shared" si="315"/>
        <v>5</v>
      </c>
      <c r="AK185" s="564">
        <f>SUMIF(服务费底表!$K:$K,服务费明细!$B185,服务费底表!$AC:$AC)</f>
        <v>30</v>
      </c>
      <c r="AL185" s="166">
        <f>SUMIFS(服务费底表!$AC:$AC,服务费底表!$K:$K,服务费明细!$B185,服务费底表!$T:$T,AL$3)</f>
        <v>0</v>
      </c>
      <c r="AM185" s="166">
        <f>SUMIFS(服务费底表!$AC:$AC,服务费底表!$K:$K,服务费明细!$B185,服务费底表!$T:$T,AM$3)</f>
        <v>0</v>
      </c>
      <c r="AN185" s="166">
        <f>SUMIFS(服务费底表!$AC:$AC,服务费底表!$K:$K,服务费明细!$B185,服务费底表!$T:$T,AN$3)</f>
        <v>0</v>
      </c>
      <c r="AO185" s="166">
        <f>SUMIFS(服务费底表!$AC:$AC,服务费底表!$K:$K,服务费明细!$B185,服务费底表!$T:$T,AO$3)</f>
        <v>0</v>
      </c>
      <c r="AP185" s="166">
        <f>SUMIFS(服务费底表!$AC:$AC,服务费底表!$K:$K,服务费明细!$B185,服务费底表!$T:$T,AP$3)</f>
        <v>0</v>
      </c>
      <c r="AQ185" s="166">
        <f>SUMIFS(服务费底表!$AC:$AC,服务费底表!$K:$K,服务费明细!$B185,服务费底表!$T:$T,AQ$3)</f>
        <v>0</v>
      </c>
      <c r="AR185" s="166">
        <f>SUMIFS(服务费底表!$AC:$AC,服务费底表!$K:$K,服务费明细!$B185,服务费底表!$T:$T,AR$3)</f>
        <v>0</v>
      </c>
      <c r="AS185" s="166">
        <f>SUMIFS(服务费底表!$AC:$AC,服务费底表!$K:$K,服务费明细!$B185,服务费底表!$T:$T,AS$3)</f>
        <v>0</v>
      </c>
      <c r="AT185" s="166">
        <f>SUMIFS(服务费底表!$AC:$AC,服务费底表!$K:$K,服务费明细!$B185,服务费底表!$T:$T,AT$3)</f>
        <v>0</v>
      </c>
      <c r="AU185" s="166">
        <f>SUMIFS(服务费底表!$AC:$AC,服务费底表!$K:$K,服务费明细!$B185,服务费底表!$T:$T,AU$3)</f>
        <v>0</v>
      </c>
      <c r="AV185" s="166">
        <f>SUMIFS(服务费底表!$AC:$AC,服务费底表!$K:$K,服务费明细!$B185,服务费底表!$T:$T,AV$3)</f>
        <v>0</v>
      </c>
      <c r="AW185" s="166">
        <f>SUMIFS(服务费底表!$AC:$AC,服务费底表!$K:$K,服务费明细!$B185,服务费底表!$T:$T,AW$3)</f>
        <v>0</v>
      </c>
      <c r="AX185" s="166">
        <f>SUMIFS(服务费底表!$AC:$AC,服务费底表!$K:$K,服务费明细!$B185,服务费底表!$T:$T,AX$3)</f>
        <v>0</v>
      </c>
      <c r="AY185" s="166">
        <f>SUMIFS(服务费底表!$AC:$AC,服务费底表!$K:$K,服务费明细!$B185,服务费底表!$T:$T,AY$3)</f>
        <v>0</v>
      </c>
      <c r="AZ185" s="166">
        <f>SUMIFS(服务费底表!$AC:$AC,服务费底表!$K:$K,服务费明细!$B185,服务费底表!$T:$T,AZ$3)</f>
        <v>0</v>
      </c>
      <c r="BA185" s="166">
        <f>SUMIFS(服务费底表!$AC:$AC,服务费底表!$K:$K,服务费明细!$B185,服务费底表!$T:$T,BA$3)</f>
        <v>0</v>
      </c>
      <c r="BB185" s="166">
        <f>SUMIFS(服务费底表!$AC:$AC,服务费底表!$K:$K,服务费明细!$B185,服务费底表!$T:$T,BB$3)</f>
        <v>0</v>
      </c>
      <c r="BC185" s="166">
        <f>SUMIFS(服务费底表!$AC:$AC,服务费底表!$K:$K,服务费明细!$B185,服务费底表!$T:$T,BC$3)</f>
        <v>18</v>
      </c>
      <c r="BD185" s="166">
        <f>SUMIFS(服务费底表!$AC:$AC,服务费底表!$K:$K,服务费明细!$B185,服务费底表!$T:$T,BD$3)</f>
        <v>12</v>
      </c>
      <c r="BE185" s="166">
        <f>SUMIFS(服务费底表!$AC:$AC,服务费底表!$K:$K,服务费明细!$B185,服务费底表!$T:$T,BE$3)</f>
        <v>0</v>
      </c>
      <c r="BF185" s="166">
        <f>SUMIFS(服务费底表!$AC:$AC,服务费底表!$K:$K,服务费明细!$B185,服务费底表!$T:$T,BF$3)</f>
        <v>0</v>
      </c>
      <c r="BG185" s="166">
        <f>SUMIFS(服务费底表!$AC:$AC,服务费底表!$K:$K,服务费明细!$B185,服务费底表!$T:$T,BG$3)</f>
        <v>0</v>
      </c>
      <c r="BI185" s="388">
        <f>SUMIFS(服务费底表!$AC:$AC,服务费底表!$K:$K,服务费明细!$B185,服务费底表!$H:$H,服务费明细!BI$3)</f>
        <v>0</v>
      </c>
      <c r="BJ185" s="388">
        <f>SUMIFS(服务费底表!$AC:$AC,服务费底表!$K:$K,服务费明细!$B185,服务费底表!$H:$H,服务费明细!BJ$3)</f>
        <v>0</v>
      </c>
      <c r="BK185" s="388">
        <f>SUMIFS(服务费底表!$AC:$AC,服务费底表!$K:$K,服务费明细!$B185,服务费底表!$H:$H,服务费明细!BK$3)</f>
        <v>0</v>
      </c>
      <c r="BL185" s="388">
        <f>SUMIFS(服务费底表!$AC:$AC,服务费底表!$K:$K,服务费明细!$B185,服务费底表!$H:$H,服务费明细!BL$3)</f>
        <v>0</v>
      </c>
      <c r="BM185" s="388">
        <f>SUMIFS(服务费底表!$AC:$AC,服务费底表!$K:$K,服务费明细!$B185,服务费底表!$H:$H,服务费明细!BM$3)</f>
        <v>0</v>
      </c>
      <c r="BN185" s="388">
        <f>SUMIFS(服务费底表!$AC:$AC,服务费底表!$K:$K,服务费明细!$B185,服务费底表!$H:$H,服务费明细!BN$3)</f>
        <v>30</v>
      </c>
      <c r="BO185" s="388">
        <f>SUMIFS(服务费底表!$AC:$AC,服务费底表!$K:$K,服务费明细!$B185,服务费底表!$H:$H,服务费明细!BO$3)</f>
        <v>0</v>
      </c>
      <c r="BQ185" s="389">
        <f>SUMIFS(服务费底表!$AD:$AD,服务费底表!$K:$K,服务费明细!$B185,服务费底表!$H:$H,服务费明细!BQ$3)</f>
        <v>0</v>
      </c>
      <c r="BR185" s="389">
        <f>SUMIFS(服务费底表!$AD:$AD,服务费底表!$K:$K,服务费明细!$B185,服务费底表!$H:$H,服务费明细!BR$3)</f>
        <v>0</v>
      </c>
      <c r="BS185" s="389">
        <f>SUMIFS(服务费底表!$AD:$AD,服务费底表!$K:$K,服务费明细!$B185,服务费底表!$H:$H,服务费明细!BS$3)</f>
        <v>0</v>
      </c>
      <c r="BT185" s="389">
        <f>SUMIFS(服务费底表!$AD:$AD,服务费底表!$K:$K,服务费明细!$B185,服务费底表!$H:$H,服务费明细!BT$3)</f>
        <v>0</v>
      </c>
      <c r="BU185" s="389">
        <f>SUMIFS(服务费底表!$AD:$AD,服务费底表!$K:$K,服务费明细!$B185,服务费底表!$H:$H,服务费明细!BU$3)</f>
        <v>0</v>
      </c>
      <c r="BV185" s="389">
        <f>SUMIFS(服务费底表!$AD:$AD,服务费底表!$K:$K,服务费明细!$B185,服务费底表!$H:$H,服务费明细!BV$3)</f>
        <v>18840</v>
      </c>
      <c r="BW185" s="389">
        <f>SUMIFS(服务费底表!$AD:$AD,服务费底表!$K:$K,服务费明细!$B185,服务费底表!$H:$H,服务费明细!BW$3)</f>
        <v>0</v>
      </c>
    </row>
    <row r="186" spans="2:75">
      <c r="B186" s="89" t="s">
        <v>1106</v>
      </c>
      <c r="C186" s="89" t="str">
        <f>INDEX(二三级标准!$C:$C,MATCH(服务费明细!$B186,二三级标准!$B:$B,0))</f>
        <v>PK/PD相关性分析</v>
      </c>
      <c r="D186" s="166">
        <v>0</v>
      </c>
      <c r="E186" s="166">
        <f>IF($D186=1,SRC会议次数,0)</f>
        <v>0</v>
      </c>
      <c r="F186" s="89" t="str">
        <f>INDEX(二三级标准!$G:$G,MATCH(服务费明细!$B186,二三级标准!$B:$B,0))</f>
        <v>次</v>
      </c>
      <c r="G186" s="166">
        <f t="shared" si="316"/>
        <v>0</v>
      </c>
      <c r="H186" s="166">
        <f t="shared" si="317"/>
        <v>0</v>
      </c>
      <c r="I186" s="166">
        <f t="shared" si="318"/>
        <v>0</v>
      </c>
      <c r="J186" s="166">
        <f t="shared" si="319"/>
        <v>0</v>
      </c>
      <c r="K186" s="166">
        <f t="shared" si="320"/>
        <v>0</v>
      </c>
      <c r="L186" s="166">
        <f t="shared" si="321"/>
        <v>0</v>
      </c>
      <c r="M186" s="166">
        <f t="shared" si="322"/>
        <v>0</v>
      </c>
      <c r="N186" s="166">
        <f t="shared" si="323"/>
        <v>0</v>
      </c>
      <c r="O186" s="166">
        <f t="shared" si="324"/>
        <v>0</v>
      </c>
      <c r="P186" s="166">
        <f t="shared" si="325"/>
        <v>0</v>
      </c>
      <c r="Q186" s="166">
        <f t="shared" si="326"/>
        <v>0</v>
      </c>
      <c r="R186" s="166">
        <f t="shared" si="327"/>
        <v>0</v>
      </c>
      <c r="S186" s="166">
        <f t="shared" si="328"/>
        <v>0</v>
      </c>
      <c r="T186" s="166">
        <f t="shared" si="329"/>
        <v>0</v>
      </c>
      <c r="U186" s="166">
        <f t="shared" si="330"/>
        <v>0</v>
      </c>
      <c r="V186" s="166">
        <f t="shared" si="331"/>
        <v>0</v>
      </c>
      <c r="W186" s="166">
        <f t="shared" si="332"/>
        <v>0</v>
      </c>
      <c r="X186" s="166">
        <f t="shared" si="333"/>
        <v>0</v>
      </c>
      <c r="Y186" s="166">
        <f t="shared" si="334"/>
        <v>0</v>
      </c>
      <c r="Z186" s="166">
        <f t="shared" si="335"/>
        <v>0</v>
      </c>
      <c r="AA186" s="166">
        <f t="shared" si="336"/>
        <v>0</v>
      </c>
      <c r="AB186" s="166">
        <f t="shared" si="337"/>
        <v>0</v>
      </c>
      <c r="AC186" s="166" cm="1">
        <f t="array" ref="AC186">SUMPRODUCT(G186:AB186,$G$4:$AB$4)</f>
        <v>0</v>
      </c>
      <c r="AD186" s="89" t="b">
        <f t="shared" si="338"/>
        <v>1</v>
      </c>
      <c r="AE186" s="386">
        <f>IFERROR(SUMIF(服务费底表!$K:$K,服务费明细!$B186,服务费底表!$AD:$AD)/E186,0)</f>
        <v>0</v>
      </c>
      <c r="AF186" s="386">
        <f t="shared" si="340"/>
        <v>0</v>
      </c>
      <c r="AG186" s="386">
        <f>IFERROR(SUMIF(服务费底表!$K:$K,服务费明细!$B186,服务费底表!$AG:$AG)/E186,0)</f>
        <v>0</v>
      </c>
      <c r="AH186" s="386">
        <f t="shared" si="314"/>
        <v>0</v>
      </c>
      <c r="AI186" s="409"/>
      <c r="AJ186" s="563">
        <f t="shared" ref="AJ186:AJ203" si="341">IF(D186=1,AK186/E186,0)</f>
        <v>0</v>
      </c>
      <c r="AK186" s="564">
        <f>SUMIF(服务费底表!$K:$K,服务费明细!$B186,服务费底表!$AC:$AC)</f>
        <v>0</v>
      </c>
      <c r="AL186" s="166">
        <f>SUMIFS(服务费底表!$AC:$AC,服务费底表!$K:$K,服务费明细!$B186,服务费底表!$T:$T,AL$3)</f>
        <v>0</v>
      </c>
      <c r="AM186" s="166">
        <f>SUMIFS(服务费底表!$AC:$AC,服务费底表!$K:$K,服务费明细!$B186,服务费底表!$T:$T,AM$3)</f>
        <v>0</v>
      </c>
      <c r="AN186" s="166">
        <f>SUMIFS(服务费底表!$AC:$AC,服务费底表!$K:$K,服务费明细!$B186,服务费底表!$T:$T,AN$3)</f>
        <v>0</v>
      </c>
      <c r="AO186" s="166">
        <f>SUMIFS(服务费底表!$AC:$AC,服务费底表!$K:$K,服务费明细!$B186,服务费底表!$T:$T,AO$3)</f>
        <v>0</v>
      </c>
      <c r="AP186" s="166">
        <f>SUMIFS(服务费底表!$AC:$AC,服务费底表!$K:$K,服务费明细!$B186,服务费底表!$T:$T,AP$3)</f>
        <v>0</v>
      </c>
      <c r="AQ186" s="166">
        <f>SUMIFS(服务费底表!$AC:$AC,服务费底表!$K:$K,服务费明细!$B186,服务费底表!$T:$T,AQ$3)</f>
        <v>0</v>
      </c>
      <c r="AR186" s="166">
        <f>SUMIFS(服务费底表!$AC:$AC,服务费底表!$K:$K,服务费明细!$B186,服务费底表!$T:$T,AR$3)</f>
        <v>0</v>
      </c>
      <c r="AS186" s="166">
        <f>SUMIFS(服务费底表!$AC:$AC,服务费底表!$K:$K,服务费明细!$B186,服务费底表!$T:$T,AS$3)</f>
        <v>0</v>
      </c>
      <c r="AT186" s="166">
        <f>SUMIFS(服务费底表!$AC:$AC,服务费底表!$K:$K,服务费明细!$B186,服务费底表!$T:$T,AT$3)</f>
        <v>0</v>
      </c>
      <c r="AU186" s="166">
        <f>SUMIFS(服务费底表!$AC:$AC,服务费底表!$K:$K,服务费明细!$B186,服务费底表!$T:$T,AU$3)</f>
        <v>0</v>
      </c>
      <c r="AV186" s="166">
        <f>SUMIFS(服务费底表!$AC:$AC,服务费底表!$K:$K,服务费明细!$B186,服务费底表!$T:$T,AV$3)</f>
        <v>0</v>
      </c>
      <c r="AW186" s="166">
        <f>SUMIFS(服务费底表!$AC:$AC,服务费底表!$K:$K,服务费明细!$B186,服务费底表!$T:$T,AW$3)</f>
        <v>0</v>
      </c>
      <c r="AX186" s="166">
        <f>SUMIFS(服务费底表!$AC:$AC,服务费底表!$K:$K,服务费明细!$B186,服务费底表!$T:$T,AX$3)</f>
        <v>0</v>
      </c>
      <c r="AY186" s="166">
        <f>SUMIFS(服务费底表!$AC:$AC,服务费底表!$K:$K,服务费明细!$B186,服务费底表!$T:$T,AY$3)</f>
        <v>0</v>
      </c>
      <c r="AZ186" s="166">
        <f>SUMIFS(服务费底表!$AC:$AC,服务费底表!$K:$K,服务费明细!$B186,服务费底表!$T:$T,AZ$3)</f>
        <v>0</v>
      </c>
      <c r="BA186" s="166">
        <f>SUMIFS(服务费底表!$AC:$AC,服务费底表!$K:$K,服务费明细!$B186,服务费底表!$T:$T,BA$3)</f>
        <v>0</v>
      </c>
      <c r="BB186" s="166">
        <f>SUMIFS(服务费底表!$AC:$AC,服务费底表!$K:$K,服务费明细!$B186,服务费底表!$T:$T,BB$3)</f>
        <v>0</v>
      </c>
      <c r="BC186" s="166">
        <f>SUMIFS(服务费底表!$AC:$AC,服务费底表!$K:$K,服务费明细!$B186,服务费底表!$T:$T,BC$3)</f>
        <v>0</v>
      </c>
      <c r="BD186" s="166">
        <f>SUMIFS(服务费底表!$AC:$AC,服务费底表!$K:$K,服务费明细!$B186,服务费底表!$T:$T,BD$3)</f>
        <v>0</v>
      </c>
      <c r="BE186" s="166">
        <f>SUMIFS(服务费底表!$AC:$AC,服务费底表!$K:$K,服务费明细!$B186,服务费底表!$T:$T,BE$3)</f>
        <v>0</v>
      </c>
      <c r="BF186" s="166">
        <f>SUMIFS(服务费底表!$AC:$AC,服务费底表!$K:$K,服务费明细!$B186,服务费底表!$T:$T,BF$3)</f>
        <v>0</v>
      </c>
      <c r="BG186" s="166">
        <f>SUMIFS(服务费底表!$AC:$AC,服务费底表!$K:$K,服务费明细!$B186,服务费底表!$T:$T,BG$3)</f>
        <v>0</v>
      </c>
      <c r="BI186" s="388"/>
      <c r="BJ186" s="388"/>
      <c r="BK186" s="388"/>
      <c r="BL186" s="388"/>
      <c r="BM186" s="388"/>
      <c r="BN186" s="388"/>
      <c r="BO186" s="388"/>
      <c r="BQ186" s="389"/>
      <c r="BR186" s="389"/>
      <c r="BS186" s="389"/>
      <c r="BT186" s="389"/>
      <c r="BU186" s="389"/>
      <c r="BV186" s="389"/>
      <c r="BW186" s="389"/>
    </row>
    <row r="187" spans="2:75">
      <c r="B187" s="89" t="s">
        <v>1107</v>
      </c>
      <c r="C187" s="89" t="str">
        <f>INDEX(二三级标准!$C:$C,MATCH(服务费明细!$B187,二三级标准!$B:$B,0))</f>
        <v>撰写PK SAR</v>
      </c>
      <c r="D187" s="166">
        <f>IF($D$160=1,1,0)</f>
        <v>0</v>
      </c>
      <c r="E187" s="166">
        <f>IF($D187=1,E160,0)</f>
        <v>0</v>
      </c>
      <c r="F187" s="89" t="str">
        <f>INDEX(二三级标准!$G:$G,MATCH(服务费明细!$B187,二三级标准!$B:$B,0))</f>
        <v>份</v>
      </c>
      <c r="G187" s="166">
        <f t="shared" si="316"/>
        <v>0</v>
      </c>
      <c r="H187" s="166">
        <f t="shared" si="317"/>
        <v>0</v>
      </c>
      <c r="I187" s="166">
        <f t="shared" si="318"/>
        <v>0</v>
      </c>
      <c r="J187" s="166">
        <f t="shared" si="319"/>
        <v>0</v>
      </c>
      <c r="K187" s="166">
        <f t="shared" si="320"/>
        <v>0</v>
      </c>
      <c r="L187" s="166">
        <f t="shared" si="321"/>
        <v>0</v>
      </c>
      <c r="M187" s="166">
        <f t="shared" si="322"/>
        <v>0</v>
      </c>
      <c r="N187" s="166">
        <f t="shared" si="323"/>
        <v>0</v>
      </c>
      <c r="O187" s="166">
        <f t="shared" si="324"/>
        <v>0</v>
      </c>
      <c r="P187" s="166">
        <f t="shared" si="325"/>
        <v>0</v>
      </c>
      <c r="Q187" s="166">
        <f t="shared" si="326"/>
        <v>0</v>
      </c>
      <c r="R187" s="166">
        <f t="shared" si="327"/>
        <v>0</v>
      </c>
      <c r="S187" s="166">
        <f t="shared" si="328"/>
        <v>0</v>
      </c>
      <c r="T187" s="166">
        <f t="shared" si="329"/>
        <v>0</v>
      </c>
      <c r="U187" s="166">
        <f t="shared" si="330"/>
        <v>0</v>
      </c>
      <c r="V187" s="166">
        <f t="shared" si="331"/>
        <v>0</v>
      </c>
      <c r="W187" s="166">
        <f t="shared" si="332"/>
        <v>0</v>
      </c>
      <c r="X187" s="166">
        <f t="shared" si="333"/>
        <v>0</v>
      </c>
      <c r="Y187" s="166">
        <f t="shared" si="334"/>
        <v>0</v>
      </c>
      <c r="Z187" s="166">
        <f t="shared" si="335"/>
        <v>0</v>
      </c>
      <c r="AA187" s="166">
        <f t="shared" si="336"/>
        <v>0</v>
      </c>
      <c r="AB187" s="166">
        <f t="shared" si="337"/>
        <v>0</v>
      </c>
      <c r="AC187" s="166" cm="1">
        <f t="array" ref="AC187">SUMPRODUCT(G187:AB187,$G$4:$AB$4)</f>
        <v>0</v>
      </c>
      <c r="AD187" s="89" t="b">
        <f t="shared" ref="AD187:AD203" si="342">IF(AF187=AC187,TRUE,FALSE)</f>
        <v>1</v>
      </c>
      <c r="AE187" s="386">
        <f>IFERROR(SUMIF(服务费底表!$K:$K,服务费明细!$B187,服务费底表!$AD:$AD)/E187,0)</f>
        <v>0</v>
      </c>
      <c r="AF187" s="386">
        <f t="shared" si="340"/>
        <v>0</v>
      </c>
      <c r="AG187" s="386">
        <f>IFERROR(SUMIF(服务费底表!$K:$K,服务费明细!$B187,服务费底表!$AG:$AG)/E187,0)</f>
        <v>0</v>
      </c>
      <c r="AH187" s="386">
        <f t="shared" si="314"/>
        <v>0</v>
      </c>
      <c r="AI187" s="409"/>
      <c r="AJ187" s="563">
        <f t="shared" si="341"/>
        <v>0</v>
      </c>
      <c r="AK187" s="564">
        <f>SUMIF(服务费底表!$K:$K,服务费明细!$B187,服务费底表!$AC:$AC)</f>
        <v>0</v>
      </c>
      <c r="AL187" s="166">
        <f>SUMIFS(服务费底表!$AC:$AC,服务费底表!$K:$K,服务费明细!$B187,服务费底表!$T:$T,AL$3)</f>
        <v>0</v>
      </c>
      <c r="AM187" s="166">
        <f>SUMIFS(服务费底表!$AC:$AC,服务费底表!$K:$K,服务费明细!$B187,服务费底表!$T:$T,AM$3)</f>
        <v>0</v>
      </c>
      <c r="AN187" s="166">
        <f>SUMIFS(服务费底表!$AC:$AC,服务费底表!$K:$K,服务费明细!$B187,服务费底表!$T:$T,AN$3)</f>
        <v>0</v>
      </c>
      <c r="AO187" s="166">
        <f>SUMIFS(服务费底表!$AC:$AC,服务费底表!$K:$K,服务费明细!$B187,服务费底表!$T:$T,AO$3)</f>
        <v>0</v>
      </c>
      <c r="AP187" s="166">
        <f>SUMIFS(服务费底表!$AC:$AC,服务费底表!$K:$K,服务费明细!$B187,服务费底表!$T:$T,AP$3)</f>
        <v>0</v>
      </c>
      <c r="AQ187" s="166">
        <f>SUMIFS(服务费底表!$AC:$AC,服务费底表!$K:$K,服务费明细!$B187,服务费底表!$T:$T,AQ$3)</f>
        <v>0</v>
      </c>
      <c r="AR187" s="166">
        <f>SUMIFS(服务费底表!$AC:$AC,服务费底表!$K:$K,服务费明细!$B187,服务费底表!$T:$T,AR$3)</f>
        <v>0</v>
      </c>
      <c r="AS187" s="166">
        <f>SUMIFS(服务费底表!$AC:$AC,服务费底表!$K:$K,服务费明细!$B187,服务费底表!$T:$T,AS$3)</f>
        <v>0</v>
      </c>
      <c r="AT187" s="166">
        <f>SUMIFS(服务费底表!$AC:$AC,服务费底表!$K:$K,服务费明细!$B187,服务费底表!$T:$T,AT$3)</f>
        <v>0</v>
      </c>
      <c r="AU187" s="166">
        <f>SUMIFS(服务费底表!$AC:$AC,服务费底表!$K:$K,服务费明细!$B187,服务费底表!$T:$T,AU$3)</f>
        <v>0</v>
      </c>
      <c r="AV187" s="166">
        <f>SUMIFS(服务费底表!$AC:$AC,服务费底表!$K:$K,服务费明细!$B187,服务费底表!$T:$T,AV$3)</f>
        <v>0</v>
      </c>
      <c r="AW187" s="166">
        <f>SUMIFS(服务费底表!$AC:$AC,服务费底表!$K:$K,服务费明细!$B187,服务费底表!$T:$T,AW$3)</f>
        <v>0</v>
      </c>
      <c r="AX187" s="166">
        <f>SUMIFS(服务费底表!$AC:$AC,服务费底表!$K:$K,服务费明细!$B187,服务费底表!$T:$T,AX$3)</f>
        <v>0</v>
      </c>
      <c r="AY187" s="166">
        <f>SUMIFS(服务费底表!$AC:$AC,服务费底表!$K:$K,服务费明细!$B187,服务费底表!$T:$T,AY$3)</f>
        <v>0</v>
      </c>
      <c r="AZ187" s="166">
        <f>SUMIFS(服务费底表!$AC:$AC,服务费底表!$K:$K,服务费明细!$B187,服务费底表!$T:$T,AZ$3)</f>
        <v>0</v>
      </c>
      <c r="BA187" s="166">
        <f>SUMIFS(服务费底表!$AC:$AC,服务费底表!$K:$K,服务费明细!$B187,服务费底表!$T:$T,BA$3)</f>
        <v>0</v>
      </c>
      <c r="BB187" s="166">
        <f>SUMIFS(服务费底表!$AC:$AC,服务费底表!$K:$K,服务费明细!$B187,服务费底表!$T:$T,BB$3)</f>
        <v>0</v>
      </c>
      <c r="BC187" s="166">
        <f>SUMIFS(服务费底表!$AC:$AC,服务费底表!$K:$K,服务费明细!$B187,服务费底表!$T:$T,BC$3)</f>
        <v>0</v>
      </c>
      <c r="BD187" s="166">
        <f>SUMIFS(服务费底表!$AC:$AC,服务费底表!$K:$K,服务费明细!$B187,服务费底表!$T:$T,BD$3)</f>
        <v>0</v>
      </c>
      <c r="BE187" s="166">
        <f>SUMIFS(服务费底表!$AC:$AC,服务费底表!$K:$K,服务费明细!$B187,服务费底表!$T:$T,BE$3)</f>
        <v>0</v>
      </c>
      <c r="BF187" s="166">
        <f>SUMIFS(服务费底表!$AC:$AC,服务费底表!$K:$K,服务费明细!$B187,服务费底表!$T:$T,BF$3)</f>
        <v>0</v>
      </c>
      <c r="BG187" s="166">
        <f>SUMIFS(服务费底表!$AC:$AC,服务费底表!$K:$K,服务费明细!$B187,服务费底表!$T:$T,BG$3)</f>
        <v>0</v>
      </c>
      <c r="BI187" s="388">
        <f>SUMIFS(服务费底表!$AC:$AC,服务费底表!$K:$K,服务费明细!$B187,服务费底表!$H:$H,服务费明细!BI$3)</f>
        <v>0</v>
      </c>
      <c r="BJ187" s="388">
        <f>SUMIFS(服务费底表!$AC:$AC,服务费底表!$K:$K,服务费明细!$B187,服务费底表!$H:$H,服务费明细!BJ$3)</f>
        <v>0</v>
      </c>
      <c r="BK187" s="388">
        <f>SUMIFS(服务费底表!$AC:$AC,服务费底表!$K:$K,服务费明细!$B187,服务费底表!$H:$H,服务费明细!BK$3)</f>
        <v>0</v>
      </c>
      <c r="BL187" s="388">
        <f>SUMIFS(服务费底表!$AC:$AC,服务费底表!$K:$K,服务费明细!$B187,服务费底表!$H:$H,服务费明细!BL$3)</f>
        <v>0</v>
      </c>
      <c r="BM187" s="388">
        <f>SUMIFS(服务费底表!$AC:$AC,服务费底表!$K:$K,服务费明细!$B187,服务费底表!$H:$H,服务费明细!BM$3)</f>
        <v>0</v>
      </c>
      <c r="BN187" s="388">
        <f>SUMIFS(服务费底表!$AC:$AC,服务费底表!$K:$K,服务费明细!$B187,服务费底表!$H:$H,服务费明细!BN$3)</f>
        <v>0</v>
      </c>
      <c r="BO187" s="388">
        <f>SUMIFS(服务费底表!$AC:$AC,服务费底表!$K:$K,服务费明细!$B187,服务费底表!$H:$H,服务费明细!BO$3)</f>
        <v>0</v>
      </c>
      <c r="BQ187" s="389">
        <f>SUMIFS(服务费底表!$AD:$AD,服务费底表!$K:$K,服务费明细!$B187,服务费底表!$H:$H,服务费明细!BQ$3)</f>
        <v>0</v>
      </c>
      <c r="BR187" s="389">
        <f>SUMIFS(服务费底表!$AD:$AD,服务费底表!$K:$K,服务费明细!$B187,服务费底表!$H:$H,服务费明细!BR$3)</f>
        <v>0</v>
      </c>
      <c r="BS187" s="389">
        <f>SUMIFS(服务费底表!$AD:$AD,服务费底表!$K:$K,服务费明细!$B187,服务费底表!$H:$H,服务费明细!BS$3)</f>
        <v>0</v>
      </c>
      <c r="BT187" s="389">
        <f>SUMIFS(服务费底表!$AD:$AD,服务费底表!$K:$K,服务费明细!$B187,服务费底表!$H:$H,服务费明细!BT$3)</f>
        <v>0</v>
      </c>
      <c r="BU187" s="389">
        <f>SUMIFS(服务费底表!$AD:$AD,服务费底表!$K:$K,服务费明细!$B187,服务费底表!$H:$H,服务费明细!BU$3)</f>
        <v>0</v>
      </c>
      <c r="BV187" s="389">
        <f>SUMIFS(服务费底表!$AD:$AD,服务费底表!$K:$K,服务费明细!$B187,服务费底表!$H:$H,服务费明细!BV$3)</f>
        <v>0</v>
      </c>
      <c r="BW187" s="389">
        <f>SUMIFS(服务费底表!$AD:$AD,服务费底表!$K:$K,服务费明细!$B187,服务费底表!$H:$H,服务费明细!BW$3)</f>
        <v>0</v>
      </c>
    </row>
    <row r="188" spans="2:75">
      <c r="B188" s="89" t="s">
        <v>1108</v>
      </c>
      <c r="C188" s="89" t="str">
        <f>INDEX(二三级标准!$C:$C,MATCH(服务费明细!$B188,二三级标准!$B:$B,0))</f>
        <v>生成PK/PD统计表格/图表 - Unique</v>
      </c>
      <c r="D188" s="166">
        <f t="shared" ref="D188:D190" si="343">IF($D$173=1,1,0)</f>
        <v>1</v>
      </c>
      <c r="E188" s="166">
        <f>IF($D188=1,独立PK表格+独立PK图表,0)</f>
        <v>10</v>
      </c>
      <c r="F188" s="89" t="str">
        <f>INDEX(二三级标准!$G:$G,MATCH(服务费明细!$B188,二三级标准!$B:$B,0))</f>
        <v>个</v>
      </c>
      <c r="G188" s="166">
        <f t="shared" si="316"/>
        <v>0</v>
      </c>
      <c r="H188" s="166">
        <f t="shared" si="317"/>
        <v>0</v>
      </c>
      <c r="I188" s="166">
        <f t="shared" si="318"/>
        <v>0</v>
      </c>
      <c r="J188" s="166">
        <f t="shared" si="319"/>
        <v>0</v>
      </c>
      <c r="K188" s="166">
        <f t="shared" si="320"/>
        <v>0</v>
      </c>
      <c r="L188" s="166">
        <f t="shared" si="321"/>
        <v>0</v>
      </c>
      <c r="M188" s="166">
        <f t="shared" si="322"/>
        <v>0</v>
      </c>
      <c r="N188" s="166">
        <f t="shared" si="323"/>
        <v>0</v>
      </c>
      <c r="O188" s="166">
        <f t="shared" si="324"/>
        <v>0</v>
      </c>
      <c r="P188" s="166">
        <f t="shared" si="325"/>
        <v>0</v>
      </c>
      <c r="Q188" s="166">
        <f t="shared" si="326"/>
        <v>0</v>
      </c>
      <c r="R188" s="166">
        <f t="shared" si="327"/>
        <v>0</v>
      </c>
      <c r="S188" s="166">
        <f t="shared" si="328"/>
        <v>0</v>
      </c>
      <c r="T188" s="166">
        <f t="shared" si="329"/>
        <v>50</v>
      </c>
      <c r="U188" s="166">
        <f t="shared" si="330"/>
        <v>2</v>
      </c>
      <c r="V188" s="166">
        <f t="shared" si="331"/>
        <v>0</v>
      </c>
      <c r="W188" s="166">
        <f t="shared" si="332"/>
        <v>0</v>
      </c>
      <c r="X188" s="166">
        <f t="shared" si="333"/>
        <v>0</v>
      </c>
      <c r="Y188" s="166">
        <f t="shared" si="334"/>
        <v>0</v>
      </c>
      <c r="Z188" s="166">
        <f t="shared" si="335"/>
        <v>0</v>
      </c>
      <c r="AA188" s="166">
        <f t="shared" si="336"/>
        <v>0</v>
      </c>
      <c r="AB188" s="166">
        <f t="shared" si="337"/>
        <v>0</v>
      </c>
      <c r="AC188" s="166" cm="1">
        <f t="array" ref="AC188">SUMPRODUCT(G188:AB188,$G$4:$AB$4)</f>
        <v>12150</v>
      </c>
      <c r="AD188" s="89" t="b">
        <f t="shared" si="342"/>
        <v>1</v>
      </c>
      <c r="AE188" s="386">
        <f>IFERROR(SUMIF(服务费底表!$K:$K,服务费明细!$B188,服务费底表!$AD:$AD)/E188,0)</f>
        <v>1215</v>
      </c>
      <c r="AF188" s="386">
        <f t="shared" si="340"/>
        <v>12150</v>
      </c>
      <c r="AG188" s="386">
        <f>IFERROR(SUMIF(服务费底表!$K:$K,服务费明细!$B188,服务费底表!$AG:$AG)/E188,0)</f>
        <v>1215</v>
      </c>
      <c r="AH188" s="386">
        <f t="shared" si="314"/>
        <v>12150</v>
      </c>
      <c r="AI188" s="409" t="s">
        <v>1076</v>
      </c>
      <c r="AJ188" s="563">
        <f t="shared" si="341"/>
        <v>5.2</v>
      </c>
      <c r="AK188" s="564">
        <f>SUMIF(服务费底表!$K:$K,服务费明细!$B188,服务费底表!$AC:$AC)</f>
        <v>52</v>
      </c>
      <c r="AL188" s="166">
        <f>SUMIFS(服务费底表!$AC:$AC,服务费底表!$K:$K,服务费明细!$B188,服务费底表!$T:$T,AL$3)</f>
        <v>0</v>
      </c>
      <c r="AM188" s="166">
        <f>SUMIFS(服务费底表!$AC:$AC,服务费底表!$K:$K,服务费明细!$B188,服务费底表!$T:$T,AM$3)</f>
        <v>0</v>
      </c>
      <c r="AN188" s="166">
        <f>SUMIFS(服务费底表!$AC:$AC,服务费底表!$K:$K,服务费明细!$B188,服务费底表!$T:$T,AN$3)</f>
        <v>0</v>
      </c>
      <c r="AO188" s="166">
        <f>SUMIFS(服务费底表!$AC:$AC,服务费底表!$K:$K,服务费明细!$B188,服务费底表!$T:$T,AO$3)</f>
        <v>0</v>
      </c>
      <c r="AP188" s="166">
        <f>SUMIFS(服务费底表!$AC:$AC,服务费底表!$K:$K,服务费明细!$B188,服务费底表!$T:$T,AP$3)</f>
        <v>0</v>
      </c>
      <c r="AQ188" s="166">
        <f>SUMIFS(服务费底表!$AC:$AC,服务费底表!$K:$K,服务费明细!$B188,服务费底表!$T:$T,AQ$3)</f>
        <v>0</v>
      </c>
      <c r="AR188" s="166">
        <f>SUMIFS(服务费底表!$AC:$AC,服务费底表!$K:$K,服务费明细!$B188,服务费底表!$T:$T,AR$3)</f>
        <v>0</v>
      </c>
      <c r="AS188" s="166">
        <f>SUMIFS(服务费底表!$AC:$AC,服务费底表!$K:$K,服务费明细!$B188,服务费底表!$T:$T,AS$3)</f>
        <v>0</v>
      </c>
      <c r="AT188" s="166">
        <f>SUMIFS(服务费底表!$AC:$AC,服务费底表!$K:$K,服务费明细!$B188,服务费底表!$T:$T,AT$3)</f>
        <v>0</v>
      </c>
      <c r="AU188" s="166">
        <f>SUMIFS(服务费底表!$AC:$AC,服务费底表!$K:$K,服务费明细!$B188,服务费底表!$T:$T,AU$3)</f>
        <v>0</v>
      </c>
      <c r="AV188" s="166">
        <f>SUMIFS(服务费底表!$AC:$AC,服务费底表!$K:$K,服务费明细!$B188,服务费底表!$T:$T,AV$3)</f>
        <v>0</v>
      </c>
      <c r="AW188" s="166">
        <f>SUMIFS(服务费底表!$AC:$AC,服务费底表!$K:$K,服务费明细!$B188,服务费底表!$T:$T,AW$3)</f>
        <v>0</v>
      </c>
      <c r="AX188" s="166">
        <f>SUMIFS(服务费底表!$AC:$AC,服务费底表!$K:$K,服务费明细!$B188,服务费底表!$T:$T,AX$3)</f>
        <v>0</v>
      </c>
      <c r="AY188" s="166">
        <f>SUMIFS(服务费底表!$AC:$AC,服务费底表!$K:$K,服务费明细!$B188,服务费底表!$T:$T,AY$3)</f>
        <v>50</v>
      </c>
      <c r="AZ188" s="166">
        <f>SUMIFS(服务费底表!$AC:$AC,服务费底表!$K:$K,服务费明细!$B188,服务费底表!$T:$T,AZ$3)</f>
        <v>2</v>
      </c>
      <c r="BA188" s="166">
        <f>SUMIFS(服务费底表!$AC:$AC,服务费底表!$K:$K,服务费明细!$B188,服务费底表!$T:$T,BA$3)</f>
        <v>0</v>
      </c>
      <c r="BB188" s="166">
        <f>SUMIFS(服务费底表!$AC:$AC,服务费底表!$K:$K,服务费明细!$B188,服务费底表!$T:$T,BB$3)</f>
        <v>0</v>
      </c>
      <c r="BC188" s="166">
        <f>SUMIFS(服务费底表!$AC:$AC,服务费底表!$K:$K,服务费明细!$B188,服务费底表!$T:$T,BC$3)</f>
        <v>0</v>
      </c>
      <c r="BD188" s="166">
        <f>SUMIFS(服务费底表!$AC:$AC,服务费底表!$K:$K,服务费明细!$B188,服务费底表!$T:$T,BD$3)</f>
        <v>0</v>
      </c>
      <c r="BE188" s="166">
        <f>SUMIFS(服务费底表!$AC:$AC,服务费底表!$K:$K,服务费明细!$B188,服务费底表!$T:$T,BE$3)</f>
        <v>0</v>
      </c>
      <c r="BF188" s="166">
        <f>SUMIFS(服务费底表!$AC:$AC,服务费底表!$K:$K,服务费明细!$B188,服务费底表!$T:$T,BF$3)</f>
        <v>0</v>
      </c>
      <c r="BG188" s="166">
        <f>SUMIFS(服务费底表!$AC:$AC,服务费底表!$K:$K,服务费明细!$B188,服务费底表!$T:$T,BG$3)</f>
        <v>0</v>
      </c>
      <c r="BI188" s="388">
        <f>SUMIFS(服务费底表!$AC:$AC,服务费底表!$K:$K,服务费明细!$B188,服务费底表!$H:$H,服务费明细!BI$3)</f>
        <v>0</v>
      </c>
      <c r="BJ188" s="388">
        <f>SUMIFS(服务费底表!$AC:$AC,服务费底表!$K:$K,服务费明细!$B188,服务费底表!$H:$H,服务费明细!BJ$3)</f>
        <v>0</v>
      </c>
      <c r="BK188" s="388">
        <f>SUMIFS(服务费底表!$AC:$AC,服务费底表!$K:$K,服务费明细!$B188,服务费底表!$H:$H,服务费明细!BK$3)</f>
        <v>0</v>
      </c>
      <c r="BL188" s="574">
        <f>SUMIFS(服务费底表!$AC:$AC,服务费底表!$K:$K,服务费明细!$B188,服务费底表!$H:$H,服务费明细!BL$3)</f>
        <v>52</v>
      </c>
      <c r="BM188" s="574">
        <f>SUMIFS(服务费底表!$AC:$AC,服务费底表!$K:$K,服务费明细!$B188,服务费底表!$H:$H,服务费明细!BM$3)</f>
        <v>0</v>
      </c>
      <c r="BN188" s="574">
        <f>SUMIFS(服务费底表!$AC:$AC,服务费底表!$K:$K,服务费明细!$B188,服务费底表!$H:$H,服务费明细!BN$3)</f>
        <v>0</v>
      </c>
      <c r="BO188" s="388">
        <f>SUMIFS(服务费底表!$AC:$AC,服务费底表!$K:$K,服务费明细!$B188,服务费底表!$H:$H,服务费明细!BO$3)</f>
        <v>0</v>
      </c>
      <c r="BQ188" s="389">
        <f>SUMIFS(服务费底表!$AD:$AD,服务费底表!$K:$K,服务费明细!$B188,服务费底表!$H:$H,服务费明细!BQ$3)</f>
        <v>0</v>
      </c>
      <c r="BR188" s="389">
        <f>SUMIFS(服务费底表!$AD:$AD,服务费底表!$K:$K,服务费明细!$B188,服务费底表!$H:$H,服务费明细!BR$3)</f>
        <v>0</v>
      </c>
      <c r="BS188" s="389">
        <f>SUMIFS(服务费底表!$AD:$AD,服务费底表!$K:$K,服务费明细!$B188,服务费底表!$H:$H,服务费明细!BS$3)</f>
        <v>0</v>
      </c>
      <c r="BT188" s="389">
        <f>SUMIFS(服务费底表!$AD:$AD,服务费底表!$K:$K,服务费明细!$B188,服务费底表!$H:$H,服务费明细!BT$3)</f>
        <v>12150</v>
      </c>
      <c r="BU188" s="389">
        <f>SUMIFS(服务费底表!$AD:$AD,服务费底表!$K:$K,服务费明细!$B188,服务费底表!$H:$H,服务费明细!BU$3)</f>
        <v>0</v>
      </c>
      <c r="BV188" s="389">
        <f>SUMIFS(服务费底表!$AD:$AD,服务费底表!$K:$K,服务费明细!$B188,服务费底表!$H:$H,服务费明细!BV$3)</f>
        <v>0</v>
      </c>
      <c r="BW188" s="389">
        <f>SUMIFS(服务费底表!$AD:$AD,服务费底表!$K:$K,服务费明细!$B188,服务费底表!$H:$H,服务费明细!BW$3)</f>
        <v>0</v>
      </c>
    </row>
    <row r="189" spans="2:75">
      <c r="B189" s="89" t="s">
        <v>1109</v>
      </c>
      <c r="C189" s="89" t="str">
        <f>INDEX(二三级标准!$C:$C,MATCH(服务费明细!$B189,二三级标准!$B:$B,0))</f>
        <v>生成PK/PD统计表格/图表 - Repeat</v>
      </c>
      <c r="D189" s="166">
        <f t="shared" si="343"/>
        <v>1</v>
      </c>
      <c r="E189" s="166">
        <f>IF($D189=1,重复PK表格+重复PK图表,0)</f>
        <v>4</v>
      </c>
      <c r="F189" s="89" t="str">
        <f>INDEX(二三级标准!$G:$G,MATCH(服务费明细!$B189,二三级标准!$B:$B,0))</f>
        <v>个</v>
      </c>
      <c r="G189" s="166">
        <f t="shared" si="316"/>
        <v>0</v>
      </c>
      <c r="H189" s="166">
        <f t="shared" si="317"/>
        <v>0</v>
      </c>
      <c r="I189" s="166">
        <f t="shared" si="318"/>
        <v>0</v>
      </c>
      <c r="J189" s="166">
        <f t="shared" si="319"/>
        <v>0</v>
      </c>
      <c r="K189" s="166">
        <f t="shared" si="320"/>
        <v>0</v>
      </c>
      <c r="L189" s="166">
        <f t="shared" si="321"/>
        <v>0</v>
      </c>
      <c r="M189" s="166">
        <f t="shared" si="322"/>
        <v>0</v>
      </c>
      <c r="N189" s="166">
        <f t="shared" si="323"/>
        <v>0</v>
      </c>
      <c r="O189" s="166">
        <f t="shared" si="324"/>
        <v>0</v>
      </c>
      <c r="P189" s="166">
        <f t="shared" si="325"/>
        <v>0</v>
      </c>
      <c r="Q189" s="166">
        <f t="shared" si="326"/>
        <v>0</v>
      </c>
      <c r="R189" s="166">
        <f t="shared" si="327"/>
        <v>0</v>
      </c>
      <c r="S189" s="166">
        <f t="shared" si="328"/>
        <v>0</v>
      </c>
      <c r="T189" s="166">
        <f t="shared" si="329"/>
        <v>3.2</v>
      </c>
      <c r="U189" s="166">
        <f t="shared" si="330"/>
        <v>0.4</v>
      </c>
      <c r="V189" s="166">
        <f t="shared" si="331"/>
        <v>0</v>
      </c>
      <c r="W189" s="166">
        <f t="shared" si="332"/>
        <v>0</v>
      </c>
      <c r="X189" s="166">
        <f t="shared" si="333"/>
        <v>0</v>
      </c>
      <c r="Y189" s="166">
        <f t="shared" si="334"/>
        <v>0</v>
      </c>
      <c r="Z189" s="166">
        <f t="shared" si="335"/>
        <v>0</v>
      </c>
      <c r="AA189" s="166">
        <f t="shared" si="336"/>
        <v>0</v>
      </c>
      <c r="AB189" s="166">
        <f t="shared" si="337"/>
        <v>0</v>
      </c>
      <c r="AC189" s="166" cm="1">
        <f t="array" ref="AC189">SUMPRODUCT(G189:AB189,$G$4:$AB$4)</f>
        <v>900</v>
      </c>
      <c r="AD189" s="89" t="b">
        <f t="shared" si="342"/>
        <v>1</v>
      </c>
      <c r="AE189" s="386">
        <f>IFERROR(SUMIF(服务费底表!$K:$K,服务费明细!$B189,服务费底表!$AD:$AD)/E189,0)</f>
        <v>225</v>
      </c>
      <c r="AF189" s="386">
        <f t="shared" si="340"/>
        <v>900</v>
      </c>
      <c r="AG189" s="386">
        <f>IFERROR(SUMIF(服务费底表!$K:$K,服务费明细!$B189,服务费底表!$AG:$AG)/E189,0)</f>
        <v>225</v>
      </c>
      <c r="AH189" s="386">
        <f t="shared" si="314"/>
        <v>900</v>
      </c>
      <c r="AI189" s="409" t="s">
        <v>1076</v>
      </c>
      <c r="AJ189" s="563">
        <f t="shared" si="341"/>
        <v>0.9</v>
      </c>
      <c r="AK189" s="564">
        <f>SUMIF(服务费底表!$K:$K,服务费明细!$B189,服务费底表!$AC:$AC)</f>
        <v>3.6</v>
      </c>
      <c r="AL189" s="166">
        <f>SUMIFS(服务费底表!$AC:$AC,服务费底表!$K:$K,服务费明细!$B189,服务费底表!$T:$T,AL$3)</f>
        <v>0</v>
      </c>
      <c r="AM189" s="166">
        <f>SUMIFS(服务费底表!$AC:$AC,服务费底表!$K:$K,服务费明细!$B189,服务费底表!$T:$T,AM$3)</f>
        <v>0</v>
      </c>
      <c r="AN189" s="166">
        <f>SUMIFS(服务费底表!$AC:$AC,服务费底表!$K:$K,服务费明细!$B189,服务费底表!$T:$T,AN$3)</f>
        <v>0</v>
      </c>
      <c r="AO189" s="166">
        <f>SUMIFS(服务费底表!$AC:$AC,服务费底表!$K:$K,服务费明细!$B189,服务费底表!$T:$T,AO$3)</f>
        <v>0</v>
      </c>
      <c r="AP189" s="166">
        <f>SUMIFS(服务费底表!$AC:$AC,服务费底表!$K:$K,服务费明细!$B189,服务费底表!$T:$T,AP$3)</f>
        <v>0</v>
      </c>
      <c r="AQ189" s="166">
        <f>SUMIFS(服务费底表!$AC:$AC,服务费底表!$K:$K,服务费明细!$B189,服务费底表!$T:$T,AQ$3)</f>
        <v>0</v>
      </c>
      <c r="AR189" s="166">
        <f>SUMIFS(服务费底表!$AC:$AC,服务费底表!$K:$K,服务费明细!$B189,服务费底表!$T:$T,AR$3)</f>
        <v>0</v>
      </c>
      <c r="AS189" s="166">
        <f>SUMIFS(服务费底表!$AC:$AC,服务费底表!$K:$K,服务费明细!$B189,服务费底表!$T:$T,AS$3)</f>
        <v>0</v>
      </c>
      <c r="AT189" s="166">
        <f>SUMIFS(服务费底表!$AC:$AC,服务费底表!$K:$K,服务费明细!$B189,服务费底表!$T:$T,AT$3)</f>
        <v>0</v>
      </c>
      <c r="AU189" s="166">
        <f>SUMIFS(服务费底表!$AC:$AC,服务费底表!$K:$K,服务费明细!$B189,服务费底表!$T:$T,AU$3)</f>
        <v>0</v>
      </c>
      <c r="AV189" s="166">
        <f>SUMIFS(服务费底表!$AC:$AC,服务费底表!$K:$K,服务费明细!$B189,服务费底表!$T:$T,AV$3)</f>
        <v>0</v>
      </c>
      <c r="AW189" s="166">
        <f>SUMIFS(服务费底表!$AC:$AC,服务费底表!$K:$K,服务费明细!$B189,服务费底表!$T:$T,AW$3)</f>
        <v>0</v>
      </c>
      <c r="AX189" s="166">
        <f>SUMIFS(服务费底表!$AC:$AC,服务费底表!$K:$K,服务费明细!$B189,服务费底表!$T:$T,AX$3)</f>
        <v>0</v>
      </c>
      <c r="AY189" s="166">
        <f>SUMIFS(服务费底表!$AC:$AC,服务费底表!$K:$K,服务费明细!$B189,服务费底表!$T:$T,AY$3)</f>
        <v>3.2</v>
      </c>
      <c r="AZ189" s="166">
        <f>SUMIFS(服务费底表!$AC:$AC,服务费底表!$K:$K,服务费明细!$B189,服务费底表!$T:$T,AZ$3)</f>
        <v>0.4</v>
      </c>
      <c r="BA189" s="166">
        <f>SUMIFS(服务费底表!$AC:$AC,服务费底表!$K:$K,服务费明细!$B189,服务费底表!$T:$T,BA$3)</f>
        <v>0</v>
      </c>
      <c r="BB189" s="166">
        <f>SUMIFS(服务费底表!$AC:$AC,服务费底表!$K:$K,服务费明细!$B189,服务费底表!$T:$T,BB$3)</f>
        <v>0</v>
      </c>
      <c r="BC189" s="166">
        <f>SUMIFS(服务费底表!$AC:$AC,服务费底表!$K:$K,服务费明细!$B189,服务费底表!$T:$T,BC$3)</f>
        <v>0</v>
      </c>
      <c r="BD189" s="166">
        <f>SUMIFS(服务费底表!$AC:$AC,服务费底表!$K:$K,服务费明细!$B189,服务费底表!$T:$T,BD$3)</f>
        <v>0</v>
      </c>
      <c r="BE189" s="166">
        <f>SUMIFS(服务费底表!$AC:$AC,服务费底表!$K:$K,服务费明细!$B189,服务费底表!$T:$T,BE$3)</f>
        <v>0</v>
      </c>
      <c r="BF189" s="166">
        <f>SUMIFS(服务费底表!$AC:$AC,服务费底表!$K:$K,服务费明细!$B189,服务费底表!$T:$T,BF$3)</f>
        <v>0</v>
      </c>
      <c r="BG189" s="166">
        <f>SUMIFS(服务费底表!$AC:$AC,服务费底表!$K:$K,服务费明细!$B189,服务费底表!$T:$T,BG$3)</f>
        <v>0</v>
      </c>
      <c r="BI189" s="388">
        <f>SUMIFS(服务费底表!$AC:$AC,服务费底表!$K:$K,服务费明细!$B189,服务费底表!$H:$H,服务费明细!BI$3)</f>
        <v>0</v>
      </c>
      <c r="BJ189" s="388">
        <f>SUMIFS(服务费底表!$AC:$AC,服务费底表!$K:$K,服务费明细!$B189,服务费底表!$H:$H,服务费明细!BJ$3)</f>
        <v>0</v>
      </c>
      <c r="BK189" s="388">
        <f>SUMIFS(服务费底表!$AC:$AC,服务费底表!$K:$K,服务费明细!$B189,服务费底表!$H:$H,服务费明细!BK$3)</f>
        <v>0</v>
      </c>
      <c r="BL189" s="574">
        <f>SUMIFS(服务费底表!$AC:$AC,服务费底表!$K:$K,服务费明细!$B189,服务费底表!$H:$H,服务费明细!BL$3)</f>
        <v>3.6</v>
      </c>
      <c r="BM189" s="574">
        <f>SUMIFS(服务费底表!$AC:$AC,服务费底表!$K:$K,服务费明细!$B189,服务费底表!$H:$H,服务费明细!BM$3)</f>
        <v>0</v>
      </c>
      <c r="BN189" s="574">
        <f>SUMIFS(服务费底表!$AC:$AC,服务费底表!$K:$K,服务费明细!$B189,服务费底表!$H:$H,服务费明细!BN$3)</f>
        <v>0</v>
      </c>
      <c r="BO189" s="388">
        <f>SUMIFS(服务费底表!$AC:$AC,服务费底表!$K:$K,服务费明细!$B189,服务费底表!$H:$H,服务费明细!BO$3)</f>
        <v>0</v>
      </c>
      <c r="BQ189" s="389">
        <f>SUMIFS(服务费底表!$AD:$AD,服务费底表!$K:$K,服务费明细!$B189,服务费底表!$H:$H,服务费明细!BQ$3)</f>
        <v>0</v>
      </c>
      <c r="BR189" s="389">
        <f>SUMIFS(服务费底表!$AD:$AD,服务费底表!$K:$K,服务费明细!$B189,服务费底表!$H:$H,服务费明细!BR$3)</f>
        <v>0</v>
      </c>
      <c r="BS189" s="389">
        <f>SUMIFS(服务费底表!$AD:$AD,服务费底表!$K:$K,服务费明细!$B189,服务费底表!$H:$H,服务费明细!BS$3)</f>
        <v>0</v>
      </c>
      <c r="BT189" s="389">
        <f>SUMIFS(服务费底表!$AD:$AD,服务费底表!$K:$K,服务费明细!$B189,服务费底表!$H:$H,服务费明细!BT$3)</f>
        <v>900</v>
      </c>
      <c r="BU189" s="389">
        <f>SUMIFS(服务费底表!$AD:$AD,服务费底表!$K:$K,服务费明细!$B189,服务费底表!$H:$H,服务费明细!BU$3)</f>
        <v>0</v>
      </c>
      <c r="BV189" s="389">
        <f>SUMIFS(服务费底表!$AD:$AD,服务费底表!$K:$K,服务费明细!$B189,服务费底表!$H:$H,服务费明细!BV$3)</f>
        <v>0</v>
      </c>
      <c r="BW189" s="389">
        <f>SUMIFS(服务费底表!$AD:$AD,服务费底表!$K:$K,服务费明细!$B189,服务费底表!$H:$H,服务费明细!BW$3)</f>
        <v>0</v>
      </c>
    </row>
    <row r="190" spans="2:75">
      <c r="B190" s="89" t="s">
        <v>1110</v>
      </c>
      <c r="C190" s="89" t="str">
        <f>INDEX(二三级标准!$C:$C,MATCH(服务费明细!$B190,二三级标准!$B:$B,0))</f>
        <v>生成PK/PD统计列表 - Listings</v>
      </c>
      <c r="D190" s="166">
        <f t="shared" si="343"/>
        <v>1</v>
      </c>
      <c r="E190" s="166">
        <f>IF($D190=1,PK列表,0)</f>
        <v>3</v>
      </c>
      <c r="F190" s="89" t="str">
        <f>INDEX(二三级标准!$G:$G,MATCH(服务费明细!$B190,二三级标准!$B:$B,0))</f>
        <v>个</v>
      </c>
      <c r="G190" s="166">
        <f t="shared" si="316"/>
        <v>0</v>
      </c>
      <c r="H190" s="166">
        <f t="shared" si="317"/>
        <v>0</v>
      </c>
      <c r="I190" s="166">
        <f t="shared" si="318"/>
        <v>0</v>
      </c>
      <c r="J190" s="166">
        <f t="shared" si="319"/>
        <v>0</v>
      </c>
      <c r="K190" s="166">
        <f t="shared" si="320"/>
        <v>0</v>
      </c>
      <c r="L190" s="166">
        <f t="shared" si="321"/>
        <v>0</v>
      </c>
      <c r="M190" s="166">
        <f t="shared" si="322"/>
        <v>0</v>
      </c>
      <c r="N190" s="166">
        <f t="shared" si="323"/>
        <v>0</v>
      </c>
      <c r="O190" s="166">
        <f t="shared" si="324"/>
        <v>0</v>
      </c>
      <c r="P190" s="166">
        <f t="shared" si="325"/>
        <v>0</v>
      </c>
      <c r="Q190" s="166">
        <f t="shared" si="326"/>
        <v>0</v>
      </c>
      <c r="R190" s="166">
        <f t="shared" si="327"/>
        <v>0</v>
      </c>
      <c r="S190" s="166">
        <f t="shared" si="328"/>
        <v>0</v>
      </c>
      <c r="T190" s="166">
        <f t="shared" si="329"/>
        <v>3</v>
      </c>
      <c r="U190" s="166">
        <f t="shared" si="330"/>
        <v>0.3</v>
      </c>
      <c r="V190" s="166">
        <f t="shared" si="331"/>
        <v>0</v>
      </c>
      <c r="W190" s="166">
        <f t="shared" si="332"/>
        <v>0</v>
      </c>
      <c r="X190" s="166">
        <f t="shared" si="333"/>
        <v>0</v>
      </c>
      <c r="Y190" s="166">
        <f t="shared" si="334"/>
        <v>0</v>
      </c>
      <c r="Z190" s="166">
        <f t="shared" si="335"/>
        <v>0</v>
      </c>
      <c r="AA190" s="166">
        <f t="shared" si="336"/>
        <v>0</v>
      </c>
      <c r="AB190" s="166">
        <f t="shared" si="337"/>
        <v>0</v>
      </c>
      <c r="AC190" s="166" cm="1">
        <f t="array" ref="AC190">SUMPRODUCT(G190:AB190,$G$4:$AB$4)</f>
        <v>810</v>
      </c>
      <c r="AD190" s="89" t="b">
        <f t="shared" si="342"/>
        <v>1</v>
      </c>
      <c r="AE190" s="386">
        <f>IFERROR(SUMIF(服务费底表!$K:$K,服务费明细!$B190,服务费底表!$AD:$AD)/E190,0)</f>
        <v>270</v>
      </c>
      <c r="AF190" s="386">
        <f t="shared" si="340"/>
        <v>810</v>
      </c>
      <c r="AG190" s="386">
        <f>IFERROR(SUMIF(服务费底表!$K:$K,服务费明细!$B190,服务费底表!$AG:$AG)/E190,0)</f>
        <v>270</v>
      </c>
      <c r="AH190" s="386">
        <f t="shared" si="314"/>
        <v>810</v>
      </c>
      <c r="AI190" s="409" t="s">
        <v>1076</v>
      </c>
      <c r="AJ190" s="563">
        <f t="shared" si="341"/>
        <v>1.1</v>
      </c>
      <c r="AK190" s="564">
        <f>SUMIF(服务费底表!$K:$K,服务费明细!$B190,服务费底表!$AC:$AC)</f>
        <v>3.3</v>
      </c>
      <c r="AL190" s="166">
        <f>SUMIFS(服务费底表!$AC:$AC,服务费底表!$K:$K,服务费明细!$B190,服务费底表!$T:$T,AL$3)</f>
        <v>0</v>
      </c>
      <c r="AM190" s="166">
        <f>SUMIFS(服务费底表!$AC:$AC,服务费底表!$K:$K,服务费明细!$B190,服务费底表!$T:$T,AM$3)</f>
        <v>0</v>
      </c>
      <c r="AN190" s="166">
        <f>SUMIFS(服务费底表!$AC:$AC,服务费底表!$K:$K,服务费明细!$B190,服务费底表!$T:$T,AN$3)</f>
        <v>0</v>
      </c>
      <c r="AO190" s="166">
        <f>SUMIFS(服务费底表!$AC:$AC,服务费底表!$K:$K,服务费明细!$B190,服务费底表!$T:$T,AO$3)</f>
        <v>0</v>
      </c>
      <c r="AP190" s="166">
        <f>SUMIFS(服务费底表!$AC:$AC,服务费底表!$K:$K,服务费明细!$B190,服务费底表!$T:$T,AP$3)</f>
        <v>0</v>
      </c>
      <c r="AQ190" s="166">
        <f>SUMIFS(服务费底表!$AC:$AC,服务费底表!$K:$K,服务费明细!$B190,服务费底表!$T:$T,AQ$3)</f>
        <v>0</v>
      </c>
      <c r="AR190" s="166">
        <f>SUMIFS(服务费底表!$AC:$AC,服务费底表!$K:$K,服务费明细!$B190,服务费底表!$T:$T,AR$3)</f>
        <v>0</v>
      </c>
      <c r="AS190" s="166">
        <f>SUMIFS(服务费底表!$AC:$AC,服务费底表!$K:$K,服务费明细!$B190,服务费底表!$T:$T,AS$3)</f>
        <v>0</v>
      </c>
      <c r="AT190" s="166">
        <f>SUMIFS(服务费底表!$AC:$AC,服务费底表!$K:$K,服务费明细!$B190,服务费底表!$T:$T,AT$3)</f>
        <v>0</v>
      </c>
      <c r="AU190" s="166">
        <f>SUMIFS(服务费底表!$AC:$AC,服务费底表!$K:$K,服务费明细!$B190,服务费底表!$T:$T,AU$3)</f>
        <v>0</v>
      </c>
      <c r="AV190" s="166">
        <f>SUMIFS(服务费底表!$AC:$AC,服务费底表!$K:$K,服务费明细!$B190,服务费底表!$T:$T,AV$3)</f>
        <v>0</v>
      </c>
      <c r="AW190" s="166">
        <f>SUMIFS(服务费底表!$AC:$AC,服务费底表!$K:$K,服务费明细!$B190,服务费底表!$T:$T,AW$3)</f>
        <v>0</v>
      </c>
      <c r="AX190" s="166">
        <f>SUMIFS(服务费底表!$AC:$AC,服务费底表!$K:$K,服务费明细!$B190,服务费底表!$T:$T,AX$3)</f>
        <v>0</v>
      </c>
      <c r="AY190" s="166">
        <f>SUMIFS(服务费底表!$AC:$AC,服务费底表!$K:$K,服务费明细!$B190,服务费底表!$T:$T,AY$3)</f>
        <v>3</v>
      </c>
      <c r="AZ190" s="166">
        <f>SUMIFS(服务费底表!$AC:$AC,服务费底表!$K:$K,服务费明细!$B190,服务费底表!$T:$T,AZ$3)</f>
        <v>0.3</v>
      </c>
      <c r="BA190" s="166">
        <f>SUMIFS(服务费底表!$AC:$AC,服务费底表!$K:$K,服务费明细!$B190,服务费底表!$T:$T,BA$3)</f>
        <v>0</v>
      </c>
      <c r="BB190" s="166">
        <f>SUMIFS(服务费底表!$AC:$AC,服务费底表!$K:$K,服务费明细!$B190,服务费底表!$T:$T,BB$3)</f>
        <v>0</v>
      </c>
      <c r="BC190" s="166">
        <f>SUMIFS(服务费底表!$AC:$AC,服务费底表!$K:$K,服务费明细!$B190,服务费底表!$T:$T,BC$3)</f>
        <v>0</v>
      </c>
      <c r="BD190" s="166">
        <f>SUMIFS(服务费底表!$AC:$AC,服务费底表!$K:$K,服务费明细!$B190,服务费底表!$T:$T,BD$3)</f>
        <v>0</v>
      </c>
      <c r="BE190" s="166">
        <f>SUMIFS(服务费底表!$AC:$AC,服务费底表!$K:$K,服务费明细!$B190,服务费底表!$T:$T,BE$3)</f>
        <v>0</v>
      </c>
      <c r="BF190" s="166">
        <f>SUMIFS(服务费底表!$AC:$AC,服务费底表!$K:$K,服务费明细!$B190,服务费底表!$T:$T,BF$3)</f>
        <v>0</v>
      </c>
      <c r="BG190" s="166">
        <f>SUMIFS(服务费底表!$AC:$AC,服务费底表!$K:$K,服务费明细!$B190,服务费底表!$T:$T,BG$3)</f>
        <v>0</v>
      </c>
      <c r="BI190" s="388">
        <f>SUMIFS(服务费底表!$AC:$AC,服务费底表!$K:$K,服务费明细!$B190,服务费底表!$H:$H,服务费明细!BI$3)</f>
        <v>0</v>
      </c>
      <c r="BJ190" s="388">
        <f>SUMIFS(服务费底表!$AC:$AC,服务费底表!$K:$K,服务费明细!$B190,服务费底表!$H:$H,服务费明细!BJ$3)</f>
        <v>0</v>
      </c>
      <c r="BK190" s="388">
        <f>SUMIFS(服务费底表!$AC:$AC,服务费底表!$K:$K,服务费明细!$B190,服务费底表!$H:$H,服务费明细!BK$3)</f>
        <v>0</v>
      </c>
      <c r="BL190" s="574">
        <f>SUMIFS(服务费底表!$AC:$AC,服务费底表!$K:$K,服务费明细!$B190,服务费底表!$H:$H,服务费明细!BL$3)</f>
        <v>3.3</v>
      </c>
      <c r="BM190" s="574">
        <f>SUMIFS(服务费底表!$AC:$AC,服务费底表!$K:$K,服务费明细!$B190,服务费底表!$H:$H,服务费明细!BM$3)</f>
        <v>0</v>
      </c>
      <c r="BN190" s="574">
        <f>SUMIFS(服务费底表!$AC:$AC,服务费底表!$K:$K,服务费明细!$B190,服务费底表!$H:$H,服务费明细!BN$3)</f>
        <v>0</v>
      </c>
      <c r="BO190" s="388">
        <f>SUMIFS(服务费底表!$AC:$AC,服务费底表!$K:$K,服务费明细!$B190,服务费底表!$H:$H,服务费明细!BO$3)</f>
        <v>0</v>
      </c>
      <c r="BQ190" s="389">
        <f>SUMIFS(服务费底表!$AD:$AD,服务费底表!$K:$K,服务费明细!$B190,服务费底表!$H:$H,服务费明细!BQ$3)</f>
        <v>0</v>
      </c>
      <c r="BR190" s="389">
        <f>SUMIFS(服务费底表!$AD:$AD,服务费底表!$K:$K,服务费明细!$B190,服务费底表!$H:$H,服务费明细!BR$3)</f>
        <v>0</v>
      </c>
      <c r="BS190" s="389">
        <f>SUMIFS(服务费底表!$AD:$AD,服务费底表!$K:$K,服务费明细!$B190,服务费底表!$H:$H,服务费明细!BS$3)</f>
        <v>0</v>
      </c>
      <c r="BT190" s="389">
        <f>SUMIFS(服务费底表!$AD:$AD,服务费底表!$K:$K,服务费明细!$B190,服务费底表!$H:$H,服务费明细!BT$3)</f>
        <v>810</v>
      </c>
      <c r="BU190" s="389">
        <f>SUMIFS(服务费底表!$AD:$AD,服务费底表!$K:$K,服务费明细!$B190,服务费底表!$H:$H,服务费明细!BU$3)</f>
        <v>0</v>
      </c>
      <c r="BV190" s="389">
        <f>SUMIFS(服务费底表!$AD:$AD,服务费底表!$K:$K,服务费明细!$B190,服务费底表!$H:$H,服务费明细!BV$3)</f>
        <v>0</v>
      </c>
      <c r="BW190" s="389">
        <f>SUMIFS(服务费底表!$AD:$AD,服务费底表!$K:$K,服务费明细!$B190,服务费底表!$H:$H,服务费明细!BW$3)</f>
        <v>0</v>
      </c>
    </row>
    <row r="191" spans="2:75">
      <c r="B191" s="89" t="s">
        <v>355</v>
      </c>
      <c r="C191" s="89" t="str">
        <f>INDEX(二三级标准!$C:$C,MATCH(服务费明细!$B191,二三级标准!$B:$B,0))</f>
        <v>Pop PK/PD(E-R)分析计划撰写</v>
      </c>
      <c r="D191" s="166">
        <v>0</v>
      </c>
      <c r="E191" s="166">
        <f t="shared" ref="E191:E202" si="344">IF($D191=1,1,0)</f>
        <v>0</v>
      </c>
      <c r="F191" s="89" t="str">
        <f>INDEX(二三级标准!$G:$G,MATCH(服务费明细!$B191,二三级标准!$B:$B,0))</f>
        <v>次</v>
      </c>
      <c r="G191" s="166">
        <f t="shared" si="316"/>
        <v>0</v>
      </c>
      <c r="H191" s="166">
        <f t="shared" si="317"/>
        <v>0</v>
      </c>
      <c r="I191" s="166">
        <f t="shared" si="318"/>
        <v>0</v>
      </c>
      <c r="J191" s="166">
        <f t="shared" si="319"/>
        <v>0</v>
      </c>
      <c r="K191" s="166">
        <f t="shared" si="320"/>
        <v>0</v>
      </c>
      <c r="L191" s="166">
        <f t="shared" si="321"/>
        <v>0</v>
      </c>
      <c r="M191" s="166">
        <f t="shared" si="322"/>
        <v>0</v>
      </c>
      <c r="N191" s="166">
        <f t="shared" si="323"/>
        <v>0</v>
      </c>
      <c r="O191" s="166">
        <f t="shared" si="324"/>
        <v>0</v>
      </c>
      <c r="P191" s="166">
        <f t="shared" si="325"/>
        <v>0</v>
      </c>
      <c r="Q191" s="166">
        <f t="shared" si="326"/>
        <v>0</v>
      </c>
      <c r="R191" s="166">
        <f t="shared" si="327"/>
        <v>0</v>
      </c>
      <c r="S191" s="166">
        <f t="shared" si="328"/>
        <v>0</v>
      </c>
      <c r="T191" s="166">
        <f t="shared" si="329"/>
        <v>0</v>
      </c>
      <c r="U191" s="166">
        <f t="shared" si="330"/>
        <v>0</v>
      </c>
      <c r="V191" s="166">
        <f t="shared" si="331"/>
        <v>0</v>
      </c>
      <c r="W191" s="166">
        <f t="shared" si="332"/>
        <v>0</v>
      </c>
      <c r="X191" s="166">
        <f t="shared" si="333"/>
        <v>0</v>
      </c>
      <c r="Y191" s="166">
        <f t="shared" si="334"/>
        <v>0</v>
      </c>
      <c r="Z191" s="166">
        <f t="shared" si="335"/>
        <v>0</v>
      </c>
      <c r="AA191" s="166">
        <f t="shared" si="336"/>
        <v>0</v>
      </c>
      <c r="AB191" s="166">
        <f t="shared" si="337"/>
        <v>0</v>
      </c>
      <c r="AC191" s="166" cm="1">
        <f t="array" ref="AC191">SUMPRODUCT(G191:AB191,$G$4:$AB$4)</f>
        <v>0</v>
      </c>
      <c r="AD191" s="89" t="b">
        <f t="shared" si="342"/>
        <v>1</v>
      </c>
      <c r="AE191" s="386">
        <f>IFERROR(SUMIF(服务费底表!$K:$K,服务费明细!$B191,服务费底表!$AD:$AD)/E191,0)</f>
        <v>0</v>
      </c>
      <c r="AF191" s="386">
        <f t="shared" ref="AF191:AF203" si="345">E191*AE191</f>
        <v>0</v>
      </c>
      <c r="AG191" s="386">
        <f>IFERROR(SUMIF(服务费底表!$K:$K,服务费明细!$B191,服务费底表!$AG:$AG)/E191,0)</f>
        <v>0</v>
      </c>
      <c r="AH191" s="386">
        <f t="shared" si="314"/>
        <v>0</v>
      </c>
      <c r="AI191" s="409"/>
      <c r="AJ191" s="563">
        <f t="shared" si="341"/>
        <v>0</v>
      </c>
      <c r="AK191" s="564">
        <f>SUMIF(服务费底表!$K:$K,服务费明细!$B191,服务费底表!$AC:$AC)</f>
        <v>0</v>
      </c>
      <c r="AL191" s="166">
        <f>SUMIFS(服务费底表!$AC:$AC,服务费底表!$K:$K,服务费明细!$B191,服务费底表!$T:$T,AL$3)</f>
        <v>0</v>
      </c>
      <c r="AM191" s="166">
        <f>SUMIFS(服务费底表!$AC:$AC,服务费底表!$K:$K,服务费明细!$B191,服务费底表!$T:$T,AM$3)</f>
        <v>0</v>
      </c>
      <c r="AN191" s="166">
        <f>SUMIFS(服务费底表!$AC:$AC,服务费底表!$K:$K,服务费明细!$B191,服务费底表!$T:$T,AN$3)</f>
        <v>0</v>
      </c>
      <c r="AO191" s="166">
        <f>SUMIFS(服务费底表!$AC:$AC,服务费底表!$K:$K,服务费明细!$B191,服务费底表!$T:$T,AO$3)</f>
        <v>0</v>
      </c>
      <c r="AP191" s="166">
        <f>SUMIFS(服务费底表!$AC:$AC,服务费底表!$K:$K,服务费明细!$B191,服务费底表!$T:$T,AP$3)</f>
        <v>0</v>
      </c>
      <c r="AQ191" s="166">
        <f>SUMIFS(服务费底表!$AC:$AC,服务费底表!$K:$K,服务费明细!$B191,服务费底表!$T:$T,AQ$3)</f>
        <v>0</v>
      </c>
      <c r="AR191" s="166">
        <f>SUMIFS(服务费底表!$AC:$AC,服务费底表!$K:$K,服务费明细!$B191,服务费底表!$T:$T,AR$3)</f>
        <v>0</v>
      </c>
      <c r="AS191" s="166">
        <f>SUMIFS(服务费底表!$AC:$AC,服务费底表!$K:$K,服务费明细!$B191,服务费底表!$T:$T,AS$3)</f>
        <v>0</v>
      </c>
      <c r="AT191" s="166">
        <f>SUMIFS(服务费底表!$AC:$AC,服务费底表!$K:$K,服务费明细!$B191,服务费底表!$T:$T,AT$3)</f>
        <v>0</v>
      </c>
      <c r="AU191" s="166">
        <f>SUMIFS(服务费底表!$AC:$AC,服务费底表!$K:$K,服务费明细!$B191,服务费底表!$T:$T,AU$3)</f>
        <v>0</v>
      </c>
      <c r="AV191" s="166">
        <f>SUMIFS(服务费底表!$AC:$AC,服务费底表!$K:$K,服务费明细!$B191,服务费底表!$T:$T,AV$3)</f>
        <v>0</v>
      </c>
      <c r="AW191" s="166">
        <f>SUMIFS(服务费底表!$AC:$AC,服务费底表!$K:$K,服务费明细!$B191,服务费底表!$T:$T,AW$3)</f>
        <v>0</v>
      </c>
      <c r="AX191" s="166">
        <f>SUMIFS(服务费底表!$AC:$AC,服务费底表!$K:$K,服务费明细!$B191,服务费底表!$T:$T,AX$3)</f>
        <v>0</v>
      </c>
      <c r="AY191" s="166">
        <f>SUMIFS(服务费底表!$AC:$AC,服务费底表!$K:$K,服务费明细!$B191,服务费底表!$T:$T,AY$3)</f>
        <v>0</v>
      </c>
      <c r="AZ191" s="166">
        <f>SUMIFS(服务费底表!$AC:$AC,服务费底表!$K:$K,服务费明细!$B191,服务费底表!$T:$T,AZ$3)</f>
        <v>0</v>
      </c>
      <c r="BA191" s="166">
        <f>SUMIFS(服务费底表!$AC:$AC,服务费底表!$K:$K,服务费明细!$B191,服务费底表!$T:$T,BA$3)</f>
        <v>0</v>
      </c>
      <c r="BB191" s="166">
        <f>SUMIFS(服务费底表!$AC:$AC,服务费底表!$K:$K,服务费明细!$B191,服务费底表!$T:$T,BB$3)</f>
        <v>0</v>
      </c>
      <c r="BC191" s="166">
        <f>SUMIFS(服务费底表!$AC:$AC,服务费底表!$K:$K,服务费明细!$B191,服务费底表!$T:$T,BC$3)</f>
        <v>0</v>
      </c>
      <c r="BD191" s="166">
        <f>SUMIFS(服务费底表!$AC:$AC,服务费底表!$K:$K,服务费明细!$B191,服务费底表!$T:$T,BD$3)</f>
        <v>0</v>
      </c>
      <c r="BE191" s="166">
        <f>SUMIFS(服务费底表!$AC:$AC,服务费底表!$K:$K,服务费明细!$B191,服务费底表!$T:$T,BE$3)</f>
        <v>0</v>
      </c>
      <c r="BF191" s="166">
        <f>SUMIFS(服务费底表!$AC:$AC,服务费底表!$K:$K,服务费明细!$B191,服务费底表!$T:$T,BF$3)</f>
        <v>0</v>
      </c>
      <c r="BG191" s="166">
        <f>SUMIFS(服务费底表!$AC:$AC,服务费底表!$K:$K,服务费明细!$B191,服务费底表!$T:$T,BG$3)</f>
        <v>0</v>
      </c>
      <c r="BI191" s="388">
        <f>SUMIFS(服务费底表!$AC:$AC,服务费底表!$K:$K,服务费明细!$B191,服务费底表!$H:$H,服务费明细!BI$3)</f>
        <v>0</v>
      </c>
      <c r="BJ191" s="388">
        <f>SUMIFS(服务费底表!$AC:$AC,服务费底表!$K:$K,服务费明细!$B191,服务费底表!$H:$H,服务费明细!BJ$3)</f>
        <v>0</v>
      </c>
      <c r="BK191" s="388">
        <f>SUMIFS(服务费底表!$AC:$AC,服务费底表!$K:$K,服务费明细!$B191,服务费底表!$H:$H,服务费明细!BK$3)</f>
        <v>0</v>
      </c>
      <c r="BL191" s="574">
        <f>SUMIFS(服务费底表!$AC:$AC,服务费底表!$K:$K,服务费明细!$B191,服务费底表!$H:$H,服务费明细!BL$3)</f>
        <v>0</v>
      </c>
      <c r="BM191" s="574">
        <f>SUMIFS(服务费底表!$AC:$AC,服务费底表!$K:$K,服务费明细!$B191,服务费底表!$H:$H,服务费明细!BM$3)</f>
        <v>0</v>
      </c>
      <c r="BN191" s="574">
        <f>SUMIFS(服务费底表!$AC:$AC,服务费底表!$K:$K,服务费明细!$B191,服务费底表!$H:$H,服务费明细!BN$3)</f>
        <v>0</v>
      </c>
      <c r="BO191" s="388">
        <f>SUMIFS(服务费底表!$AC:$AC,服务费底表!$K:$K,服务费明细!$B191,服务费底表!$H:$H,服务费明细!BO$3)</f>
        <v>0</v>
      </c>
      <c r="BQ191" s="389">
        <f>SUMIFS(服务费底表!$AD:$AD,服务费底表!$K:$K,服务费明细!$B191,服务费底表!$H:$H,服务费明细!BQ$3)</f>
        <v>0</v>
      </c>
      <c r="BR191" s="389">
        <f>SUMIFS(服务费底表!$AD:$AD,服务费底表!$K:$K,服务费明细!$B191,服务费底表!$H:$H,服务费明细!BR$3)</f>
        <v>0</v>
      </c>
      <c r="BS191" s="389">
        <f>SUMIFS(服务费底表!$AD:$AD,服务费底表!$K:$K,服务费明细!$B191,服务费底表!$H:$H,服务费明细!BS$3)</f>
        <v>0</v>
      </c>
      <c r="BT191" s="389">
        <f>SUMIFS(服务费底表!$AD:$AD,服务费底表!$K:$K,服务费明细!$B191,服务费底表!$H:$H,服务费明细!BT$3)</f>
        <v>0</v>
      </c>
      <c r="BU191" s="389">
        <f>SUMIFS(服务费底表!$AD:$AD,服务费底表!$K:$K,服务费明细!$B191,服务费底表!$H:$H,服务费明细!BU$3)</f>
        <v>0</v>
      </c>
      <c r="BV191" s="389">
        <f>SUMIFS(服务费底表!$AD:$AD,服务费底表!$K:$K,服务费明细!$B191,服务费底表!$H:$H,服务费明细!BV$3)</f>
        <v>0</v>
      </c>
      <c r="BW191" s="389">
        <f>SUMIFS(服务费底表!$AD:$AD,服务费底表!$K:$K,服务费明细!$B191,服务费底表!$H:$H,服务费明细!BW$3)</f>
        <v>0</v>
      </c>
    </row>
    <row r="192" spans="2:75">
      <c r="B192" s="89" t="s">
        <v>357</v>
      </c>
      <c r="C192" s="89" t="str">
        <f>INDEX(二三级标准!$C:$C,MATCH(服务费明细!$B192,二三级标准!$B:$B,0))</f>
        <v>整理Pop PK/PD(E-R)分析数据集</v>
      </c>
      <c r="D192" s="166">
        <v>0</v>
      </c>
      <c r="E192" s="166">
        <f t="shared" si="344"/>
        <v>0</v>
      </c>
      <c r="F192" s="89" t="str">
        <f>INDEX(二三级标准!$G:$G,MATCH(服务费明细!$B192,二三级标准!$B:$B,0))</f>
        <v>次</v>
      </c>
      <c r="G192" s="166">
        <f t="shared" si="316"/>
        <v>0</v>
      </c>
      <c r="H192" s="166">
        <f t="shared" si="317"/>
        <v>0</v>
      </c>
      <c r="I192" s="166">
        <f t="shared" si="318"/>
        <v>0</v>
      </c>
      <c r="J192" s="166">
        <f t="shared" si="319"/>
        <v>0</v>
      </c>
      <c r="K192" s="166">
        <f t="shared" si="320"/>
        <v>0</v>
      </c>
      <c r="L192" s="166">
        <f t="shared" si="321"/>
        <v>0</v>
      </c>
      <c r="M192" s="166">
        <f t="shared" si="322"/>
        <v>0</v>
      </c>
      <c r="N192" s="166">
        <f t="shared" si="323"/>
        <v>0</v>
      </c>
      <c r="O192" s="166">
        <f t="shared" si="324"/>
        <v>0</v>
      </c>
      <c r="P192" s="166">
        <f t="shared" si="325"/>
        <v>0</v>
      </c>
      <c r="Q192" s="166">
        <f t="shared" si="326"/>
        <v>0</v>
      </c>
      <c r="R192" s="166">
        <f t="shared" si="327"/>
        <v>0</v>
      </c>
      <c r="S192" s="166">
        <f t="shared" si="328"/>
        <v>0</v>
      </c>
      <c r="T192" s="166">
        <f t="shared" si="329"/>
        <v>0</v>
      </c>
      <c r="U192" s="166">
        <f t="shared" si="330"/>
        <v>0</v>
      </c>
      <c r="V192" s="166">
        <f t="shared" si="331"/>
        <v>0</v>
      </c>
      <c r="W192" s="166">
        <f t="shared" si="332"/>
        <v>0</v>
      </c>
      <c r="X192" s="166">
        <f t="shared" si="333"/>
        <v>0</v>
      </c>
      <c r="Y192" s="166">
        <f t="shared" si="334"/>
        <v>0</v>
      </c>
      <c r="Z192" s="166">
        <f t="shared" si="335"/>
        <v>0</v>
      </c>
      <c r="AA192" s="166">
        <f t="shared" si="336"/>
        <v>0</v>
      </c>
      <c r="AB192" s="166">
        <f t="shared" si="337"/>
        <v>0</v>
      </c>
      <c r="AC192" s="166" cm="1">
        <f t="array" ref="AC192">SUMPRODUCT(G192:AB192,$G$4:$AB$4)</f>
        <v>0</v>
      </c>
      <c r="AD192" s="89" t="b">
        <f t="shared" si="342"/>
        <v>1</v>
      </c>
      <c r="AE192" s="386">
        <f>IFERROR(SUMIF(服务费底表!$K:$K,服务费明细!$B192,服务费底表!$AD:$AD)/E192,0)</f>
        <v>0</v>
      </c>
      <c r="AF192" s="386">
        <f t="shared" si="345"/>
        <v>0</v>
      </c>
      <c r="AG192" s="386">
        <f>IFERROR(SUMIF(服务费底表!$K:$K,服务费明细!$B192,服务费底表!$AG:$AG)/E192,0)</f>
        <v>0</v>
      </c>
      <c r="AH192" s="386">
        <f t="shared" si="314"/>
        <v>0</v>
      </c>
      <c r="AI192" s="409"/>
      <c r="AJ192" s="563">
        <f t="shared" si="341"/>
        <v>0</v>
      </c>
      <c r="AK192" s="564">
        <f>SUMIF(服务费底表!$K:$K,服务费明细!$B192,服务费底表!$AC:$AC)</f>
        <v>0</v>
      </c>
      <c r="AL192" s="166">
        <f>SUMIFS(服务费底表!$AC:$AC,服务费底表!$K:$K,服务费明细!$B192,服务费底表!$T:$T,AL$3)</f>
        <v>0</v>
      </c>
      <c r="AM192" s="166">
        <f>SUMIFS(服务费底表!$AC:$AC,服务费底表!$K:$K,服务费明细!$B192,服务费底表!$T:$T,AM$3)</f>
        <v>0</v>
      </c>
      <c r="AN192" s="166">
        <f>SUMIFS(服务费底表!$AC:$AC,服务费底表!$K:$K,服务费明细!$B192,服务费底表!$T:$T,AN$3)</f>
        <v>0</v>
      </c>
      <c r="AO192" s="166">
        <f>SUMIFS(服务费底表!$AC:$AC,服务费底表!$K:$K,服务费明细!$B192,服务费底表!$T:$T,AO$3)</f>
        <v>0</v>
      </c>
      <c r="AP192" s="166">
        <f>SUMIFS(服务费底表!$AC:$AC,服务费底表!$K:$K,服务费明细!$B192,服务费底表!$T:$T,AP$3)</f>
        <v>0</v>
      </c>
      <c r="AQ192" s="166">
        <f>SUMIFS(服务费底表!$AC:$AC,服务费底表!$K:$K,服务费明细!$B192,服务费底表!$T:$T,AQ$3)</f>
        <v>0</v>
      </c>
      <c r="AR192" s="166">
        <f>SUMIFS(服务费底表!$AC:$AC,服务费底表!$K:$K,服务费明细!$B192,服务费底表!$T:$T,AR$3)</f>
        <v>0</v>
      </c>
      <c r="AS192" s="166">
        <f>SUMIFS(服务费底表!$AC:$AC,服务费底表!$K:$K,服务费明细!$B192,服务费底表!$T:$T,AS$3)</f>
        <v>0</v>
      </c>
      <c r="AT192" s="166">
        <f>SUMIFS(服务费底表!$AC:$AC,服务费底表!$K:$K,服务费明细!$B192,服务费底表!$T:$T,AT$3)</f>
        <v>0</v>
      </c>
      <c r="AU192" s="166">
        <f>SUMIFS(服务费底表!$AC:$AC,服务费底表!$K:$K,服务费明细!$B192,服务费底表!$T:$T,AU$3)</f>
        <v>0</v>
      </c>
      <c r="AV192" s="166">
        <f>SUMIFS(服务费底表!$AC:$AC,服务费底表!$K:$K,服务费明细!$B192,服务费底表!$T:$T,AV$3)</f>
        <v>0</v>
      </c>
      <c r="AW192" s="166">
        <f>SUMIFS(服务费底表!$AC:$AC,服务费底表!$K:$K,服务费明细!$B192,服务费底表!$T:$T,AW$3)</f>
        <v>0</v>
      </c>
      <c r="AX192" s="166">
        <f>SUMIFS(服务费底表!$AC:$AC,服务费底表!$K:$K,服务费明细!$B192,服务费底表!$T:$T,AX$3)</f>
        <v>0</v>
      </c>
      <c r="AY192" s="166">
        <f>SUMIFS(服务费底表!$AC:$AC,服务费底表!$K:$K,服务费明细!$B192,服务费底表!$T:$T,AY$3)</f>
        <v>0</v>
      </c>
      <c r="AZ192" s="166">
        <f>SUMIFS(服务费底表!$AC:$AC,服务费底表!$K:$K,服务费明细!$B192,服务费底表!$T:$T,AZ$3)</f>
        <v>0</v>
      </c>
      <c r="BA192" s="166">
        <f>SUMIFS(服务费底表!$AC:$AC,服务费底表!$K:$K,服务费明细!$B192,服务费底表!$T:$T,BA$3)</f>
        <v>0</v>
      </c>
      <c r="BB192" s="166">
        <f>SUMIFS(服务费底表!$AC:$AC,服务费底表!$K:$K,服务费明细!$B192,服务费底表!$T:$T,BB$3)</f>
        <v>0</v>
      </c>
      <c r="BC192" s="166">
        <f>SUMIFS(服务费底表!$AC:$AC,服务费底表!$K:$K,服务费明细!$B192,服务费底表!$T:$T,BC$3)</f>
        <v>0</v>
      </c>
      <c r="BD192" s="166">
        <f>SUMIFS(服务费底表!$AC:$AC,服务费底表!$K:$K,服务费明细!$B192,服务费底表!$T:$T,BD$3)</f>
        <v>0</v>
      </c>
      <c r="BE192" s="166">
        <f>SUMIFS(服务费底表!$AC:$AC,服务费底表!$K:$K,服务费明细!$B192,服务费底表!$T:$T,BE$3)</f>
        <v>0</v>
      </c>
      <c r="BF192" s="166">
        <f>SUMIFS(服务费底表!$AC:$AC,服务费底表!$K:$K,服务费明细!$B192,服务费底表!$T:$T,BF$3)</f>
        <v>0</v>
      </c>
      <c r="BG192" s="166">
        <f>SUMIFS(服务费底表!$AC:$AC,服务费底表!$K:$K,服务费明细!$B192,服务费底表!$T:$T,BG$3)</f>
        <v>0</v>
      </c>
      <c r="BI192" s="388">
        <f>SUMIFS(服务费底表!$AC:$AC,服务费底表!$K:$K,服务费明细!$B192,服务费底表!$H:$H,服务费明细!BI$3)</f>
        <v>0</v>
      </c>
      <c r="BJ192" s="388">
        <f>SUMIFS(服务费底表!$AC:$AC,服务费底表!$K:$K,服务费明细!$B192,服务费底表!$H:$H,服务费明细!BJ$3)</f>
        <v>0</v>
      </c>
      <c r="BK192" s="388">
        <f>SUMIFS(服务费底表!$AC:$AC,服务费底表!$K:$K,服务费明细!$B192,服务费底表!$H:$H,服务费明细!BK$3)</f>
        <v>0</v>
      </c>
      <c r="BL192" s="388">
        <f>SUMIFS(服务费底表!$AC:$AC,服务费底表!$K:$K,服务费明细!$B192,服务费底表!$H:$H,服务费明细!BL$3)</f>
        <v>0</v>
      </c>
      <c r="BM192" s="388">
        <f>SUMIFS(服务费底表!$AC:$AC,服务费底表!$K:$K,服务费明细!$B192,服务费底表!$H:$H,服务费明细!BM$3)</f>
        <v>0</v>
      </c>
      <c r="BN192" s="388">
        <f>SUMIFS(服务费底表!$AC:$AC,服务费底表!$K:$K,服务费明细!$B192,服务费底表!$H:$H,服务费明细!BN$3)</f>
        <v>0</v>
      </c>
      <c r="BO192" s="388">
        <f>SUMIFS(服务费底表!$AC:$AC,服务费底表!$K:$K,服务费明细!$B192,服务费底表!$H:$H,服务费明细!BO$3)</f>
        <v>0</v>
      </c>
      <c r="BQ192" s="389">
        <f>SUMIFS(服务费底表!$AD:$AD,服务费底表!$K:$K,服务费明细!$B192,服务费底表!$H:$H,服务费明细!BQ$3)</f>
        <v>0</v>
      </c>
      <c r="BR192" s="389">
        <f>SUMIFS(服务费底表!$AD:$AD,服务费底表!$K:$K,服务费明细!$B192,服务费底表!$H:$H,服务费明细!BR$3)</f>
        <v>0</v>
      </c>
      <c r="BS192" s="389">
        <f>SUMIFS(服务费底表!$AD:$AD,服务费底表!$K:$K,服务费明细!$B192,服务费底表!$H:$H,服务费明细!BS$3)</f>
        <v>0</v>
      </c>
      <c r="BT192" s="389">
        <f>SUMIFS(服务费底表!$AD:$AD,服务费底表!$K:$K,服务费明细!$B192,服务费底表!$H:$H,服务费明细!BT$3)</f>
        <v>0</v>
      </c>
      <c r="BU192" s="389">
        <f>SUMIFS(服务费底表!$AD:$AD,服务费底表!$K:$K,服务费明细!$B192,服务费底表!$H:$H,服务费明细!BU$3)</f>
        <v>0</v>
      </c>
      <c r="BV192" s="389">
        <f>SUMIFS(服务费底表!$AD:$AD,服务费底表!$K:$K,服务费明细!$B192,服务费底表!$H:$H,服务费明细!BV$3)</f>
        <v>0</v>
      </c>
      <c r="BW192" s="389">
        <f>SUMIFS(服务费底表!$AD:$AD,服务费底表!$K:$K,服务费明细!$B192,服务费底表!$H:$H,服务费明细!BW$3)</f>
        <v>0</v>
      </c>
    </row>
    <row r="193" spans="2:75">
      <c r="B193" s="89" t="s">
        <v>359</v>
      </c>
      <c r="C193" s="89" t="str">
        <f>INDEX(二三级标准!$C:$C,MATCH(服务费明细!$B193,二三级标准!$B:$B,0))</f>
        <v>Pop PK/PD(E-R)分析建模与模拟</v>
      </c>
      <c r="D193" s="166">
        <v>0</v>
      </c>
      <c r="E193" s="166">
        <f t="shared" si="344"/>
        <v>0</v>
      </c>
      <c r="F193" s="89" t="str">
        <f>INDEX(二三级标准!$G:$G,MATCH(服务费明细!$B193,二三级标准!$B:$B,0))</f>
        <v>次</v>
      </c>
      <c r="G193" s="166">
        <f t="shared" si="316"/>
        <v>0</v>
      </c>
      <c r="H193" s="166">
        <f t="shared" si="317"/>
        <v>0</v>
      </c>
      <c r="I193" s="166">
        <f t="shared" si="318"/>
        <v>0</v>
      </c>
      <c r="J193" s="166">
        <f t="shared" si="319"/>
        <v>0</v>
      </c>
      <c r="K193" s="166">
        <f t="shared" si="320"/>
        <v>0</v>
      </c>
      <c r="L193" s="166">
        <f t="shared" si="321"/>
        <v>0</v>
      </c>
      <c r="M193" s="166">
        <f t="shared" si="322"/>
        <v>0</v>
      </c>
      <c r="N193" s="166">
        <f t="shared" si="323"/>
        <v>0</v>
      </c>
      <c r="O193" s="166">
        <f t="shared" si="324"/>
        <v>0</v>
      </c>
      <c r="P193" s="166">
        <f t="shared" si="325"/>
        <v>0</v>
      </c>
      <c r="Q193" s="166">
        <f t="shared" si="326"/>
        <v>0</v>
      </c>
      <c r="R193" s="166">
        <f t="shared" si="327"/>
        <v>0</v>
      </c>
      <c r="S193" s="166">
        <f t="shared" si="328"/>
        <v>0</v>
      </c>
      <c r="T193" s="166">
        <f t="shared" si="329"/>
        <v>0</v>
      </c>
      <c r="U193" s="166">
        <f t="shared" si="330"/>
        <v>0</v>
      </c>
      <c r="V193" s="166">
        <f t="shared" si="331"/>
        <v>0</v>
      </c>
      <c r="W193" s="166">
        <f t="shared" si="332"/>
        <v>0</v>
      </c>
      <c r="X193" s="166">
        <f t="shared" si="333"/>
        <v>0</v>
      </c>
      <c r="Y193" s="166">
        <f t="shared" si="334"/>
        <v>0</v>
      </c>
      <c r="Z193" s="166">
        <f t="shared" si="335"/>
        <v>0</v>
      </c>
      <c r="AA193" s="166">
        <f t="shared" si="336"/>
        <v>0</v>
      </c>
      <c r="AB193" s="166">
        <f t="shared" si="337"/>
        <v>0</v>
      </c>
      <c r="AC193" s="166" cm="1">
        <f t="array" ref="AC193">SUMPRODUCT(G193:AB193,$G$4:$AB$4)</f>
        <v>0</v>
      </c>
      <c r="AD193" s="89" t="b">
        <f t="shared" si="342"/>
        <v>1</v>
      </c>
      <c r="AE193" s="386">
        <f>IFERROR(SUMIF(服务费底表!$K:$K,服务费明细!$B193,服务费底表!$AD:$AD)/E193,0)</f>
        <v>0</v>
      </c>
      <c r="AF193" s="386">
        <f t="shared" si="345"/>
        <v>0</v>
      </c>
      <c r="AG193" s="386">
        <f>IFERROR(SUMIF(服务费底表!$K:$K,服务费明细!$B193,服务费底表!$AG:$AG)/E193,0)</f>
        <v>0</v>
      </c>
      <c r="AH193" s="386">
        <f t="shared" si="314"/>
        <v>0</v>
      </c>
      <c r="AI193" s="409"/>
      <c r="AJ193" s="563">
        <f t="shared" si="341"/>
        <v>0</v>
      </c>
      <c r="AK193" s="564">
        <f>SUMIF(服务费底表!$K:$K,服务费明细!$B193,服务费底表!$AC:$AC)</f>
        <v>0</v>
      </c>
      <c r="AL193" s="166">
        <f>SUMIFS(服务费底表!$AC:$AC,服务费底表!$K:$K,服务费明细!$B193,服务费底表!$T:$T,AL$3)</f>
        <v>0</v>
      </c>
      <c r="AM193" s="166">
        <f>SUMIFS(服务费底表!$AC:$AC,服务费底表!$K:$K,服务费明细!$B193,服务费底表!$T:$T,AM$3)</f>
        <v>0</v>
      </c>
      <c r="AN193" s="166">
        <f>SUMIFS(服务费底表!$AC:$AC,服务费底表!$K:$K,服务费明细!$B193,服务费底表!$T:$T,AN$3)</f>
        <v>0</v>
      </c>
      <c r="AO193" s="166">
        <f>SUMIFS(服务费底表!$AC:$AC,服务费底表!$K:$K,服务费明细!$B193,服务费底表!$T:$T,AO$3)</f>
        <v>0</v>
      </c>
      <c r="AP193" s="166">
        <f>SUMIFS(服务费底表!$AC:$AC,服务费底表!$K:$K,服务费明细!$B193,服务费底表!$T:$T,AP$3)</f>
        <v>0</v>
      </c>
      <c r="AQ193" s="166">
        <f>SUMIFS(服务费底表!$AC:$AC,服务费底表!$K:$K,服务费明细!$B193,服务费底表!$T:$T,AQ$3)</f>
        <v>0</v>
      </c>
      <c r="AR193" s="166">
        <f>SUMIFS(服务费底表!$AC:$AC,服务费底表!$K:$K,服务费明细!$B193,服务费底表!$T:$T,AR$3)</f>
        <v>0</v>
      </c>
      <c r="AS193" s="166">
        <f>SUMIFS(服务费底表!$AC:$AC,服务费底表!$K:$K,服务费明细!$B193,服务费底表!$T:$T,AS$3)</f>
        <v>0</v>
      </c>
      <c r="AT193" s="166">
        <f>SUMIFS(服务费底表!$AC:$AC,服务费底表!$K:$K,服务费明细!$B193,服务费底表!$T:$T,AT$3)</f>
        <v>0</v>
      </c>
      <c r="AU193" s="166">
        <f>SUMIFS(服务费底表!$AC:$AC,服务费底表!$K:$K,服务费明细!$B193,服务费底表!$T:$T,AU$3)</f>
        <v>0</v>
      </c>
      <c r="AV193" s="166">
        <f>SUMIFS(服务费底表!$AC:$AC,服务费底表!$K:$K,服务费明细!$B193,服务费底表!$T:$T,AV$3)</f>
        <v>0</v>
      </c>
      <c r="AW193" s="166">
        <f>SUMIFS(服务费底表!$AC:$AC,服务费底表!$K:$K,服务费明细!$B193,服务费底表!$T:$T,AW$3)</f>
        <v>0</v>
      </c>
      <c r="AX193" s="166">
        <f>SUMIFS(服务费底表!$AC:$AC,服务费底表!$K:$K,服务费明细!$B193,服务费底表!$T:$T,AX$3)</f>
        <v>0</v>
      </c>
      <c r="AY193" s="166">
        <f>SUMIFS(服务费底表!$AC:$AC,服务费底表!$K:$K,服务费明细!$B193,服务费底表!$T:$T,AY$3)</f>
        <v>0</v>
      </c>
      <c r="AZ193" s="166">
        <f>SUMIFS(服务费底表!$AC:$AC,服务费底表!$K:$K,服务费明细!$B193,服务费底表!$T:$T,AZ$3)</f>
        <v>0</v>
      </c>
      <c r="BA193" s="166">
        <f>SUMIFS(服务费底表!$AC:$AC,服务费底表!$K:$K,服务费明细!$B193,服务费底表!$T:$T,BA$3)</f>
        <v>0</v>
      </c>
      <c r="BB193" s="166">
        <f>SUMIFS(服务费底表!$AC:$AC,服务费底表!$K:$K,服务费明细!$B193,服务费底表!$T:$T,BB$3)</f>
        <v>0</v>
      </c>
      <c r="BC193" s="166">
        <f>SUMIFS(服务费底表!$AC:$AC,服务费底表!$K:$K,服务费明细!$B193,服务费底表!$T:$T,BC$3)</f>
        <v>0</v>
      </c>
      <c r="BD193" s="166">
        <f>SUMIFS(服务费底表!$AC:$AC,服务费底表!$K:$K,服务费明细!$B193,服务费底表!$T:$T,BD$3)</f>
        <v>0</v>
      </c>
      <c r="BE193" s="166">
        <f>SUMIFS(服务费底表!$AC:$AC,服务费底表!$K:$K,服务费明细!$B193,服务费底表!$T:$T,BE$3)</f>
        <v>0</v>
      </c>
      <c r="BF193" s="166">
        <f>SUMIFS(服务费底表!$AC:$AC,服务费底表!$K:$K,服务费明细!$B193,服务费底表!$T:$T,BF$3)</f>
        <v>0</v>
      </c>
      <c r="BG193" s="166">
        <f>SUMIFS(服务费底表!$AC:$AC,服务费底表!$K:$K,服务费明细!$B193,服务费底表!$T:$T,BG$3)</f>
        <v>0</v>
      </c>
      <c r="BI193" s="388">
        <f>SUMIFS(服务费底表!$AC:$AC,服务费底表!$K:$K,服务费明细!$B193,服务费底表!$H:$H,服务费明细!BI$3)</f>
        <v>0</v>
      </c>
      <c r="BJ193" s="388">
        <f>SUMIFS(服务费底表!$AC:$AC,服务费底表!$K:$K,服务费明细!$B193,服务费底表!$H:$H,服务费明细!BJ$3)</f>
        <v>0</v>
      </c>
      <c r="BK193" s="388">
        <f>SUMIFS(服务费底表!$AC:$AC,服务费底表!$K:$K,服务费明细!$B193,服务费底表!$H:$H,服务费明细!BK$3)</f>
        <v>0</v>
      </c>
      <c r="BL193" s="388">
        <f>SUMIFS(服务费底表!$AC:$AC,服务费底表!$K:$K,服务费明细!$B193,服务费底表!$H:$H,服务费明细!BL$3)</f>
        <v>0</v>
      </c>
      <c r="BM193" s="388">
        <f>SUMIFS(服务费底表!$AC:$AC,服务费底表!$K:$K,服务费明细!$B193,服务费底表!$H:$H,服务费明细!BM$3)</f>
        <v>0</v>
      </c>
      <c r="BN193" s="388">
        <f>SUMIFS(服务费底表!$AC:$AC,服务费底表!$K:$K,服务费明细!$B193,服务费底表!$H:$H,服务费明细!BN$3)</f>
        <v>0</v>
      </c>
      <c r="BO193" s="388">
        <f>SUMIFS(服务费底表!$AC:$AC,服务费底表!$K:$K,服务费明细!$B193,服务费底表!$H:$H,服务费明细!BO$3)</f>
        <v>0</v>
      </c>
      <c r="BQ193" s="389">
        <f>SUMIFS(服务费底表!$AD:$AD,服务费底表!$K:$K,服务费明细!$B193,服务费底表!$H:$H,服务费明细!BQ$3)</f>
        <v>0</v>
      </c>
      <c r="BR193" s="389">
        <f>SUMIFS(服务费底表!$AD:$AD,服务费底表!$K:$K,服务费明细!$B193,服务费底表!$H:$H,服务费明细!BR$3)</f>
        <v>0</v>
      </c>
      <c r="BS193" s="389">
        <f>SUMIFS(服务费底表!$AD:$AD,服务费底表!$K:$K,服务费明细!$B193,服务费底表!$H:$H,服务费明细!BS$3)</f>
        <v>0</v>
      </c>
      <c r="BT193" s="389">
        <f>SUMIFS(服务费底表!$AD:$AD,服务费底表!$K:$K,服务费明细!$B193,服务费底表!$H:$H,服务费明细!BT$3)</f>
        <v>0</v>
      </c>
      <c r="BU193" s="389">
        <f>SUMIFS(服务费底表!$AD:$AD,服务费底表!$K:$K,服务费明细!$B193,服务费底表!$H:$H,服务费明细!BU$3)</f>
        <v>0</v>
      </c>
      <c r="BV193" s="389">
        <f>SUMIFS(服务费底表!$AD:$AD,服务费底表!$K:$K,服务费明细!$B193,服务费底表!$H:$H,服务费明细!BV$3)</f>
        <v>0</v>
      </c>
      <c r="BW193" s="389">
        <f>SUMIFS(服务费底表!$AD:$AD,服务费底表!$K:$K,服务费明细!$B193,服务费底表!$H:$H,服务费明细!BW$3)</f>
        <v>0</v>
      </c>
    </row>
    <row r="194" spans="2:75">
      <c r="B194" s="89" t="s">
        <v>361</v>
      </c>
      <c r="C194" s="89" t="str">
        <f>INDEX(二三级标准!$C:$C,MATCH(服务费明细!$B194,二三级标准!$B:$B,0))</f>
        <v>Pop PK/PD(E-R)分析报告撰写</v>
      </c>
      <c r="D194" s="166">
        <v>0</v>
      </c>
      <c r="E194" s="166">
        <f t="shared" si="344"/>
        <v>0</v>
      </c>
      <c r="F194" s="89" t="str">
        <f>INDEX(二三级标准!$G:$G,MATCH(服务费明细!$B194,二三级标准!$B:$B,0))</f>
        <v>次</v>
      </c>
      <c r="G194" s="166">
        <f t="shared" si="316"/>
        <v>0</v>
      </c>
      <c r="H194" s="166">
        <f t="shared" si="317"/>
        <v>0</v>
      </c>
      <c r="I194" s="166">
        <f t="shared" si="318"/>
        <v>0</v>
      </c>
      <c r="J194" s="166">
        <f t="shared" si="319"/>
        <v>0</v>
      </c>
      <c r="K194" s="166">
        <f t="shared" si="320"/>
        <v>0</v>
      </c>
      <c r="L194" s="166">
        <f t="shared" si="321"/>
        <v>0</v>
      </c>
      <c r="M194" s="166">
        <f t="shared" si="322"/>
        <v>0</v>
      </c>
      <c r="N194" s="166">
        <f t="shared" si="323"/>
        <v>0</v>
      </c>
      <c r="O194" s="166">
        <f t="shared" si="324"/>
        <v>0</v>
      </c>
      <c r="P194" s="166">
        <f t="shared" si="325"/>
        <v>0</v>
      </c>
      <c r="Q194" s="166">
        <f t="shared" si="326"/>
        <v>0</v>
      </c>
      <c r="R194" s="166">
        <f t="shared" si="327"/>
        <v>0</v>
      </c>
      <c r="S194" s="166">
        <f t="shared" si="328"/>
        <v>0</v>
      </c>
      <c r="T194" s="166">
        <f t="shared" si="329"/>
        <v>0</v>
      </c>
      <c r="U194" s="166">
        <f t="shared" si="330"/>
        <v>0</v>
      </c>
      <c r="V194" s="166">
        <f t="shared" si="331"/>
        <v>0</v>
      </c>
      <c r="W194" s="166">
        <f t="shared" si="332"/>
        <v>0</v>
      </c>
      <c r="X194" s="166">
        <f t="shared" si="333"/>
        <v>0</v>
      </c>
      <c r="Y194" s="166">
        <f t="shared" si="334"/>
        <v>0</v>
      </c>
      <c r="Z194" s="166">
        <f t="shared" si="335"/>
        <v>0</v>
      </c>
      <c r="AA194" s="166">
        <f t="shared" si="336"/>
        <v>0</v>
      </c>
      <c r="AB194" s="166">
        <f t="shared" si="337"/>
        <v>0</v>
      </c>
      <c r="AC194" s="166" cm="1">
        <f t="array" ref="AC194">SUMPRODUCT(G194:AB194,$G$4:$AB$4)</f>
        <v>0</v>
      </c>
      <c r="AD194" s="89" t="b">
        <f t="shared" si="342"/>
        <v>1</v>
      </c>
      <c r="AE194" s="386">
        <f>IFERROR(SUMIF(服务费底表!$K:$K,服务费明细!$B194,服务费底表!$AD:$AD)/E194,0)</f>
        <v>0</v>
      </c>
      <c r="AF194" s="386">
        <f t="shared" si="345"/>
        <v>0</v>
      </c>
      <c r="AG194" s="386">
        <f>IFERROR(SUMIF(服务费底表!$K:$K,服务费明细!$B194,服务费底表!$AG:$AG)/E194,0)</f>
        <v>0</v>
      </c>
      <c r="AH194" s="386">
        <f t="shared" si="314"/>
        <v>0</v>
      </c>
      <c r="AI194" s="409"/>
      <c r="AJ194" s="563">
        <f t="shared" si="341"/>
        <v>0</v>
      </c>
      <c r="AK194" s="564">
        <f>SUMIF(服务费底表!$K:$K,服务费明细!$B194,服务费底表!$AC:$AC)</f>
        <v>0</v>
      </c>
      <c r="AL194" s="166">
        <f>SUMIFS(服务费底表!$AC:$AC,服务费底表!$K:$K,服务费明细!$B194,服务费底表!$T:$T,AL$3)</f>
        <v>0</v>
      </c>
      <c r="AM194" s="166">
        <f>SUMIFS(服务费底表!$AC:$AC,服务费底表!$K:$K,服务费明细!$B194,服务费底表!$T:$T,AM$3)</f>
        <v>0</v>
      </c>
      <c r="AN194" s="166">
        <f>SUMIFS(服务费底表!$AC:$AC,服务费底表!$K:$K,服务费明细!$B194,服务费底表!$T:$T,AN$3)</f>
        <v>0</v>
      </c>
      <c r="AO194" s="166">
        <f>SUMIFS(服务费底表!$AC:$AC,服务费底表!$K:$K,服务费明细!$B194,服务费底表!$T:$T,AO$3)</f>
        <v>0</v>
      </c>
      <c r="AP194" s="166">
        <f>SUMIFS(服务费底表!$AC:$AC,服务费底表!$K:$K,服务费明细!$B194,服务费底表!$T:$T,AP$3)</f>
        <v>0</v>
      </c>
      <c r="AQ194" s="166">
        <f>SUMIFS(服务费底表!$AC:$AC,服务费底表!$K:$K,服务费明细!$B194,服务费底表!$T:$T,AQ$3)</f>
        <v>0</v>
      </c>
      <c r="AR194" s="166">
        <f>SUMIFS(服务费底表!$AC:$AC,服务费底表!$K:$K,服务费明细!$B194,服务费底表!$T:$T,AR$3)</f>
        <v>0</v>
      </c>
      <c r="AS194" s="166">
        <f>SUMIFS(服务费底表!$AC:$AC,服务费底表!$K:$K,服务费明细!$B194,服务费底表!$T:$T,AS$3)</f>
        <v>0</v>
      </c>
      <c r="AT194" s="166">
        <f>SUMIFS(服务费底表!$AC:$AC,服务费底表!$K:$K,服务费明细!$B194,服务费底表!$T:$T,AT$3)</f>
        <v>0</v>
      </c>
      <c r="AU194" s="166">
        <f>SUMIFS(服务费底表!$AC:$AC,服务费底表!$K:$K,服务费明细!$B194,服务费底表!$T:$T,AU$3)</f>
        <v>0</v>
      </c>
      <c r="AV194" s="166">
        <f>SUMIFS(服务费底表!$AC:$AC,服务费底表!$K:$K,服务费明细!$B194,服务费底表!$T:$T,AV$3)</f>
        <v>0</v>
      </c>
      <c r="AW194" s="166">
        <f>SUMIFS(服务费底表!$AC:$AC,服务费底表!$K:$K,服务费明细!$B194,服务费底表!$T:$T,AW$3)</f>
        <v>0</v>
      </c>
      <c r="AX194" s="166">
        <f>SUMIFS(服务费底表!$AC:$AC,服务费底表!$K:$K,服务费明细!$B194,服务费底表!$T:$T,AX$3)</f>
        <v>0</v>
      </c>
      <c r="AY194" s="166">
        <f>SUMIFS(服务费底表!$AC:$AC,服务费底表!$K:$K,服务费明细!$B194,服务费底表!$T:$T,AY$3)</f>
        <v>0</v>
      </c>
      <c r="AZ194" s="166">
        <f>SUMIFS(服务费底表!$AC:$AC,服务费底表!$K:$K,服务费明细!$B194,服务费底表!$T:$T,AZ$3)</f>
        <v>0</v>
      </c>
      <c r="BA194" s="166">
        <f>SUMIFS(服务费底表!$AC:$AC,服务费底表!$K:$K,服务费明细!$B194,服务费底表!$T:$T,BA$3)</f>
        <v>0</v>
      </c>
      <c r="BB194" s="166">
        <f>SUMIFS(服务费底表!$AC:$AC,服务费底表!$K:$K,服务费明细!$B194,服务费底表!$T:$T,BB$3)</f>
        <v>0</v>
      </c>
      <c r="BC194" s="166">
        <f>SUMIFS(服务费底表!$AC:$AC,服务费底表!$K:$K,服务费明细!$B194,服务费底表!$T:$T,BC$3)</f>
        <v>0</v>
      </c>
      <c r="BD194" s="166">
        <f>SUMIFS(服务费底表!$AC:$AC,服务费底表!$K:$K,服务费明细!$B194,服务费底表!$T:$T,BD$3)</f>
        <v>0</v>
      </c>
      <c r="BE194" s="166">
        <f>SUMIFS(服务费底表!$AC:$AC,服务费底表!$K:$K,服务费明细!$B194,服务费底表!$T:$T,BE$3)</f>
        <v>0</v>
      </c>
      <c r="BF194" s="166">
        <f>SUMIFS(服务费底表!$AC:$AC,服务费底表!$K:$K,服务费明细!$B194,服务费底表!$T:$T,BF$3)</f>
        <v>0</v>
      </c>
      <c r="BG194" s="166">
        <f>SUMIFS(服务费底表!$AC:$AC,服务费底表!$K:$K,服务费明细!$B194,服务费底表!$T:$T,BG$3)</f>
        <v>0</v>
      </c>
      <c r="BI194" s="388">
        <f>SUMIFS(服务费底表!$AC:$AC,服务费底表!$K:$K,服务费明细!$B194,服务费底表!$H:$H,服务费明细!BI$3)</f>
        <v>0</v>
      </c>
      <c r="BJ194" s="388">
        <f>SUMIFS(服务费底表!$AC:$AC,服务费底表!$K:$K,服务费明细!$B194,服务费底表!$H:$H,服务费明细!BJ$3)</f>
        <v>0</v>
      </c>
      <c r="BK194" s="388">
        <f>SUMIFS(服务费底表!$AC:$AC,服务费底表!$K:$K,服务费明细!$B194,服务费底表!$H:$H,服务费明细!BK$3)</f>
        <v>0</v>
      </c>
      <c r="BL194" s="388">
        <f>SUMIFS(服务费底表!$AC:$AC,服务费底表!$K:$K,服务费明细!$B194,服务费底表!$H:$H,服务费明细!BL$3)</f>
        <v>0</v>
      </c>
      <c r="BM194" s="388">
        <f>SUMIFS(服务费底表!$AC:$AC,服务费底表!$K:$K,服务费明细!$B194,服务费底表!$H:$H,服务费明细!BM$3)</f>
        <v>0</v>
      </c>
      <c r="BN194" s="388">
        <f>SUMIFS(服务费底表!$AC:$AC,服务费底表!$K:$K,服务费明细!$B194,服务费底表!$H:$H,服务费明细!BN$3)</f>
        <v>0</v>
      </c>
      <c r="BO194" s="388">
        <f>SUMIFS(服务费底表!$AC:$AC,服务费底表!$K:$K,服务费明细!$B194,服务费底表!$H:$H,服务费明细!BO$3)</f>
        <v>0</v>
      </c>
      <c r="BQ194" s="389">
        <f>SUMIFS(服务费底表!$AD:$AD,服务费底表!$K:$K,服务费明细!$B194,服务费底表!$H:$H,服务费明细!BQ$3)</f>
        <v>0</v>
      </c>
      <c r="BR194" s="389">
        <f>SUMIFS(服务费底表!$AD:$AD,服务费底表!$K:$K,服务费明细!$B194,服务费底表!$H:$H,服务费明细!BR$3)</f>
        <v>0</v>
      </c>
      <c r="BS194" s="389">
        <f>SUMIFS(服务费底表!$AD:$AD,服务费底表!$K:$K,服务费明细!$B194,服务费底表!$H:$H,服务费明细!BS$3)</f>
        <v>0</v>
      </c>
      <c r="BT194" s="389">
        <f>SUMIFS(服务费底表!$AD:$AD,服务费底表!$K:$K,服务费明细!$B194,服务费底表!$H:$H,服务费明细!BT$3)</f>
        <v>0</v>
      </c>
      <c r="BU194" s="389">
        <f>SUMIFS(服务费底表!$AD:$AD,服务费底表!$K:$K,服务费明细!$B194,服务费底表!$H:$H,服务费明细!BU$3)</f>
        <v>0</v>
      </c>
      <c r="BV194" s="389">
        <f>SUMIFS(服务费底表!$AD:$AD,服务费底表!$K:$K,服务费明细!$B194,服务费底表!$H:$H,服务费明细!BV$3)</f>
        <v>0</v>
      </c>
      <c r="BW194" s="389">
        <f>SUMIFS(服务费底表!$AD:$AD,服务费底表!$K:$K,服务费明细!$B194,服务费底表!$H:$H,服务费明细!BW$3)</f>
        <v>0</v>
      </c>
    </row>
    <row r="195" spans="2:75">
      <c r="B195" s="89" t="s">
        <v>1111</v>
      </c>
      <c r="C195" s="89" t="str">
        <f>INDEX(二三级标准!$C:$C,MATCH(服务费明细!$B195,二三级标准!$B:$B,0))</f>
        <v>C-QTc分析计划</v>
      </c>
      <c r="D195" s="166">
        <v>0</v>
      </c>
      <c r="E195" s="166">
        <f t="shared" si="344"/>
        <v>0</v>
      </c>
      <c r="F195" s="89" t="str">
        <f>INDEX(二三级标准!$G:$G,MATCH(服务费明细!$B195,二三级标准!$B:$B,0))</f>
        <v>次</v>
      </c>
      <c r="G195" s="166">
        <f t="shared" si="316"/>
        <v>0</v>
      </c>
      <c r="H195" s="166">
        <f t="shared" si="317"/>
        <v>0</v>
      </c>
      <c r="I195" s="166">
        <f t="shared" si="318"/>
        <v>0</v>
      </c>
      <c r="J195" s="166">
        <f t="shared" si="319"/>
        <v>0</v>
      </c>
      <c r="K195" s="166">
        <f t="shared" si="320"/>
        <v>0</v>
      </c>
      <c r="L195" s="166">
        <f t="shared" si="321"/>
        <v>0</v>
      </c>
      <c r="M195" s="166">
        <f t="shared" si="322"/>
        <v>0</v>
      </c>
      <c r="N195" s="166">
        <f t="shared" si="323"/>
        <v>0</v>
      </c>
      <c r="O195" s="166">
        <f t="shared" si="324"/>
        <v>0</v>
      </c>
      <c r="P195" s="166">
        <f t="shared" si="325"/>
        <v>0</v>
      </c>
      <c r="Q195" s="166">
        <f t="shared" si="326"/>
        <v>0</v>
      </c>
      <c r="R195" s="166">
        <f t="shared" si="327"/>
        <v>0</v>
      </c>
      <c r="S195" s="166">
        <f t="shared" si="328"/>
        <v>0</v>
      </c>
      <c r="T195" s="166">
        <f t="shared" si="329"/>
        <v>0</v>
      </c>
      <c r="U195" s="166">
        <f t="shared" si="330"/>
        <v>0</v>
      </c>
      <c r="V195" s="166">
        <f t="shared" si="331"/>
        <v>0</v>
      </c>
      <c r="W195" s="166">
        <f t="shared" si="332"/>
        <v>0</v>
      </c>
      <c r="X195" s="166">
        <f t="shared" si="333"/>
        <v>0</v>
      </c>
      <c r="Y195" s="166">
        <f t="shared" si="334"/>
        <v>0</v>
      </c>
      <c r="Z195" s="166">
        <f t="shared" si="335"/>
        <v>0</v>
      </c>
      <c r="AA195" s="166">
        <f t="shared" si="336"/>
        <v>0</v>
      </c>
      <c r="AB195" s="166">
        <f t="shared" si="337"/>
        <v>0</v>
      </c>
      <c r="AC195" s="166" cm="1">
        <f t="array" ref="AC195">SUMPRODUCT(G195:AB195,$G$4:$AB$4)</f>
        <v>0</v>
      </c>
      <c r="AD195" s="89" t="b">
        <f t="shared" si="342"/>
        <v>1</v>
      </c>
      <c r="AE195" s="386">
        <f>IFERROR(SUMIF(服务费底表!$K:$K,服务费明细!$B195,服务费底表!$AD:$AD)/E195,0)</f>
        <v>0</v>
      </c>
      <c r="AF195" s="386">
        <f t="shared" si="345"/>
        <v>0</v>
      </c>
      <c r="AG195" s="386">
        <f>IFERROR(SUMIF(服务费底表!$K:$K,服务费明细!$B195,服务费底表!$AG:$AG)/E195,0)</f>
        <v>0</v>
      </c>
      <c r="AH195" s="386">
        <f t="shared" ref="AH195:AH203" si="346">AG195*E195</f>
        <v>0</v>
      </c>
      <c r="AI195" s="409"/>
      <c r="AJ195" s="563">
        <f t="shared" si="341"/>
        <v>0</v>
      </c>
      <c r="AK195" s="564">
        <f>SUMIF(服务费底表!$K:$K,服务费明细!$B195,服务费底表!$AC:$AC)</f>
        <v>0</v>
      </c>
      <c r="AL195" s="166">
        <f>SUMIFS(服务费底表!$AC:$AC,服务费底表!$K:$K,服务费明细!$B195,服务费底表!$T:$T,AL$3)</f>
        <v>0</v>
      </c>
      <c r="AM195" s="166">
        <f>SUMIFS(服务费底表!$AC:$AC,服务费底表!$K:$K,服务费明细!$B195,服务费底表!$T:$T,AM$3)</f>
        <v>0</v>
      </c>
      <c r="AN195" s="166">
        <f>SUMIFS(服务费底表!$AC:$AC,服务费底表!$K:$K,服务费明细!$B195,服务费底表!$T:$T,AN$3)</f>
        <v>0</v>
      </c>
      <c r="AO195" s="166">
        <f>SUMIFS(服务费底表!$AC:$AC,服务费底表!$K:$K,服务费明细!$B195,服务费底表!$T:$T,AO$3)</f>
        <v>0</v>
      </c>
      <c r="AP195" s="166">
        <f>SUMIFS(服务费底表!$AC:$AC,服务费底表!$K:$K,服务费明细!$B195,服务费底表!$T:$T,AP$3)</f>
        <v>0</v>
      </c>
      <c r="AQ195" s="166">
        <f>SUMIFS(服务费底表!$AC:$AC,服务费底表!$K:$K,服务费明细!$B195,服务费底表!$T:$T,AQ$3)</f>
        <v>0</v>
      </c>
      <c r="AR195" s="166">
        <f>SUMIFS(服务费底表!$AC:$AC,服务费底表!$K:$K,服务费明细!$B195,服务费底表!$T:$T,AR$3)</f>
        <v>0</v>
      </c>
      <c r="AS195" s="166">
        <f>SUMIFS(服务费底表!$AC:$AC,服务费底表!$K:$K,服务费明细!$B195,服务费底表!$T:$T,AS$3)</f>
        <v>0</v>
      </c>
      <c r="AT195" s="166">
        <f>SUMIFS(服务费底表!$AC:$AC,服务费底表!$K:$K,服务费明细!$B195,服务费底表!$T:$T,AT$3)</f>
        <v>0</v>
      </c>
      <c r="AU195" s="166">
        <f>SUMIFS(服务费底表!$AC:$AC,服务费底表!$K:$K,服务费明细!$B195,服务费底表!$T:$T,AU$3)</f>
        <v>0</v>
      </c>
      <c r="AV195" s="166">
        <f>SUMIFS(服务费底表!$AC:$AC,服务费底表!$K:$K,服务费明细!$B195,服务费底表!$T:$T,AV$3)</f>
        <v>0</v>
      </c>
      <c r="AW195" s="166">
        <f>SUMIFS(服务费底表!$AC:$AC,服务费底表!$K:$K,服务费明细!$B195,服务费底表!$T:$T,AW$3)</f>
        <v>0</v>
      </c>
      <c r="AX195" s="166">
        <f>SUMIFS(服务费底表!$AC:$AC,服务费底表!$K:$K,服务费明细!$B195,服务费底表!$T:$T,AX$3)</f>
        <v>0</v>
      </c>
      <c r="AY195" s="166">
        <f>SUMIFS(服务费底表!$AC:$AC,服务费底表!$K:$K,服务费明细!$B195,服务费底表!$T:$T,AY$3)</f>
        <v>0</v>
      </c>
      <c r="AZ195" s="166">
        <f>SUMIFS(服务费底表!$AC:$AC,服务费底表!$K:$K,服务费明细!$B195,服务费底表!$T:$T,AZ$3)</f>
        <v>0</v>
      </c>
      <c r="BA195" s="166">
        <f>SUMIFS(服务费底表!$AC:$AC,服务费底表!$K:$K,服务费明细!$B195,服务费底表!$T:$T,BA$3)</f>
        <v>0</v>
      </c>
      <c r="BB195" s="166">
        <f>SUMIFS(服务费底表!$AC:$AC,服务费底表!$K:$K,服务费明细!$B195,服务费底表!$T:$T,BB$3)</f>
        <v>0</v>
      </c>
      <c r="BC195" s="166">
        <f>SUMIFS(服务费底表!$AC:$AC,服务费底表!$K:$K,服务费明细!$B195,服务费底表!$T:$T,BC$3)</f>
        <v>0</v>
      </c>
      <c r="BD195" s="166">
        <f>SUMIFS(服务费底表!$AC:$AC,服务费底表!$K:$K,服务费明细!$B195,服务费底表!$T:$T,BD$3)</f>
        <v>0</v>
      </c>
      <c r="BE195" s="166">
        <f>SUMIFS(服务费底表!$AC:$AC,服务费底表!$K:$K,服务费明细!$B195,服务费底表!$T:$T,BE$3)</f>
        <v>0</v>
      </c>
      <c r="BF195" s="166">
        <f>SUMIFS(服务费底表!$AC:$AC,服务费底表!$K:$K,服务费明细!$B195,服务费底表!$T:$T,BF$3)</f>
        <v>0</v>
      </c>
      <c r="BG195" s="166">
        <f>SUMIFS(服务费底表!$AC:$AC,服务费底表!$K:$K,服务费明细!$B195,服务费底表!$T:$T,BG$3)</f>
        <v>0</v>
      </c>
      <c r="BI195" s="388">
        <f>SUMIFS(服务费底表!$AC:$AC,服务费底表!$K:$K,服务费明细!$B195,服务费底表!$H:$H,服务费明细!BI$3)</f>
        <v>0</v>
      </c>
      <c r="BJ195" s="388">
        <f>SUMIFS(服务费底表!$AC:$AC,服务费底表!$K:$K,服务费明细!$B195,服务费底表!$H:$H,服务费明细!BJ$3)</f>
        <v>0</v>
      </c>
      <c r="BK195" s="388">
        <f>SUMIFS(服务费底表!$AC:$AC,服务费底表!$K:$K,服务费明细!$B195,服务费底表!$H:$H,服务费明细!BK$3)</f>
        <v>0</v>
      </c>
      <c r="BL195" s="388">
        <f>SUMIFS(服务费底表!$AC:$AC,服务费底表!$K:$K,服务费明细!$B195,服务费底表!$H:$H,服务费明细!BL$3)</f>
        <v>0</v>
      </c>
      <c r="BM195" s="388">
        <f>SUMIFS(服务费底表!$AC:$AC,服务费底表!$K:$K,服务费明细!$B195,服务费底表!$H:$H,服务费明细!BM$3)</f>
        <v>0</v>
      </c>
      <c r="BN195" s="388">
        <f>SUMIFS(服务费底表!$AC:$AC,服务费底表!$K:$K,服务费明细!$B195,服务费底表!$H:$H,服务费明细!BN$3)</f>
        <v>0</v>
      </c>
      <c r="BO195" s="388">
        <f>SUMIFS(服务费底表!$AC:$AC,服务费底表!$K:$K,服务费明细!$B195,服务费底表!$H:$H,服务费明细!BO$3)</f>
        <v>0</v>
      </c>
      <c r="BQ195" s="389">
        <f>SUMIFS(服务费底表!$AD:$AD,服务费底表!$K:$K,服务费明细!$B195,服务费底表!$H:$H,服务费明细!BQ$3)</f>
        <v>0</v>
      </c>
      <c r="BR195" s="389">
        <f>SUMIFS(服务费底表!$AD:$AD,服务费底表!$K:$K,服务费明细!$B195,服务费底表!$H:$H,服务费明细!BR$3)</f>
        <v>0</v>
      </c>
      <c r="BS195" s="389">
        <f>SUMIFS(服务费底表!$AD:$AD,服务费底表!$K:$K,服务费明细!$B195,服务费底表!$H:$H,服务费明细!BS$3)</f>
        <v>0</v>
      </c>
      <c r="BT195" s="389">
        <f>SUMIFS(服务费底表!$AD:$AD,服务费底表!$K:$K,服务费明细!$B195,服务费底表!$H:$H,服务费明细!BT$3)</f>
        <v>0</v>
      </c>
      <c r="BU195" s="389">
        <f>SUMIFS(服务费底表!$AD:$AD,服务费底表!$K:$K,服务费明细!$B195,服务费底表!$H:$H,服务费明细!BU$3)</f>
        <v>0</v>
      </c>
      <c r="BV195" s="389">
        <f>SUMIFS(服务费底表!$AD:$AD,服务费底表!$K:$K,服务费明细!$B195,服务费底表!$H:$H,服务费明细!BV$3)</f>
        <v>0</v>
      </c>
      <c r="BW195" s="389">
        <f>SUMIFS(服务费底表!$AD:$AD,服务费底表!$K:$K,服务费明细!$B195,服务费底表!$H:$H,服务费明细!BW$3)</f>
        <v>0</v>
      </c>
    </row>
    <row r="196" spans="2:75">
      <c r="B196" s="89" t="s">
        <v>1112</v>
      </c>
      <c r="C196" s="89" t="str">
        <f>INDEX(二三级标准!$C:$C,MATCH(服务费明细!$B196,二三级标准!$B:$B,0))</f>
        <v>数据整理</v>
      </c>
      <c r="D196" s="166">
        <v>0</v>
      </c>
      <c r="E196" s="166">
        <f t="shared" si="344"/>
        <v>0</v>
      </c>
      <c r="F196" s="89" t="str">
        <f>INDEX(二三级标准!$G:$G,MATCH(服务费明细!$B196,二三级标准!$B:$B,0))</f>
        <v>次</v>
      </c>
      <c r="G196" s="166">
        <f t="shared" si="316"/>
        <v>0</v>
      </c>
      <c r="H196" s="166">
        <f t="shared" si="317"/>
        <v>0</v>
      </c>
      <c r="I196" s="166">
        <f t="shared" si="318"/>
        <v>0</v>
      </c>
      <c r="J196" s="166">
        <f t="shared" si="319"/>
        <v>0</v>
      </c>
      <c r="K196" s="166">
        <f t="shared" si="320"/>
        <v>0</v>
      </c>
      <c r="L196" s="166">
        <f t="shared" si="321"/>
        <v>0</v>
      </c>
      <c r="M196" s="166">
        <f t="shared" si="322"/>
        <v>0</v>
      </c>
      <c r="N196" s="166">
        <f t="shared" si="323"/>
        <v>0</v>
      </c>
      <c r="O196" s="166">
        <f t="shared" si="324"/>
        <v>0</v>
      </c>
      <c r="P196" s="166">
        <f t="shared" si="325"/>
        <v>0</v>
      </c>
      <c r="Q196" s="166">
        <f t="shared" si="326"/>
        <v>0</v>
      </c>
      <c r="R196" s="166">
        <f t="shared" si="327"/>
        <v>0</v>
      </c>
      <c r="S196" s="166">
        <f t="shared" si="328"/>
        <v>0</v>
      </c>
      <c r="T196" s="166">
        <f t="shared" si="329"/>
        <v>0</v>
      </c>
      <c r="U196" s="166">
        <f t="shared" si="330"/>
        <v>0</v>
      </c>
      <c r="V196" s="166">
        <f t="shared" si="331"/>
        <v>0</v>
      </c>
      <c r="W196" s="166">
        <f t="shared" si="332"/>
        <v>0</v>
      </c>
      <c r="X196" s="166">
        <f t="shared" si="333"/>
        <v>0</v>
      </c>
      <c r="Y196" s="166">
        <f t="shared" si="334"/>
        <v>0</v>
      </c>
      <c r="Z196" s="166">
        <f t="shared" si="335"/>
        <v>0</v>
      </c>
      <c r="AA196" s="166">
        <f t="shared" si="336"/>
        <v>0</v>
      </c>
      <c r="AB196" s="166">
        <f t="shared" si="337"/>
        <v>0</v>
      </c>
      <c r="AC196" s="166" cm="1">
        <f t="array" ref="AC196">SUMPRODUCT(G196:AB196,$G$4:$AB$4)</f>
        <v>0</v>
      </c>
      <c r="AD196" s="89" t="b">
        <f t="shared" si="342"/>
        <v>1</v>
      </c>
      <c r="AE196" s="386">
        <f>IFERROR(SUMIF(服务费底表!$K:$K,服务费明细!$B196,服务费底表!$AD:$AD)/E196,0)</f>
        <v>0</v>
      </c>
      <c r="AF196" s="386">
        <f t="shared" si="345"/>
        <v>0</v>
      </c>
      <c r="AG196" s="386">
        <f>IFERROR(SUMIF(服务费底表!$K:$K,服务费明细!$B196,服务费底表!$AG:$AG)/E196,0)</f>
        <v>0</v>
      </c>
      <c r="AH196" s="386">
        <f t="shared" si="346"/>
        <v>0</v>
      </c>
      <c r="AI196" s="409"/>
      <c r="AJ196" s="563">
        <f t="shared" si="341"/>
        <v>0</v>
      </c>
      <c r="AK196" s="564">
        <f>SUMIF(服务费底表!$K:$K,服务费明细!$B196,服务费底表!$AC:$AC)</f>
        <v>0</v>
      </c>
      <c r="AL196" s="166">
        <f>SUMIFS(服务费底表!$AC:$AC,服务费底表!$K:$K,服务费明细!$B196,服务费底表!$T:$T,AL$3)</f>
        <v>0</v>
      </c>
      <c r="AM196" s="166">
        <f>SUMIFS(服务费底表!$AC:$AC,服务费底表!$K:$K,服务费明细!$B196,服务费底表!$T:$T,AM$3)</f>
        <v>0</v>
      </c>
      <c r="AN196" s="166">
        <f>SUMIFS(服务费底表!$AC:$AC,服务费底表!$K:$K,服务费明细!$B196,服务费底表!$T:$T,AN$3)</f>
        <v>0</v>
      </c>
      <c r="AO196" s="166">
        <f>SUMIFS(服务费底表!$AC:$AC,服务费底表!$K:$K,服务费明细!$B196,服务费底表!$T:$T,AO$3)</f>
        <v>0</v>
      </c>
      <c r="AP196" s="166">
        <f>SUMIFS(服务费底表!$AC:$AC,服务费底表!$K:$K,服务费明细!$B196,服务费底表!$T:$T,AP$3)</f>
        <v>0</v>
      </c>
      <c r="AQ196" s="166">
        <f>SUMIFS(服务费底表!$AC:$AC,服务费底表!$K:$K,服务费明细!$B196,服务费底表!$T:$T,AQ$3)</f>
        <v>0</v>
      </c>
      <c r="AR196" s="166">
        <f>SUMIFS(服务费底表!$AC:$AC,服务费底表!$K:$K,服务费明细!$B196,服务费底表!$T:$T,AR$3)</f>
        <v>0</v>
      </c>
      <c r="AS196" s="166">
        <f>SUMIFS(服务费底表!$AC:$AC,服务费底表!$K:$K,服务费明细!$B196,服务费底表!$T:$T,AS$3)</f>
        <v>0</v>
      </c>
      <c r="AT196" s="166">
        <f>SUMIFS(服务费底表!$AC:$AC,服务费底表!$K:$K,服务费明细!$B196,服务费底表!$T:$T,AT$3)</f>
        <v>0</v>
      </c>
      <c r="AU196" s="166">
        <f>SUMIFS(服务费底表!$AC:$AC,服务费底表!$K:$K,服务费明细!$B196,服务费底表!$T:$T,AU$3)</f>
        <v>0</v>
      </c>
      <c r="AV196" s="166">
        <f>SUMIFS(服务费底表!$AC:$AC,服务费底表!$K:$K,服务费明细!$B196,服务费底表!$T:$T,AV$3)</f>
        <v>0</v>
      </c>
      <c r="AW196" s="166">
        <f>SUMIFS(服务费底表!$AC:$AC,服务费底表!$K:$K,服务费明细!$B196,服务费底表!$T:$T,AW$3)</f>
        <v>0</v>
      </c>
      <c r="AX196" s="166">
        <f>SUMIFS(服务费底表!$AC:$AC,服务费底表!$K:$K,服务费明细!$B196,服务费底表!$T:$T,AX$3)</f>
        <v>0</v>
      </c>
      <c r="AY196" s="166">
        <f>SUMIFS(服务费底表!$AC:$AC,服务费底表!$K:$K,服务费明细!$B196,服务费底表!$T:$T,AY$3)</f>
        <v>0</v>
      </c>
      <c r="AZ196" s="166">
        <f>SUMIFS(服务费底表!$AC:$AC,服务费底表!$K:$K,服务费明细!$B196,服务费底表!$T:$T,AZ$3)</f>
        <v>0</v>
      </c>
      <c r="BA196" s="166">
        <f>SUMIFS(服务费底表!$AC:$AC,服务费底表!$K:$K,服务费明细!$B196,服务费底表!$T:$T,BA$3)</f>
        <v>0</v>
      </c>
      <c r="BB196" s="166">
        <f>SUMIFS(服务费底表!$AC:$AC,服务费底表!$K:$K,服务费明细!$B196,服务费底表!$T:$T,BB$3)</f>
        <v>0</v>
      </c>
      <c r="BC196" s="166">
        <f>SUMIFS(服务费底表!$AC:$AC,服务费底表!$K:$K,服务费明细!$B196,服务费底表!$T:$T,BC$3)</f>
        <v>0</v>
      </c>
      <c r="BD196" s="166">
        <f>SUMIFS(服务费底表!$AC:$AC,服务费底表!$K:$K,服务费明细!$B196,服务费底表!$T:$T,BD$3)</f>
        <v>0</v>
      </c>
      <c r="BE196" s="166">
        <f>SUMIFS(服务费底表!$AC:$AC,服务费底表!$K:$K,服务费明细!$B196,服务费底表!$T:$T,BE$3)</f>
        <v>0</v>
      </c>
      <c r="BF196" s="166">
        <f>SUMIFS(服务费底表!$AC:$AC,服务费底表!$K:$K,服务费明细!$B196,服务费底表!$T:$T,BF$3)</f>
        <v>0</v>
      </c>
      <c r="BG196" s="166">
        <f>SUMIFS(服务费底表!$AC:$AC,服务费底表!$K:$K,服务费明细!$B196,服务费底表!$T:$T,BG$3)</f>
        <v>0</v>
      </c>
      <c r="BI196" s="388">
        <f>SUMIFS(服务费底表!$AC:$AC,服务费底表!$K:$K,服务费明细!$B196,服务费底表!$H:$H,服务费明细!BI$3)</f>
        <v>0</v>
      </c>
      <c r="BJ196" s="388">
        <f>SUMIFS(服务费底表!$AC:$AC,服务费底表!$K:$K,服务费明细!$B196,服务费底表!$H:$H,服务费明细!BJ$3)</f>
        <v>0</v>
      </c>
      <c r="BK196" s="388">
        <f>SUMIFS(服务费底表!$AC:$AC,服务费底表!$K:$K,服务费明细!$B196,服务费底表!$H:$H,服务费明细!BK$3)</f>
        <v>0</v>
      </c>
      <c r="BL196" s="388">
        <f>SUMIFS(服务费底表!$AC:$AC,服务费底表!$K:$K,服务费明细!$B196,服务费底表!$H:$H,服务费明细!BL$3)</f>
        <v>0</v>
      </c>
      <c r="BM196" s="388">
        <f>SUMIFS(服务费底表!$AC:$AC,服务费底表!$K:$K,服务费明细!$B196,服务费底表!$H:$H,服务费明细!BM$3)</f>
        <v>0</v>
      </c>
      <c r="BN196" s="388">
        <f>SUMIFS(服务费底表!$AC:$AC,服务费底表!$K:$K,服务费明细!$B196,服务费底表!$H:$H,服务费明细!BN$3)</f>
        <v>0</v>
      </c>
      <c r="BO196" s="388">
        <f>SUMIFS(服务费底表!$AC:$AC,服务费底表!$K:$K,服务费明细!$B196,服务费底表!$H:$H,服务费明细!BO$3)</f>
        <v>0</v>
      </c>
      <c r="BQ196" s="389">
        <f>SUMIFS(服务费底表!$AD:$AD,服务费底表!$K:$K,服务费明细!$B196,服务费底表!$H:$H,服务费明细!BQ$3)</f>
        <v>0</v>
      </c>
      <c r="BR196" s="389">
        <f>SUMIFS(服务费底表!$AD:$AD,服务费底表!$K:$K,服务费明细!$B196,服务费底表!$H:$H,服务费明细!BR$3)</f>
        <v>0</v>
      </c>
      <c r="BS196" s="389">
        <f>SUMIFS(服务费底表!$AD:$AD,服务费底表!$K:$K,服务费明细!$B196,服务费底表!$H:$H,服务费明细!BS$3)</f>
        <v>0</v>
      </c>
      <c r="BT196" s="389">
        <f>SUMIFS(服务费底表!$AD:$AD,服务费底表!$K:$K,服务费明细!$B196,服务费底表!$H:$H,服务费明细!BT$3)</f>
        <v>0</v>
      </c>
      <c r="BU196" s="389">
        <f>SUMIFS(服务费底表!$AD:$AD,服务费底表!$K:$K,服务费明细!$B196,服务费底表!$H:$H,服务费明细!BU$3)</f>
        <v>0</v>
      </c>
      <c r="BV196" s="389">
        <f>SUMIFS(服务费底表!$AD:$AD,服务费底表!$K:$K,服务费明细!$B196,服务费底表!$H:$H,服务费明细!BV$3)</f>
        <v>0</v>
      </c>
      <c r="BW196" s="389">
        <f>SUMIFS(服务费底表!$AD:$AD,服务费底表!$K:$K,服务费明细!$B196,服务费底表!$H:$H,服务费明细!BW$3)</f>
        <v>0</v>
      </c>
    </row>
    <row r="197" spans="2:75">
      <c r="B197" s="89" t="s">
        <v>1113</v>
      </c>
      <c r="C197" s="89" t="str">
        <f>INDEX(二三级标准!$C:$C,MATCH(服务费明细!$B197,二三级标准!$B:$B,0))</f>
        <v>探索性分析</v>
      </c>
      <c r="D197" s="166">
        <v>0</v>
      </c>
      <c r="E197" s="166">
        <f t="shared" si="344"/>
        <v>0</v>
      </c>
      <c r="F197" s="89" t="str">
        <f>INDEX(二三级标准!$G:$G,MATCH(服务费明细!$B197,二三级标准!$B:$B,0))</f>
        <v>次</v>
      </c>
      <c r="G197" s="166">
        <f t="shared" si="316"/>
        <v>0</v>
      </c>
      <c r="H197" s="166">
        <f t="shared" si="317"/>
        <v>0</v>
      </c>
      <c r="I197" s="166">
        <f t="shared" si="318"/>
        <v>0</v>
      </c>
      <c r="J197" s="166">
        <f t="shared" si="319"/>
        <v>0</v>
      </c>
      <c r="K197" s="166">
        <f t="shared" si="320"/>
        <v>0</v>
      </c>
      <c r="L197" s="166">
        <f t="shared" si="321"/>
        <v>0</v>
      </c>
      <c r="M197" s="166">
        <f t="shared" si="322"/>
        <v>0</v>
      </c>
      <c r="N197" s="166">
        <f t="shared" si="323"/>
        <v>0</v>
      </c>
      <c r="O197" s="166">
        <f t="shared" si="324"/>
        <v>0</v>
      </c>
      <c r="P197" s="166">
        <f t="shared" si="325"/>
        <v>0</v>
      </c>
      <c r="Q197" s="166">
        <f t="shared" si="326"/>
        <v>0</v>
      </c>
      <c r="R197" s="166">
        <f t="shared" si="327"/>
        <v>0</v>
      </c>
      <c r="S197" s="166">
        <f t="shared" si="328"/>
        <v>0</v>
      </c>
      <c r="T197" s="166">
        <f t="shared" si="329"/>
        <v>0</v>
      </c>
      <c r="U197" s="166">
        <f t="shared" si="330"/>
        <v>0</v>
      </c>
      <c r="V197" s="166">
        <f t="shared" si="331"/>
        <v>0</v>
      </c>
      <c r="W197" s="166">
        <f t="shared" si="332"/>
        <v>0</v>
      </c>
      <c r="X197" s="166">
        <f t="shared" si="333"/>
        <v>0</v>
      </c>
      <c r="Y197" s="166">
        <f t="shared" si="334"/>
        <v>0</v>
      </c>
      <c r="Z197" s="166">
        <f t="shared" si="335"/>
        <v>0</v>
      </c>
      <c r="AA197" s="166">
        <f t="shared" si="336"/>
        <v>0</v>
      </c>
      <c r="AB197" s="166">
        <f t="shared" si="337"/>
        <v>0</v>
      </c>
      <c r="AC197" s="166" cm="1">
        <f t="array" ref="AC197">SUMPRODUCT(G197:AB197,$G$4:$AB$4)</f>
        <v>0</v>
      </c>
      <c r="AD197" s="89" t="b">
        <f t="shared" si="342"/>
        <v>1</v>
      </c>
      <c r="AE197" s="386">
        <f>IFERROR(SUMIF(服务费底表!$K:$K,服务费明细!$B197,服务费底表!$AD:$AD)/E197,0)</f>
        <v>0</v>
      </c>
      <c r="AF197" s="386">
        <f t="shared" si="345"/>
        <v>0</v>
      </c>
      <c r="AG197" s="386">
        <f>IFERROR(SUMIF(服务费底表!$K:$K,服务费明细!$B197,服务费底表!$AG:$AG)/E197,0)</f>
        <v>0</v>
      </c>
      <c r="AH197" s="386">
        <f t="shared" si="346"/>
        <v>0</v>
      </c>
      <c r="AI197" s="409"/>
      <c r="AJ197" s="563">
        <f t="shared" si="341"/>
        <v>0</v>
      </c>
      <c r="AK197" s="564">
        <f>SUMIF(服务费底表!$K:$K,服务费明细!$B197,服务费底表!$AC:$AC)</f>
        <v>0</v>
      </c>
      <c r="AL197" s="166">
        <f>SUMIFS(服务费底表!$AC:$AC,服务费底表!$K:$K,服务费明细!$B197,服务费底表!$T:$T,AL$3)</f>
        <v>0</v>
      </c>
      <c r="AM197" s="166">
        <f>SUMIFS(服务费底表!$AC:$AC,服务费底表!$K:$K,服务费明细!$B197,服务费底表!$T:$T,AM$3)</f>
        <v>0</v>
      </c>
      <c r="AN197" s="166">
        <f>SUMIFS(服务费底表!$AC:$AC,服务费底表!$K:$K,服务费明细!$B197,服务费底表!$T:$T,AN$3)</f>
        <v>0</v>
      </c>
      <c r="AO197" s="166">
        <f>SUMIFS(服务费底表!$AC:$AC,服务费底表!$K:$K,服务费明细!$B197,服务费底表!$T:$T,AO$3)</f>
        <v>0</v>
      </c>
      <c r="AP197" s="166">
        <f>SUMIFS(服务费底表!$AC:$AC,服务费底表!$K:$K,服务费明细!$B197,服务费底表!$T:$T,AP$3)</f>
        <v>0</v>
      </c>
      <c r="AQ197" s="166">
        <f>SUMIFS(服务费底表!$AC:$AC,服务费底表!$K:$K,服务费明细!$B197,服务费底表!$T:$T,AQ$3)</f>
        <v>0</v>
      </c>
      <c r="AR197" s="166">
        <f>SUMIFS(服务费底表!$AC:$AC,服务费底表!$K:$K,服务费明细!$B197,服务费底表!$T:$T,AR$3)</f>
        <v>0</v>
      </c>
      <c r="AS197" s="166">
        <f>SUMIFS(服务费底表!$AC:$AC,服务费底表!$K:$K,服务费明细!$B197,服务费底表!$T:$T,AS$3)</f>
        <v>0</v>
      </c>
      <c r="AT197" s="166">
        <f>SUMIFS(服务费底表!$AC:$AC,服务费底表!$K:$K,服务费明细!$B197,服务费底表!$T:$T,AT$3)</f>
        <v>0</v>
      </c>
      <c r="AU197" s="166">
        <f>SUMIFS(服务费底表!$AC:$AC,服务费底表!$K:$K,服务费明细!$B197,服务费底表!$T:$T,AU$3)</f>
        <v>0</v>
      </c>
      <c r="AV197" s="166">
        <f>SUMIFS(服务费底表!$AC:$AC,服务费底表!$K:$K,服务费明细!$B197,服务费底表!$T:$T,AV$3)</f>
        <v>0</v>
      </c>
      <c r="AW197" s="166">
        <f>SUMIFS(服务费底表!$AC:$AC,服务费底表!$K:$K,服务费明细!$B197,服务费底表!$T:$T,AW$3)</f>
        <v>0</v>
      </c>
      <c r="AX197" s="166">
        <f>SUMIFS(服务费底表!$AC:$AC,服务费底表!$K:$K,服务费明细!$B197,服务费底表!$T:$T,AX$3)</f>
        <v>0</v>
      </c>
      <c r="AY197" s="166">
        <f>SUMIFS(服务费底表!$AC:$AC,服务费底表!$K:$K,服务费明细!$B197,服务费底表!$T:$T,AY$3)</f>
        <v>0</v>
      </c>
      <c r="AZ197" s="166">
        <f>SUMIFS(服务费底表!$AC:$AC,服务费底表!$K:$K,服务费明细!$B197,服务费底表!$T:$T,AZ$3)</f>
        <v>0</v>
      </c>
      <c r="BA197" s="166">
        <f>SUMIFS(服务费底表!$AC:$AC,服务费底表!$K:$K,服务费明细!$B197,服务费底表!$T:$T,BA$3)</f>
        <v>0</v>
      </c>
      <c r="BB197" s="166">
        <f>SUMIFS(服务费底表!$AC:$AC,服务费底表!$K:$K,服务费明细!$B197,服务费底表!$T:$T,BB$3)</f>
        <v>0</v>
      </c>
      <c r="BC197" s="166">
        <f>SUMIFS(服务费底表!$AC:$AC,服务费底表!$K:$K,服务费明细!$B197,服务费底表!$T:$T,BC$3)</f>
        <v>0</v>
      </c>
      <c r="BD197" s="166">
        <f>SUMIFS(服务费底表!$AC:$AC,服务费底表!$K:$K,服务费明细!$B197,服务费底表!$T:$T,BD$3)</f>
        <v>0</v>
      </c>
      <c r="BE197" s="166">
        <f>SUMIFS(服务费底表!$AC:$AC,服务费底表!$K:$K,服务费明细!$B197,服务费底表!$T:$T,BE$3)</f>
        <v>0</v>
      </c>
      <c r="BF197" s="166">
        <f>SUMIFS(服务费底表!$AC:$AC,服务费底表!$K:$K,服务费明细!$B197,服务费底表!$T:$T,BF$3)</f>
        <v>0</v>
      </c>
      <c r="BG197" s="166">
        <f>SUMIFS(服务费底表!$AC:$AC,服务费底表!$K:$K,服务费明细!$B197,服务费底表!$T:$T,BG$3)</f>
        <v>0</v>
      </c>
      <c r="BI197" s="388">
        <f>SUMIFS(服务费底表!$AC:$AC,服务费底表!$K:$K,服务费明细!$B197,服务费底表!$H:$H,服务费明细!BI$3)</f>
        <v>0</v>
      </c>
      <c r="BJ197" s="388">
        <f>SUMIFS(服务费底表!$AC:$AC,服务费底表!$K:$K,服务费明细!$B197,服务费底表!$H:$H,服务费明细!BJ$3)</f>
        <v>0</v>
      </c>
      <c r="BK197" s="388">
        <f>SUMIFS(服务费底表!$AC:$AC,服务费底表!$K:$K,服务费明细!$B197,服务费底表!$H:$H,服务费明细!BK$3)</f>
        <v>0</v>
      </c>
      <c r="BL197" s="388">
        <f>SUMIFS(服务费底表!$AC:$AC,服务费底表!$K:$K,服务费明细!$B197,服务费底表!$H:$H,服务费明细!BL$3)</f>
        <v>0</v>
      </c>
      <c r="BM197" s="388">
        <f>SUMIFS(服务费底表!$AC:$AC,服务费底表!$K:$K,服务费明细!$B197,服务费底表!$H:$H,服务费明细!BM$3)</f>
        <v>0</v>
      </c>
      <c r="BN197" s="388">
        <f>SUMIFS(服务费底表!$AC:$AC,服务费底表!$K:$K,服务费明细!$B197,服务费底表!$H:$H,服务费明细!BN$3)</f>
        <v>0</v>
      </c>
      <c r="BO197" s="388">
        <f>SUMIFS(服务费底表!$AC:$AC,服务费底表!$K:$K,服务费明细!$B197,服务费底表!$H:$H,服务费明细!BO$3)</f>
        <v>0</v>
      </c>
      <c r="BQ197" s="389">
        <f>SUMIFS(服务费底表!$AD:$AD,服务费底表!$K:$K,服务费明细!$B197,服务费底表!$H:$H,服务费明细!BQ$3)</f>
        <v>0</v>
      </c>
      <c r="BR197" s="389">
        <f>SUMIFS(服务费底表!$AD:$AD,服务费底表!$K:$K,服务费明细!$B197,服务费底表!$H:$H,服务费明细!BR$3)</f>
        <v>0</v>
      </c>
      <c r="BS197" s="389">
        <f>SUMIFS(服务费底表!$AD:$AD,服务费底表!$K:$K,服务费明细!$B197,服务费底表!$H:$H,服务费明细!BS$3)</f>
        <v>0</v>
      </c>
      <c r="BT197" s="389">
        <f>SUMIFS(服务费底表!$AD:$AD,服务费底表!$K:$K,服务费明细!$B197,服务费底表!$H:$H,服务费明细!BT$3)</f>
        <v>0</v>
      </c>
      <c r="BU197" s="389">
        <f>SUMIFS(服务费底表!$AD:$AD,服务费底表!$K:$K,服务费明细!$B197,服务费底表!$H:$H,服务费明细!BU$3)</f>
        <v>0</v>
      </c>
      <c r="BV197" s="389">
        <f>SUMIFS(服务费底表!$AD:$AD,服务费底表!$K:$K,服务费明细!$B197,服务费底表!$H:$H,服务费明细!BV$3)</f>
        <v>0</v>
      </c>
      <c r="BW197" s="389">
        <f>SUMIFS(服务费底表!$AD:$AD,服务费底表!$K:$K,服务费明细!$B197,服务费底表!$H:$H,服务费明细!BW$3)</f>
        <v>0</v>
      </c>
    </row>
    <row r="198" spans="2:75">
      <c r="B198" s="89" t="s">
        <v>1114</v>
      </c>
      <c r="C198" s="89" t="str">
        <f>INDEX(二三级标准!$C:$C,MATCH(服务费明细!$B198,二三级标准!$B:$B,0))</f>
        <v>C-QTc建模分析</v>
      </c>
      <c r="D198" s="166">
        <v>0</v>
      </c>
      <c r="E198" s="166">
        <f t="shared" si="344"/>
        <v>0</v>
      </c>
      <c r="F198" s="89" t="str">
        <f>INDEX(二三级标准!$G:$G,MATCH(服务费明细!$B198,二三级标准!$B:$B,0))</f>
        <v>次</v>
      </c>
      <c r="G198" s="166">
        <f t="shared" si="316"/>
        <v>0</v>
      </c>
      <c r="H198" s="166">
        <f t="shared" si="317"/>
        <v>0</v>
      </c>
      <c r="I198" s="166">
        <f t="shared" si="318"/>
        <v>0</v>
      </c>
      <c r="J198" s="166">
        <f t="shared" si="319"/>
        <v>0</v>
      </c>
      <c r="K198" s="166">
        <f t="shared" si="320"/>
        <v>0</v>
      </c>
      <c r="L198" s="166">
        <f t="shared" si="321"/>
        <v>0</v>
      </c>
      <c r="M198" s="166">
        <f t="shared" si="322"/>
        <v>0</v>
      </c>
      <c r="N198" s="166">
        <f t="shared" si="323"/>
        <v>0</v>
      </c>
      <c r="O198" s="166">
        <f t="shared" si="324"/>
        <v>0</v>
      </c>
      <c r="P198" s="166">
        <f t="shared" si="325"/>
        <v>0</v>
      </c>
      <c r="Q198" s="166">
        <f t="shared" si="326"/>
        <v>0</v>
      </c>
      <c r="R198" s="166">
        <f t="shared" si="327"/>
        <v>0</v>
      </c>
      <c r="S198" s="166">
        <f t="shared" si="328"/>
        <v>0</v>
      </c>
      <c r="T198" s="166">
        <f t="shared" si="329"/>
        <v>0</v>
      </c>
      <c r="U198" s="166">
        <f t="shared" si="330"/>
        <v>0</v>
      </c>
      <c r="V198" s="166">
        <f t="shared" si="331"/>
        <v>0</v>
      </c>
      <c r="W198" s="166">
        <f t="shared" si="332"/>
        <v>0</v>
      </c>
      <c r="X198" s="166">
        <f t="shared" si="333"/>
        <v>0</v>
      </c>
      <c r="Y198" s="166">
        <f t="shared" si="334"/>
        <v>0</v>
      </c>
      <c r="Z198" s="166">
        <f t="shared" si="335"/>
        <v>0</v>
      </c>
      <c r="AA198" s="166">
        <f t="shared" si="336"/>
        <v>0</v>
      </c>
      <c r="AB198" s="166">
        <f t="shared" si="337"/>
        <v>0</v>
      </c>
      <c r="AC198" s="166" cm="1">
        <f t="array" ref="AC198">SUMPRODUCT(G198:AB198,$G$4:$AB$4)</f>
        <v>0</v>
      </c>
      <c r="AD198" s="89" t="b">
        <f t="shared" si="342"/>
        <v>1</v>
      </c>
      <c r="AE198" s="386">
        <f>IFERROR(SUMIF(服务费底表!$K:$K,服务费明细!$B198,服务费底表!$AD:$AD)/E198,0)</f>
        <v>0</v>
      </c>
      <c r="AF198" s="386">
        <f t="shared" si="345"/>
        <v>0</v>
      </c>
      <c r="AG198" s="386">
        <f>IFERROR(SUMIF(服务费底表!$K:$K,服务费明细!$B198,服务费底表!$AG:$AG)/E198,0)</f>
        <v>0</v>
      </c>
      <c r="AH198" s="386">
        <f t="shared" si="346"/>
        <v>0</v>
      </c>
      <c r="AI198" s="409"/>
      <c r="AJ198" s="563">
        <f t="shared" si="341"/>
        <v>0</v>
      </c>
      <c r="AK198" s="564">
        <f>SUMIF(服务费底表!$K:$K,服务费明细!$B198,服务费底表!$AC:$AC)</f>
        <v>0</v>
      </c>
      <c r="AL198" s="166">
        <f>SUMIFS(服务费底表!$AC:$AC,服务费底表!$K:$K,服务费明细!$B198,服务费底表!$T:$T,AL$3)</f>
        <v>0</v>
      </c>
      <c r="AM198" s="166">
        <f>SUMIFS(服务费底表!$AC:$AC,服务费底表!$K:$K,服务费明细!$B198,服务费底表!$T:$T,AM$3)</f>
        <v>0</v>
      </c>
      <c r="AN198" s="166">
        <f>SUMIFS(服务费底表!$AC:$AC,服务费底表!$K:$K,服务费明细!$B198,服务费底表!$T:$T,AN$3)</f>
        <v>0</v>
      </c>
      <c r="AO198" s="166">
        <f>SUMIFS(服务费底表!$AC:$AC,服务费底表!$K:$K,服务费明细!$B198,服务费底表!$T:$T,AO$3)</f>
        <v>0</v>
      </c>
      <c r="AP198" s="166">
        <f>SUMIFS(服务费底表!$AC:$AC,服务费底表!$K:$K,服务费明细!$B198,服务费底表!$T:$T,AP$3)</f>
        <v>0</v>
      </c>
      <c r="AQ198" s="166">
        <f>SUMIFS(服务费底表!$AC:$AC,服务费底表!$K:$K,服务费明细!$B198,服务费底表!$T:$T,AQ$3)</f>
        <v>0</v>
      </c>
      <c r="AR198" s="166">
        <f>SUMIFS(服务费底表!$AC:$AC,服务费底表!$K:$K,服务费明细!$B198,服务费底表!$T:$T,AR$3)</f>
        <v>0</v>
      </c>
      <c r="AS198" s="166">
        <f>SUMIFS(服务费底表!$AC:$AC,服务费底表!$K:$K,服务费明细!$B198,服务费底表!$T:$T,AS$3)</f>
        <v>0</v>
      </c>
      <c r="AT198" s="166">
        <f>SUMIFS(服务费底表!$AC:$AC,服务费底表!$K:$K,服务费明细!$B198,服务费底表!$T:$T,AT$3)</f>
        <v>0</v>
      </c>
      <c r="AU198" s="166">
        <f>SUMIFS(服务费底表!$AC:$AC,服务费底表!$K:$K,服务费明细!$B198,服务费底表!$T:$T,AU$3)</f>
        <v>0</v>
      </c>
      <c r="AV198" s="166">
        <f>SUMIFS(服务费底表!$AC:$AC,服务费底表!$K:$K,服务费明细!$B198,服务费底表!$T:$T,AV$3)</f>
        <v>0</v>
      </c>
      <c r="AW198" s="166">
        <f>SUMIFS(服务费底表!$AC:$AC,服务费底表!$K:$K,服务费明细!$B198,服务费底表!$T:$T,AW$3)</f>
        <v>0</v>
      </c>
      <c r="AX198" s="166">
        <f>SUMIFS(服务费底表!$AC:$AC,服务费底表!$K:$K,服务费明细!$B198,服务费底表!$T:$T,AX$3)</f>
        <v>0</v>
      </c>
      <c r="AY198" s="166">
        <f>SUMIFS(服务费底表!$AC:$AC,服务费底表!$K:$K,服务费明细!$B198,服务费底表!$T:$T,AY$3)</f>
        <v>0</v>
      </c>
      <c r="AZ198" s="166">
        <f>SUMIFS(服务费底表!$AC:$AC,服务费底表!$K:$K,服务费明细!$B198,服务费底表!$T:$T,AZ$3)</f>
        <v>0</v>
      </c>
      <c r="BA198" s="166">
        <f>SUMIFS(服务费底表!$AC:$AC,服务费底表!$K:$K,服务费明细!$B198,服务费底表!$T:$T,BA$3)</f>
        <v>0</v>
      </c>
      <c r="BB198" s="166">
        <f>SUMIFS(服务费底表!$AC:$AC,服务费底表!$K:$K,服务费明细!$B198,服务费底表!$T:$T,BB$3)</f>
        <v>0</v>
      </c>
      <c r="BC198" s="166">
        <f>SUMIFS(服务费底表!$AC:$AC,服务费底表!$K:$K,服务费明细!$B198,服务费底表!$T:$T,BC$3)</f>
        <v>0</v>
      </c>
      <c r="BD198" s="166">
        <f>SUMIFS(服务费底表!$AC:$AC,服务费底表!$K:$K,服务费明细!$B198,服务费底表!$T:$T,BD$3)</f>
        <v>0</v>
      </c>
      <c r="BE198" s="166">
        <f>SUMIFS(服务费底表!$AC:$AC,服务费底表!$K:$K,服务费明细!$B198,服务费底表!$T:$T,BE$3)</f>
        <v>0</v>
      </c>
      <c r="BF198" s="166">
        <f>SUMIFS(服务费底表!$AC:$AC,服务费底表!$K:$K,服务费明细!$B198,服务费底表!$T:$T,BF$3)</f>
        <v>0</v>
      </c>
      <c r="BG198" s="166">
        <f>SUMIFS(服务费底表!$AC:$AC,服务费底表!$K:$K,服务费明细!$B198,服务费底表!$T:$T,BG$3)</f>
        <v>0</v>
      </c>
      <c r="BI198" s="388">
        <f>SUMIFS(服务费底表!$AC:$AC,服务费底表!$K:$K,服务费明细!$B198,服务费底表!$H:$H,服务费明细!BI$3)</f>
        <v>0</v>
      </c>
      <c r="BJ198" s="388">
        <f>SUMIFS(服务费底表!$AC:$AC,服务费底表!$K:$K,服务费明细!$B198,服务费底表!$H:$H,服务费明细!BJ$3)</f>
        <v>0</v>
      </c>
      <c r="BK198" s="388">
        <f>SUMIFS(服务费底表!$AC:$AC,服务费底表!$K:$K,服务费明细!$B198,服务费底表!$H:$H,服务费明细!BK$3)</f>
        <v>0</v>
      </c>
      <c r="BL198" s="388">
        <f>SUMIFS(服务费底表!$AC:$AC,服务费底表!$K:$K,服务费明细!$B198,服务费底表!$H:$H,服务费明细!BL$3)</f>
        <v>0</v>
      </c>
      <c r="BM198" s="388">
        <f>SUMIFS(服务费底表!$AC:$AC,服务费底表!$K:$K,服务费明细!$B198,服务费底表!$H:$H,服务费明细!BM$3)</f>
        <v>0</v>
      </c>
      <c r="BN198" s="388">
        <f>SUMIFS(服务费底表!$AC:$AC,服务费底表!$K:$K,服务费明细!$B198,服务费底表!$H:$H,服务费明细!BN$3)</f>
        <v>0</v>
      </c>
      <c r="BO198" s="388">
        <f>SUMIFS(服务费底表!$AC:$AC,服务费底表!$K:$K,服务费明细!$B198,服务费底表!$H:$H,服务费明细!BO$3)</f>
        <v>0</v>
      </c>
      <c r="BQ198" s="389">
        <f>SUMIFS(服务费底表!$AD:$AD,服务费底表!$K:$K,服务费明细!$B198,服务费底表!$H:$H,服务费明细!BQ$3)</f>
        <v>0</v>
      </c>
      <c r="BR198" s="389">
        <f>SUMIFS(服务费底表!$AD:$AD,服务费底表!$K:$K,服务费明细!$B198,服务费底表!$H:$H,服务费明细!BR$3)</f>
        <v>0</v>
      </c>
      <c r="BS198" s="389">
        <f>SUMIFS(服务费底表!$AD:$AD,服务费底表!$K:$K,服务费明细!$B198,服务费底表!$H:$H,服务费明细!BS$3)</f>
        <v>0</v>
      </c>
      <c r="BT198" s="389">
        <f>SUMIFS(服务费底表!$AD:$AD,服务费底表!$K:$K,服务费明细!$B198,服务费底表!$H:$H,服务费明细!BT$3)</f>
        <v>0</v>
      </c>
      <c r="BU198" s="389">
        <f>SUMIFS(服务费底表!$AD:$AD,服务费底表!$K:$K,服务费明细!$B198,服务费底表!$H:$H,服务费明细!BU$3)</f>
        <v>0</v>
      </c>
      <c r="BV198" s="389">
        <f>SUMIFS(服务费底表!$AD:$AD,服务费底表!$K:$K,服务费明细!$B198,服务费底表!$H:$H,服务费明细!BV$3)</f>
        <v>0</v>
      </c>
      <c r="BW198" s="389">
        <f>SUMIFS(服务费底表!$AD:$AD,服务费底表!$K:$K,服务费明细!$B198,服务费底表!$H:$H,服务费明细!BW$3)</f>
        <v>0</v>
      </c>
    </row>
    <row r="199" spans="2:75">
      <c r="B199" s="89" t="s">
        <v>1115</v>
      </c>
      <c r="C199" s="89" t="str">
        <f>INDEX(二三级标准!$C:$C,MATCH(服务费明细!$B199,二三级标准!$B:$B,0))</f>
        <v>外部沟通会数据整理</v>
      </c>
      <c r="D199" s="166">
        <v>0</v>
      </c>
      <c r="E199" s="166">
        <f t="shared" si="344"/>
        <v>0</v>
      </c>
      <c r="F199" s="89" t="str">
        <f>INDEX(二三级标准!$G:$G,MATCH(服务费明细!$B199,二三级标准!$B:$B,0))</f>
        <v>次</v>
      </c>
      <c r="G199" s="166">
        <f t="shared" si="316"/>
        <v>0</v>
      </c>
      <c r="H199" s="166">
        <f t="shared" si="317"/>
        <v>0</v>
      </c>
      <c r="I199" s="166">
        <f t="shared" si="318"/>
        <v>0</v>
      </c>
      <c r="J199" s="166">
        <f t="shared" si="319"/>
        <v>0</v>
      </c>
      <c r="K199" s="166">
        <f t="shared" si="320"/>
        <v>0</v>
      </c>
      <c r="L199" s="166">
        <f t="shared" si="321"/>
        <v>0</v>
      </c>
      <c r="M199" s="166">
        <f t="shared" si="322"/>
        <v>0</v>
      </c>
      <c r="N199" s="166">
        <f t="shared" si="323"/>
        <v>0</v>
      </c>
      <c r="O199" s="166">
        <f t="shared" si="324"/>
        <v>0</v>
      </c>
      <c r="P199" s="166">
        <f t="shared" si="325"/>
        <v>0</v>
      </c>
      <c r="Q199" s="166">
        <f t="shared" si="326"/>
        <v>0</v>
      </c>
      <c r="R199" s="166">
        <f t="shared" si="327"/>
        <v>0</v>
      </c>
      <c r="S199" s="166">
        <f t="shared" si="328"/>
        <v>0</v>
      </c>
      <c r="T199" s="166">
        <f t="shared" si="329"/>
        <v>0</v>
      </c>
      <c r="U199" s="166">
        <f t="shared" si="330"/>
        <v>0</v>
      </c>
      <c r="V199" s="166">
        <f t="shared" si="331"/>
        <v>0</v>
      </c>
      <c r="W199" s="166">
        <f t="shared" si="332"/>
        <v>0</v>
      </c>
      <c r="X199" s="166">
        <f t="shared" si="333"/>
        <v>0</v>
      </c>
      <c r="Y199" s="166">
        <f t="shared" si="334"/>
        <v>0</v>
      </c>
      <c r="Z199" s="166">
        <f t="shared" si="335"/>
        <v>0</v>
      </c>
      <c r="AA199" s="166">
        <f t="shared" si="336"/>
        <v>0</v>
      </c>
      <c r="AB199" s="166">
        <f t="shared" si="337"/>
        <v>0</v>
      </c>
      <c r="AC199" s="166" cm="1">
        <f t="array" ref="AC199">SUMPRODUCT(G199:AB199,$G$4:$AB$4)</f>
        <v>0</v>
      </c>
      <c r="AD199" s="89" t="b">
        <f t="shared" si="342"/>
        <v>1</v>
      </c>
      <c r="AE199" s="386">
        <f>IFERROR(SUMIF(服务费底表!$K:$K,服务费明细!$B199,服务费底表!$AD:$AD)/E199,0)</f>
        <v>0</v>
      </c>
      <c r="AF199" s="386">
        <f t="shared" si="345"/>
        <v>0</v>
      </c>
      <c r="AG199" s="386">
        <f>IFERROR(SUMIF(服务费底表!$K:$K,服务费明细!$B199,服务费底表!$AG:$AG)/E199,0)</f>
        <v>0</v>
      </c>
      <c r="AH199" s="386">
        <f t="shared" si="346"/>
        <v>0</v>
      </c>
      <c r="AI199" s="409"/>
      <c r="AJ199" s="563">
        <f t="shared" si="341"/>
        <v>0</v>
      </c>
      <c r="AK199" s="564">
        <f>SUMIF(服务费底表!$K:$K,服务费明细!$B199,服务费底表!$AC:$AC)</f>
        <v>0</v>
      </c>
      <c r="AL199" s="166">
        <f>SUMIFS(服务费底表!$AC:$AC,服务费底表!$K:$K,服务费明细!$B199,服务费底表!$T:$T,AL$3)</f>
        <v>0</v>
      </c>
      <c r="AM199" s="166">
        <f>SUMIFS(服务费底表!$AC:$AC,服务费底表!$K:$K,服务费明细!$B199,服务费底表!$T:$T,AM$3)</f>
        <v>0</v>
      </c>
      <c r="AN199" s="166">
        <f>SUMIFS(服务费底表!$AC:$AC,服务费底表!$K:$K,服务费明细!$B199,服务费底表!$T:$T,AN$3)</f>
        <v>0</v>
      </c>
      <c r="AO199" s="166">
        <f>SUMIFS(服务费底表!$AC:$AC,服务费底表!$K:$K,服务费明细!$B199,服务费底表!$T:$T,AO$3)</f>
        <v>0</v>
      </c>
      <c r="AP199" s="166">
        <f>SUMIFS(服务费底表!$AC:$AC,服务费底表!$K:$K,服务费明细!$B199,服务费底表!$T:$T,AP$3)</f>
        <v>0</v>
      </c>
      <c r="AQ199" s="166">
        <f>SUMIFS(服务费底表!$AC:$AC,服务费底表!$K:$K,服务费明细!$B199,服务费底表!$T:$T,AQ$3)</f>
        <v>0</v>
      </c>
      <c r="AR199" s="166">
        <f>SUMIFS(服务费底表!$AC:$AC,服务费底表!$K:$K,服务费明细!$B199,服务费底表!$T:$T,AR$3)</f>
        <v>0</v>
      </c>
      <c r="AS199" s="166">
        <f>SUMIFS(服务费底表!$AC:$AC,服务费底表!$K:$K,服务费明细!$B199,服务费底表!$T:$T,AS$3)</f>
        <v>0</v>
      </c>
      <c r="AT199" s="166">
        <f>SUMIFS(服务费底表!$AC:$AC,服务费底表!$K:$K,服务费明细!$B199,服务费底表!$T:$T,AT$3)</f>
        <v>0</v>
      </c>
      <c r="AU199" s="166">
        <f>SUMIFS(服务费底表!$AC:$AC,服务费底表!$K:$K,服务费明细!$B199,服务费底表!$T:$T,AU$3)</f>
        <v>0</v>
      </c>
      <c r="AV199" s="166">
        <f>SUMIFS(服务费底表!$AC:$AC,服务费底表!$K:$K,服务费明细!$B199,服务费底表!$T:$T,AV$3)</f>
        <v>0</v>
      </c>
      <c r="AW199" s="166">
        <f>SUMIFS(服务费底表!$AC:$AC,服务费底表!$K:$K,服务费明细!$B199,服务费底表!$T:$T,AW$3)</f>
        <v>0</v>
      </c>
      <c r="AX199" s="166">
        <f>SUMIFS(服务费底表!$AC:$AC,服务费底表!$K:$K,服务费明细!$B199,服务费底表!$T:$T,AX$3)</f>
        <v>0</v>
      </c>
      <c r="AY199" s="166">
        <f>SUMIFS(服务费底表!$AC:$AC,服务费底表!$K:$K,服务费明细!$B199,服务费底表!$T:$T,AY$3)</f>
        <v>0</v>
      </c>
      <c r="AZ199" s="166">
        <f>SUMIFS(服务费底表!$AC:$AC,服务费底表!$K:$K,服务费明细!$B199,服务费底表!$T:$T,AZ$3)</f>
        <v>0</v>
      </c>
      <c r="BA199" s="166">
        <f>SUMIFS(服务费底表!$AC:$AC,服务费底表!$K:$K,服务费明细!$B199,服务费底表!$T:$T,BA$3)</f>
        <v>0</v>
      </c>
      <c r="BB199" s="166">
        <f>SUMIFS(服务费底表!$AC:$AC,服务费底表!$K:$K,服务费明细!$B199,服务费底表!$T:$T,BB$3)</f>
        <v>0</v>
      </c>
      <c r="BC199" s="166">
        <f>SUMIFS(服务费底表!$AC:$AC,服务费底表!$K:$K,服务费明细!$B199,服务费底表!$T:$T,BC$3)</f>
        <v>0</v>
      </c>
      <c r="BD199" s="166">
        <f>SUMIFS(服务费底表!$AC:$AC,服务费底表!$K:$K,服务费明细!$B199,服务费底表!$T:$T,BD$3)</f>
        <v>0</v>
      </c>
      <c r="BE199" s="166">
        <f>SUMIFS(服务费底表!$AC:$AC,服务费底表!$K:$K,服务费明细!$B199,服务费底表!$T:$T,BE$3)</f>
        <v>0</v>
      </c>
      <c r="BF199" s="166">
        <f>SUMIFS(服务费底表!$AC:$AC,服务费底表!$K:$K,服务费明细!$B199,服务费底表!$T:$T,BF$3)</f>
        <v>0</v>
      </c>
      <c r="BG199" s="166">
        <f>SUMIFS(服务费底表!$AC:$AC,服务费底表!$K:$K,服务费明细!$B199,服务费底表!$T:$T,BG$3)</f>
        <v>0</v>
      </c>
      <c r="BI199" s="388">
        <f>SUMIFS(服务费底表!$AC:$AC,服务费底表!$K:$K,服务费明细!$B199,服务费底表!$H:$H,服务费明细!BI$3)</f>
        <v>0</v>
      </c>
      <c r="BJ199" s="388">
        <f>SUMIFS(服务费底表!$AC:$AC,服务费底表!$K:$K,服务费明细!$B199,服务费底表!$H:$H,服务费明细!BJ$3)</f>
        <v>0</v>
      </c>
      <c r="BK199" s="388">
        <f>SUMIFS(服务费底表!$AC:$AC,服务费底表!$K:$K,服务费明细!$B199,服务费底表!$H:$H,服务费明细!BK$3)</f>
        <v>0</v>
      </c>
      <c r="BL199" s="388">
        <f>SUMIFS(服务费底表!$AC:$AC,服务费底表!$K:$K,服务费明细!$B199,服务费底表!$H:$H,服务费明细!BL$3)</f>
        <v>0</v>
      </c>
      <c r="BM199" s="388">
        <f>SUMIFS(服务费底表!$AC:$AC,服务费底表!$K:$K,服务费明细!$B199,服务费底表!$H:$H,服务费明细!BM$3)</f>
        <v>0</v>
      </c>
      <c r="BN199" s="388">
        <f>SUMIFS(服务费底表!$AC:$AC,服务费底表!$K:$K,服务费明细!$B199,服务费底表!$H:$H,服务费明细!BN$3)</f>
        <v>0</v>
      </c>
      <c r="BO199" s="388">
        <f>SUMIFS(服务费底表!$AC:$AC,服务费底表!$K:$K,服务费明细!$B199,服务费底表!$H:$H,服务费明细!BO$3)</f>
        <v>0</v>
      </c>
      <c r="BQ199" s="389">
        <f>SUMIFS(服务费底表!$AD:$AD,服务费底表!$K:$K,服务费明细!$B199,服务费底表!$H:$H,服务费明细!BQ$3)</f>
        <v>0</v>
      </c>
      <c r="BR199" s="389">
        <f>SUMIFS(服务费底表!$AD:$AD,服务费底表!$K:$K,服务费明细!$B199,服务费底表!$H:$H,服务费明细!BR$3)</f>
        <v>0</v>
      </c>
      <c r="BS199" s="389">
        <f>SUMIFS(服务费底表!$AD:$AD,服务费底表!$K:$K,服务费明细!$B199,服务费底表!$H:$H,服务费明细!BS$3)</f>
        <v>0</v>
      </c>
      <c r="BT199" s="389">
        <f>SUMIFS(服务费底表!$AD:$AD,服务费底表!$K:$K,服务费明细!$B199,服务费底表!$H:$H,服务费明细!BT$3)</f>
        <v>0</v>
      </c>
      <c r="BU199" s="389">
        <f>SUMIFS(服务费底表!$AD:$AD,服务费底表!$K:$K,服务费明细!$B199,服务费底表!$H:$H,服务费明细!BU$3)</f>
        <v>0</v>
      </c>
      <c r="BV199" s="389">
        <f>SUMIFS(服务费底表!$AD:$AD,服务费底表!$K:$K,服务费明细!$B199,服务费底表!$H:$H,服务费明细!BV$3)</f>
        <v>0</v>
      </c>
      <c r="BW199" s="389">
        <f>SUMIFS(服务费底表!$AD:$AD,服务费底表!$K:$K,服务费明细!$B199,服务费底表!$H:$H,服务费明细!BW$3)</f>
        <v>0</v>
      </c>
    </row>
    <row r="200" spans="2:75">
      <c r="B200" s="89" t="s">
        <v>1116</v>
      </c>
      <c r="C200" s="89" t="str">
        <f>INDEX(二三级标准!$C:$C,MATCH(服务费明细!$B200,二三级标准!$B:$B,0))</f>
        <v>外部沟通会</v>
      </c>
      <c r="D200" s="166">
        <v>0</v>
      </c>
      <c r="E200" s="166">
        <f t="shared" si="344"/>
        <v>0</v>
      </c>
      <c r="F200" s="89" t="str">
        <f>INDEX(二三级标准!$G:$G,MATCH(服务费明细!$B200,二三级标准!$B:$B,0))</f>
        <v>次</v>
      </c>
      <c r="G200" s="166">
        <f t="shared" si="316"/>
        <v>0</v>
      </c>
      <c r="H200" s="166">
        <f t="shared" si="317"/>
        <v>0</v>
      </c>
      <c r="I200" s="166">
        <f t="shared" si="318"/>
        <v>0</v>
      </c>
      <c r="J200" s="166">
        <f t="shared" si="319"/>
        <v>0</v>
      </c>
      <c r="K200" s="166">
        <f t="shared" si="320"/>
        <v>0</v>
      </c>
      <c r="L200" s="166">
        <f t="shared" si="321"/>
        <v>0</v>
      </c>
      <c r="M200" s="166">
        <f t="shared" si="322"/>
        <v>0</v>
      </c>
      <c r="N200" s="166">
        <f t="shared" si="323"/>
        <v>0</v>
      </c>
      <c r="O200" s="166">
        <f t="shared" si="324"/>
        <v>0</v>
      </c>
      <c r="P200" s="166">
        <f t="shared" si="325"/>
        <v>0</v>
      </c>
      <c r="Q200" s="166">
        <f t="shared" si="326"/>
        <v>0</v>
      </c>
      <c r="R200" s="166">
        <f t="shared" si="327"/>
        <v>0</v>
      </c>
      <c r="S200" s="166">
        <f t="shared" si="328"/>
        <v>0</v>
      </c>
      <c r="T200" s="166">
        <f t="shared" si="329"/>
        <v>0</v>
      </c>
      <c r="U200" s="166">
        <f t="shared" si="330"/>
        <v>0</v>
      </c>
      <c r="V200" s="166">
        <f t="shared" si="331"/>
        <v>0</v>
      </c>
      <c r="W200" s="166">
        <f t="shared" si="332"/>
        <v>0</v>
      </c>
      <c r="X200" s="166">
        <f t="shared" si="333"/>
        <v>0</v>
      </c>
      <c r="Y200" s="166">
        <f t="shared" si="334"/>
        <v>0</v>
      </c>
      <c r="Z200" s="166">
        <f t="shared" si="335"/>
        <v>0</v>
      </c>
      <c r="AA200" s="166">
        <f t="shared" si="336"/>
        <v>0</v>
      </c>
      <c r="AB200" s="166">
        <f t="shared" si="337"/>
        <v>0</v>
      </c>
      <c r="AC200" s="166" cm="1">
        <f t="array" ref="AC200">SUMPRODUCT(G200:AB200,$G$4:$AB$4)</f>
        <v>0</v>
      </c>
      <c r="AD200" s="89" t="b">
        <f t="shared" si="342"/>
        <v>1</v>
      </c>
      <c r="AE200" s="386">
        <f>IFERROR(SUMIF(服务费底表!$K:$K,服务费明细!$B200,服务费底表!$AD:$AD)/E200,0)</f>
        <v>0</v>
      </c>
      <c r="AF200" s="386">
        <f t="shared" si="345"/>
        <v>0</v>
      </c>
      <c r="AG200" s="386">
        <f>IFERROR(SUMIF(服务费底表!$K:$K,服务费明细!$B200,服务费底表!$AG:$AG)/E200,0)</f>
        <v>0</v>
      </c>
      <c r="AH200" s="386">
        <f t="shared" si="346"/>
        <v>0</v>
      </c>
      <c r="AI200" s="409"/>
      <c r="AJ200" s="563">
        <f t="shared" si="341"/>
        <v>0</v>
      </c>
      <c r="AK200" s="564">
        <f>SUMIF(服务费底表!$K:$K,服务费明细!$B200,服务费底表!$AC:$AC)</f>
        <v>0</v>
      </c>
      <c r="AL200" s="166">
        <f>SUMIFS(服务费底表!$AC:$AC,服务费底表!$K:$K,服务费明细!$B200,服务费底表!$T:$T,AL$3)</f>
        <v>0</v>
      </c>
      <c r="AM200" s="166">
        <f>SUMIFS(服务费底表!$AC:$AC,服务费底表!$K:$K,服务费明细!$B200,服务费底表!$T:$T,AM$3)</f>
        <v>0</v>
      </c>
      <c r="AN200" s="166">
        <f>SUMIFS(服务费底表!$AC:$AC,服务费底表!$K:$K,服务费明细!$B200,服务费底表!$T:$T,AN$3)</f>
        <v>0</v>
      </c>
      <c r="AO200" s="166">
        <f>SUMIFS(服务费底表!$AC:$AC,服务费底表!$K:$K,服务费明细!$B200,服务费底表!$T:$T,AO$3)</f>
        <v>0</v>
      </c>
      <c r="AP200" s="166">
        <f>SUMIFS(服务费底表!$AC:$AC,服务费底表!$K:$K,服务费明细!$B200,服务费底表!$T:$T,AP$3)</f>
        <v>0</v>
      </c>
      <c r="AQ200" s="166">
        <f>SUMIFS(服务费底表!$AC:$AC,服务费底表!$K:$K,服务费明细!$B200,服务费底表!$T:$T,AQ$3)</f>
        <v>0</v>
      </c>
      <c r="AR200" s="166">
        <f>SUMIFS(服务费底表!$AC:$AC,服务费底表!$K:$K,服务费明细!$B200,服务费底表!$T:$T,AR$3)</f>
        <v>0</v>
      </c>
      <c r="AS200" s="166">
        <f>SUMIFS(服务费底表!$AC:$AC,服务费底表!$K:$K,服务费明细!$B200,服务费底表!$T:$T,AS$3)</f>
        <v>0</v>
      </c>
      <c r="AT200" s="166">
        <f>SUMIFS(服务费底表!$AC:$AC,服务费底表!$K:$K,服务费明细!$B200,服务费底表!$T:$T,AT$3)</f>
        <v>0</v>
      </c>
      <c r="AU200" s="166">
        <f>SUMIFS(服务费底表!$AC:$AC,服务费底表!$K:$K,服务费明细!$B200,服务费底表!$T:$T,AU$3)</f>
        <v>0</v>
      </c>
      <c r="AV200" s="166">
        <f>SUMIFS(服务费底表!$AC:$AC,服务费底表!$K:$K,服务费明细!$B200,服务费底表!$T:$T,AV$3)</f>
        <v>0</v>
      </c>
      <c r="AW200" s="166">
        <f>SUMIFS(服务费底表!$AC:$AC,服务费底表!$K:$K,服务费明细!$B200,服务费底表!$T:$T,AW$3)</f>
        <v>0</v>
      </c>
      <c r="AX200" s="166">
        <f>SUMIFS(服务费底表!$AC:$AC,服务费底表!$K:$K,服务费明细!$B200,服务费底表!$T:$T,AX$3)</f>
        <v>0</v>
      </c>
      <c r="AY200" s="166">
        <f>SUMIFS(服务费底表!$AC:$AC,服务费底表!$K:$K,服务费明细!$B200,服务费底表!$T:$T,AY$3)</f>
        <v>0</v>
      </c>
      <c r="AZ200" s="166">
        <f>SUMIFS(服务费底表!$AC:$AC,服务费底表!$K:$K,服务费明细!$B200,服务费底表!$T:$T,AZ$3)</f>
        <v>0</v>
      </c>
      <c r="BA200" s="166">
        <f>SUMIFS(服务费底表!$AC:$AC,服务费底表!$K:$K,服务费明细!$B200,服务费底表!$T:$T,BA$3)</f>
        <v>0</v>
      </c>
      <c r="BB200" s="166">
        <f>SUMIFS(服务费底表!$AC:$AC,服务费底表!$K:$K,服务费明细!$B200,服务费底表!$T:$T,BB$3)</f>
        <v>0</v>
      </c>
      <c r="BC200" s="166">
        <f>SUMIFS(服务费底表!$AC:$AC,服务费底表!$K:$K,服务费明细!$B200,服务费底表!$T:$T,BC$3)</f>
        <v>0</v>
      </c>
      <c r="BD200" s="166">
        <f>SUMIFS(服务费底表!$AC:$AC,服务费底表!$K:$K,服务费明细!$B200,服务费底表!$T:$T,BD$3)</f>
        <v>0</v>
      </c>
      <c r="BE200" s="166">
        <f>SUMIFS(服务费底表!$AC:$AC,服务费底表!$K:$K,服务费明细!$B200,服务费底表!$T:$T,BE$3)</f>
        <v>0</v>
      </c>
      <c r="BF200" s="166">
        <f>SUMIFS(服务费底表!$AC:$AC,服务费底表!$K:$K,服务费明细!$B200,服务费底表!$T:$T,BF$3)</f>
        <v>0</v>
      </c>
      <c r="BG200" s="166">
        <f>SUMIFS(服务费底表!$AC:$AC,服务费底表!$K:$K,服务费明细!$B200,服务费底表!$T:$T,BG$3)</f>
        <v>0</v>
      </c>
      <c r="BI200" s="388">
        <f>SUMIFS(服务费底表!$AC:$AC,服务费底表!$K:$K,服务费明细!$B200,服务费底表!$H:$H,服务费明细!BI$3)</f>
        <v>0</v>
      </c>
      <c r="BJ200" s="388">
        <f>SUMIFS(服务费底表!$AC:$AC,服务费底表!$K:$K,服务费明细!$B200,服务费底表!$H:$H,服务费明细!BJ$3)</f>
        <v>0</v>
      </c>
      <c r="BK200" s="388">
        <f>SUMIFS(服务费底表!$AC:$AC,服务费底表!$K:$K,服务费明细!$B200,服务费底表!$H:$H,服务费明细!BK$3)</f>
        <v>0</v>
      </c>
      <c r="BL200" s="388">
        <f>SUMIFS(服务费底表!$AC:$AC,服务费底表!$K:$K,服务费明细!$B200,服务费底表!$H:$H,服务费明细!BL$3)</f>
        <v>0</v>
      </c>
      <c r="BM200" s="388">
        <f>SUMIFS(服务费底表!$AC:$AC,服务费底表!$K:$K,服务费明细!$B200,服务费底表!$H:$H,服务费明细!BM$3)</f>
        <v>0</v>
      </c>
      <c r="BN200" s="388">
        <f>SUMIFS(服务费底表!$AC:$AC,服务费底表!$K:$K,服务费明细!$B200,服务费底表!$H:$H,服务费明细!BN$3)</f>
        <v>0</v>
      </c>
      <c r="BO200" s="388">
        <f>SUMIFS(服务费底表!$AC:$AC,服务费底表!$K:$K,服务费明细!$B200,服务费底表!$H:$H,服务费明细!BO$3)</f>
        <v>0</v>
      </c>
      <c r="BQ200" s="389">
        <f>SUMIFS(服务费底表!$AD:$AD,服务费底表!$K:$K,服务费明细!$B200,服务费底表!$H:$H,服务费明细!BQ$3)</f>
        <v>0</v>
      </c>
      <c r="BR200" s="389">
        <f>SUMIFS(服务费底表!$AD:$AD,服务费底表!$K:$K,服务费明细!$B200,服务费底表!$H:$H,服务费明细!BR$3)</f>
        <v>0</v>
      </c>
      <c r="BS200" s="389">
        <f>SUMIFS(服务费底表!$AD:$AD,服务费底表!$K:$K,服务费明细!$B200,服务费底表!$H:$H,服务费明细!BS$3)</f>
        <v>0</v>
      </c>
      <c r="BT200" s="389">
        <f>SUMIFS(服务费底表!$AD:$AD,服务费底表!$K:$K,服务费明细!$B200,服务费底表!$H:$H,服务费明细!BT$3)</f>
        <v>0</v>
      </c>
      <c r="BU200" s="389">
        <f>SUMIFS(服务费底表!$AD:$AD,服务费底表!$K:$K,服务费明细!$B200,服务费底表!$H:$H,服务费明细!BU$3)</f>
        <v>0</v>
      </c>
      <c r="BV200" s="389">
        <f>SUMIFS(服务费底表!$AD:$AD,服务费底表!$K:$K,服务费明细!$B200,服务费底表!$H:$H,服务费明细!BV$3)</f>
        <v>0</v>
      </c>
      <c r="BW200" s="389">
        <f>SUMIFS(服务费底表!$AD:$AD,服务费底表!$K:$K,服务费明细!$B200,服务费底表!$H:$H,服务费明细!BW$3)</f>
        <v>0</v>
      </c>
    </row>
    <row r="201" spans="2:75">
      <c r="B201" s="89" t="s">
        <v>1117</v>
      </c>
      <c r="C201" s="89" t="str">
        <f>INDEX(二三级标准!$C:$C,MATCH(服务费明细!$B201,二三级标准!$B:$B,0))</f>
        <v>C-QTc分析报告</v>
      </c>
      <c r="D201" s="166">
        <v>0</v>
      </c>
      <c r="E201" s="166">
        <f t="shared" si="344"/>
        <v>0</v>
      </c>
      <c r="F201" s="89" t="str">
        <f>INDEX(二三级标准!$G:$G,MATCH(服务费明细!$B201,二三级标准!$B:$B,0))</f>
        <v>次</v>
      </c>
      <c r="G201" s="166">
        <f t="shared" si="316"/>
        <v>0</v>
      </c>
      <c r="H201" s="166">
        <f t="shared" si="317"/>
        <v>0</v>
      </c>
      <c r="I201" s="166">
        <f t="shared" si="318"/>
        <v>0</v>
      </c>
      <c r="J201" s="166">
        <f t="shared" si="319"/>
        <v>0</v>
      </c>
      <c r="K201" s="166">
        <f t="shared" si="320"/>
        <v>0</v>
      </c>
      <c r="L201" s="166">
        <f t="shared" si="321"/>
        <v>0</v>
      </c>
      <c r="M201" s="166">
        <f t="shared" si="322"/>
        <v>0</v>
      </c>
      <c r="N201" s="166">
        <f t="shared" si="323"/>
        <v>0</v>
      </c>
      <c r="O201" s="166">
        <f t="shared" si="324"/>
        <v>0</v>
      </c>
      <c r="P201" s="166">
        <f t="shared" si="325"/>
        <v>0</v>
      </c>
      <c r="Q201" s="166">
        <f t="shared" si="326"/>
        <v>0</v>
      </c>
      <c r="R201" s="166">
        <f t="shared" si="327"/>
        <v>0</v>
      </c>
      <c r="S201" s="166">
        <f t="shared" si="328"/>
        <v>0</v>
      </c>
      <c r="T201" s="166">
        <f t="shared" si="329"/>
        <v>0</v>
      </c>
      <c r="U201" s="166">
        <f t="shared" si="330"/>
        <v>0</v>
      </c>
      <c r="V201" s="166">
        <f t="shared" si="331"/>
        <v>0</v>
      </c>
      <c r="W201" s="166">
        <f t="shared" si="332"/>
        <v>0</v>
      </c>
      <c r="X201" s="166">
        <f t="shared" si="333"/>
        <v>0</v>
      </c>
      <c r="Y201" s="166">
        <f t="shared" si="334"/>
        <v>0</v>
      </c>
      <c r="Z201" s="166">
        <f t="shared" si="335"/>
        <v>0</v>
      </c>
      <c r="AA201" s="166">
        <f t="shared" si="336"/>
        <v>0</v>
      </c>
      <c r="AB201" s="166">
        <f t="shared" si="337"/>
        <v>0</v>
      </c>
      <c r="AC201" s="166" cm="1">
        <f t="array" ref="AC201">SUMPRODUCT(G201:AB201,$G$4:$AB$4)</f>
        <v>0</v>
      </c>
      <c r="AD201" s="89" t="b">
        <f t="shared" si="342"/>
        <v>1</v>
      </c>
      <c r="AE201" s="386">
        <f>IFERROR(SUMIF(服务费底表!$K:$K,服务费明细!$B201,服务费底表!$AD:$AD)/E201,0)</f>
        <v>0</v>
      </c>
      <c r="AF201" s="386">
        <f t="shared" si="345"/>
        <v>0</v>
      </c>
      <c r="AG201" s="386">
        <f>IFERROR(SUMIF(服务费底表!$K:$K,服务费明细!$B201,服务费底表!$AG:$AG)/E201,0)</f>
        <v>0</v>
      </c>
      <c r="AH201" s="386">
        <f t="shared" si="346"/>
        <v>0</v>
      </c>
      <c r="AI201" s="409"/>
      <c r="AJ201" s="563">
        <f t="shared" si="341"/>
        <v>0</v>
      </c>
      <c r="AK201" s="564">
        <f>SUMIF(服务费底表!$K:$K,服务费明细!$B201,服务费底表!$AC:$AC)</f>
        <v>0</v>
      </c>
      <c r="AL201" s="166">
        <f>SUMIFS(服务费底表!$AC:$AC,服务费底表!$K:$K,服务费明细!$B201,服务费底表!$T:$T,AL$3)</f>
        <v>0</v>
      </c>
      <c r="AM201" s="166">
        <f>SUMIFS(服务费底表!$AC:$AC,服务费底表!$K:$K,服务费明细!$B201,服务费底表!$T:$T,AM$3)</f>
        <v>0</v>
      </c>
      <c r="AN201" s="166">
        <f>SUMIFS(服务费底表!$AC:$AC,服务费底表!$K:$K,服务费明细!$B201,服务费底表!$T:$T,AN$3)</f>
        <v>0</v>
      </c>
      <c r="AO201" s="166">
        <f>SUMIFS(服务费底表!$AC:$AC,服务费底表!$K:$K,服务费明细!$B201,服务费底表!$T:$T,AO$3)</f>
        <v>0</v>
      </c>
      <c r="AP201" s="166">
        <f>SUMIFS(服务费底表!$AC:$AC,服务费底表!$K:$K,服务费明细!$B201,服务费底表!$T:$T,AP$3)</f>
        <v>0</v>
      </c>
      <c r="AQ201" s="166">
        <f>SUMIFS(服务费底表!$AC:$AC,服务费底表!$K:$K,服务费明细!$B201,服务费底表!$T:$T,AQ$3)</f>
        <v>0</v>
      </c>
      <c r="AR201" s="166">
        <f>SUMIFS(服务费底表!$AC:$AC,服务费底表!$K:$K,服务费明细!$B201,服务费底表!$T:$T,AR$3)</f>
        <v>0</v>
      </c>
      <c r="AS201" s="166">
        <f>SUMIFS(服务费底表!$AC:$AC,服务费底表!$K:$K,服务费明细!$B201,服务费底表!$T:$T,AS$3)</f>
        <v>0</v>
      </c>
      <c r="AT201" s="166">
        <f>SUMIFS(服务费底表!$AC:$AC,服务费底表!$K:$K,服务费明细!$B201,服务费底表!$T:$T,AT$3)</f>
        <v>0</v>
      </c>
      <c r="AU201" s="166">
        <f>SUMIFS(服务费底表!$AC:$AC,服务费底表!$K:$K,服务费明细!$B201,服务费底表!$T:$T,AU$3)</f>
        <v>0</v>
      </c>
      <c r="AV201" s="166">
        <f>SUMIFS(服务费底表!$AC:$AC,服务费底表!$K:$K,服务费明细!$B201,服务费底表!$T:$T,AV$3)</f>
        <v>0</v>
      </c>
      <c r="AW201" s="166">
        <f>SUMIFS(服务费底表!$AC:$AC,服务费底表!$K:$K,服务费明细!$B201,服务费底表!$T:$T,AW$3)</f>
        <v>0</v>
      </c>
      <c r="AX201" s="166">
        <f>SUMIFS(服务费底表!$AC:$AC,服务费底表!$K:$K,服务费明细!$B201,服务费底表!$T:$T,AX$3)</f>
        <v>0</v>
      </c>
      <c r="AY201" s="166">
        <f>SUMIFS(服务费底表!$AC:$AC,服务费底表!$K:$K,服务费明细!$B201,服务费底表!$T:$T,AY$3)</f>
        <v>0</v>
      </c>
      <c r="AZ201" s="166">
        <f>SUMIFS(服务费底表!$AC:$AC,服务费底表!$K:$K,服务费明细!$B201,服务费底表!$T:$T,AZ$3)</f>
        <v>0</v>
      </c>
      <c r="BA201" s="166">
        <f>SUMIFS(服务费底表!$AC:$AC,服务费底表!$K:$K,服务费明细!$B201,服务费底表!$T:$T,BA$3)</f>
        <v>0</v>
      </c>
      <c r="BB201" s="166">
        <f>SUMIFS(服务费底表!$AC:$AC,服务费底表!$K:$K,服务费明细!$B201,服务费底表!$T:$T,BB$3)</f>
        <v>0</v>
      </c>
      <c r="BC201" s="166">
        <f>SUMIFS(服务费底表!$AC:$AC,服务费底表!$K:$K,服务费明细!$B201,服务费底表!$T:$T,BC$3)</f>
        <v>0</v>
      </c>
      <c r="BD201" s="166">
        <f>SUMIFS(服务费底表!$AC:$AC,服务费底表!$K:$K,服务费明细!$B201,服务费底表!$T:$T,BD$3)</f>
        <v>0</v>
      </c>
      <c r="BE201" s="166">
        <f>SUMIFS(服务费底表!$AC:$AC,服务费底表!$K:$K,服务费明细!$B201,服务费底表!$T:$T,BE$3)</f>
        <v>0</v>
      </c>
      <c r="BF201" s="166">
        <f>SUMIFS(服务费底表!$AC:$AC,服务费底表!$K:$K,服务费明细!$B201,服务费底表!$T:$T,BF$3)</f>
        <v>0</v>
      </c>
      <c r="BG201" s="166">
        <f>SUMIFS(服务费底表!$AC:$AC,服务费底表!$K:$K,服务费明细!$B201,服务费底表!$T:$T,BG$3)</f>
        <v>0</v>
      </c>
      <c r="BI201" s="388">
        <f>SUMIFS(服务费底表!$AC:$AC,服务费底表!$K:$K,服务费明细!$B201,服务费底表!$H:$H,服务费明细!BI$3)</f>
        <v>0</v>
      </c>
      <c r="BJ201" s="388">
        <f>SUMIFS(服务费底表!$AC:$AC,服务费底表!$K:$K,服务费明细!$B201,服务费底表!$H:$H,服务费明细!BJ$3)</f>
        <v>0</v>
      </c>
      <c r="BK201" s="388">
        <f>SUMIFS(服务费底表!$AC:$AC,服务费底表!$K:$K,服务费明细!$B201,服务费底表!$H:$H,服务费明细!BK$3)</f>
        <v>0</v>
      </c>
      <c r="BL201" s="388">
        <f>SUMIFS(服务费底表!$AC:$AC,服务费底表!$K:$K,服务费明细!$B201,服务费底表!$H:$H,服务费明细!BL$3)</f>
        <v>0</v>
      </c>
      <c r="BM201" s="388">
        <f>SUMIFS(服务费底表!$AC:$AC,服务费底表!$K:$K,服务费明细!$B201,服务费底表!$H:$H,服务费明细!BM$3)</f>
        <v>0</v>
      </c>
      <c r="BN201" s="388">
        <f>SUMIFS(服务费底表!$AC:$AC,服务费底表!$K:$K,服务费明细!$B201,服务费底表!$H:$H,服务费明细!BN$3)</f>
        <v>0</v>
      </c>
      <c r="BO201" s="388">
        <f>SUMIFS(服务费底表!$AC:$AC,服务费底表!$K:$K,服务费明细!$B201,服务费底表!$H:$H,服务费明细!BO$3)</f>
        <v>0</v>
      </c>
      <c r="BQ201" s="389">
        <f>SUMIFS(服务费底表!$AD:$AD,服务费底表!$K:$K,服务费明细!$B201,服务费底表!$H:$H,服务费明细!BQ$3)</f>
        <v>0</v>
      </c>
      <c r="BR201" s="389">
        <f>SUMIFS(服务费底表!$AD:$AD,服务费底表!$K:$K,服务费明细!$B201,服务费底表!$H:$H,服务费明细!BR$3)</f>
        <v>0</v>
      </c>
      <c r="BS201" s="389">
        <f>SUMIFS(服务费底表!$AD:$AD,服务费底表!$K:$K,服务费明细!$B201,服务费底表!$H:$H,服务费明细!BS$3)</f>
        <v>0</v>
      </c>
      <c r="BT201" s="389">
        <f>SUMIFS(服务费底表!$AD:$AD,服务费底表!$K:$K,服务费明细!$B201,服务费底表!$H:$H,服务费明细!BT$3)</f>
        <v>0</v>
      </c>
      <c r="BU201" s="389">
        <f>SUMIFS(服务费底表!$AD:$AD,服务费底表!$K:$K,服务费明细!$B201,服务费底表!$H:$H,服务费明细!BU$3)</f>
        <v>0</v>
      </c>
      <c r="BV201" s="389">
        <f>SUMIFS(服务费底表!$AD:$AD,服务费底表!$K:$K,服务费明细!$B201,服务费底表!$H:$H,服务费明细!BV$3)</f>
        <v>0</v>
      </c>
      <c r="BW201" s="389">
        <f>SUMIFS(服务费底表!$AD:$AD,服务费底表!$K:$K,服务费明细!$B201,服务费底表!$H:$H,服务费明细!BW$3)</f>
        <v>0</v>
      </c>
    </row>
    <row r="202" spans="2:75">
      <c r="B202" s="89" t="s">
        <v>1118</v>
      </c>
      <c r="C202" s="89" t="str">
        <f>INDEX(二三级标准!$C:$C,MATCH(服务费明细!$B202,二三级标准!$B:$B,0))</f>
        <v>监管沟通支持（PK/PD）相关</v>
      </c>
      <c r="D202" s="166">
        <v>0</v>
      </c>
      <c r="E202" s="166">
        <f t="shared" si="344"/>
        <v>0</v>
      </c>
      <c r="F202" s="89" t="str">
        <f>INDEX(二三级标准!$G:$G,MATCH(服务费明细!$B202,二三级标准!$B:$B,0))</f>
        <v>次</v>
      </c>
      <c r="G202" s="166">
        <f t="shared" si="316"/>
        <v>0</v>
      </c>
      <c r="H202" s="166">
        <f t="shared" si="317"/>
        <v>0</v>
      </c>
      <c r="I202" s="166">
        <f t="shared" si="318"/>
        <v>0</v>
      </c>
      <c r="J202" s="166">
        <f t="shared" si="319"/>
        <v>0</v>
      </c>
      <c r="K202" s="166">
        <f t="shared" si="320"/>
        <v>0</v>
      </c>
      <c r="L202" s="166">
        <f t="shared" si="321"/>
        <v>0</v>
      </c>
      <c r="M202" s="166">
        <f t="shared" si="322"/>
        <v>0</v>
      </c>
      <c r="N202" s="166">
        <f t="shared" si="323"/>
        <v>0</v>
      </c>
      <c r="O202" s="166">
        <f t="shared" si="324"/>
        <v>0</v>
      </c>
      <c r="P202" s="166">
        <f t="shared" si="325"/>
        <v>0</v>
      </c>
      <c r="Q202" s="166">
        <f t="shared" si="326"/>
        <v>0</v>
      </c>
      <c r="R202" s="166">
        <f t="shared" si="327"/>
        <v>0</v>
      </c>
      <c r="S202" s="166">
        <f t="shared" si="328"/>
        <v>0</v>
      </c>
      <c r="T202" s="166">
        <f t="shared" si="329"/>
        <v>0</v>
      </c>
      <c r="U202" s="166">
        <f t="shared" si="330"/>
        <v>0</v>
      </c>
      <c r="V202" s="166">
        <f t="shared" si="331"/>
        <v>0</v>
      </c>
      <c r="W202" s="166">
        <f t="shared" si="332"/>
        <v>0</v>
      </c>
      <c r="X202" s="166">
        <f t="shared" si="333"/>
        <v>0</v>
      </c>
      <c r="Y202" s="166">
        <f t="shared" si="334"/>
        <v>0</v>
      </c>
      <c r="Z202" s="166">
        <f t="shared" si="335"/>
        <v>0</v>
      </c>
      <c r="AA202" s="166">
        <f t="shared" si="336"/>
        <v>0</v>
      </c>
      <c r="AB202" s="166">
        <f t="shared" si="337"/>
        <v>0</v>
      </c>
      <c r="AC202" s="166" cm="1">
        <f t="array" ref="AC202">SUMPRODUCT(G202:AB202,$G$4:$AB$4)</f>
        <v>0</v>
      </c>
      <c r="AD202" s="89" t="b">
        <f t="shared" si="342"/>
        <v>1</v>
      </c>
      <c r="AE202" s="386">
        <f>IFERROR(SUMIF(服务费底表!$K:$K,服务费明细!$B202,服务费底表!$AD:$AD)/E202,0)</f>
        <v>0</v>
      </c>
      <c r="AF202" s="386">
        <f t="shared" si="345"/>
        <v>0</v>
      </c>
      <c r="AG202" s="386">
        <f>IFERROR(SUMIF(服务费底表!$K:$K,服务费明细!$B202,服务费底表!$AG:$AG)/E202,0)</f>
        <v>0</v>
      </c>
      <c r="AH202" s="386">
        <f t="shared" si="346"/>
        <v>0</v>
      </c>
      <c r="AI202" s="409"/>
      <c r="AJ202" s="563">
        <f t="shared" si="341"/>
        <v>0</v>
      </c>
      <c r="AK202" s="564">
        <f>SUMIF(服务费底表!$K:$K,服务费明细!$B202,服务费底表!$AC:$AC)</f>
        <v>0</v>
      </c>
      <c r="AL202" s="166">
        <f>SUMIFS(服务费底表!$AC:$AC,服务费底表!$K:$K,服务费明细!$B202,服务费底表!$T:$T,AL$3)</f>
        <v>0</v>
      </c>
      <c r="AM202" s="166">
        <f>SUMIFS(服务费底表!$AC:$AC,服务费底表!$K:$K,服务费明细!$B202,服务费底表!$T:$T,AM$3)</f>
        <v>0</v>
      </c>
      <c r="AN202" s="166">
        <f>SUMIFS(服务费底表!$AC:$AC,服务费底表!$K:$K,服务费明细!$B202,服务费底表!$T:$T,AN$3)</f>
        <v>0</v>
      </c>
      <c r="AO202" s="166">
        <f>SUMIFS(服务费底表!$AC:$AC,服务费底表!$K:$K,服务费明细!$B202,服务费底表!$T:$T,AO$3)</f>
        <v>0</v>
      </c>
      <c r="AP202" s="166">
        <f>SUMIFS(服务费底表!$AC:$AC,服务费底表!$K:$K,服务费明细!$B202,服务费底表!$T:$T,AP$3)</f>
        <v>0</v>
      </c>
      <c r="AQ202" s="166">
        <f>SUMIFS(服务费底表!$AC:$AC,服务费底表!$K:$K,服务费明细!$B202,服务费底表!$T:$T,AQ$3)</f>
        <v>0</v>
      </c>
      <c r="AR202" s="166">
        <f>SUMIFS(服务费底表!$AC:$AC,服务费底表!$K:$K,服务费明细!$B202,服务费底表!$T:$T,AR$3)</f>
        <v>0</v>
      </c>
      <c r="AS202" s="166">
        <f>SUMIFS(服务费底表!$AC:$AC,服务费底表!$K:$K,服务费明细!$B202,服务费底表!$T:$T,AS$3)</f>
        <v>0</v>
      </c>
      <c r="AT202" s="166">
        <f>SUMIFS(服务费底表!$AC:$AC,服务费底表!$K:$K,服务费明细!$B202,服务费底表!$T:$T,AT$3)</f>
        <v>0</v>
      </c>
      <c r="AU202" s="166">
        <f>SUMIFS(服务费底表!$AC:$AC,服务费底表!$K:$K,服务费明细!$B202,服务费底表!$T:$T,AU$3)</f>
        <v>0</v>
      </c>
      <c r="AV202" s="166">
        <f>SUMIFS(服务费底表!$AC:$AC,服务费底表!$K:$K,服务费明细!$B202,服务费底表!$T:$T,AV$3)</f>
        <v>0</v>
      </c>
      <c r="AW202" s="166">
        <f>SUMIFS(服务费底表!$AC:$AC,服务费底表!$K:$K,服务费明细!$B202,服务费底表!$T:$T,AW$3)</f>
        <v>0</v>
      </c>
      <c r="AX202" s="166">
        <f>SUMIFS(服务费底表!$AC:$AC,服务费底表!$K:$K,服务费明细!$B202,服务费底表!$T:$T,AX$3)</f>
        <v>0</v>
      </c>
      <c r="AY202" s="166">
        <f>SUMIFS(服务费底表!$AC:$AC,服务费底表!$K:$K,服务费明细!$B202,服务费底表!$T:$T,AY$3)</f>
        <v>0</v>
      </c>
      <c r="AZ202" s="166">
        <f>SUMIFS(服务费底表!$AC:$AC,服务费底表!$K:$K,服务费明细!$B202,服务费底表!$T:$T,AZ$3)</f>
        <v>0</v>
      </c>
      <c r="BA202" s="166">
        <f>SUMIFS(服务费底表!$AC:$AC,服务费底表!$K:$K,服务费明细!$B202,服务费底表!$T:$T,BA$3)</f>
        <v>0</v>
      </c>
      <c r="BB202" s="166">
        <f>SUMIFS(服务费底表!$AC:$AC,服务费底表!$K:$K,服务费明细!$B202,服务费底表!$T:$T,BB$3)</f>
        <v>0</v>
      </c>
      <c r="BC202" s="166">
        <f>SUMIFS(服务费底表!$AC:$AC,服务费底表!$K:$K,服务费明细!$B202,服务费底表!$T:$T,BC$3)</f>
        <v>0</v>
      </c>
      <c r="BD202" s="166">
        <f>SUMIFS(服务费底表!$AC:$AC,服务费底表!$K:$K,服务费明细!$B202,服务费底表!$T:$T,BD$3)</f>
        <v>0</v>
      </c>
      <c r="BE202" s="166">
        <f>SUMIFS(服务费底表!$AC:$AC,服务费底表!$K:$K,服务费明细!$B202,服务费底表!$T:$T,BE$3)</f>
        <v>0</v>
      </c>
      <c r="BF202" s="166">
        <f>SUMIFS(服务费底表!$AC:$AC,服务费底表!$K:$K,服务费明细!$B202,服务费底表!$T:$T,BF$3)</f>
        <v>0</v>
      </c>
      <c r="BG202" s="166">
        <f>SUMIFS(服务费底表!$AC:$AC,服务费底表!$K:$K,服务费明细!$B202,服务费底表!$T:$T,BG$3)</f>
        <v>0</v>
      </c>
      <c r="BI202" s="388"/>
      <c r="BJ202" s="388"/>
      <c r="BK202" s="388"/>
      <c r="BL202" s="388"/>
      <c r="BM202" s="388"/>
      <c r="BN202" s="388"/>
      <c r="BO202" s="388"/>
      <c r="BQ202" s="389"/>
      <c r="BR202" s="389"/>
      <c r="BS202" s="389"/>
      <c r="BT202" s="389"/>
      <c r="BU202" s="389"/>
      <c r="BV202" s="389"/>
      <c r="BW202" s="389"/>
    </row>
    <row r="203" spans="2:75">
      <c r="B203" s="89" t="s">
        <v>363</v>
      </c>
      <c r="C203" s="89" t="str">
        <f>INDEX(二三级标准!$C:$C,MATCH(服务费明细!$B203,二三级标准!$B:$B,0))</f>
        <v>临床药理项目管理</v>
      </c>
      <c r="D203" s="166">
        <f>IF($D$173=1,1,0)</f>
        <v>1</v>
      </c>
      <c r="E203" s="166">
        <f>IF($D203=1,ROUND(入组月+治疗月+随访月+长随访月+锁库月+TFLs月,0),0)</f>
        <v>15</v>
      </c>
      <c r="F203" s="89" t="str">
        <f>INDEX(二三级标准!$G:$G,MATCH(服务费明细!$B203,二三级标准!$B:$B,0))</f>
        <v>月</v>
      </c>
      <c r="G203" s="166">
        <f t="shared" si="316"/>
        <v>0</v>
      </c>
      <c r="H203" s="166">
        <f t="shared" si="317"/>
        <v>0</v>
      </c>
      <c r="I203" s="166">
        <f t="shared" si="318"/>
        <v>0</v>
      </c>
      <c r="J203" s="166">
        <f t="shared" si="319"/>
        <v>0</v>
      </c>
      <c r="K203" s="166">
        <f t="shared" si="320"/>
        <v>0</v>
      </c>
      <c r="L203" s="166">
        <f t="shared" si="321"/>
        <v>0</v>
      </c>
      <c r="M203" s="166">
        <f t="shared" si="322"/>
        <v>0</v>
      </c>
      <c r="N203" s="166">
        <f t="shared" si="323"/>
        <v>0</v>
      </c>
      <c r="O203" s="166">
        <f t="shared" si="324"/>
        <v>0</v>
      </c>
      <c r="P203" s="166">
        <f t="shared" si="325"/>
        <v>0</v>
      </c>
      <c r="Q203" s="166">
        <f t="shared" si="326"/>
        <v>0</v>
      </c>
      <c r="R203" s="166">
        <f t="shared" si="327"/>
        <v>0</v>
      </c>
      <c r="S203" s="166">
        <f t="shared" si="328"/>
        <v>0</v>
      </c>
      <c r="T203" s="166">
        <f t="shared" si="329"/>
        <v>0</v>
      </c>
      <c r="U203" s="166">
        <f t="shared" si="330"/>
        <v>0</v>
      </c>
      <c r="V203" s="166">
        <f t="shared" si="331"/>
        <v>0</v>
      </c>
      <c r="W203" s="166">
        <f t="shared" si="332"/>
        <v>0</v>
      </c>
      <c r="X203" s="166">
        <f t="shared" si="333"/>
        <v>0</v>
      </c>
      <c r="Y203" s="166">
        <f t="shared" si="334"/>
        <v>7.5</v>
      </c>
      <c r="Z203" s="166">
        <f t="shared" si="335"/>
        <v>0</v>
      </c>
      <c r="AA203" s="166">
        <f t="shared" si="336"/>
        <v>0</v>
      </c>
      <c r="AB203" s="166">
        <f t="shared" si="337"/>
        <v>0</v>
      </c>
      <c r="AC203" s="166" cm="1">
        <f t="array" ref="AC203">SUMPRODUCT(G203:AB203,$G$4:$AB$4)</f>
        <v>5250</v>
      </c>
      <c r="AD203" s="89" t="b">
        <f t="shared" si="342"/>
        <v>1</v>
      </c>
      <c r="AE203" s="386">
        <f>IFERROR(SUMIF(服务费底表!$K:$K,服务费明细!$B203,服务费底表!$AD:$AD)/E203,0)</f>
        <v>350</v>
      </c>
      <c r="AF203" s="386">
        <f t="shared" si="345"/>
        <v>5250</v>
      </c>
      <c r="AG203" s="386">
        <f>IFERROR(SUMIF(服务费底表!$K:$K,服务费明细!$B203,服务费底表!$AG:$AG)/E203,0)</f>
        <v>350</v>
      </c>
      <c r="AH203" s="386">
        <f t="shared" si="346"/>
        <v>5250</v>
      </c>
      <c r="AI203" s="409"/>
      <c r="AJ203" s="563">
        <f t="shared" si="341"/>
        <v>0.5</v>
      </c>
      <c r="AK203" s="564">
        <f>SUMIF(服务费底表!$K:$K,服务费明细!$B203,服务费底表!$AC:$AC)</f>
        <v>7.5</v>
      </c>
      <c r="AL203" s="166">
        <f>SUMIFS(服务费底表!$AC:$AC,服务费底表!$K:$K,服务费明细!$B203,服务费底表!$T:$T,AL$3)</f>
        <v>0</v>
      </c>
      <c r="AM203" s="166">
        <f>SUMIFS(服务费底表!$AC:$AC,服务费底表!$K:$K,服务费明细!$B203,服务费底表!$T:$T,AM$3)</f>
        <v>0</v>
      </c>
      <c r="AN203" s="166">
        <f>SUMIFS(服务费底表!$AC:$AC,服务费底表!$K:$K,服务费明细!$B203,服务费底表!$T:$T,AN$3)</f>
        <v>0</v>
      </c>
      <c r="AO203" s="166">
        <f>SUMIFS(服务费底表!$AC:$AC,服务费底表!$K:$K,服务费明细!$B203,服务费底表!$T:$T,AO$3)</f>
        <v>0</v>
      </c>
      <c r="AP203" s="166">
        <f>SUMIFS(服务费底表!$AC:$AC,服务费底表!$K:$K,服务费明细!$B203,服务费底表!$T:$T,AP$3)</f>
        <v>0</v>
      </c>
      <c r="AQ203" s="166">
        <f>SUMIFS(服务费底表!$AC:$AC,服务费底表!$K:$K,服务费明细!$B203,服务费底表!$T:$T,AQ$3)</f>
        <v>0</v>
      </c>
      <c r="AR203" s="166">
        <f>SUMIFS(服务费底表!$AC:$AC,服务费底表!$K:$K,服务费明细!$B203,服务费底表!$T:$T,AR$3)</f>
        <v>0</v>
      </c>
      <c r="AS203" s="166">
        <f>SUMIFS(服务费底表!$AC:$AC,服务费底表!$K:$K,服务费明细!$B203,服务费底表!$T:$T,AS$3)</f>
        <v>0</v>
      </c>
      <c r="AT203" s="166">
        <f>SUMIFS(服务费底表!$AC:$AC,服务费底表!$K:$K,服务费明细!$B203,服务费底表!$T:$T,AT$3)</f>
        <v>0</v>
      </c>
      <c r="AU203" s="166">
        <f>SUMIFS(服务费底表!$AC:$AC,服务费底表!$K:$K,服务费明细!$B203,服务费底表!$T:$T,AU$3)</f>
        <v>0</v>
      </c>
      <c r="AV203" s="166">
        <f>SUMIFS(服务费底表!$AC:$AC,服务费底表!$K:$K,服务费明细!$B203,服务费底表!$T:$T,AV$3)</f>
        <v>0</v>
      </c>
      <c r="AW203" s="166">
        <f>SUMIFS(服务费底表!$AC:$AC,服务费底表!$K:$K,服务费明细!$B203,服务费底表!$T:$T,AW$3)</f>
        <v>0</v>
      </c>
      <c r="AX203" s="166">
        <f>SUMIFS(服务费底表!$AC:$AC,服务费底表!$K:$K,服务费明细!$B203,服务费底表!$T:$T,AX$3)</f>
        <v>0</v>
      </c>
      <c r="AY203" s="166">
        <f>SUMIFS(服务费底表!$AC:$AC,服务费底表!$K:$K,服务费明细!$B203,服务费底表!$T:$T,AY$3)</f>
        <v>0</v>
      </c>
      <c r="AZ203" s="166">
        <f>SUMIFS(服务费底表!$AC:$AC,服务费底表!$K:$K,服务费明细!$B203,服务费底表!$T:$T,AZ$3)</f>
        <v>0</v>
      </c>
      <c r="BA203" s="166">
        <f>SUMIFS(服务费底表!$AC:$AC,服务费底表!$K:$K,服务费明细!$B203,服务费底表!$T:$T,BA$3)</f>
        <v>0</v>
      </c>
      <c r="BB203" s="166">
        <f>SUMIFS(服务费底表!$AC:$AC,服务费底表!$K:$K,服务费明细!$B203,服务费底表!$T:$T,BB$3)</f>
        <v>0</v>
      </c>
      <c r="BC203" s="166">
        <f>SUMIFS(服务费底表!$AC:$AC,服务费底表!$K:$K,服务费明细!$B203,服务费底表!$T:$T,BC$3)</f>
        <v>0</v>
      </c>
      <c r="BD203" s="166">
        <f>SUMIFS(服务费底表!$AC:$AC,服务费底表!$K:$K,服务费明细!$B203,服务费底表!$T:$T,BD$3)</f>
        <v>7.5</v>
      </c>
      <c r="BE203" s="166">
        <f>SUMIFS(服务费底表!$AC:$AC,服务费底表!$K:$K,服务费明细!$B203,服务费底表!$T:$T,BE$3)</f>
        <v>0</v>
      </c>
      <c r="BF203" s="166">
        <f>SUMIFS(服务费底表!$AC:$AC,服务费底表!$K:$K,服务费明细!$B203,服务费底表!$T:$T,BF$3)</f>
        <v>0</v>
      </c>
      <c r="BG203" s="166">
        <f>SUMIFS(服务费底表!$AC:$AC,服务费底表!$K:$K,服务费明细!$B203,服务费底表!$T:$T,BG$3)</f>
        <v>0</v>
      </c>
      <c r="BI203" s="388">
        <f>SUMIFS(服务费底表!$AC:$AC,服务费底表!$K:$K,服务费明细!$B203,服务费底表!$H:$H,服务费明细!BI$3)</f>
        <v>0</v>
      </c>
      <c r="BJ203" s="388">
        <f>SUMIFS(服务费底表!$AC:$AC,服务费底表!$K:$K,服务费明细!$B203,服务费底表!$H:$H,服务费明细!BJ$3)</f>
        <v>0</v>
      </c>
      <c r="BK203" s="388">
        <f>SUMIFS(服务费底表!$AC:$AC,服务费底表!$K:$K,服务费明细!$B203,服务费底表!$H:$H,服务费明细!BK$3)</f>
        <v>0</v>
      </c>
      <c r="BL203" s="388">
        <f>SUMIFS(服务费底表!$AC:$AC,服务费底表!$K:$K,服务费明细!$B203,服务费底表!$H:$H,服务费明细!BL$3)</f>
        <v>0</v>
      </c>
      <c r="BM203" s="388">
        <f>SUMIFS(服务费底表!$AC:$AC,服务费底表!$K:$K,服务费明细!$B203,服务费底表!$H:$H,服务费明细!BM$3)</f>
        <v>0</v>
      </c>
      <c r="BN203" s="388">
        <f>SUMIFS(服务费底表!$AC:$AC,服务费底表!$K:$K,服务费明细!$B203,服务费底表!$H:$H,服务费明细!BN$3)</f>
        <v>7.5</v>
      </c>
      <c r="BO203" s="388">
        <f>SUMIFS(服务费底表!$AC:$AC,服务费底表!$K:$K,服务费明细!$B203,服务费底表!$H:$H,服务费明细!BO$3)</f>
        <v>0</v>
      </c>
      <c r="BQ203" s="389">
        <f>SUMIFS(服务费底表!$AD:$AD,服务费底表!$K:$K,服务费明细!$B203,服务费底表!$H:$H,服务费明细!BQ$3)</f>
        <v>0</v>
      </c>
      <c r="BR203" s="389">
        <f>SUMIFS(服务费底表!$AD:$AD,服务费底表!$K:$K,服务费明细!$B203,服务费底表!$H:$H,服务费明细!BR$3)</f>
        <v>0</v>
      </c>
      <c r="BS203" s="389">
        <f>SUMIFS(服务费底表!$AD:$AD,服务费底表!$K:$K,服务费明细!$B203,服务费底表!$H:$H,服务费明细!BS$3)</f>
        <v>0</v>
      </c>
      <c r="BT203" s="389">
        <f>SUMIFS(服务费底表!$AD:$AD,服务费底表!$K:$K,服务费明细!$B203,服务费底表!$H:$H,服务费明细!BT$3)</f>
        <v>0</v>
      </c>
      <c r="BU203" s="389">
        <f>SUMIFS(服务费底表!$AD:$AD,服务费底表!$K:$K,服务费明细!$B203,服务费底表!$H:$H,服务费明细!BU$3)</f>
        <v>0</v>
      </c>
      <c r="BV203" s="389">
        <f>SUMIFS(服务费底表!$AD:$AD,服务费底表!$K:$K,服务费明细!$B203,服务费底表!$H:$H,服务费明细!BV$3)</f>
        <v>5250</v>
      </c>
      <c r="BW203" s="389">
        <f>SUMIFS(服务费底表!$AD:$AD,服务费底表!$K:$K,服务费明细!$B203,服务费底表!$H:$H,服务费明细!BW$3)</f>
        <v>0</v>
      </c>
    </row>
    <row r="204" ht="26.4" spans="2:75">
      <c r="B204" s="88" t="s">
        <v>926</v>
      </c>
      <c r="C204" s="88" t="str">
        <f>INDEX(二三级标准!$Q:$Q,MATCH(服务费明细!$B204,二三级标准!$O:$O,0))</f>
        <v>安全警戒</v>
      </c>
      <c r="D204" s="376">
        <f>IF(药物警戒YN=1,1,0)</f>
        <v>1</v>
      </c>
      <c r="E204" s="377"/>
      <c r="F204" s="378"/>
      <c r="G204" s="429">
        <f>SUM(G205:G219)</f>
        <v>0</v>
      </c>
      <c r="H204" s="429">
        <f t="shared" ref="H204:AB204" si="347">SUM(H205:H219)</f>
        <v>0</v>
      </c>
      <c r="I204" s="429">
        <f t="shared" si="347"/>
        <v>2</v>
      </c>
      <c r="J204" s="429">
        <f t="shared" si="347"/>
        <v>0</v>
      </c>
      <c r="K204" s="429">
        <f t="shared" si="347"/>
        <v>0</v>
      </c>
      <c r="L204" s="429">
        <f t="shared" si="347"/>
        <v>0</v>
      </c>
      <c r="M204" s="429">
        <f t="shared" si="347"/>
        <v>0</v>
      </c>
      <c r="N204" s="429">
        <f t="shared" si="347"/>
        <v>79.5</v>
      </c>
      <c r="O204" s="429">
        <f t="shared" si="347"/>
        <v>140.5</v>
      </c>
      <c r="P204" s="429">
        <f t="shared" si="347"/>
        <v>104.5</v>
      </c>
      <c r="Q204" s="429">
        <f t="shared" si="347"/>
        <v>0</v>
      </c>
      <c r="R204" s="429">
        <f t="shared" si="347"/>
        <v>0</v>
      </c>
      <c r="S204" s="429">
        <f t="shared" si="347"/>
        <v>2</v>
      </c>
      <c r="T204" s="429">
        <f t="shared" si="347"/>
        <v>10</v>
      </c>
      <c r="U204" s="429">
        <f t="shared" si="347"/>
        <v>0</v>
      </c>
      <c r="V204" s="429">
        <f t="shared" si="347"/>
        <v>0</v>
      </c>
      <c r="W204" s="429">
        <f t="shared" si="347"/>
        <v>0</v>
      </c>
      <c r="X204" s="429">
        <f t="shared" si="347"/>
        <v>0</v>
      </c>
      <c r="Y204" s="429">
        <f t="shared" si="347"/>
        <v>0</v>
      </c>
      <c r="Z204" s="429">
        <f t="shared" si="347"/>
        <v>0</v>
      </c>
      <c r="AA204" s="429">
        <f t="shared" si="347"/>
        <v>0</v>
      </c>
      <c r="AB204" s="429">
        <f t="shared" si="347"/>
        <v>0</v>
      </c>
      <c r="AC204" s="378"/>
      <c r="AD204" s="378">
        <f>SUM(G204:AB204)</f>
        <v>338.5</v>
      </c>
      <c r="AE204" s="379"/>
      <c r="AF204" s="380">
        <f>SUM(AF205:AF219)</f>
        <v>171520</v>
      </c>
      <c r="AG204" s="380"/>
      <c r="AH204" s="380">
        <f>SUM(AH205:AH219)</f>
        <v>171520</v>
      </c>
      <c r="AI204" s="580" t="s">
        <v>1119</v>
      </c>
      <c r="AJ204" s="566"/>
      <c r="AK204" s="559">
        <f>SUM(AK205:AK219)</f>
        <v>338.5</v>
      </c>
      <c r="AL204" s="571"/>
      <c r="AM204" s="572"/>
      <c r="AN204" s="572"/>
      <c r="AO204" s="572"/>
      <c r="AP204" s="572"/>
      <c r="AQ204" s="572"/>
      <c r="AR204" s="572"/>
      <c r="AS204" s="572"/>
      <c r="AT204" s="572"/>
      <c r="AU204" s="572"/>
      <c r="AV204" s="572"/>
      <c r="AW204" s="572"/>
      <c r="AX204" s="572"/>
      <c r="AY204" s="572"/>
      <c r="AZ204" s="572"/>
      <c r="BA204" s="572"/>
      <c r="BB204" s="572"/>
      <c r="BC204" s="572"/>
      <c r="BD204" s="572"/>
      <c r="BE204" s="572"/>
      <c r="BF204" s="572"/>
      <c r="BG204" s="572"/>
      <c r="BH204" s="572"/>
      <c r="BI204" s="568">
        <f t="shared" ref="BI204:BO204" si="348">SUM(BI205:BI219)</f>
        <v>0</v>
      </c>
      <c r="BJ204" s="568">
        <f t="shared" si="348"/>
        <v>2</v>
      </c>
      <c r="BK204" s="568">
        <f t="shared" si="348"/>
        <v>2</v>
      </c>
      <c r="BL204" s="568">
        <f t="shared" si="348"/>
        <v>10</v>
      </c>
      <c r="BM204" s="568">
        <f t="shared" si="348"/>
        <v>324.5</v>
      </c>
      <c r="BN204" s="568">
        <f t="shared" si="348"/>
        <v>0</v>
      </c>
      <c r="BO204" s="568">
        <f t="shared" si="348"/>
        <v>0</v>
      </c>
      <c r="BQ204" s="569">
        <f t="shared" ref="BQ204:BW204" si="349">SUM(BQ205:BQ219)</f>
        <v>0</v>
      </c>
      <c r="BR204" s="569">
        <f t="shared" si="349"/>
        <v>1300</v>
      </c>
      <c r="BS204" s="569">
        <f t="shared" si="349"/>
        <v>720</v>
      </c>
      <c r="BT204" s="569">
        <f t="shared" si="349"/>
        <v>2250</v>
      </c>
      <c r="BU204" s="569">
        <f t="shared" si="349"/>
        <v>167250</v>
      </c>
      <c r="BV204" s="569">
        <f t="shared" si="349"/>
        <v>0</v>
      </c>
      <c r="BW204" s="569">
        <f t="shared" si="349"/>
        <v>0</v>
      </c>
    </row>
    <row r="205" ht="26.4" spans="2:75">
      <c r="B205" s="89" t="s">
        <v>365</v>
      </c>
      <c r="C205" s="89" t="str">
        <f>INDEX(二三级标准!$C:$C,MATCH(服务费明细!$B205,二三级标准!$B:$B,0))</f>
        <v>安全管理计划SMP撰写</v>
      </c>
      <c r="D205" s="166">
        <f>IF($D$204=1,1,0)</f>
        <v>1</v>
      </c>
      <c r="E205" s="166">
        <f t="shared" ref="E205:E210" si="350">IF($D205=1,1,0)</f>
        <v>1</v>
      </c>
      <c r="F205" s="89" t="str">
        <f>INDEX(二三级标准!$G:$G,MATCH(服务费明细!$B205,二三级标准!$B:$B,0))</f>
        <v>份</v>
      </c>
      <c r="G205" s="166">
        <f t="shared" ref="G205:AB205" si="351">AL205</f>
        <v>0</v>
      </c>
      <c r="H205" s="166">
        <f t="shared" si="351"/>
        <v>0</v>
      </c>
      <c r="I205" s="166">
        <f t="shared" si="351"/>
        <v>2</v>
      </c>
      <c r="J205" s="166">
        <f t="shared" si="351"/>
        <v>0</v>
      </c>
      <c r="K205" s="166">
        <f t="shared" si="351"/>
        <v>0</v>
      </c>
      <c r="L205" s="166">
        <f t="shared" si="351"/>
        <v>0</v>
      </c>
      <c r="M205" s="166">
        <f t="shared" si="351"/>
        <v>0</v>
      </c>
      <c r="N205" s="166">
        <f t="shared" si="351"/>
        <v>0</v>
      </c>
      <c r="O205" s="166">
        <f t="shared" si="351"/>
        <v>20</v>
      </c>
      <c r="P205" s="166">
        <f t="shared" si="351"/>
        <v>2</v>
      </c>
      <c r="Q205" s="166">
        <f t="shared" si="351"/>
        <v>0</v>
      </c>
      <c r="R205" s="166">
        <f t="shared" si="351"/>
        <v>0</v>
      </c>
      <c r="S205" s="166">
        <f t="shared" si="351"/>
        <v>0</v>
      </c>
      <c r="T205" s="166">
        <f t="shared" si="351"/>
        <v>0</v>
      </c>
      <c r="U205" s="166">
        <f t="shared" si="351"/>
        <v>0</v>
      </c>
      <c r="V205" s="166">
        <f t="shared" si="351"/>
        <v>0</v>
      </c>
      <c r="W205" s="166">
        <f t="shared" si="351"/>
        <v>0</v>
      </c>
      <c r="X205" s="166">
        <f t="shared" si="351"/>
        <v>0</v>
      </c>
      <c r="Y205" s="166">
        <f t="shared" si="351"/>
        <v>0</v>
      </c>
      <c r="Z205" s="166">
        <f t="shared" si="351"/>
        <v>0</v>
      </c>
      <c r="AA205" s="166">
        <f t="shared" si="351"/>
        <v>0</v>
      </c>
      <c r="AB205" s="166">
        <f t="shared" si="351"/>
        <v>0</v>
      </c>
      <c r="AC205" s="166" cm="1">
        <f t="array" ref="AC205">SUMPRODUCT(G205:AB205,$G$4:$AB$4)</f>
        <v>12700</v>
      </c>
      <c r="AD205" s="89" t="b">
        <f t="shared" ref="AD205:AD212" si="352">IF(AF205=AC205,TRUE,FALSE)</f>
        <v>1</v>
      </c>
      <c r="AE205" s="386">
        <f>IFERROR(SUMIF(服务费底表!$K:$K,服务费明细!$B205,服务费底表!$AD:$AD)/E205,0)</f>
        <v>12700</v>
      </c>
      <c r="AF205" s="386">
        <f t="shared" ref="AF205:AF212" si="353">E205*AE205</f>
        <v>12700</v>
      </c>
      <c r="AG205" s="386">
        <f>IFERROR(SUMIF(服务费底表!$K:$K,服务费明细!$B205,服务费底表!$AG:$AG)/E205,0)</f>
        <v>12700</v>
      </c>
      <c r="AH205" s="386">
        <f t="shared" ref="AH205:AH212" si="354">AG205*E205</f>
        <v>12700</v>
      </c>
      <c r="AI205" s="409" t="s">
        <v>1120</v>
      </c>
      <c r="AJ205" s="563">
        <f t="shared" ref="AJ205:AJ212" si="355">IF(D205=1,AK205/E205,0)</f>
        <v>24</v>
      </c>
      <c r="AK205" s="564">
        <f>SUMIF(服务费底表!$K:$K,服务费明细!$B205,服务费底表!$AC:$AC)</f>
        <v>24</v>
      </c>
      <c r="AL205" s="166">
        <f>SUMIFS(服务费底表!$AC:$AC,服务费底表!$K:$K,服务费明细!$B205,服务费底表!$T:$T,AL$3)</f>
        <v>0</v>
      </c>
      <c r="AM205" s="166">
        <f>SUMIFS(服务费底表!$AC:$AC,服务费底表!$K:$K,服务费明细!$B205,服务费底表!$T:$T,AM$3)</f>
        <v>0</v>
      </c>
      <c r="AN205" s="166">
        <f>SUMIFS(服务费底表!$AC:$AC,服务费底表!$K:$K,服务费明细!$B205,服务费底表!$T:$T,AN$3)</f>
        <v>2</v>
      </c>
      <c r="AO205" s="166">
        <f>SUMIFS(服务费底表!$AC:$AC,服务费底表!$K:$K,服务费明细!$B205,服务费底表!$T:$T,AO$3)</f>
        <v>0</v>
      </c>
      <c r="AP205" s="166">
        <f>SUMIFS(服务费底表!$AC:$AC,服务费底表!$K:$K,服务费明细!$B205,服务费底表!$T:$T,AP$3)</f>
        <v>0</v>
      </c>
      <c r="AQ205" s="166">
        <f>SUMIFS(服务费底表!$AC:$AC,服务费底表!$K:$K,服务费明细!$B205,服务费底表!$T:$T,AQ$3)</f>
        <v>0</v>
      </c>
      <c r="AR205" s="166">
        <f>SUMIFS(服务费底表!$AC:$AC,服务费底表!$K:$K,服务费明细!$B205,服务费底表!$T:$T,AR$3)</f>
        <v>0</v>
      </c>
      <c r="AS205" s="166">
        <f>SUMIFS(服务费底表!$AC:$AC,服务费底表!$K:$K,服务费明细!$B205,服务费底表!$T:$T,AS$3)</f>
        <v>0</v>
      </c>
      <c r="AT205" s="166">
        <f>SUMIFS(服务费底表!$AC:$AC,服务费底表!$K:$K,服务费明细!$B205,服务费底表!$T:$T,AT$3)</f>
        <v>20</v>
      </c>
      <c r="AU205" s="166">
        <f>SUMIFS(服务费底表!$AC:$AC,服务费底表!$K:$K,服务费明细!$B205,服务费底表!$T:$T,AU$3)</f>
        <v>2</v>
      </c>
      <c r="AV205" s="166">
        <f>SUMIFS(服务费底表!$AC:$AC,服务费底表!$K:$K,服务费明细!$B205,服务费底表!$T:$T,AV$3)</f>
        <v>0</v>
      </c>
      <c r="AW205" s="166">
        <f>SUMIFS(服务费底表!$AC:$AC,服务费底表!$K:$K,服务费明细!$B205,服务费底表!$T:$T,AW$3)</f>
        <v>0</v>
      </c>
      <c r="AX205" s="166">
        <f>SUMIFS(服务费底表!$AC:$AC,服务费底表!$K:$K,服务费明细!$B205,服务费底表!$T:$T,AX$3)</f>
        <v>0</v>
      </c>
      <c r="AY205" s="166">
        <f>SUMIFS(服务费底表!$AC:$AC,服务费底表!$K:$K,服务费明细!$B205,服务费底表!$T:$T,AY$3)</f>
        <v>0</v>
      </c>
      <c r="AZ205" s="166">
        <f>SUMIFS(服务费底表!$AC:$AC,服务费底表!$K:$K,服务费明细!$B205,服务费底表!$T:$T,AZ$3)</f>
        <v>0</v>
      </c>
      <c r="BA205" s="166">
        <f>SUMIFS(服务费底表!$AC:$AC,服务费底表!$K:$K,服务费明细!$B205,服务费底表!$T:$T,BA$3)</f>
        <v>0</v>
      </c>
      <c r="BB205" s="166">
        <f>SUMIFS(服务费底表!$AC:$AC,服务费底表!$K:$K,服务费明细!$B205,服务费底表!$T:$T,BB$3)</f>
        <v>0</v>
      </c>
      <c r="BC205" s="166">
        <f>SUMIFS(服务费底表!$AC:$AC,服务费底表!$K:$K,服务费明细!$B205,服务费底表!$T:$T,BC$3)</f>
        <v>0</v>
      </c>
      <c r="BD205" s="166">
        <f>SUMIFS(服务费底表!$AC:$AC,服务费底表!$K:$K,服务费明细!$B205,服务费底表!$T:$T,BD$3)</f>
        <v>0</v>
      </c>
      <c r="BE205" s="166">
        <f>SUMIFS(服务费底表!$AC:$AC,服务费底表!$K:$K,服务费明细!$B205,服务费底表!$T:$T,BE$3)</f>
        <v>0</v>
      </c>
      <c r="BF205" s="166">
        <f>SUMIFS(服务费底表!$AC:$AC,服务费底表!$K:$K,服务费明细!$B205,服务费底表!$T:$T,BF$3)</f>
        <v>0</v>
      </c>
      <c r="BG205" s="166">
        <f>SUMIFS(服务费底表!$AC:$AC,服务费底表!$K:$K,服务费明细!$B205,服务费底表!$T:$T,BG$3)</f>
        <v>0</v>
      </c>
      <c r="BI205" s="388">
        <f>SUMIFS(服务费底表!$AC:$AC,服务费底表!$K:$K,服务费明细!$B205,服务费底表!$H:$H,服务费明细!BI$3)</f>
        <v>0</v>
      </c>
      <c r="BJ205" s="388">
        <f>SUMIFS(服务费底表!$AC:$AC,服务费底表!$K:$K,服务费明细!$B205,服务费底表!$H:$H,服务费明细!BJ$3)</f>
        <v>2</v>
      </c>
      <c r="BK205" s="388">
        <f>SUMIFS(服务费底表!$AC:$AC,服务费底表!$K:$K,服务费明细!$B205,服务费底表!$H:$H,服务费明细!BK$3)</f>
        <v>0</v>
      </c>
      <c r="BL205" s="388">
        <f>SUMIFS(服务费底表!$AC:$AC,服务费底表!$K:$K,服务费明细!$B205,服务费底表!$H:$H,服务费明细!BL$3)</f>
        <v>0</v>
      </c>
      <c r="BM205" s="388">
        <f>SUMIFS(服务费底表!$AC:$AC,服务费底表!$K:$K,服务费明细!$B205,服务费底表!$H:$H,服务费明细!BM$3)</f>
        <v>22</v>
      </c>
      <c r="BN205" s="388">
        <f>SUMIFS(服务费底表!$AC:$AC,服务费底表!$K:$K,服务费明细!$B205,服务费底表!$H:$H,服务费明细!BN$3)</f>
        <v>0</v>
      </c>
      <c r="BO205" s="388">
        <f>SUMIFS(服务费底表!$AC:$AC,服务费底表!$K:$K,服务费明细!$B205,服务费底表!$H:$H,服务费明细!BO$3)</f>
        <v>0</v>
      </c>
      <c r="BQ205" s="389">
        <f>SUMIFS(服务费底表!$AD:$AD,服务费底表!$K:$K,服务费明细!$B205,服务费底表!$H:$H,服务费明细!BQ$3)</f>
        <v>0</v>
      </c>
      <c r="BR205" s="389">
        <f>SUMIFS(服务费底表!$AD:$AD,服务费底表!$K:$K,服务费明细!$B205,服务费底表!$H:$H,服务费明细!BR$3)</f>
        <v>1300</v>
      </c>
      <c r="BS205" s="389">
        <f>SUMIFS(服务费底表!$AD:$AD,服务费底表!$K:$K,服务费明细!$B205,服务费底表!$H:$H,服务费明细!BS$3)</f>
        <v>0</v>
      </c>
      <c r="BT205" s="389">
        <f>SUMIFS(服务费底表!$AD:$AD,服务费底表!$K:$K,服务费明细!$B205,服务费底表!$H:$H,服务费明细!BT$3)</f>
        <v>0</v>
      </c>
      <c r="BU205" s="389">
        <f>SUMIFS(服务费底表!$AD:$AD,服务费底表!$K:$K,服务费明细!$B205,服务费底表!$H:$H,服务费明细!BU$3)</f>
        <v>11400</v>
      </c>
      <c r="BV205" s="389">
        <f>SUMIFS(服务费底表!$AD:$AD,服务费底表!$K:$K,服务费明细!$B205,服务费底表!$H:$H,服务费明细!BV$3)</f>
        <v>0</v>
      </c>
      <c r="BW205" s="389">
        <f>SUMIFS(服务费底表!$AD:$AD,服务费底表!$K:$K,服务费明细!$B205,服务费底表!$H:$H,服务费明细!BW$3)</f>
        <v>0</v>
      </c>
    </row>
    <row r="206" spans="2:75">
      <c r="B206" s="89" t="s">
        <v>367</v>
      </c>
      <c r="C206" s="89" t="str">
        <f>INDEX(二三级标准!$C:$C,MATCH(服务费明细!$B206,二三级标准!$B:$B,0))</f>
        <v>药物警戒协议撰写</v>
      </c>
      <c r="D206" s="166">
        <v>0</v>
      </c>
      <c r="E206" s="166">
        <f t="shared" si="350"/>
        <v>0</v>
      </c>
      <c r="F206" s="89" t="str">
        <f>INDEX(二三级标准!$G:$G,MATCH(服务费明细!$B206,二三级标准!$B:$B,0))</f>
        <v>份</v>
      </c>
      <c r="G206" s="166">
        <f t="shared" ref="G206:G219" si="356">AL206</f>
        <v>0</v>
      </c>
      <c r="H206" s="166">
        <f t="shared" ref="H206:H219" si="357">AM206</f>
        <v>0</v>
      </c>
      <c r="I206" s="166">
        <f t="shared" ref="I206:I219" si="358">AN206</f>
        <v>0</v>
      </c>
      <c r="J206" s="166">
        <f t="shared" ref="J206:J219" si="359">AO206</f>
        <v>0</v>
      </c>
      <c r="K206" s="166">
        <f t="shared" ref="K206:K219" si="360">AP206</f>
        <v>0</v>
      </c>
      <c r="L206" s="166">
        <f t="shared" ref="L206:L219" si="361">AQ206</f>
        <v>0</v>
      </c>
      <c r="M206" s="166">
        <f t="shared" ref="M206:M219" si="362">AR206</f>
        <v>0</v>
      </c>
      <c r="N206" s="166">
        <f t="shared" ref="N206:N219" si="363">AS206</f>
        <v>0</v>
      </c>
      <c r="O206" s="166">
        <f t="shared" ref="O206:O219" si="364">AT206</f>
        <v>0</v>
      </c>
      <c r="P206" s="166">
        <f t="shared" ref="P206:P219" si="365">AU206</f>
        <v>0</v>
      </c>
      <c r="Q206" s="166">
        <f t="shared" ref="Q206:Q219" si="366">AV206</f>
        <v>0</v>
      </c>
      <c r="R206" s="166">
        <f t="shared" ref="R206:R219" si="367">AW206</f>
        <v>0</v>
      </c>
      <c r="S206" s="166">
        <f t="shared" ref="S206:S219" si="368">AX206</f>
        <v>0</v>
      </c>
      <c r="T206" s="166">
        <f t="shared" ref="T206:T219" si="369">AY206</f>
        <v>0</v>
      </c>
      <c r="U206" s="166">
        <f t="shared" ref="U206:U219" si="370">AZ206</f>
        <v>0</v>
      </c>
      <c r="V206" s="166">
        <f t="shared" ref="V206:V219" si="371">BA206</f>
        <v>0</v>
      </c>
      <c r="W206" s="166">
        <f t="shared" ref="W206:W219" si="372">BB206</f>
        <v>0</v>
      </c>
      <c r="X206" s="166">
        <f t="shared" ref="X206:X219" si="373">BC206</f>
        <v>0</v>
      </c>
      <c r="Y206" s="166">
        <f t="shared" ref="Y206:Y219" si="374">BD206</f>
        <v>0</v>
      </c>
      <c r="Z206" s="166">
        <f t="shared" ref="Z206:Z219" si="375">BE206</f>
        <v>0</v>
      </c>
      <c r="AA206" s="166">
        <f t="shared" ref="AA206:AA219" si="376">BF206</f>
        <v>0</v>
      </c>
      <c r="AB206" s="166">
        <f t="shared" ref="AB206:AB219" si="377">BG206</f>
        <v>0</v>
      </c>
      <c r="AC206" s="166" cm="1">
        <f t="array" ref="AC206">SUMPRODUCT(G206:AB206,$G$4:$AB$4)</f>
        <v>0</v>
      </c>
      <c r="AD206" s="89" t="b">
        <f t="shared" si="352"/>
        <v>1</v>
      </c>
      <c r="AE206" s="386">
        <f>IFERROR(SUMIF(服务费底表!$K:$K,服务费明细!$B206,服务费底表!$AD:$AD)/E206,0)</f>
        <v>0</v>
      </c>
      <c r="AF206" s="386">
        <f t="shared" si="353"/>
        <v>0</v>
      </c>
      <c r="AG206" s="386">
        <f>IFERROR(SUMIF(服务费底表!$K:$K,服务费明细!$B206,服务费底表!$AG:$AG)/E206,0)</f>
        <v>0</v>
      </c>
      <c r="AH206" s="386">
        <f t="shared" si="354"/>
        <v>0</v>
      </c>
      <c r="AI206" s="409" t="s">
        <v>1121</v>
      </c>
      <c r="AJ206" s="563">
        <f t="shared" si="355"/>
        <v>0</v>
      </c>
      <c r="AK206" s="564">
        <f>SUMIF(服务费底表!$K:$K,服务费明细!$B206,服务费底表!$AC:$AC)</f>
        <v>0</v>
      </c>
      <c r="AL206" s="166">
        <f>SUMIFS(服务费底表!$AC:$AC,服务费底表!$K:$K,服务费明细!$B206,服务费底表!$T:$T,AL$3)</f>
        <v>0</v>
      </c>
      <c r="AM206" s="166">
        <f>SUMIFS(服务费底表!$AC:$AC,服务费底表!$K:$K,服务费明细!$B206,服务费底表!$T:$T,AM$3)</f>
        <v>0</v>
      </c>
      <c r="AN206" s="166">
        <f>SUMIFS(服务费底表!$AC:$AC,服务费底表!$K:$K,服务费明细!$B206,服务费底表!$T:$T,AN$3)</f>
        <v>0</v>
      </c>
      <c r="AO206" s="166">
        <f>SUMIFS(服务费底表!$AC:$AC,服务费底表!$K:$K,服务费明细!$B206,服务费底表!$T:$T,AO$3)</f>
        <v>0</v>
      </c>
      <c r="AP206" s="166">
        <f>SUMIFS(服务费底表!$AC:$AC,服务费底表!$K:$K,服务费明细!$B206,服务费底表!$T:$T,AP$3)</f>
        <v>0</v>
      </c>
      <c r="AQ206" s="166">
        <f>SUMIFS(服务费底表!$AC:$AC,服务费底表!$K:$K,服务费明细!$B206,服务费底表!$T:$T,AQ$3)</f>
        <v>0</v>
      </c>
      <c r="AR206" s="166">
        <f>SUMIFS(服务费底表!$AC:$AC,服务费底表!$K:$K,服务费明细!$B206,服务费底表!$T:$T,AR$3)</f>
        <v>0</v>
      </c>
      <c r="AS206" s="166">
        <f>SUMIFS(服务费底表!$AC:$AC,服务费底表!$K:$K,服务费明细!$B206,服务费底表!$T:$T,AS$3)</f>
        <v>0</v>
      </c>
      <c r="AT206" s="166">
        <f>SUMIFS(服务费底表!$AC:$AC,服务费底表!$K:$K,服务费明细!$B206,服务费底表!$T:$T,AT$3)</f>
        <v>0</v>
      </c>
      <c r="AU206" s="166">
        <f>SUMIFS(服务费底表!$AC:$AC,服务费底表!$K:$K,服务费明细!$B206,服务费底表!$T:$T,AU$3)</f>
        <v>0</v>
      </c>
      <c r="AV206" s="166">
        <f>SUMIFS(服务费底表!$AC:$AC,服务费底表!$K:$K,服务费明细!$B206,服务费底表!$T:$T,AV$3)</f>
        <v>0</v>
      </c>
      <c r="AW206" s="166">
        <f>SUMIFS(服务费底表!$AC:$AC,服务费底表!$K:$K,服务费明细!$B206,服务费底表!$T:$T,AW$3)</f>
        <v>0</v>
      </c>
      <c r="AX206" s="166">
        <f>SUMIFS(服务费底表!$AC:$AC,服务费底表!$K:$K,服务费明细!$B206,服务费底表!$T:$T,AX$3)</f>
        <v>0</v>
      </c>
      <c r="AY206" s="166">
        <f>SUMIFS(服务费底表!$AC:$AC,服务费底表!$K:$K,服务费明细!$B206,服务费底表!$T:$T,AY$3)</f>
        <v>0</v>
      </c>
      <c r="AZ206" s="166">
        <f>SUMIFS(服务费底表!$AC:$AC,服务费底表!$K:$K,服务费明细!$B206,服务费底表!$T:$T,AZ$3)</f>
        <v>0</v>
      </c>
      <c r="BA206" s="166">
        <f>SUMIFS(服务费底表!$AC:$AC,服务费底表!$K:$K,服务费明细!$B206,服务费底表!$T:$T,BA$3)</f>
        <v>0</v>
      </c>
      <c r="BB206" s="166">
        <f>SUMIFS(服务费底表!$AC:$AC,服务费底表!$K:$K,服务费明细!$B206,服务费底表!$T:$T,BB$3)</f>
        <v>0</v>
      </c>
      <c r="BC206" s="166">
        <f>SUMIFS(服务费底表!$AC:$AC,服务费底表!$K:$K,服务费明细!$B206,服务费底表!$T:$T,BC$3)</f>
        <v>0</v>
      </c>
      <c r="BD206" s="166">
        <f>SUMIFS(服务费底表!$AC:$AC,服务费底表!$K:$K,服务费明细!$B206,服务费底表!$T:$T,BD$3)</f>
        <v>0</v>
      </c>
      <c r="BE206" s="166">
        <f>SUMIFS(服务费底表!$AC:$AC,服务费底表!$K:$K,服务费明细!$B206,服务费底表!$T:$T,BE$3)</f>
        <v>0</v>
      </c>
      <c r="BF206" s="166">
        <f>SUMIFS(服务费底表!$AC:$AC,服务费底表!$K:$K,服务费明细!$B206,服务费底表!$T:$T,BF$3)</f>
        <v>0</v>
      </c>
      <c r="BG206" s="166">
        <f>SUMIFS(服务费底表!$AC:$AC,服务费底表!$K:$K,服务费明细!$B206,服务费底表!$T:$T,BG$3)</f>
        <v>0</v>
      </c>
      <c r="BI206" s="388">
        <f>SUMIFS(服务费底表!$AC:$AC,服务费底表!$K:$K,服务费明细!$B206,服务费底表!$H:$H,服务费明细!BI$3)</f>
        <v>0</v>
      </c>
      <c r="BJ206" s="388">
        <f>SUMIFS(服务费底表!$AC:$AC,服务费底表!$K:$K,服务费明细!$B206,服务费底表!$H:$H,服务费明细!BJ$3)</f>
        <v>0</v>
      </c>
      <c r="BK206" s="388">
        <f>SUMIFS(服务费底表!$AC:$AC,服务费底表!$K:$K,服务费明细!$B206,服务费底表!$H:$H,服务费明细!BK$3)</f>
        <v>0</v>
      </c>
      <c r="BL206" s="388">
        <f>SUMIFS(服务费底表!$AC:$AC,服务费底表!$K:$K,服务费明细!$B206,服务费底表!$H:$H,服务费明细!BL$3)</f>
        <v>0</v>
      </c>
      <c r="BM206" s="388">
        <f>SUMIFS(服务费底表!$AC:$AC,服务费底表!$K:$K,服务费明细!$B206,服务费底表!$H:$H,服务费明细!BM$3)</f>
        <v>0</v>
      </c>
      <c r="BN206" s="388">
        <f>SUMIFS(服务费底表!$AC:$AC,服务费底表!$K:$K,服务费明细!$B206,服务费底表!$H:$H,服务费明细!BN$3)</f>
        <v>0</v>
      </c>
      <c r="BO206" s="388">
        <f>SUMIFS(服务费底表!$AC:$AC,服务费底表!$K:$K,服务费明细!$B206,服务费底表!$H:$H,服务费明细!BO$3)</f>
        <v>0</v>
      </c>
      <c r="BQ206" s="389">
        <f>SUMIFS(服务费底表!$AD:$AD,服务费底表!$K:$K,服务费明细!$B206,服务费底表!$H:$H,服务费明细!BQ$3)</f>
        <v>0</v>
      </c>
      <c r="BR206" s="389">
        <f>SUMIFS(服务费底表!$AD:$AD,服务费底表!$K:$K,服务费明细!$B206,服务费底表!$H:$H,服务费明细!BR$3)</f>
        <v>0</v>
      </c>
      <c r="BS206" s="389">
        <f>SUMIFS(服务费底表!$AD:$AD,服务费底表!$K:$K,服务费明细!$B206,服务费底表!$H:$H,服务费明细!BS$3)</f>
        <v>0</v>
      </c>
      <c r="BT206" s="389">
        <f>SUMIFS(服务费底表!$AD:$AD,服务费底表!$K:$K,服务费明细!$B206,服务费底表!$H:$H,服务费明细!BT$3)</f>
        <v>0</v>
      </c>
      <c r="BU206" s="389">
        <f>SUMIFS(服务费底表!$AD:$AD,服务费底表!$K:$K,服务费明细!$B206,服务费底表!$H:$H,服务费明细!BU$3)</f>
        <v>0</v>
      </c>
      <c r="BV206" s="389">
        <f>SUMIFS(服务费底表!$AD:$AD,服务费底表!$K:$K,服务费明细!$B206,服务费底表!$H:$H,服务费明细!BV$3)</f>
        <v>0</v>
      </c>
      <c r="BW206" s="389">
        <f>SUMIFS(服务费底表!$AD:$AD,服务费底表!$K:$K,服务费明细!$B206,服务费底表!$H:$H,服务费明细!BW$3)</f>
        <v>0</v>
      </c>
    </row>
    <row r="207" spans="2:75">
      <c r="B207" s="89" t="s">
        <v>369</v>
      </c>
      <c r="C207" s="89" t="str">
        <f>INDEX(二三级标准!$C:$C,MATCH(服务费明细!$B207,二三级标准!$B:$B,0))</f>
        <v>药物警戒委托协议撰写</v>
      </c>
      <c r="D207" s="166">
        <v>0</v>
      </c>
      <c r="E207" s="166">
        <f t="shared" si="350"/>
        <v>0</v>
      </c>
      <c r="F207" s="89" t="str">
        <f>INDEX(二三级标准!$G:$G,MATCH(服务费明细!$B207,二三级标准!$B:$B,0))</f>
        <v>份</v>
      </c>
      <c r="G207" s="166">
        <f t="shared" si="356"/>
        <v>0</v>
      </c>
      <c r="H207" s="166">
        <f t="shared" si="357"/>
        <v>0</v>
      </c>
      <c r="I207" s="166">
        <f t="shared" si="358"/>
        <v>0</v>
      </c>
      <c r="J207" s="166">
        <f t="shared" si="359"/>
        <v>0</v>
      </c>
      <c r="K207" s="166">
        <f t="shared" si="360"/>
        <v>0</v>
      </c>
      <c r="L207" s="166">
        <f t="shared" si="361"/>
        <v>0</v>
      </c>
      <c r="M207" s="166">
        <f t="shared" si="362"/>
        <v>0</v>
      </c>
      <c r="N207" s="166">
        <f t="shared" si="363"/>
        <v>0</v>
      </c>
      <c r="O207" s="166">
        <f t="shared" si="364"/>
        <v>0</v>
      </c>
      <c r="P207" s="166">
        <f t="shared" si="365"/>
        <v>0</v>
      </c>
      <c r="Q207" s="166">
        <f t="shared" si="366"/>
        <v>0</v>
      </c>
      <c r="R207" s="166">
        <f t="shared" si="367"/>
        <v>0</v>
      </c>
      <c r="S207" s="166">
        <f t="shared" si="368"/>
        <v>0</v>
      </c>
      <c r="T207" s="166">
        <f t="shared" si="369"/>
        <v>0</v>
      </c>
      <c r="U207" s="166">
        <f t="shared" si="370"/>
        <v>0</v>
      </c>
      <c r="V207" s="166">
        <f t="shared" si="371"/>
        <v>0</v>
      </c>
      <c r="W207" s="166">
        <f t="shared" si="372"/>
        <v>0</v>
      </c>
      <c r="X207" s="166">
        <f t="shared" si="373"/>
        <v>0</v>
      </c>
      <c r="Y207" s="166">
        <f t="shared" si="374"/>
        <v>0</v>
      </c>
      <c r="Z207" s="166">
        <f t="shared" si="375"/>
        <v>0</v>
      </c>
      <c r="AA207" s="166">
        <f t="shared" si="376"/>
        <v>0</v>
      </c>
      <c r="AB207" s="166">
        <f t="shared" si="377"/>
        <v>0</v>
      </c>
      <c r="AC207" s="166" cm="1">
        <f t="array" ref="AC207">SUMPRODUCT(G207:AB207,$G$4:$AB$4)</f>
        <v>0</v>
      </c>
      <c r="AD207" s="89" t="b">
        <f t="shared" si="352"/>
        <v>1</v>
      </c>
      <c r="AE207" s="386">
        <f>IFERROR(SUMIF(服务费底表!$K:$K,服务费明细!$B207,服务费底表!$AD:$AD)/E207,0)</f>
        <v>0</v>
      </c>
      <c r="AF207" s="386">
        <f t="shared" si="353"/>
        <v>0</v>
      </c>
      <c r="AG207" s="386">
        <f>IFERROR(SUMIF(服务费底表!$K:$K,服务费明细!$B207,服务费底表!$AG:$AG)/E207,0)</f>
        <v>0</v>
      </c>
      <c r="AH207" s="386">
        <f t="shared" si="354"/>
        <v>0</v>
      </c>
      <c r="AI207" s="409" t="s">
        <v>1122</v>
      </c>
      <c r="AJ207" s="563">
        <f t="shared" si="355"/>
        <v>0</v>
      </c>
      <c r="AK207" s="564">
        <f>SUMIF(服务费底表!$K:$K,服务费明细!$B207,服务费底表!$AC:$AC)</f>
        <v>0</v>
      </c>
      <c r="AL207" s="166">
        <f>SUMIFS(服务费底表!$AC:$AC,服务费底表!$K:$K,服务费明细!$B207,服务费底表!$T:$T,AL$3)</f>
        <v>0</v>
      </c>
      <c r="AM207" s="166">
        <f>SUMIFS(服务费底表!$AC:$AC,服务费底表!$K:$K,服务费明细!$B207,服务费底表!$T:$T,AM$3)</f>
        <v>0</v>
      </c>
      <c r="AN207" s="166">
        <f>SUMIFS(服务费底表!$AC:$AC,服务费底表!$K:$K,服务费明细!$B207,服务费底表!$T:$T,AN$3)</f>
        <v>0</v>
      </c>
      <c r="AO207" s="166">
        <f>SUMIFS(服务费底表!$AC:$AC,服务费底表!$K:$K,服务费明细!$B207,服务费底表!$T:$T,AO$3)</f>
        <v>0</v>
      </c>
      <c r="AP207" s="166">
        <f>SUMIFS(服务费底表!$AC:$AC,服务费底表!$K:$K,服务费明细!$B207,服务费底表!$T:$T,AP$3)</f>
        <v>0</v>
      </c>
      <c r="AQ207" s="166">
        <f>SUMIFS(服务费底表!$AC:$AC,服务费底表!$K:$K,服务费明细!$B207,服务费底表!$T:$T,AQ$3)</f>
        <v>0</v>
      </c>
      <c r="AR207" s="166">
        <f>SUMIFS(服务费底表!$AC:$AC,服务费底表!$K:$K,服务费明细!$B207,服务费底表!$T:$T,AR$3)</f>
        <v>0</v>
      </c>
      <c r="AS207" s="166">
        <f>SUMIFS(服务费底表!$AC:$AC,服务费底表!$K:$K,服务费明细!$B207,服务费底表!$T:$T,AS$3)</f>
        <v>0</v>
      </c>
      <c r="AT207" s="166">
        <f>SUMIFS(服务费底表!$AC:$AC,服务费底表!$K:$K,服务费明细!$B207,服务费底表!$T:$T,AT$3)</f>
        <v>0</v>
      </c>
      <c r="AU207" s="166">
        <f>SUMIFS(服务费底表!$AC:$AC,服务费底表!$K:$K,服务费明细!$B207,服务费底表!$T:$T,AU$3)</f>
        <v>0</v>
      </c>
      <c r="AV207" s="166">
        <f>SUMIFS(服务费底表!$AC:$AC,服务费底表!$K:$K,服务费明细!$B207,服务费底表!$T:$T,AV$3)</f>
        <v>0</v>
      </c>
      <c r="AW207" s="166">
        <f>SUMIFS(服务费底表!$AC:$AC,服务费底表!$K:$K,服务费明细!$B207,服务费底表!$T:$T,AW$3)</f>
        <v>0</v>
      </c>
      <c r="AX207" s="166">
        <f>SUMIFS(服务费底表!$AC:$AC,服务费底表!$K:$K,服务费明细!$B207,服务费底表!$T:$T,AX$3)</f>
        <v>0</v>
      </c>
      <c r="AY207" s="166">
        <f>SUMIFS(服务费底表!$AC:$AC,服务费底表!$K:$K,服务费明细!$B207,服务费底表!$T:$T,AY$3)</f>
        <v>0</v>
      </c>
      <c r="AZ207" s="166">
        <f>SUMIFS(服务费底表!$AC:$AC,服务费底表!$K:$K,服务费明细!$B207,服务费底表!$T:$T,AZ$3)</f>
        <v>0</v>
      </c>
      <c r="BA207" s="166">
        <f>SUMIFS(服务费底表!$AC:$AC,服务费底表!$K:$K,服务费明细!$B207,服务费底表!$T:$T,BA$3)</f>
        <v>0</v>
      </c>
      <c r="BB207" s="166">
        <f>SUMIFS(服务费底表!$AC:$AC,服务费底表!$K:$K,服务费明细!$B207,服务费底表!$T:$T,BB$3)</f>
        <v>0</v>
      </c>
      <c r="BC207" s="166">
        <f>SUMIFS(服务费底表!$AC:$AC,服务费底表!$K:$K,服务费明细!$B207,服务费底表!$T:$T,BC$3)</f>
        <v>0</v>
      </c>
      <c r="BD207" s="166">
        <f>SUMIFS(服务费底表!$AC:$AC,服务费底表!$K:$K,服务费明细!$B207,服务费底表!$T:$T,BD$3)</f>
        <v>0</v>
      </c>
      <c r="BE207" s="166">
        <f>SUMIFS(服务费底表!$AC:$AC,服务费底表!$K:$K,服务费明细!$B207,服务费底表!$T:$T,BE$3)</f>
        <v>0</v>
      </c>
      <c r="BF207" s="166">
        <f>SUMIFS(服务费底表!$AC:$AC,服务费底表!$K:$K,服务费明细!$B207,服务费底表!$T:$T,BF$3)</f>
        <v>0</v>
      </c>
      <c r="BG207" s="166">
        <f>SUMIFS(服务费底表!$AC:$AC,服务费底表!$K:$K,服务费明细!$B207,服务费底表!$T:$T,BG$3)</f>
        <v>0</v>
      </c>
      <c r="BI207" s="388">
        <f>SUMIFS(服务费底表!$AC:$AC,服务费底表!$K:$K,服务费明细!$B207,服务费底表!$H:$H,服务费明细!BI$3)</f>
        <v>0</v>
      </c>
      <c r="BJ207" s="388">
        <f>SUMIFS(服务费底表!$AC:$AC,服务费底表!$K:$K,服务费明细!$B207,服务费底表!$H:$H,服务费明细!BJ$3)</f>
        <v>0</v>
      </c>
      <c r="BK207" s="388">
        <f>SUMIFS(服务费底表!$AC:$AC,服务费底表!$K:$K,服务费明细!$B207,服务费底表!$H:$H,服务费明细!BK$3)</f>
        <v>0</v>
      </c>
      <c r="BL207" s="388">
        <f>SUMIFS(服务费底表!$AC:$AC,服务费底表!$K:$K,服务费明细!$B207,服务费底表!$H:$H,服务费明细!BL$3)</f>
        <v>0</v>
      </c>
      <c r="BM207" s="388">
        <f>SUMIFS(服务费底表!$AC:$AC,服务费底表!$K:$K,服务费明细!$B207,服务费底表!$H:$H,服务费明细!BM$3)</f>
        <v>0</v>
      </c>
      <c r="BN207" s="388">
        <f>SUMIFS(服务费底表!$AC:$AC,服务费底表!$K:$K,服务费明细!$B207,服务费底表!$H:$H,服务费明细!BN$3)</f>
        <v>0</v>
      </c>
      <c r="BO207" s="388">
        <f>SUMIFS(服务费底表!$AC:$AC,服务费底表!$K:$K,服务费明细!$B207,服务费底表!$H:$H,服务费明细!BO$3)</f>
        <v>0</v>
      </c>
      <c r="BQ207" s="389">
        <f>SUMIFS(服务费底表!$AD:$AD,服务费底表!$K:$K,服务费明细!$B207,服务费底表!$H:$H,服务费明细!BQ$3)</f>
        <v>0</v>
      </c>
      <c r="BR207" s="389">
        <f>SUMIFS(服务费底表!$AD:$AD,服务费底表!$K:$K,服务费明细!$B207,服务费底表!$H:$H,服务费明细!BR$3)</f>
        <v>0</v>
      </c>
      <c r="BS207" s="389">
        <f>SUMIFS(服务费底表!$AD:$AD,服务费底表!$K:$K,服务费明细!$B207,服务费底表!$H:$H,服务费明细!BS$3)</f>
        <v>0</v>
      </c>
      <c r="BT207" s="389">
        <f>SUMIFS(服务费底表!$AD:$AD,服务费底表!$K:$K,服务费明细!$B207,服务费底表!$H:$H,服务费明细!BT$3)</f>
        <v>0</v>
      </c>
      <c r="BU207" s="389">
        <f>SUMIFS(服务费底表!$AD:$AD,服务费底表!$K:$K,服务费明细!$B207,服务费底表!$H:$H,服务费明细!BU$3)</f>
        <v>0</v>
      </c>
      <c r="BV207" s="389">
        <f>SUMIFS(服务费底表!$AD:$AD,服务费底表!$K:$K,服务费明细!$B207,服务费底表!$H:$H,服务费明细!BV$3)</f>
        <v>0</v>
      </c>
      <c r="BW207" s="389">
        <f>SUMIFS(服务费底表!$AD:$AD,服务费底表!$K:$K,服务费明细!$B207,服务费底表!$H:$H,服务费明细!BW$3)</f>
        <v>0</v>
      </c>
    </row>
    <row r="208" spans="2:75">
      <c r="B208" s="89" t="s">
        <v>371</v>
      </c>
      <c r="C208" s="89" t="str">
        <f>INDEX(二三级标准!$C:$C,MATCH(服务费明细!$B208,二三级标准!$B:$B,0))</f>
        <v>启动前项目药物警戒准备工作</v>
      </c>
      <c r="D208" s="166">
        <f>IF($D$204=1,1,0)</f>
        <v>1</v>
      </c>
      <c r="E208" s="166">
        <f t="shared" si="350"/>
        <v>1</v>
      </c>
      <c r="F208" s="89" t="str">
        <f>INDEX(二三级标准!$G:$G,MATCH(服务费明细!$B208,二三级标准!$B:$B,0))</f>
        <v>个</v>
      </c>
      <c r="G208" s="166">
        <f t="shared" si="356"/>
        <v>0</v>
      </c>
      <c r="H208" s="166">
        <f t="shared" si="357"/>
        <v>0</v>
      </c>
      <c r="I208" s="166">
        <f t="shared" si="358"/>
        <v>0</v>
      </c>
      <c r="J208" s="166">
        <f t="shared" si="359"/>
        <v>0</v>
      </c>
      <c r="K208" s="166">
        <f t="shared" si="360"/>
        <v>0</v>
      </c>
      <c r="L208" s="166">
        <f t="shared" si="361"/>
        <v>0</v>
      </c>
      <c r="M208" s="166">
        <f t="shared" si="362"/>
        <v>0</v>
      </c>
      <c r="N208" s="166">
        <f t="shared" si="363"/>
        <v>12</v>
      </c>
      <c r="O208" s="166">
        <f t="shared" si="364"/>
        <v>0</v>
      </c>
      <c r="P208" s="166">
        <f t="shared" si="365"/>
        <v>0</v>
      </c>
      <c r="Q208" s="166">
        <f t="shared" si="366"/>
        <v>0</v>
      </c>
      <c r="R208" s="166">
        <f t="shared" si="367"/>
        <v>0</v>
      </c>
      <c r="S208" s="166">
        <f t="shared" si="368"/>
        <v>0</v>
      </c>
      <c r="T208" s="166">
        <f t="shared" si="369"/>
        <v>0</v>
      </c>
      <c r="U208" s="166">
        <f t="shared" si="370"/>
        <v>0</v>
      </c>
      <c r="V208" s="166">
        <f t="shared" si="371"/>
        <v>0</v>
      </c>
      <c r="W208" s="166">
        <f t="shared" si="372"/>
        <v>0</v>
      </c>
      <c r="X208" s="166">
        <f t="shared" si="373"/>
        <v>0</v>
      </c>
      <c r="Y208" s="166">
        <f t="shared" si="374"/>
        <v>0</v>
      </c>
      <c r="Z208" s="166">
        <f t="shared" si="375"/>
        <v>0</v>
      </c>
      <c r="AA208" s="166">
        <f t="shared" si="376"/>
        <v>0</v>
      </c>
      <c r="AB208" s="166">
        <f t="shared" si="377"/>
        <v>0</v>
      </c>
      <c r="AC208" s="166" cm="1">
        <f t="array" ref="AC208">SUMPRODUCT(G208:AB208,$G$4:$AB$4)</f>
        <v>3600</v>
      </c>
      <c r="AD208" s="89" t="b">
        <f t="shared" si="352"/>
        <v>1</v>
      </c>
      <c r="AE208" s="386">
        <f>IFERROR(SUMIF(服务费底表!$K:$K,服务费明细!$B208,服务费底表!$AD:$AD)/E208,0)</f>
        <v>3600</v>
      </c>
      <c r="AF208" s="386">
        <f t="shared" si="353"/>
        <v>3600</v>
      </c>
      <c r="AG208" s="386">
        <f>IFERROR(SUMIF(服务费底表!$K:$K,服务费明细!$B208,服务费底表!$AG:$AG)/E208,0)</f>
        <v>3600</v>
      </c>
      <c r="AH208" s="386">
        <f t="shared" si="354"/>
        <v>3600</v>
      </c>
      <c r="AI208" s="409" t="s">
        <v>1123</v>
      </c>
      <c r="AJ208" s="563">
        <f t="shared" si="355"/>
        <v>12</v>
      </c>
      <c r="AK208" s="564">
        <f>SUMIF(服务费底表!$K:$K,服务费明细!$B208,服务费底表!$AC:$AC)</f>
        <v>12</v>
      </c>
      <c r="AL208" s="166">
        <f>SUMIFS(服务费底表!$AC:$AC,服务费底表!$K:$K,服务费明细!$B208,服务费底表!$T:$T,AL$3)</f>
        <v>0</v>
      </c>
      <c r="AM208" s="166">
        <f>SUMIFS(服务费底表!$AC:$AC,服务费底表!$K:$K,服务费明细!$B208,服务费底表!$T:$T,AM$3)</f>
        <v>0</v>
      </c>
      <c r="AN208" s="166">
        <f>SUMIFS(服务费底表!$AC:$AC,服务费底表!$K:$K,服务费明细!$B208,服务费底表!$T:$T,AN$3)</f>
        <v>0</v>
      </c>
      <c r="AO208" s="166">
        <f>SUMIFS(服务费底表!$AC:$AC,服务费底表!$K:$K,服务费明细!$B208,服务费底表!$T:$T,AO$3)</f>
        <v>0</v>
      </c>
      <c r="AP208" s="166">
        <f>SUMIFS(服务费底表!$AC:$AC,服务费底表!$K:$K,服务费明细!$B208,服务费底表!$T:$T,AP$3)</f>
        <v>0</v>
      </c>
      <c r="AQ208" s="166">
        <f>SUMIFS(服务费底表!$AC:$AC,服务费底表!$K:$K,服务费明细!$B208,服务费底表!$T:$T,AQ$3)</f>
        <v>0</v>
      </c>
      <c r="AR208" s="166">
        <f>SUMIFS(服务费底表!$AC:$AC,服务费底表!$K:$K,服务费明细!$B208,服务费底表!$T:$T,AR$3)</f>
        <v>0</v>
      </c>
      <c r="AS208" s="166">
        <f>SUMIFS(服务费底表!$AC:$AC,服务费底表!$K:$K,服务费明细!$B208,服务费底表!$T:$T,AS$3)</f>
        <v>12</v>
      </c>
      <c r="AT208" s="166">
        <f>SUMIFS(服务费底表!$AC:$AC,服务费底表!$K:$K,服务费明细!$B208,服务费底表!$T:$T,AT$3)</f>
        <v>0</v>
      </c>
      <c r="AU208" s="166">
        <f>SUMIFS(服务费底表!$AC:$AC,服务费底表!$K:$K,服务费明细!$B208,服务费底表!$T:$T,AU$3)</f>
        <v>0</v>
      </c>
      <c r="AV208" s="166">
        <f>SUMIFS(服务费底表!$AC:$AC,服务费底表!$K:$K,服务费明细!$B208,服务费底表!$T:$T,AV$3)</f>
        <v>0</v>
      </c>
      <c r="AW208" s="166">
        <f>SUMIFS(服务费底表!$AC:$AC,服务费底表!$K:$K,服务费明细!$B208,服务费底表!$T:$T,AW$3)</f>
        <v>0</v>
      </c>
      <c r="AX208" s="166">
        <f>SUMIFS(服务费底表!$AC:$AC,服务费底表!$K:$K,服务费明细!$B208,服务费底表!$T:$T,AX$3)</f>
        <v>0</v>
      </c>
      <c r="AY208" s="166">
        <f>SUMIFS(服务费底表!$AC:$AC,服务费底表!$K:$K,服务费明细!$B208,服务费底表!$T:$T,AY$3)</f>
        <v>0</v>
      </c>
      <c r="AZ208" s="166">
        <f>SUMIFS(服务费底表!$AC:$AC,服务费底表!$K:$K,服务费明细!$B208,服务费底表!$T:$T,AZ$3)</f>
        <v>0</v>
      </c>
      <c r="BA208" s="166">
        <f>SUMIFS(服务费底表!$AC:$AC,服务费底表!$K:$K,服务费明细!$B208,服务费底表!$T:$T,BA$3)</f>
        <v>0</v>
      </c>
      <c r="BB208" s="166">
        <f>SUMIFS(服务费底表!$AC:$AC,服务费底表!$K:$K,服务费明细!$B208,服务费底表!$T:$T,BB$3)</f>
        <v>0</v>
      </c>
      <c r="BC208" s="166">
        <f>SUMIFS(服务费底表!$AC:$AC,服务费底表!$K:$K,服务费明细!$B208,服务费底表!$T:$T,BC$3)</f>
        <v>0</v>
      </c>
      <c r="BD208" s="166">
        <f>SUMIFS(服务费底表!$AC:$AC,服务费底表!$K:$K,服务费明细!$B208,服务费底表!$T:$T,BD$3)</f>
        <v>0</v>
      </c>
      <c r="BE208" s="166">
        <f>SUMIFS(服务费底表!$AC:$AC,服务费底表!$K:$K,服务费明细!$B208,服务费底表!$T:$T,BE$3)</f>
        <v>0</v>
      </c>
      <c r="BF208" s="166">
        <f>SUMIFS(服务费底表!$AC:$AC,服务费底表!$K:$K,服务费明细!$B208,服务费底表!$T:$T,BF$3)</f>
        <v>0</v>
      </c>
      <c r="BG208" s="166">
        <f>SUMIFS(服务费底表!$AC:$AC,服务费底表!$K:$K,服务费明细!$B208,服务费底表!$T:$T,BG$3)</f>
        <v>0</v>
      </c>
      <c r="BI208" s="388">
        <f>SUMIFS(服务费底表!$AC:$AC,服务费底表!$K:$K,服务费明细!$B208,服务费底表!$H:$H,服务费明细!BI$3)</f>
        <v>0</v>
      </c>
      <c r="BJ208" s="388">
        <f>SUMIFS(服务费底表!$AC:$AC,服务费底表!$K:$K,服务费明细!$B208,服务费底表!$H:$H,服务费明细!BJ$3)</f>
        <v>0</v>
      </c>
      <c r="BK208" s="388">
        <f>SUMIFS(服务费底表!$AC:$AC,服务费底表!$K:$K,服务费明细!$B208,服务费底表!$H:$H,服务费明细!BK$3)</f>
        <v>0</v>
      </c>
      <c r="BL208" s="388">
        <f>SUMIFS(服务费底表!$AC:$AC,服务费底表!$K:$K,服务费明细!$B208,服务费底表!$H:$H,服务费明细!BL$3)</f>
        <v>0</v>
      </c>
      <c r="BM208" s="388">
        <f>SUMIFS(服务费底表!$AC:$AC,服务费底表!$K:$K,服务费明细!$B208,服务费底表!$H:$H,服务费明细!BM$3)</f>
        <v>12</v>
      </c>
      <c r="BN208" s="388">
        <f>SUMIFS(服务费底表!$AC:$AC,服务费底表!$K:$K,服务费明细!$B208,服务费底表!$H:$H,服务费明细!BN$3)</f>
        <v>0</v>
      </c>
      <c r="BO208" s="388">
        <f>SUMIFS(服务费底表!$AC:$AC,服务费底表!$K:$K,服务费明细!$B208,服务费底表!$H:$H,服务费明细!BO$3)</f>
        <v>0</v>
      </c>
      <c r="BQ208" s="389">
        <f>SUMIFS(服务费底表!$AD:$AD,服务费底表!$K:$K,服务费明细!$B208,服务费底表!$H:$H,服务费明细!BQ$3)</f>
        <v>0</v>
      </c>
      <c r="BR208" s="389">
        <f>SUMIFS(服务费底表!$AD:$AD,服务费底表!$K:$K,服务费明细!$B208,服务费底表!$H:$H,服务费明细!BR$3)</f>
        <v>0</v>
      </c>
      <c r="BS208" s="389">
        <f>SUMIFS(服务费底表!$AD:$AD,服务费底表!$K:$K,服务费明细!$B208,服务费底表!$H:$H,服务费明细!BS$3)</f>
        <v>0</v>
      </c>
      <c r="BT208" s="389">
        <f>SUMIFS(服务费底表!$AD:$AD,服务费底表!$K:$K,服务费明细!$B208,服务费底表!$H:$H,服务费明细!BT$3)</f>
        <v>0</v>
      </c>
      <c r="BU208" s="389">
        <f>SUMIFS(服务费底表!$AD:$AD,服务费底表!$K:$K,服务费明细!$B208,服务费底表!$H:$H,服务费明细!BU$3)</f>
        <v>3600</v>
      </c>
      <c r="BV208" s="389">
        <f>SUMIFS(服务费底表!$AD:$AD,服务费底表!$K:$K,服务费明细!$B208,服务费底表!$H:$H,服务费明细!BV$3)</f>
        <v>0</v>
      </c>
      <c r="BW208" s="389">
        <f>SUMIFS(服务费底表!$AD:$AD,服务费底表!$K:$K,服务费明细!$B208,服务费底表!$H:$H,服务费明细!BW$3)</f>
        <v>0</v>
      </c>
    </row>
    <row r="209" ht="26.4" customHeight="1" spans="2:75">
      <c r="B209" s="89" t="s">
        <v>373</v>
      </c>
      <c r="C209" s="89" t="str">
        <f>INDEX(二三级标准!$C:$C,MATCH(服务费明细!$B209,二三级标准!$B:$B,0))</f>
        <v>安全性数据库配置和测试</v>
      </c>
      <c r="D209" s="166">
        <f>IF($D$204=1,1,0)</f>
        <v>1</v>
      </c>
      <c r="E209" s="166">
        <f t="shared" si="350"/>
        <v>1</v>
      </c>
      <c r="F209" s="89" t="str">
        <f>INDEX(二三级标准!$G:$G,MATCH(服务费明细!$B209,二三级标准!$B:$B,0))</f>
        <v>次</v>
      </c>
      <c r="G209" s="166">
        <f t="shared" si="356"/>
        <v>0</v>
      </c>
      <c r="H209" s="166">
        <f t="shared" si="357"/>
        <v>0</v>
      </c>
      <c r="I209" s="166">
        <f t="shared" si="358"/>
        <v>0</v>
      </c>
      <c r="J209" s="166">
        <f t="shared" si="359"/>
        <v>0</v>
      </c>
      <c r="K209" s="166">
        <f t="shared" si="360"/>
        <v>0</v>
      </c>
      <c r="L209" s="166">
        <f t="shared" si="361"/>
        <v>0</v>
      </c>
      <c r="M209" s="166">
        <f t="shared" si="362"/>
        <v>0</v>
      </c>
      <c r="N209" s="166">
        <f t="shared" si="363"/>
        <v>0</v>
      </c>
      <c r="O209" s="166">
        <f t="shared" si="364"/>
        <v>12</v>
      </c>
      <c r="P209" s="166">
        <f t="shared" si="365"/>
        <v>0</v>
      </c>
      <c r="Q209" s="166">
        <f t="shared" si="366"/>
        <v>0</v>
      </c>
      <c r="R209" s="166">
        <f t="shared" si="367"/>
        <v>0</v>
      </c>
      <c r="S209" s="166">
        <f t="shared" si="368"/>
        <v>0</v>
      </c>
      <c r="T209" s="166">
        <f t="shared" si="369"/>
        <v>0</v>
      </c>
      <c r="U209" s="166">
        <f t="shared" si="370"/>
        <v>0</v>
      </c>
      <c r="V209" s="166">
        <f t="shared" si="371"/>
        <v>0</v>
      </c>
      <c r="W209" s="166">
        <f t="shared" si="372"/>
        <v>0</v>
      </c>
      <c r="X209" s="166">
        <f t="shared" si="373"/>
        <v>0</v>
      </c>
      <c r="Y209" s="166">
        <f t="shared" si="374"/>
        <v>0</v>
      </c>
      <c r="Z209" s="166">
        <f t="shared" si="375"/>
        <v>0</v>
      </c>
      <c r="AA209" s="166">
        <f t="shared" si="376"/>
        <v>0</v>
      </c>
      <c r="AB209" s="166">
        <f t="shared" si="377"/>
        <v>0</v>
      </c>
      <c r="AC209" s="166" cm="1">
        <f t="array" ref="AC209">SUMPRODUCT(G209:AB209,$G$4:$AB$4)</f>
        <v>6000</v>
      </c>
      <c r="AD209" s="89" t="b">
        <f t="shared" si="352"/>
        <v>1</v>
      </c>
      <c r="AE209" s="386">
        <f>IFERROR(SUMIF(服务费底表!$K:$K,服务费明细!$B209,服务费底表!$AD:$AD)/E209,0)</f>
        <v>6000</v>
      </c>
      <c r="AF209" s="386">
        <f t="shared" si="353"/>
        <v>6000</v>
      </c>
      <c r="AG209" s="386">
        <f>IFERROR(SUMIF(服务费底表!$K:$K,服务费明细!$B209,服务费底表!$AG:$AG)/E209,0)</f>
        <v>6000</v>
      </c>
      <c r="AH209" s="386">
        <f t="shared" si="354"/>
        <v>6000</v>
      </c>
      <c r="AI209" s="409" t="s">
        <v>1124</v>
      </c>
      <c r="AJ209" s="563">
        <f t="shared" si="355"/>
        <v>12</v>
      </c>
      <c r="AK209" s="564">
        <f>SUMIF(服务费底表!$K:$K,服务费明细!$B209,服务费底表!$AC:$AC)</f>
        <v>12</v>
      </c>
      <c r="AL209" s="166">
        <f>SUMIFS(服务费底表!$AC:$AC,服务费底表!$K:$K,服务费明细!$B209,服务费底表!$T:$T,AL$3)</f>
        <v>0</v>
      </c>
      <c r="AM209" s="166">
        <f>SUMIFS(服务费底表!$AC:$AC,服务费底表!$K:$K,服务费明细!$B209,服务费底表!$T:$T,AM$3)</f>
        <v>0</v>
      </c>
      <c r="AN209" s="166">
        <f>SUMIFS(服务费底表!$AC:$AC,服务费底表!$K:$K,服务费明细!$B209,服务费底表!$T:$T,AN$3)</f>
        <v>0</v>
      </c>
      <c r="AO209" s="166">
        <f>SUMIFS(服务费底表!$AC:$AC,服务费底表!$K:$K,服务费明细!$B209,服务费底表!$T:$T,AO$3)</f>
        <v>0</v>
      </c>
      <c r="AP209" s="166">
        <f>SUMIFS(服务费底表!$AC:$AC,服务费底表!$K:$K,服务费明细!$B209,服务费底表!$T:$T,AP$3)</f>
        <v>0</v>
      </c>
      <c r="AQ209" s="166">
        <f>SUMIFS(服务费底表!$AC:$AC,服务费底表!$K:$K,服务费明细!$B209,服务费底表!$T:$T,AQ$3)</f>
        <v>0</v>
      </c>
      <c r="AR209" s="166">
        <f>SUMIFS(服务费底表!$AC:$AC,服务费底表!$K:$K,服务费明细!$B209,服务费底表!$T:$T,AR$3)</f>
        <v>0</v>
      </c>
      <c r="AS209" s="166">
        <f>SUMIFS(服务费底表!$AC:$AC,服务费底表!$K:$K,服务费明细!$B209,服务费底表!$T:$T,AS$3)</f>
        <v>0</v>
      </c>
      <c r="AT209" s="166">
        <f>SUMIFS(服务费底表!$AC:$AC,服务费底表!$K:$K,服务费明细!$B209,服务费底表!$T:$T,AT$3)</f>
        <v>12</v>
      </c>
      <c r="AU209" s="166">
        <f>SUMIFS(服务费底表!$AC:$AC,服务费底表!$K:$K,服务费明细!$B209,服务费底表!$T:$T,AU$3)</f>
        <v>0</v>
      </c>
      <c r="AV209" s="166">
        <f>SUMIFS(服务费底表!$AC:$AC,服务费底表!$K:$K,服务费明细!$B209,服务费底表!$T:$T,AV$3)</f>
        <v>0</v>
      </c>
      <c r="AW209" s="166">
        <f>SUMIFS(服务费底表!$AC:$AC,服务费底表!$K:$K,服务费明细!$B209,服务费底表!$T:$T,AW$3)</f>
        <v>0</v>
      </c>
      <c r="AX209" s="166">
        <f>SUMIFS(服务费底表!$AC:$AC,服务费底表!$K:$K,服务费明细!$B209,服务费底表!$T:$T,AX$3)</f>
        <v>0</v>
      </c>
      <c r="AY209" s="166">
        <f>SUMIFS(服务费底表!$AC:$AC,服务费底表!$K:$K,服务费明细!$B209,服务费底表!$T:$T,AY$3)</f>
        <v>0</v>
      </c>
      <c r="AZ209" s="166">
        <f>SUMIFS(服务费底表!$AC:$AC,服务费底表!$K:$K,服务费明细!$B209,服务费底表!$T:$T,AZ$3)</f>
        <v>0</v>
      </c>
      <c r="BA209" s="166">
        <f>SUMIFS(服务费底表!$AC:$AC,服务费底表!$K:$K,服务费明细!$B209,服务费底表!$T:$T,BA$3)</f>
        <v>0</v>
      </c>
      <c r="BB209" s="166">
        <f>SUMIFS(服务费底表!$AC:$AC,服务费底表!$K:$K,服务费明细!$B209,服务费底表!$T:$T,BB$3)</f>
        <v>0</v>
      </c>
      <c r="BC209" s="166">
        <f>SUMIFS(服务费底表!$AC:$AC,服务费底表!$K:$K,服务费明细!$B209,服务费底表!$T:$T,BC$3)</f>
        <v>0</v>
      </c>
      <c r="BD209" s="166">
        <f>SUMIFS(服务费底表!$AC:$AC,服务费底表!$K:$K,服务费明细!$B209,服务费底表!$T:$T,BD$3)</f>
        <v>0</v>
      </c>
      <c r="BE209" s="166">
        <f>SUMIFS(服务费底表!$AC:$AC,服务费底表!$K:$K,服务费明细!$B209,服务费底表!$T:$T,BE$3)</f>
        <v>0</v>
      </c>
      <c r="BF209" s="166">
        <f>SUMIFS(服务费底表!$AC:$AC,服务费底表!$K:$K,服务费明细!$B209,服务费底表!$T:$T,BF$3)</f>
        <v>0</v>
      </c>
      <c r="BG209" s="166">
        <f>SUMIFS(服务费底表!$AC:$AC,服务费底表!$K:$K,服务费明细!$B209,服务费底表!$T:$T,BG$3)</f>
        <v>0</v>
      </c>
      <c r="BI209" s="388">
        <f>SUMIFS(服务费底表!$AC:$AC,服务费底表!$K:$K,服务费明细!$B209,服务费底表!$H:$H,服务费明细!BI$3)</f>
        <v>0</v>
      </c>
      <c r="BJ209" s="388">
        <f>SUMIFS(服务费底表!$AC:$AC,服务费底表!$K:$K,服务费明细!$B209,服务费底表!$H:$H,服务费明细!BJ$3)</f>
        <v>0</v>
      </c>
      <c r="BK209" s="388">
        <f>SUMIFS(服务费底表!$AC:$AC,服务费底表!$K:$K,服务费明细!$B209,服务费底表!$H:$H,服务费明细!BK$3)</f>
        <v>0</v>
      </c>
      <c r="BL209" s="388">
        <f>SUMIFS(服务费底表!$AC:$AC,服务费底表!$K:$K,服务费明细!$B209,服务费底表!$H:$H,服务费明细!BL$3)</f>
        <v>0</v>
      </c>
      <c r="BM209" s="388">
        <f>SUMIFS(服务费底表!$AC:$AC,服务费底表!$K:$K,服务费明细!$B209,服务费底表!$H:$H,服务费明细!BM$3)</f>
        <v>12</v>
      </c>
      <c r="BN209" s="388">
        <f>SUMIFS(服务费底表!$AC:$AC,服务费底表!$K:$K,服务费明细!$B209,服务费底表!$H:$H,服务费明细!BN$3)</f>
        <v>0</v>
      </c>
      <c r="BO209" s="388">
        <f>SUMIFS(服务费底表!$AC:$AC,服务费底表!$K:$K,服务费明细!$B209,服务费底表!$H:$H,服务费明细!BO$3)</f>
        <v>0</v>
      </c>
      <c r="BQ209" s="389">
        <f>SUMIFS(服务费底表!$AD:$AD,服务费底表!$K:$K,服务费明细!$B209,服务费底表!$H:$H,服务费明细!BQ$3)</f>
        <v>0</v>
      </c>
      <c r="BR209" s="389">
        <f>SUMIFS(服务费底表!$AD:$AD,服务费底表!$K:$K,服务费明细!$B209,服务费底表!$H:$H,服务费明细!BR$3)</f>
        <v>0</v>
      </c>
      <c r="BS209" s="389">
        <f>SUMIFS(服务费底表!$AD:$AD,服务费底表!$K:$K,服务费明细!$B209,服务费底表!$H:$H,服务费明细!BS$3)</f>
        <v>0</v>
      </c>
      <c r="BT209" s="389">
        <f>SUMIFS(服务费底表!$AD:$AD,服务费底表!$K:$K,服务费明细!$B209,服务费底表!$H:$H,服务费明细!BT$3)</f>
        <v>0</v>
      </c>
      <c r="BU209" s="389">
        <f>SUMIFS(服务费底表!$AD:$AD,服务费底表!$K:$K,服务费明细!$B209,服务费底表!$H:$H,服务费明细!BU$3)</f>
        <v>6000</v>
      </c>
      <c r="BV209" s="389">
        <f>SUMIFS(服务费底表!$AD:$AD,服务费底表!$K:$K,服务费明细!$B209,服务费底表!$H:$H,服务费明细!BV$3)</f>
        <v>0</v>
      </c>
      <c r="BW209" s="389">
        <f>SUMIFS(服务费底表!$AD:$AD,服务费底表!$K:$K,服务费明细!$B209,服务费底表!$H:$H,服务费明细!BW$3)</f>
        <v>0</v>
      </c>
    </row>
    <row r="210" ht="28.8" customHeight="1" spans="2:75">
      <c r="B210" s="89" t="s">
        <v>375</v>
      </c>
      <c r="C210" s="89" t="str">
        <f>INDEX(二三级标准!$C:$C,MATCH(服务费明细!$B210,二三级标准!$B:$B,0))</f>
        <v>ICSR报告流程培训</v>
      </c>
      <c r="D210" s="166">
        <f>IF($D$204=1,1,0)</f>
        <v>1</v>
      </c>
      <c r="E210" s="166">
        <f t="shared" si="350"/>
        <v>1</v>
      </c>
      <c r="F210" s="89" t="str">
        <f>INDEX(二三级标准!$G:$G,MATCH(服务费明细!$B210,二三级标准!$B:$B,0))</f>
        <v>次</v>
      </c>
      <c r="G210" s="166">
        <f t="shared" si="356"/>
        <v>0</v>
      </c>
      <c r="H210" s="166">
        <f t="shared" si="357"/>
        <v>0</v>
      </c>
      <c r="I210" s="166">
        <f t="shared" si="358"/>
        <v>0</v>
      </c>
      <c r="J210" s="166">
        <f t="shared" si="359"/>
        <v>0</v>
      </c>
      <c r="K210" s="166">
        <f t="shared" si="360"/>
        <v>0</v>
      </c>
      <c r="L210" s="166">
        <f t="shared" si="361"/>
        <v>0</v>
      </c>
      <c r="M210" s="166">
        <f t="shared" si="362"/>
        <v>0</v>
      </c>
      <c r="N210" s="166">
        <f t="shared" si="363"/>
        <v>0</v>
      </c>
      <c r="O210" s="166">
        <f t="shared" si="364"/>
        <v>5</v>
      </c>
      <c r="P210" s="166">
        <f t="shared" si="365"/>
        <v>0</v>
      </c>
      <c r="Q210" s="166">
        <f t="shared" si="366"/>
        <v>0</v>
      </c>
      <c r="R210" s="166">
        <f t="shared" si="367"/>
        <v>0</v>
      </c>
      <c r="S210" s="166">
        <f t="shared" si="368"/>
        <v>0</v>
      </c>
      <c r="T210" s="166">
        <f t="shared" si="369"/>
        <v>0</v>
      </c>
      <c r="U210" s="166">
        <f t="shared" si="370"/>
        <v>0</v>
      </c>
      <c r="V210" s="166">
        <f t="shared" si="371"/>
        <v>0</v>
      </c>
      <c r="W210" s="166">
        <f t="shared" si="372"/>
        <v>0</v>
      </c>
      <c r="X210" s="166">
        <f t="shared" si="373"/>
        <v>0</v>
      </c>
      <c r="Y210" s="166">
        <f t="shared" si="374"/>
        <v>0</v>
      </c>
      <c r="Z210" s="166">
        <f t="shared" si="375"/>
        <v>0</v>
      </c>
      <c r="AA210" s="166">
        <f t="shared" si="376"/>
        <v>0</v>
      </c>
      <c r="AB210" s="166">
        <f t="shared" si="377"/>
        <v>0</v>
      </c>
      <c r="AC210" s="166" cm="1">
        <f t="array" ref="AC210">SUMPRODUCT(G210:AB210,$G$4:$AB$4)</f>
        <v>2500</v>
      </c>
      <c r="AD210" s="89" t="b">
        <f t="shared" si="352"/>
        <v>1</v>
      </c>
      <c r="AE210" s="386">
        <f>IFERROR(SUMIF(服务费底表!$K:$K,服务费明细!$B210,服务费底表!$AD:$AD)/E210,0)</f>
        <v>2500</v>
      </c>
      <c r="AF210" s="386">
        <f t="shared" si="353"/>
        <v>2500</v>
      </c>
      <c r="AG210" s="386">
        <f>IFERROR(SUMIF(服务费底表!$K:$K,服务费明细!$B210,服务费底表!$AG:$AG)/E210,0)</f>
        <v>2500</v>
      </c>
      <c r="AH210" s="386">
        <f t="shared" si="354"/>
        <v>2500</v>
      </c>
      <c r="AI210" s="575" t="str">
        <f>CONCATENATE("共",E210,"次。由药物警戒服务提供方培训，PM，CRC及客户相关人员参加。")</f>
        <v>共1次。由药物警戒服务提供方培训，PM，CRC及客户相关人员参加。</v>
      </c>
      <c r="AJ210" s="563">
        <f t="shared" si="355"/>
        <v>5</v>
      </c>
      <c r="AK210" s="564">
        <f>SUMIF(服务费底表!$K:$K,服务费明细!$B210,服务费底表!$AC:$AC)</f>
        <v>5</v>
      </c>
      <c r="AL210" s="166">
        <f>SUMIFS(服务费底表!$AC:$AC,服务费底表!$K:$K,服务费明细!$B210,服务费底表!$T:$T,AL$3)</f>
        <v>0</v>
      </c>
      <c r="AM210" s="166">
        <f>SUMIFS(服务费底表!$AC:$AC,服务费底表!$K:$K,服务费明细!$B210,服务费底表!$T:$T,AM$3)</f>
        <v>0</v>
      </c>
      <c r="AN210" s="166">
        <f>SUMIFS(服务费底表!$AC:$AC,服务费底表!$K:$K,服务费明细!$B210,服务费底表!$T:$T,AN$3)</f>
        <v>0</v>
      </c>
      <c r="AO210" s="166">
        <f>SUMIFS(服务费底表!$AC:$AC,服务费底表!$K:$K,服务费明细!$B210,服务费底表!$T:$T,AO$3)</f>
        <v>0</v>
      </c>
      <c r="AP210" s="166">
        <f>SUMIFS(服务费底表!$AC:$AC,服务费底表!$K:$K,服务费明细!$B210,服务费底表!$T:$T,AP$3)</f>
        <v>0</v>
      </c>
      <c r="AQ210" s="166">
        <f>SUMIFS(服务费底表!$AC:$AC,服务费底表!$K:$K,服务费明细!$B210,服务费底表!$T:$T,AQ$3)</f>
        <v>0</v>
      </c>
      <c r="AR210" s="166">
        <f>SUMIFS(服务费底表!$AC:$AC,服务费底表!$K:$K,服务费明细!$B210,服务费底表!$T:$T,AR$3)</f>
        <v>0</v>
      </c>
      <c r="AS210" s="166">
        <f>SUMIFS(服务费底表!$AC:$AC,服务费底表!$K:$K,服务费明细!$B210,服务费底表!$T:$T,AS$3)</f>
        <v>0</v>
      </c>
      <c r="AT210" s="166">
        <f>SUMIFS(服务费底表!$AC:$AC,服务费底表!$K:$K,服务费明细!$B210,服务费底表!$T:$T,AT$3)</f>
        <v>5</v>
      </c>
      <c r="AU210" s="166">
        <f>SUMIFS(服务费底表!$AC:$AC,服务费底表!$K:$K,服务费明细!$B210,服务费底表!$T:$T,AU$3)</f>
        <v>0</v>
      </c>
      <c r="AV210" s="166">
        <f>SUMIFS(服务费底表!$AC:$AC,服务费底表!$K:$K,服务费明细!$B210,服务费底表!$T:$T,AV$3)</f>
        <v>0</v>
      </c>
      <c r="AW210" s="166">
        <f>SUMIFS(服务费底表!$AC:$AC,服务费底表!$K:$K,服务费明细!$B210,服务费底表!$T:$T,AW$3)</f>
        <v>0</v>
      </c>
      <c r="AX210" s="166">
        <f>SUMIFS(服务费底表!$AC:$AC,服务费底表!$K:$K,服务费明细!$B210,服务费底表!$T:$T,AX$3)</f>
        <v>0</v>
      </c>
      <c r="AY210" s="166">
        <f>SUMIFS(服务费底表!$AC:$AC,服务费底表!$K:$K,服务费明细!$B210,服务费底表!$T:$T,AY$3)</f>
        <v>0</v>
      </c>
      <c r="AZ210" s="166">
        <f>SUMIFS(服务费底表!$AC:$AC,服务费底表!$K:$K,服务费明细!$B210,服务费底表!$T:$T,AZ$3)</f>
        <v>0</v>
      </c>
      <c r="BA210" s="166">
        <f>SUMIFS(服务费底表!$AC:$AC,服务费底表!$K:$K,服务费明细!$B210,服务费底表!$T:$T,BA$3)</f>
        <v>0</v>
      </c>
      <c r="BB210" s="166">
        <f>SUMIFS(服务费底表!$AC:$AC,服务费底表!$K:$K,服务费明细!$B210,服务费底表!$T:$T,BB$3)</f>
        <v>0</v>
      </c>
      <c r="BC210" s="166">
        <f>SUMIFS(服务费底表!$AC:$AC,服务费底表!$K:$K,服务费明细!$B210,服务费底表!$T:$T,BC$3)</f>
        <v>0</v>
      </c>
      <c r="BD210" s="166">
        <f>SUMIFS(服务费底表!$AC:$AC,服务费底表!$K:$K,服务费明细!$B210,服务费底表!$T:$T,BD$3)</f>
        <v>0</v>
      </c>
      <c r="BE210" s="166">
        <f>SUMIFS(服务费底表!$AC:$AC,服务费底表!$K:$K,服务费明细!$B210,服务费底表!$T:$T,BE$3)</f>
        <v>0</v>
      </c>
      <c r="BF210" s="166">
        <f>SUMIFS(服务费底表!$AC:$AC,服务费底表!$K:$K,服务费明细!$B210,服务费底表!$T:$T,BF$3)</f>
        <v>0</v>
      </c>
      <c r="BG210" s="166">
        <f>SUMIFS(服务费底表!$AC:$AC,服务费底表!$K:$K,服务费明细!$B210,服务费底表!$T:$T,BG$3)</f>
        <v>0</v>
      </c>
      <c r="BI210" s="388">
        <f>SUMIFS(服务费底表!$AC:$AC,服务费底表!$K:$K,服务费明细!$B210,服务费底表!$H:$H,服务费明细!BI$3)</f>
        <v>0</v>
      </c>
      <c r="BJ210" s="388">
        <f>SUMIFS(服务费底表!$AC:$AC,服务费底表!$K:$K,服务费明细!$B210,服务费底表!$H:$H,服务费明细!BJ$3)</f>
        <v>0</v>
      </c>
      <c r="BK210" s="388">
        <f>SUMIFS(服务费底表!$AC:$AC,服务费底表!$K:$K,服务费明细!$B210,服务费底表!$H:$H,服务费明细!BK$3)</f>
        <v>0</v>
      </c>
      <c r="BL210" s="388">
        <f>SUMIFS(服务费底表!$AC:$AC,服务费底表!$K:$K,服务费明细!$B210,服务费底表!$H:$H,服务费明细!BL$3)</f>
        <v>0</v>
      </c>
      <c r="BM210" s="388">
        <f>SUMIFS(服务费底表!$AC:$AC,服务费底表!$K:$K,服务费明细!$B210,服务费底表!$H:$H,服务费明细!BM$3)</f>
        <v>5</v>
      </c>
      <c r="BN210" s="388">
        <f>SUMIFS(服务费底表!$AC:$AC,服务费底表!$K:$K,服务费明细!$B210,服务费底表!$H:$H,服务费明细!BN$3)</f>
        <v>0</v>
      </c>
      <c r="BO210" s="388">
        <f>SUMIFS(服务费底表!$AC:$AC,服务费底表!$K:$K,服务费明细!$B210,服务费底表!$H:$H,服务费明细!BO$3)</f>
        <v>0</v>
      </c>
      <c r="BQ210" s="389">
        <f>SUMIFS(服务费底表!$AD:$AD,服务费底表!$K:$K,服务费明细!$B210,服务费底表!$H:$H,服务费明细!BQ$3)</f>
        <v>0</v>
      </c>
      <c r="BR210" s="389">
        <f>SUMIFS(服务费底表!$AD:$AD,服务费底表!$K:$K,服务费明细!$B210,服务费底表!$H:$H,服务费明细!BR$3)</f>
        <v>0</v>
      </c>
      <c r="BS210" s="389">
        <f>SUMIFS(服务费底表!$AD:$AD,服务费底表!$K:$K,服务费明细!$B210,服务费底表!$H:$H,服务费明细!BS$3)</f>
        <v>0</v>
      </c>
      <c r="BT210" s="389">
        <f>SUMIFS(服务费底表!$AD:$AD,服务费底表!$K:$K,服务费明细!$B210,服务费底表!$H:$H,服务费明细!BT$3)</f>
        <v>0</v>
      </c>
      <c r="BU210" s="389">
        <f>SUMIFS(服务费底表!$AD:$AD,服务费底表!$K:$K,服务费明细!$B210,服务费底表!$H:$H,服务费明细!BU$3)</f>
        <v>2500</v>
      </c>
      <c r="BV210" s="389">
        <f>SUMIFS(服务费底表!$AD:$AD,服务费底表!$K:$K,服务费明细!$B210,服务费底表!$H:$H,服务费明细!BV$3)</f>
        <v>0</v>
      </c>
      <c r="BW210" s="389">
        <f>SUMIFS(服务费底表!$AD:$AD,服务费底表!$K:$K,服务费明细!$B210,服务费底表!$H:$H,服务费明细!BW$3)</f>
        <v>0</v>
      </c>
    </row>
    <row r="211" ht="126" customHeight="1" spans="2:75">
      <c r="B211" s="89" t="s">
        <v>377</v>
      </c>
      <c r="C211" s="89" t="str">
        <f>INDEX(二三级标准!$C:$C,MATCH(服务费明细!$B211,二三级标准!$B:$B,0))</f>
        <v>ICSR报告处理</v>
      </c>
      <c r="D211" s="166">
        <f>IF($D$204=1,1,0)</f>
        <v>1</v>
      </c>
      <c r="E211" s="166">
        <f>IF($D211=1,SAE例次数,0)</f>
        <v>27</v>
      </c>
      <c r="F211" s="89" t="s">
        <v>1125</v>
      </c>
      <c r="G211" s="166">
        <f t="shared" si="356"/>
        <v>0</v>
      </c>
      <c r="H211" s="166">
        <f t="shared" si="357"/>
        <v>0</v>
      </c>
      <c r="I211" s="166">
        <f t="shared" si="358"/>
        <v>0</v>
      </c>
      <c r="J211" s="166">
        <f t="shared" si="359"/>
        <v>0</v>
      </c>
      <c r="K211" s="166">
        <f t="shared" si="360"/>
        <v>0</v>
      </c>
      <c r="L211" s="166">
        <f t="shared" si="361"/>
        <v>0</v>
      </c>
      <c r="M211" s="166">
        <f t="shared" si="362"/>
        <v>0</v>
      </c>
      <c r="N211" s="166">
        <f t="shared" si="363"/>
        <v>67.5</v>
      </c>
      <c r="O211" s="166">
        <f t="shared" si="364"/>
        <v>49.5</v>
      </c>
      <c r="P211" s="166">
        <f t="shared" si="365"/>
        <v>40.5</v>
      </c>
      <c r="Q211" s="166">
        <f t="shared" si="366"/>
        <v>0</v>
      </c>
      <c r="R211" s="166">
        <f t="shared" si="367"/>
        <v>0</v>
      </c>
      <c r="S211" s="166">
        <f t="shared" si="368"/>
        <v>0</v>
      </c>
      <c r="T211" s="166">
        <f t="shared" si="369"/>
        <v>0</v>
      </c>
      <c r="U211" s="166">
        <f t="shared" si="370"/>
        <v>0</v>
      </c>
      <c r="V211" s="166">
        <f t="shared" si="371"/>
        <v>0</v>
      </c>
      <c r="W211" s="166">
        <f t="shared" si="372"/>
        <v>0</v>
      </c>
      <c r="X211" s="166">
        <f t="shared" si="373"/>
        <v>0</v>
      </c>
      <c r="Y211" s="166">
        <f t="shared" si="374"/>
        <v>0</v>
      </c>
      <c r="Z211" s="166">
        <f t="shared" si="375"/>
        <v>0</v>
      </c>
      <c r="AA211" s="166">
        <f t="shared" si="376"/>
        <v>0</v>
      </c>
      <c r="AB211" s="166">
        <f t="shared" si="377"/>
        <v>0</v>
      </c>
      <c r="AC211" s="166" cm="1">
        <f t="array" ref="AC211">SUMPRODUCT(G211:AB211,$G$4:$AB$4)</f>
        <v>73350</v>
      </c>
      <c r="AD211" s="89" t="b">
        <f t="shared" si="352"/>
        <v>1</v>
      </c>
      <c r="AE211" s="386">
        <f>IFERROR(SUMIF(服务费底表!$K:$K,服务费明细!$B211,服务费底表!$AD:$AD)/E211,0)</f>
        <v>2716.66666666667</v>
      </c>
      <c r="AF211" s="386">
        <f t="shared" si="353"/>
        <v>73350</v>
      </c>
      <c r="AG211" s="386">
        <f>IFERROR(SUMIF(服务费底表!$K:$K,服务费明细!$B211,服务费底表!$AG:$AG)/E211,0)</f>
        <v>2716.66666666667</v>
      </c>
      <c r="AH211" s="386">
        <f t="shared" si="354"/>
        <v>73350</v>
      </c>
      <c r="AI211" s="409" t="str">
        <f>IF(PV报告双语="否","本项服务按预估的报告版本数量计费，结算时以实际产生的版本数量为准。报告版本：即为PV安全性数据库中产生的报告版本。中文报告处理，计1个报告版本，包含报告的接收、录入、MedDRA编码、质控、医学审评，质疑总结/发送/追踪，发送申办者审阅，报告定稿/锁定/归档、随访提醒/追踪，SUSAR递交等全部流程。如需要中英双语处理，按2个报告版本计费1次报告，包含报告的录入、质控、翻译、SUSAR的CDE递交、报告锁定/归档。","本项服务按预估的报告版本数量计费，结算时以实际产生的版本数量为准。报告版本：即为PV安全性数据库中产生的报告版本。中英双语处理，包含报告的录入、质控、翻译、SUSAR的CDE递交、报告锁定/归档。")</f>
        <v>本项服务按预估的报告版本数量计费，结算时以实际产生的版本数量为准。报告版本：即为PV安全性数据库中产生的报告版本。中文报告处理，计1个报告版本，包含报告的接收、录入、MedDRA编码、质控、医学审评，质疑总结/发送/追踪，发送申办者审阅，报告定稿/锁定/归档、随访提醒/追踪，SUSAR递交等全部流程。如需要中英双语处理，按2个报告版本计费1次报告，包含报告的录入、质控、翻译、SUSAR的CDE递交、报告锁定/归档。</v>
      </c>
      <c r="AJ211" s="563">
        <f t="shared" si="355"/>
        <v>5.83333333333333</v>
      </c>
      <c r="AK211" s="564">
        <f>SUMIF(服务费底表!$K:$K,服务费明细!$B211,服务费底表!$AC:$AC)</f>
        <v>157.5</v>
      </c>
      <c r="AL211" s="166">
        <f>SUMIFS(服务费底表!$AC:$AC,服务费底表!$K:$K,服务费明细!$B211,服务费底表!$T:$T,AL$3)</f>
        <v>0</v>
      </c>
      <c r="AM211" s="166">
        <f>SUMIFS(服务费底表!$AC:$AC,服务费底表!$K:$K,服务费明细!$B211,服务费底表!$T:$T,AM$3)</f>
        <v>0</v>
      </c>
      <c r="AN211" s="166">
        <f>SUMIFS(服务费底表!$AC:$AC,服务费底表!$K:$K,服务费明细!$B211,服务费底表!$T:$T,AN$3)</f>
        <v>0</v>
      </c>
      <c r="AO211" s="166">
        <f>SUMIFS(服务费底表!$AC:$AC,服务费底表!$K:$K,服务费明细!$B211,服务费底表!$T:$T,AO$3)</f>
        <v>0</v>
      </c>
      <c r="AP211" s="166">
        <f>SUMIFS(服务费底表!$AC:$AC,服务费底表!$K:$K,服务费明细!$B211,服务费底表!$T:$T,AP$3)</f>
        <v>0</v>
      </c>
      <c r="AQ211" s="166">
        <f>SUMIFS(服务费底表!$AC:$AC,服务费底表!$K:$K,服务费明细!$B211,服务费底表!$T:$T,AQ$3)</f>
        <v>0</v>
      </c>
      <c r="AR211" s="166">
        <f>SUMIFS(服务费底表!$AC:$AC,服务费底表!$K:$K,服务费明细!$B211,服务费底表!$T:$T,AR$3)</f>
        <v>0</v>
      </c>
      <c r="AS211" s="166">
        <f>SUMIFS(服务费底表!$AC:$AC,服务费底表!$K:$K,服务费明细!$B211,服务费底表!$T:$T,AS$3)</f>
        <v>67.5</v>
      </c>
      <c r="AT211" s="166">
        <f>SUMIFS(服务费底表!$AC:$AC,服务费底表!$K:$K,服务费明细!$B211,服务费底表!$T:$T,AT$3)</f>
        <v>49.5</v>
      </c>
      <c r="AU211" s="166">
        <f>SUMIFS(服务费底表!$AC:$AC,服务费底表!$K:$K,服务费明细!$B211,服务费底表!$T:$T,AU$3)</f>
        <v>40.5</v>
      </c>
      <c r="AV211" s="166">
        <f>SUMIFS(服务费底表!$AC:$AC,服务费底表!$K:$K,服务费明细!$B211,服务费底表!$T:$T,AV$3)</f>
        <v>0</v>
      </c>
      <c r="AW211" s="166">
        <f>SUMIFS(服务费底表!$AC:$AC,服务费底表!$K:$K,服务费明细!$B211,服务费底表!$T:$T,AW$3)</f>
        <v>0</v>
      </c>
      <c r="AX211" s="166">
        <f>SUMIFS(服务费底表!$AC:$AC,服务费底表!$K:$K,服务费明细!$B211,服务费底表!$T:$T,AX$3)</f>
        <v>0</v>
      </c>
      <c r="AY211" s="166">
        <f>SUMIFS(服务费底表!$AC:$AC,服务费底表!$K:$K,服务费明细!$B211,服务费底表!$T:$T,AY$3)</f>
        <v>0</v>
      </c>
      <c r="AZ211" s="166">
        <f>SUMIFS(服务费底表!$AC:$AC,服务费底表!$K:$K,服务费明细!$B211,服务费底表!$T:$T,AZ$3)</f>
        <v>0</v>
      </c>
      <c r="BA211" s="166">
        <f>SUMIFS(服务费底表!$AC:$AC,服务费底表!$K:$K,服务费明细!$B211,服务费底表!$T:$T,BA$3)</f>
        <v>0</v>
      </c>
      <c r="BB211" s="166">
        <f>SUMIFS(服务费底表!$AC:$AC,服务费底表!$K:$K,服务费明细!$B211,服务费底表!$T:$T,BB$3)</f>
        <v>0</v>
      </c>
      <c r="BC211" s="166">
        <f>SUMIFS(服务费底表!$AC:$AC,服务费底表!$K:$K,服务费明细!$B211,服务费底表!$T:$T,BC$3)</f>
        <v>0</v>
      </c>
      <c r="BD211" s="166">
        <f>SUMIFS(服务费底表!$AC:$AC,服务费底表!$K:$K,服务费明细!$B211,服务费底表!$T:$T,BD$3)</f>
        <v>0</v>
      </c>
      <c r="BE211" s="166">
        <f>SUMIFS(服务费底表!$AC:$AC,服务费底表!$K:$K,服务费明细!$B211,服务费底表!$T:$T,BE$3)</f>
        <v>0</v>
      </c>
      <c r="BF211" s="166">
        <f>SUMIFS(服务费底表!$AC:$AC,服务费底表!$K:$K,服务费明细!$B211,服务费底表!$T:$T,BF$3)</f>
        <v>0</v>
      </c>
      <c r="BG211" s="166">
        <f>SUMIFS(服务费底表!$AC:$AC,服务费底表!$K:$K,服务费明细!$B211,服务费底表!$T:$T,BG$3)</f>
        <v>0</v>
      </c>
      <c r="BI211" s="388">
        <f>SUMIFS(服务费底表!$AC:$AC,服务费底表!$K:$K,服务费明细!$B211,服务费底表!$H:$H,服务费明细!BI$3)</f>
        <v>0</v>
      </c>
      <c r="BJ211" s="388">
        <f>SUMIFS(服务费底表!$AC:$AC,服务费底表!$K:$K,服务费明细!$B211,服务费底表!$H:$H,服务费明细!BJ$3)</f>
        <v>0</v>
      </c>
      <c r="BK211" s="388">
        <f>SUMIFS(服务费底表!$AC:$AC,服务费底表!$K:$K,服务费明细!$B211,服务费底表!$H:$H,服务费明细!BK$3)</f>
        <v>0</v>
      </c>
      <c r="BL211" s="388">
        <f>SUMIFS(服务费底表!$AC:$AC,服务费底表!$K:$K,服务费明细!$B211,服务费底表!$H:$H,服务费明细!BL$3)</f>
        <v>0</v>
      </c>
      <c r="BM211" s="388">
        <f>SUMIFS(服务费底表!$AC:$AC,服务费底表!$K:$K,服务费明细!$B211,服务费底表!$H:$H,服务费明细!BM$3)</f>
        <v>157.5</v>
      </c>
      <c r="BN211" s="388">
        <f>SUMIFS(服务费底表!$AC:$AC,服务费底表!$K:$K,服务费明细!$B211,服务费底表!$H:$H,服务费明细!BN$3)</f>
        <v>0</v>
      </c>
      <c r="BO211" s="388">
        <f>SUMIFS(服务费底表!$AC:$AC,服务费底表!$K:$K,服务费明细!$B211,服务费底表!$H:$H,服务费明细!BO$3)</f>
        <v>0</v>
      </c>
      <c r="BQ211" s="389">
        <f>SUMIFS(服务费底表!$AD:$AD,服务费底表!$K:$K,服务费明细!$B211,服务费底表!$H:$H,服务费明细!BQ$3)</f>
        <v>0</v>
      </c>
      <c r="BR211" s="389">
        <f>SUMIFS(服务费底表!$AD:$AD,服务费底表!$K:$K,服务费明细!$B211,服务费底表!$H:$H,服务费明细!BR$3)</f>
        <v>0</v>
      </c>
      <c r="BS211" s="389">
        <f>SUMIFS(服务费底表!$AD:$AD,服务费底表!$K:$K,服务费明细!$B211,服务费底表!$H:$H,服务费明细!BS$3)</f>
        <v>0</v>
      </c>
      <c r="BT211" s="389">
        <f>SUMIFS(服务费底表!$AD:$AD,服务费底表!$K:$K,服务费明细!$B211,服务费底表!$H:$H,服务费明细!BT$3)</f>
        <v>0</v>
      </c>
      <c r="BU211" s="389">
        <f>SUMIFS(服务费底表!$AD:$AD,服务费底表!$K:$K,服务费明细!$B211,服务费底表!$H:$H,服务费明细!BU$3)</f>
        <v>73350</v>
      </c>
      <c r="BV211" s="389">
        <f>SUMIFS(服务费底表!$AD:$AD,服务费底表!$K:$K,服务费明细!$B211,服务费底表!$H:$H,服务费明细!BV$3)</f>
        <v>0</v>
      </c>
      <c r="BW211" s="389">
        <f>SUMIFS(服务费底表!$AD:$AD,服务费底表!$K:$K,服务费明细!$B211,服务费底表!$H:$H,服务费明细!BW$3)</f>
        <v>0</v>
      </c>
    </row>
    <row r="212" ht="28" customHeight="1" spans="2:75">
      <c r="B212" s="89" t="s">
        <v>385</v>
      </c>
      <c r="C212" s="89" t="str">
        <f>INDEX(二三级标准!$C:$C,MATCH(服务费明细!$B212,二三级标准!$B:$B,0))</f>
        <v>安全性报告汇总</v>
      </c>
      <c r="D212" s="166">
        <f>IF($D$204=1,1,0)</f>
        <v>1</v>
      </c>
      <c r="E212" s="166">
        <f>IF($D212=1,1,0)</f>
        <v>1</v>
      </c>
      <c r="F212" s="89" t="str">
        <f>INDEX(二三级标准!$G:$G,MATCH(服务费明细!$B212,二三级标准!$B:$B,0))</f>
        <v>个</v>
      </c>
      <c r="G212" s="166">
        <f t="shared" si="356"/>
        <v>0</v>
      </c>
      <c r="H212" s="166">
        <f t="shared" si="357"/>
        <v>0</v>
      </c>
      <c r="I212" s="166">
        <f t="shared" si="358"/>
        <v>0</v>
      </c>
      <c r="J212" s="166">
        <f t="shared" si="359"/>
        <v>0</v>
      </c>
      <c r="K212" s="166">
        <f t="shared" si="360"/>
        <v>0</v>
      </c>
      <c r="L212" s="166">
        <f t="shared" si="361"/>
        <v>0</v>
      </c>
      <c r="M212" s="166">
        <f t="shared" si="362"/>
        <v>0</v>
      </c>
      <c r="N212" s="166">
        <f t="shared" si="363"/>
        <v>0</v>
      </c>
      <c r="O212" s="166">
        <f t="shared" si="364"/>
        <v>14</v>
      </c>
      <c r="P212" s="166">
        <f t="shared" si="365"/>
        <v>0</v>
      </c>
      <c r="Q212" s="166">
        <f t="shared" si="366"/>
        <v>0</v>
      </c>
      <c r="R212" s="166">
        <f t="shared" si="367"/>
        <v>0</v>
      </c>
      <c r="S212" s="166">
        <f t="shared" si="368"/>
        <v>0</v>
      </c>
      <c r="T212" s="166">
        <f t="shared" si="369"/>
        <v>0</v>
      </c>
      <c r="U212" s="166">
        <f t="shared" si="370"/>
        <v>0</v>
      </c>
      <c r="V212" s="166">
        <f t="shared" si="371"/>
        <v>0</v>
      </c>
      <c r="W212" s="166">
        <f t="shared" si="372"/>
        <v>0</v>
      </c>
      <c r="X212" s="166">
        <f t="shared" si="373"/>
        <v>0</v>
      </c>
      <c r="Y212" s="166">
        <f t="shared" si="374"/>
        <v>0</v>
      </c>
      <c r="Z212" s="166">
        <f t="shared" si="375"/>
        <v>0</v>
      </c>
      <c r="AA212" s="166">
        <f t="shared" si="376"/>
        <v>0</v>
      </c>
      <c r="AB212" s="166">
        <f t="shared" si="377"/>
        <v>0</v>
      </c>
      <c r="AC212" s="166" cm="1">
        <f t="array" ref="AC212">SUMPRODUCT(G212:AB212,$G$4:$AB$4)</f>
        <v>7000</v>
      </c>
      <c r="AD212" s="89" t="b">
        <f t="shared" si="352"/>
        <v>1</v>
      </c>
      <c r="AE212" s="386">
        <f>IFERROR(SUMIF(服务费底表!$K:$K,服务费明细!$B212,服务费底表!$AD:$AD)/E212,0)</f>
        <v>7000</v>
      </c>
      <c r="AF212" s="386">
        <f t="shared" si="353"/>
        <v>7000</v>
      </c>
      <c r="AG212" s="386">
        <f>IFERROR(SUMIF(服务费底表!$K:$K,服务费明细!$B212,服务费底表!$AG:$AG)/E212,0)</f>
        <v>7000</v>
      </c>
      <c r="AH212" s="386">
        <f t="shared" si="354"/>
        <v>7000</v>
      </c>
      <c r="AI212" s="409" t="s">
        <v>1126</v>
      </c>
      <c r="AJ212" s="563">
        <f t="shared" si="355"/>
        <v>14</v>
      </c>
      <c r="AK212" s="564">
        <f>SUMIF(服务费底表!$K:$K,服务费明细!$B212,服务费底表!$AC:$AC)</f>
        <v>14</v>
      </c>
      <c r="AL212" s="166">
        <f>SUMIFS(服务费底表!$AC:$AC,服务费底表!$K:$K,服务费明细!$B212,服务费底表!$T:$T,AL$3)</f>
        <v>0</v>
      </c>
      <c r="AM212" s="166">
        <f>SUMIFS(服务费底表!$AC:$AC,服务费底表!$K:$K,服务费明细!$B212,服务费底表!$T:$T,AM$3)</f>
        <v>0</v>
      </c>
      <c r="AN212" s="166">
        <f>SUMIFS(服务费底表!$AC:$AC,服务费底表!$K:$K,服务费明细!$B212,服务费底表!$T:$T,AN$3)</f>
        <v>0</v>
      </c>
      <c r="AO212" s="166">
        <f>SUMIFS(服务费底表!$AC:$AC,服务费底表!$K:$K,服务费明细!$B212,服务费底表!$T:$T,AO$3)</f>
        <v>0</v>
      </c>
      <c r="AP212" s="166">
        <f>SUMIFS(服务费底表!$AC:$AC,服务费底表!$K:$K,服务费明细!$B212,服务费底表!$T:$T,AP$3)</f>
        <v>0</v>
      </c>
      <c r="AQ212" s="166">
        <f>SUMIFS(服务费底表!$AC:$AC,服务费底表!$K:$K,服务费明细!$B212,服务费底表!$T:$T,AQ$3)</f>
        <v>0</v>
      </c>
      <c r="AR212" s="166">
        <f>SUMIFS(服务费底表!$AC:$AC,服务费底表!$K:$K,服务费明细!$B212,服务费底表!$T:$T,AR$3)</f>
        <v>0</v>
      </c>
      <c r="AS212" s="166">
        <f>SUMIFS(服务费底表!$AC:$AC,服务费底表!$K:$K,服务费明细!$B212,服务费底表!$T:$T,AS$3)</f>
        <v>0</v>
      </c>
      <c r="AT212" s="166">
        <f>SUMIFS(服务费底表!$AC:$AC,服务费底表!$K:$K,服务费明细!$B212,服务费底表!$T:$T,AT$3)</f>
        <v>14</v>
      </c>
      <c r="AU212" s="166">
        <f>SUMIFS(服务费底表!$AC:$AC,服务费底表!$K:$K,服务费明细!$B212,服务费底表!$T:$T,AU$3)</f>
        <v>0</v>
      </c>
      <c r="AV212" s="166">
        <f>SUMIFS(服务费底表!$AC:$AC,服务费底表!$K:$K,服务费明细!$B212,服务费底表!$T:$T,AV$3)</f>
        <v>0</v>
      </c>
      <c r="AW212" s="166">
        <f>SUMIFS(服务费底表!$AC:$AC,服务费底表!$K:$K,服务费明细!$B212,服务费底表!$T:$T,AW$3)</f>
        <v>0</v>
      </c>
      <c r="AX212" s="166">
        <f>SUMIFS(服务费底表!$AC:$AC,服务费底表!$K:$K,服务费明细!$B212,服务费底表!$T:$T,AX$3)</f>
        <v>0</v>
      </c>
      <c r="AY212" s="166">
        <f>SUMIFS(服务费底表!$AC:$AC,服务费底表!$K:$K,服务费明细!$B212,服务费底表!$T:$T,AY$3)</f>
        <v>0</v>
      </c>
      <c r="AZ212" s="166">
        <f>SUMIFS(服务费底表!$AC:$AC,服务费底表!$K:$K,服务费明细!$B212,服务费底表!$T:$T,AZ$3)</f>
        <v>0</v>
      </c>
      <c r="BA212" s="166">
        <f>SUMIFS(服务费底表!$AC:$AC,服务费底表!$K:$K,服务费明细!$B212,服务费底表!$T:$T,BA$3)</f>
        <v>0</v>
      </c>
      <c r="BB212" s="166">
        <f>SUMIFS(服务费底表!$AC:$AC,服务费底表!$K:$K,服务费明细!$B212,服务费底表!$T:$T,BB$3)</f>
        <v>0</v>
      </c>
      <c r="BC212" s="166">
        <f>SUMIFS(服务费底表!$AC:$AC,服务费底表!$K:$K,服务费明细!$B212,服务费底表!$T:$T,BC$3)</f>
        <v>0</v>
      </c>
      <c r="BD212" s="166">
        <f>SUMIFS(服务费底表!$AC:$AC,服务费底表!$K:$K,服务费明细!$B212,服务费底表!$T:$T,BD$3)</f>
        <v>0</v>
      </c>
      <c r="BE212" s="166">
        <f>SUMIFS(服务费底表!$AC:$AC,服务费底表!$K:$K,服务费明细!$B212,服务费底表!$T:$T,BE$3)</f>
        <v>0</v>
      </c>
      <c r="BF212" s="166">
        <f>SUMIFS(服务费底表!$AC:$AC,服务费底表!$K:$K,服务费明细!$B212,服务费底表!$T:$T,BF$3)</f>
        <v>0</v>
      </c>
      <c r="BG212" s="166">
        <f>SUMIFS(服务费底表!$AC:$AC,服务费底表!$K:$K,服务费明细!$B212,服务费底表!$T:$T,BG$3)</f>
        <v>0</v>
      </c>
      <c r="BI212" s="388">
        <f>SUMIFS(服务费底表!$AC:$AC,服务费底表!$K:$K,服务费明细!$B212,服务费底表!$H:$H,服务费明细!BI$3)</f>
        <v>0</v>
      </c>
      <c r="BJ212" s="388">
        <f>SUMIFS(服务费底表!$AC:$AC,服务费底表!$K:$K,服务费明细!$B212,服务费底表!$H:$H,服务费明细!BJ$3)</f>
        <v>0</v>
      </c>
      <c r="BK212" s="388">
        <f>SUMIFS(服务费底表!$AC:$AC,服务费底表!$K:$K,服务费明细!$B212,服务费底表!$H:$H,服务费明细!BK$3)</f>
        <v>0</v>
      </c>
      <c r="BL212" s="388">
        <f>SUMIFS(服务费底表!$AC:$AC,服务费底表!$K:$K,服务费明细!$B212,服务费底表!$H:$H,服务费明细!BL$3)</f>
        <v>0</v>
      </c>
      <c r="BM212" s="388">
        <f>SUMIFS(服务费底表!$AC:$AC,服务费底表!$K:$K,服务费明细!$B212,服务费底表!$H:$H,服务费明细!BM$3)</f>
        <v>14</v>
      </c>
      <c r="BN212" s="388">
        <f>SUMIFS(服务费底表!$AC:$AC,服务费底表!$K:$K,服务费明细!$B212,服务费底表!$H:$H,服务费明细!BN$3)</f>
        <v>0</v>
      </c>
      <c r="BO212" s="388">
        <f>SUMIFS(服务费底表!$AC:$AC,服务费底表!$K:$K,服务费明细!$B212,服务费底表!$H:$H,服务费明细!BO$3)</f>
        <v>0</v>
      </c>
      <c r="BQ212" s="389">
        <f>SUMIFS(服务费底表!$AD:$AD,服务费底表!$K:$K,服务费明细!$B212,服务费底表!$H:$H,服务费明细!BQ$3)</f>
        <v>0</v>
      </c>
      <c r="BR212" s="389">
        <f>SUMIFS(服务费底表!$AD:$AD,服务费底表!$K:$K,服务费明细!$B212,服务费底表!$H:$H,服务费明细!BR$3)</f>
        <v>0</v>
      </c>
      <c r="BS212" s="389">
        <f>SUMIFS(服务费底表!$AD:$AD,服务费底表!$K:$K,服务费明细!$B212,服务费底表!$H:$H,服务费明细!BS$3)</f>
        <v>0</v>
      </c>
      <c r="BT212" s="389">
        <f>SUMIFS(服务费底表!$AD:$AD,服务费底表!$K:$K,服务费明细!$B212,服务费底表!$H:$H,服务费明细!BT$3)</f>
        <v>0</v>
      </c>
      <c r="BU212" s="389">
        <f>SUMIFS(服务费底表!$AD:$AD,服务费底表!$K:$K,服务费明细!$B212,服务费底表!$H:$H,服务费明细!BU$3)</f>
        <v>7000</v>
      </c>
      <c r="BV212" s="389">
        <f>SUMIFS(服务费底表!$AD:$AD,服务费底表!$K:$K,服务费明细!$B212,服务费底表!$H:$H,服务费明细!BV$3)</f>
        <v>0</v>
      </c>
      <c r="BW212" s="389">
        <f>SUMIFS(服务费底表!$AD:$AD,服务费底表!$K:$K,服务费明细!$B212,服务费底表!$H:$H,服务费明细!BW$3)</f>
        <v>0</v>
      </c>
    </row>
    <row r="213" ht="33" customHeight="1" spans="2:75">
      <c r="B213" s="89" t="s">
        <v>389</v>
      </c>
      <c r="C213" s="89" t="str">
        <f>INDEX(二三级标准!$C:$C,MATCH(服务费明细!$B213,二三级标准!$B:$B,0))</f>
        <v>DSUR撰写(中文)</v>
      </c>
      <c r="D213" s="166">
        <f>IF(AND($D$204=1,试验目的="注册申报"),1,0)</f>
        <v>1</v>
      </c>
      <c r="E213" s="166">
        <f>IF($D213=1,DSUR数,0)</f>
        <v>1</v>
      </c>
      <c r="F213" s="89" t="str">
        <f>INDEX(二三级标准!$G:$G,MATCH(服务费明细!$B213,二三级标准!$B:$B,0))</f>
        <v>份</v>
      </c>
      <c r="G213" s="166">
        <f t="shared" si="356"/>
        <v>0</v>
      </c>
      <c r="H213" s="166">
        <f t="shared" si="357"/>
        <v>0</v>
      </c>
      <c r="I213" s="166">
        <f t="shared" si="358"/>
        <v>0</v>
      </c>
      <c r="J213" s="166">
        <f t="shared" si="359"/>
        <v>0</v>
      </c>
      <c r="K213" s="166">
        <f t="shared" si="360"/>
        <v>0</v>
      </c>
      <c r="L213" s="166">
        <f t="shared" si="361"/>
        <v>0</v>
      </c>
      <c r="M213" s="166">
        <f t="shared" si="362"/>
        <v>0</v>
      </c>
      <c r="N213" s="166">
        <f t="shared" si="363"/>
        <v>0</v>
      </c>
      <c r="O213" s="166">
        <f t="shared" si="364"/>
        <v>26</v>
      </c>
      <c r="P213" s="166">
        <f t="shared" si="365"/>
        <v>62</v>
      </c>
      <c r="Q213" s="166">
        <f t="shared" si="366"/>
        <v>0</v>
      </c>
      <c r="R213" s="166">
        <f t="shared" si="367"/>
        <v>0</v>
      </c>
      <c r="S213" s="166">
        <f t="shared" si="368"/>
        <v>2</v>
      </c>
      <c r="T213" s="166">
        <f t="shared" si="369"/>
        <v>10</v>
      </c>
      <c r="U213" s="166">
        <f t="shared" si="370"/>
        <v>0</v>
      </c>
      <c r="V213" s="166">
        <f t="shared" si="371"/>
        <v>0</v>
      </c>
      <c r="W213" s="166">
        <f t="shared" si="372"/>
        <v>0</v>
      </c>
      <c r="X213" s="166">
        <f t="shared" si="373"/>
        <v>0</v>
      </c>
      <c r="Y213" s="166">
        <f t="shared" si="374"/>
        <v>0</v>
      </c>
      <c r="Z213" s="166">
        <f t="shared" si="375"/>
        <v>0</v>
      </c>
      <c r="AA213" s="166">
        <f t="shared" si="376"/>
        <v>0</v>
      </c>
      <c r="AB213" s="166">
        <f t="shared" si="377"/>
        <v>0</v>
      </c>
      <c r="AC213" s="166" cm="1">
        <f t="array" ref="AC213">SUMPRODUCT(G213:AB213,$G$4:$AB$4)</f>
        <v>59370</v>
      </c>
      <c r="AD213" s="89" t="b">
        <f t="shared" ref="AD213:AD219" si="378">IF(AF213=AC213,TRUE,FALSE)</f>
        <v>1</v>
      </c>
      <c r="AE213" s="386">
        <f>IFERROR(SUMIF(服务费底表!$K:$K,服务费明细!$B213,服务费底表!$AD:$AD)/E213,0)</f>
        <v>59370</v>
      </c>
      <c r="AF213" s="386">
        <f t="shared" ref="AF213:AF219" si="379">E213*AE213</f>
        <v>59370</v>
      </c>
      <c r="AG213" s="386">
        <f>IFERROR(SUMIF(服务费底表!$K:$K,服务费明细!$B213,服务费底表!$AG:$AG)/E213,0)</f>
        <v>59370</v>
      </c>
      <c r="AH213" s="386">
        <f t="shared" ref="AH213:AH219" si="380">AG213*E213</f>
        <v>59370</v>
      </c>
      <c r="AI213" s="409" t="s">
        <v>1127</v>
      </c>
      <c r="AJ213" s="563">
        <f t="shared" ref="AJ213:AJ219" si="381">IF(D213=1,AK213/E213,0)</f>
        <v>100</v>
      </c>
      <c r="AK213" s="564">
        <f>SUMIF(服务费底表!$K:$K,服务费明细!$B213,服务费底表!$AC:$AC)</f>
        <v>100</v>
      </c>
      <c r="AL213" s="166">
        <f>SUMIFS(服务费底表!$AC:$AC,服务费底表!$K:$K,服务费明细!$B213,服务费底表!$T:$T,AL$3)</f>
        <v>0</v>
      </c>
      <c r="AM213" s="166">
        <f>SUMIFS(服务费底表!$AC:$AC,服务费底表!$K:$K,服务费明细!$B213,服务费底表!$T:$T,AM$3)</f>
        <v>0</v>
      </c>
      <c r="AN213" s="166">
        <f>SUMIFS(服务费底表!$AC:$AC,服务费底表!$K:$K,服务费明细!$B213,服务费底表!$T:$T,AN$3)</f>
        <v>0</v>
      </c>
      <c r="AO213" s="166">
        <f>SUMIFS(服务费底表!$AC:$AC,服务费底表!$K:$K,服务费明细!$B213,服务费底表!$T:$T,AO$3)</f>
        <v>0</v>
      </c>
      <c r="AP213" s="166">
        <f>SUMIFS(服务费底表!$AC:$AC,服务费底表!$K:$K,服务费明细!$B213,服务费底表!$T:$T,AP$3)</f>
        <v>0</v>
      </c>
      <c r="AQ213" s="166">
        <f>SUMIFS(服务费底表!$AC:$AC,服务费底表!$K:$K,服务费明细!$B213,服务费底表!$T:$T,AQ$3)</f>
        <v>0</v>
      </c>
      <c r="AR213" s="166">
        <f>SUMIFS(服务费底表!$AC:$AC,服务费底表!$K:$K,服务费明细!$B213,服务费底表!$T:$T,AR$3)</f>
        <v>0</v>
      </c>
      <c r="AS213" s="166">
        <f>SUMIFS(服务费底表!$AC:$AC,服务费底表!$K:$K,服务费明细!$B213,服务费底表!$T:$T,AS$3)</f>
        <v>0</v>
      </c>
      <c r="AT213" s="166">
        <f>SUMIFS(服务费底表!$AC:$AC,服务费底表!$K:$K,服务费明细!$B213,服务费底表!$T:$T,AT$3)</f>
        <v>26</v>
      </c>
      <c r="AU213" s="166">
        <f>SUMIFS(服务费底表!$AC:$AC,服务费底表!$K:$K,服务费明细!$B213,服务费底表!$T:$T,AU$3)</f>
        <v>62</v>
      </c>
      <c r="AV213" s="166">
        <f>SUMIFS(服务费底表!$AC:$AC,服务费底表!$K:$K,服务费明细!$B213,服务费底表!$T:$T,AV$3)</f>
        <v>0</v>
      </c>
      <c r="AW213" s="166">
        <f>SUMIFS(服务费底表!$AC:$AC,服务费底表!$K:$K,服务费明细!$B213,服务费底表!$T:$T,AW$3)</f>
        <v>0</v>
      </c>
      <c r="AX213" s="166">
        <f>SUMIFS(服务费底表!$AC:$AC,服务费底表!$K:$K,服务费明细!$B213,服务费底表!$T:$T,AX$3)</f>
        <v>2</v>
      </c>
      <c r="AY213" s="166">
        <f>SUMIFS(服务费底表!$AC:$AC,服务费底表!$K:$K,服务费明细!$B213,服务费底表!$T:$T,AY$3)</f>
        <v>10</v>
      </c>
      <c r="AZ213" s="166">
        <f>SUMIFS(服务费底表!$AC:$AC,服务费底表!$K:$K,服务费明细!$B213,服务费底表!$T:$T,AZ$3)</f>
        <v>0</v>
      </c>
      <c r="BA213" s="166">
        <f>SUMIFS(服务费底表!$AC:$AC,服务费底表!$K:$K,服务费明细!$B213,服务费底表!$T:$T,BA$3)</f>
        <v>0</v>
      </c>
      <c r="BB213" s="166">
        <f>SUMIFS(服务费底表!$AC:$AC,服务费底表!$K:$K,服务费明细!$B213,服务费底表!$T:$T,BB$3)</f>
        <v>0</v>
      </c>
      <c r="BC213" s="166">
        <f>SUMIFS(服务费底表!$AC:$AC,服务费底表!$K:$K,服务费明细!$B213,服务费底表!$T:$T,BC$3)</f>
        <v>0</v>
      </c>
      <c r="BD213" s="166">
        <f>SUMIFS(服务费底表!$AC:$AC,服务费底表!$K:$K,服务费明细!$B213,服务费底表!$T:$T,BD$3)</f>
        <v>0</v>
      </c>
      <c r="BE213" s="166">
        <f>SUMIFS(服务费底表!$AC:$AC,服务费底表!$K:$K,服务费明细!$B213,服务费底表!$T:$T,BE$3)</f>
        <v>0</v>
      </c>
      <c r="BF213" s="166">
        <f>SUMIFS(服务费底表!$AC:$AC,服务费底表!$K:$K,服务费明细!$B213,服务费底表!$T:$T,BF$3)</f>
        <v>0</v>
      </c>
      <c r="BG213" s="166">
        <f>SUMIFS(服务费底表!$AC:$AC,服务费底表!$K:$K,服务费明细!$B213,服务费底表!$T:$T,BG$3)</f>
        <v>0</v>
      </c>
      <c r="BI213" s="388">
        <f>SUMIFS(服务费底表!$AC:$AC,服务费底表!$K:$K,服务费明细!$B213,服务费底表!$H:$H,服务费明细!BI$3)</f>
        <v>0</v>
      </c>
      <c r="BJ213" s="388">
        <f>SUMIFS(服务费底表!$AC:$AC,服务费底表!$K:$K,服务费明细!$B213,服务费底表!$H:$H,服务费明细!BJ$3)</f>
        <v>0</v>
      </c>
      <c r="BK213" s="388">
        <f>SUMIFS(服务费底表!$AC:$AC,服务费底表!$K:$K,服务费明细!$B213,服务费底表!$H:$H,服务费明细!BK$3)</f>
        <v>2</v>
      </c>
      <c r="BL213" s="388">
        <f>SUMIFS(服务费底表!$AC:$AC,服务费底表!$K:$K,服务费明细!$B213,服务费底表!$H:$H,服务费明细!BL$3)</f>
        <v>10</v>
      </c>
      <c r="BM213" s="388">
        <f>SUMIFS(服务费底表!$AC:$AC,服务费底表!$K:$K,服务费明细!$B213,服务费底表!$H:$H,服务费明细!BM$3)</f>
        <v>88</v>
      </c>
      <c r="BN213" s="388">
        <f>SUMIFS(服务费底表!$AC:$AC,服务费底表!$K:$K,服务费明细!$B213,服务费底表!$H:$H,服务费明细!BN$3)</f>
        <v>0</v>
      </c>
      <c r="BO213" s="388">
        <f>SUMIFS(服务费底表!$AC:$AC,服务费底表!$K:$K,服务费明细!$B213,服务费底表!$H:$H,服务费明细!BO$3)</f>
        <v>0</v>
      </c>
      <c r="BQ213" s="389">
        <f>SUMIFS(服务费底表!$AD:$AD,服务费底表!$K:$K,服务费明细!$B213,服务费底表!$H:$H,服务费明细!BQ$3)</f>
        <v>0</v>
      </c>
      <c r="BR213" s="389">
        <f>SUMIFS(服务费底表!$AD:$AD,服务费底表!$K:$K,服务费明细!$B213,服务费底表!$H:$H,服务费明细!BR$3)</f>
        <v>0</v>
      </c>
      <c r="BS213" s="389">
        <f>SUMIFS(服务费底表!$AD:$AD,服务费底表!$K:$K,服务费明细!$B213,服务费底表!$H:$H,服务费明细!BS$3)</f>
        <v>720</v>
      </c>
      <c r="BT213" s="389">
        <f>SUMIFS(服务费底表!$AD:$AD,服务费底表!$K:$K,服务费明细!$B213,服务费底表!$H:$H,服务费明细!BT$3)</f>
        <v>2250</v>
      </c>
      <c r="BU213" s="389">
        <f>SUMIFS(服务费底表!$AD:$AD,服务费底表!$K:$K,服务费明细!$B213,服务费底表!$H:$H,服务费明细!BU$3)</f>
        <v>56400</v>
      </c>
      <c r="BV213" s="389">
        <f>SUMIFS(服务费底表!$AD:$AD,服务费底表!$K:$K,服务费明细!$B213,服务费底表!$H:$H,服务费明细!BV$3)</f>
        <v>0</v>
      </c>
      <c r="BW213" s="389">
        <f>SUMIFS(服务费底表!$AD:$AD,服务费底表!$K:$K,服务费明细!$B213,服务费底表!$H:$H,服务费明细!BW$3)</f>
        <v>0</v>
      </c>
    </row>
    <row r="214" ht="26.4" spans="2:75">
      <c r="B214" s="89" t="s">
        <v>392</v>
      </c>
      <c r="C214" s="89" t="str">
        <f>INDEX(二三级标准!$C:$C,MATCH(服务费明细!$B214,二三级标准!$B:$B,0))</f>
        <v>DSUR撰写(英文)</v>
      </c>
      <c r="D214" s="204">
        <f>IF(AND($D$204=1,PV报告双语&lt;&gt;"否"),1,0)</f>
        <v>0</v>
      </c>
      <c r="E214" s="166">
        <f>IF($D214=1,DSUR数,0)</f>
        <v>0</v>
      </c>
      <c r="F214" s="89" t="str">
        <f>INDEX(二三级标准!$G:$G,MATCH(服务费明细!$B214,二三级标准!$B:$B,0))</f>
        <v>份</v>
      </c>
      <c r="G214" s="166">
        <f t="shared" si="356"/>
        <v>0</v>
      </c>
      <c r="H214" s="166">
        <f t="shared" si="357"/>
        <v>0</v>
      </c>
      <c r="I214" s="166">
        <f t="shared" si="358"/>
        <v>0</v>
      </c>
      <c r="J214" s="166">
        <f t="shared" si="359"/>
        <v>0</v>
      </c>
      <c r="K214" s="166">
        <f t="shared" si="360"/>
        <v>0</v>
      </c>
      <c r="L214" s="166">
        <f t="shared" si="361"/>
        <v>0</v>
      </c>
      <c r="M214" s="166">
        <f t="shared" si="362"/>
        <v>0</v>
      </c>
      <c r="N214" s="166">
        <f t="shared" si="363"/>
        <v>0</v>
      </c>
      <c r="O214" s="166">
        <f t="shared" si="364"/>
        <v>0</v>
      </c>
      <c r="P214" s="166">
        <f t="shared" si="365"/>
        <v>0</v>
      </c>
      <c r="Q214" s="166">
        <f t="shared" si="366"/>
        <v>0</v>
      </c>
      <c r="R214" s="166">
        <f t="shared" si="367"/>
        <v>0</v>
      </c>
      <c r="S214" s="166">
        <f t="shared" si="368"/>
        <v>0</v>
      </c>
      <c r="T214" s="166">
        <f t="shared" si="369"/>
        <v>0</v>
      </c>
      <c r="U214" s="166">
        <f t="shared" si="370"/>
        <v>0</v>
      </c>
      <c r="V214" s="166">
        <f t="shared" si="371"/>
        <v>0</v>
      </c>
      <c r="W214" s="166">
        <f t="shared" si="372"/>
        <v>0</v>
      </c>
      <c r="X214" s="166">
        <f t="shared" si="373"/>
        <v>0</v>
      </c>
      <c r="Y214" s="166">
        <f t="shared" si="374"/>
        <v>0</v>
      </c>
      <c r="Z214" s="166">
        <f t="shared" si="375"/>
        <v>0</v>
      </c>
      <c r="AA214" s="166">
        <f t="shared" si="376"/>
        <v>0</v>
      </c>
      <c r="AB214" s="166">
        <f t="shared" si="377"/>
        <v>0</v>
      </c>
      <c r="AC214" s="166" cm="1">
        <f t="array" ref="AC214">SUMPRODUCT(G214:AB214,$G$4:$AB$4)</f>
        <v>0</v>
      </c>
      <c r="AD214" s="89" t="b">
        <f t="shared" si="378"/>
        <v>1</v>
      </c>
      <c r="AE214" s="386">
        <f>IFERROR(SUMIF(服务费底表!$K:$K,服务费明细!$B214,服务费底表!$AD:$AD)/E214,0)</f>
        <v>0</v>
      </c>
      <c r="AF214" s="386">
        <f t="shared" si="379"/>
        <v>0</v>
      </c>
      <c r="AG214" s="386">
        <f>IFERROR(SUMIF(服务费底表!$K:$K,服务费明细!$B214,服务费底表!$AG:$AG)/E214,0)</f>
        <v>0</v>
      </c>
      <c r="AH214" s="386">
        <f t="shared" si="380"/>
        <v>0</v>
      </c>
      <c r="AI214" s="409" t="s">
        <v>1128</v>
      </c>
      <c r="AJ214" s="563">
        <f t="shared" si="381"/>
        <v>0</v>
      </c>
      <c r="AK214" s="564">
        <f>SUMIF(服务费底表!$K:$K,服务费明细!$B214,服务费底表!$AC:$AC)</f>
        <v>0</v>
      </c>
      <c r="AL214" s="166">
        <f>SUMIFS(服务费底表!$AC:$AC,服务费底表!$K:$K,服务费明细!$B214,服务费底表!$T:$T,AL$3)</f>
        <v>0</v>
      </c>
      <c r="AM214" s="166">
        <f>SUMIFS(服务费底表!$AC:$AC,服务费底表!$K:$K,服务费明细!$B214,服务费底表!$T:$T,AM$3)</f>
        <v>0</v>
      </c>
      <c r="AN214" s="166">
        <f>SUMIFS(服务费底表!$AC:$AC,服务费底表!$K:$K,服务费明细!$B214,服务费底表!$T:$T,AN$3)</f>
        <v>0</v>
      </c>
      <c r="AO214" s="166">
        <f>SUMIFS(服务费底表!$AC:$AC,服务费底表!$K:$K,服务费明细!$B214,服务费底表!$T:$T,AO$3)</f>
        <v>0</v>
      </c>
      <c r="AP214" s="166">
        <f>SUMIFS(服务费底表!$AC:$AC,服务费底表!$K:$K,服务费明细!$B214,服务费底表!$T:$T,AP$3)</f>
        <v>0</v>
      </c>
      <c r="AQ214" s="166">
        <f>SUMIFS(服务费底表!$AC:$AC,服务费底表!$K:$K,服务费明细!$B214,服务费底表!$T:$T,AQ$3)</f>
        <v>0</v>
      </c>
      <c r="AR214" s="166">
        <f>SUMIFS(服务费底表!$AC:$AC,服务费底表!$K:$K,服务费明细!$B214,服务费底表!$T:$T,AR$3)</f>
        <v>0</v>
      </c>
      <c r="AS214" s="166">
        <f>SUMIFS(服务费底表!$AC:$AC,服务费底表!$K:$K,服务费明细!$B214,服务费底表!$T:$T,AS$3)</f>
        <v>0</v>
      </c>
      <c r="AT214" s="166">
        <f>SUMIFS(服务费底表!$AC:$AC,服务费底表!$K:$K,服务费明细!$B214,服务费底表!$T:$T,AT$3)</f>
        <v>0</v>
      </c>
      <c r="AU214" s="166">
        <f>SUMIFS(服务费底表!$AC:$AC,服务费底表!$K:$K,服务费明细!$B214,服务费底表!$T:$T,AU$3)</f>
        <v>0</v>
      </c>
      <c r="AV214" s="166">
        <f>SUMIFS(服务费底表!$AC:$AC,服务费底表!$K:$K,服务费明细!$B214,服务费底表!$T:$T,AV$3)</f>
        <v>0</v>
      </c>
      <c r="AW214" s="166">
        <f>SUMIFS(服务费底表!$AC:$AC,服务费底表!$K:$K,服务费明细!$B214,服务费底表!$T:$T,AW$3)</f>
        <v>0</v>
      </c>
      <c r="AX214" s="166">
        <f>SUMIFS(服务费底表!$AC:$AC,服务费底表!$K:$K,服务费明细!$B214,服务费底表!$T:$T,AX$3)</f>
        <v>0</v>
      </c>
      <c r="AY214" s="166">
        <f>SUMIFS(服务费底表!$AC:$AC,服务费底表!$K:$K,服务费明细!$B214,服务费底表!$T:$T,AY$3)</f>
        <v>0</v>
      </c>
      <c r="AZ214" s="166">
        <f>SUMIFS(服务费底表!$AC:$AC,服务费底表!$K:$K,服务费明细!$B214,服务费底表!$T:$T,AZ$3)</f>
        <v>0</v>
      </c>
      <c r="BA214" s="166">
        <f>SUMIFS(服务费底表!$AC:$AC,服务费底表!$K:$K,服务费明细!$B214,服务费底表!$T:$T,BA$3)</f>
        <v>0</v>
      </c>
      <c r="BB214" s="166">
        <f>SUMIFS(服务费底表!$AC:$AC,服务费底表!$K:$K,服务费明细!$B214,服务费底表!$T:$T,BB$3)</f>
        <v>0</v>
      </c>
      <c r="BC214" s="166">
        <f>SUMIFS(服务费底表!$AC:$AC,服务费底表!$K:$K,服务费明细!$B214,服务费底表!$T:$T,BC$3)</f>
        <v>0</v>
      </c>
      <c r="BD214" s="166">
        <f>SUMIFS(服务费底表!$AC:$AC,服务费底表!$K:$K,服务费明细!$B214,服务费底表!$T:$T,BD$3)</f>
        <v>0</v>
      </c>
      <c r="BE214" s="166">
        <f>SUMIFS(服务费底表!$AC:$AC,服务费底表!$K:$K,服务费明细!$B214,服务费底表!$T:$T,BE$3)</f>
        <v>0</v>
      </c>
      <c r="BF214" s="166">
        <f>SUMIFS(服务费底表!$AC:$AC,服务费底表!$K:$K,服务费明细!$B214,服务费底表!$T:$T,BF$3)</f>
        <v>0</v>
      </c>
      <c r="BG214" s="166">
        <f>SUMIFS(服务费底表!$AC:$AC,服务费底表!$K:$K,服务费明细!$B214,服务费底表!$T:$T,BG$3)</f>
        <v>0</v>
      </c>
      <c r="BI214" s="388">
        <f>SUMIFS(服务费底表!$AC:$AC,服务费底表!$K:$K,服务费明细!$B214,服务费底表!$H:$H,服务费明细!BI$3)</f>
        <v>0</v>
      </c>
      <c r="BJ214" s="388">
        <f>SUMIFS(服务费底表!$AC:$AC,服务费底表!$K:$K,服务费明细!$B214,服务费底表!$H:$H,服务费明细!BJ$3)</f>
        <v>0</v>
      </c>
      <c r="BK214" s="388">
        <f>SUMIFS(服务费底表!$AC:$AC,服务费底表!$K:$K,服务费明细!$B214,服务费底表!$H:$H,服务费明细!BK$3)</f>
        <v>0</v>
      </c>
      <c r="BL214" s="388">
        <f>SUMIFS(服务费底表!$AC:$AC,服务费底表!$K:$K,服务费明细!$B214,服务费底表!$H:$H,服务费明细!BL$3)</f>
        <v>0</v>
      </c>
      <c r="BM214" s="388">
        <f>SUMIFS(服务费底表!$AC:$AC,服务费底表!$K:$K,服务费明细!$B214,服务费底表!$H:$H,服务费明细!BM$3)</f>
        <v>0</v>
      </c>
      <c r="BN214" s="388">
        <f>SUMIFS(服务费底表!$AC:$AC,服务费底表!$K:$K,服务费明细!$B214,服务费底表!$H:$H,服务费明细!BN$3)</f>
        <v>0</v>
      </c>
      <c r="BO214" s="388">
        <f>SUMIFS(服务费底表!$AC:$AC,服务费底表!$K:$K,服务费明细!$B214,服务费底表!$H:$H,服务费明细!BO$3)</f>
        <v>0</v>
      </c>
      <c r="BQ214" s="389">
        <f>SUMIFS(服务费底表!$AD:$AD,服务费底表!$K:$K,服务费明细!$B214,服务费底表!$H:$H,服务费明细!BQ$3)</f>
        <v>0</v>
      </c>
      <c r="BR214" s="389">
        <f>SUMIFS(服务费底表!$AD:$AD,服务费底表!$K:$K,服务费明细!$B214,服务费底表!$H:$H,服务费明细!BR$3)</f>
        <v>0</v>
      </c>
      <c r="BS214" s="389">
        <f>SUMIFS(服务费底表!$AD:$AD,服务费底表!$K:$K,服务费明细!$B214,服务费底表!$H:$H,服务费明细!BS$3)</f>
        <v>0</v>
      </c>
      <c r="BT214" s="389">
        <f>SUMIFS(服务费底表!$AD:$AD,服务费底表!$K:$K,服务费明细!$B214,服务费底表!$H:$H,服务费明细!BT$3)</f>
        <v>0</v>
      </c>
      <c r="BU214" s="389">
        <f>SUMIFS(服务费底表!$AD:$AD,服务费底表!$K:$K,服务费明细!$B214,服务费底表!$H:$H,服务费明细!BU$3)</f>
        <v>0</v>
      </c>
      <c r="BV214" s="389">
        <f>SUMIFS(服务费底表!$AD:$AD,服务费底表!$K:$K,服务费明细!$B214,服务费底表!$H:$H,服务费明细!BV$3)</f>
        <v>0</v>
      </c>
      <c r="BW214" s="389">
        <f>SUMIFS(服务费底表!$AD:$AD,服务费底表!$K:$K,服务费明细!$B214,服务费底表!$H:$H,服务费明细!BW$3)</f>
        <v>0</v>
      </c>
    </row>
    <row r="215" ht="23" customHeight="1" spans="2:75">
      <c r="B215" s="89" t="s">
        <v>394</v>
      </c>
      <c r="C215" s="89" t="str">
        <f>INDEX(二三级标准!$C:$C,MATCH(服务费明细!$B215,二三级标准!$B:$B,0))</f>
        <v>DSUR递交</v>
      </c>
      <c r="D215" s="166">
        <v>0</v>
      </c>
      <c r="E215" s="166">
        <f>IF($D215=1,DSUR数,0)</f>
        <v>0</v>
      </c>
      <c r="F215" s="89" t="str">
        <f>INDEX(二三级标准!$G:$G,MATCH(服务费明细!$B215,二三级标准!$B:$B,0))</f>
        <v>份</v>
      </c>
      <c r="G215" s="166">
        <f t="shared" si="356"/>
        <v>0</v>
      </c>
      <c r="H215" s="166">
        <f t="shared" si="357"/>
        <v>0</v>
      </c>
      <c r="I215" s="166">
        <f t="shared" si="358"/>
        <v>0</v>
      </c>
      <c r="J215" s="166">
        <f t="shared" si="359"/>
        <v>0</v>
      </c>
      <c r="K215" s="166">
        <f t="shared" si="360"/>
        <v>0</v>
      </c>
      <c r="L215" s="166">
        <f t="shared" si="361"/>
        <v>0</v>
      </c>
      <c r="M215" s="166">
        <f t="shared" si="362"/>
        <v>0</v>
      </c>
      <c r="N215" s="166">
        <f t="shared" si="363"/>
        <v>0</v>
      </c>
      <c r="O215" s="166">
        <f t="shared" si="364"/>
        <v>0</v>
      </c>
      <c r="P215" s="166">
        <f t="shared" si="365"/>
        <v>0</v>
      </c>
      <c r="Q215" s="166">
        <f t="shared" si="366"/>
        <v>0</v>
      </c>
      <c r="R215" s="166">
        <f t="shared" si="367"/>
        <v>0</v>
      </c>
      <c r="S215" s="166">
        <f t="shared" si="368"/>
        <v>0</v>
      </c>
      <c r="T215" s="166">
        <f t="shared" si="369"/>
        <v>0</v>
      </c>
      <c r="U215" s="166">
        <f t="shared" si="370"/>
        <v>0</v>
      </c>
      <c r="V215" s="166">
        <f t="shared" si="371"/>
        <v>0</v>
      </c>
      <c r="W215" s="166">
        <f t="shared" si="372"/>
        <v>0</v>
      </c>
      <c r="X215" s="166">
        <f t="shared" si="373"/>
        <v>0</v>
      </c>
      <c r="Y215" s="166">
        <f t="shared" si="374"/>
        <v>0</v>
      </c>
      <c r="Z215" s="166">
        <f t="shared" si="375"/>
        <v>0</v>
      </c>
      <c r="AA215" s="166">
        <f t="shared" si="376"/>
        <v>0</v>
      </c>
      <c r="AB215" s="166">
        <f t="shared" si="377"/>
        <v>0</v>
      </c>
      <c r="AC215" s="166" cm="1">
        <f t="array" ref="AC215">SUMPRODUCT(G215:AB215,$G$4:$AB$4)</f>
        <v>0</v>
      </c>
      <c r="AD215" s="89" t="b">
        <f t="shared" si="378"/>
        <v>1</v>
      </c>
      <c r="AE215" s="386">
        <f>IFERROR(SUMIF(服务费底表!$K:$K,服务费明细!$B215,服务费底表!$AD:$AD)/E215,0)</f>
        <v>0</v>
      </c>
      <c r="AF215" s="386">
        <f t="shared" si="379"/>
        <v>0</v>
      </c>
      <c r="AG215" s="386">
        <f>IFERROR(SUMIF(服务费底表!$K:$K,服务费明细!$B215,服务费底表!$AG:$AG)/E215,0)</f>
        <v>0</v>
      </c>
      <c r="AH215" s="386">
        <f t="shared" si="380"/>
        <v>0</v>
      </c>
      <c r="AI215" s="409" t="s">
        <v>1129</v>
      </c>
      <c r="AJ215" s="563">
        <f t="shared" si="381"/>
        <v>0</v>
      </c>
      <c r="AK215" s="564">
        <f>SUMIF(服务费底表!$K:$K,服务费明细!$B215,服务费底表!$AC:$AC)</f>
        <v>0</v>
      </c>
      <c r="AL215" s="166">
        <f>SUMIFS(服务费底表!$AC:$AC,服务费底表!$K:$K,服务费明细!$B215,服务费底表!$T:$T,AL$3)</f>
        <v>0</v>
      </c>
      <c r="AM215" s="166">
        <f>SUMIFS(服务费底表!$AC:$AC,服务费底表!$K:$K,服务费明细!$B215,服务费底表!$T:$T,AM$3)</f>
        <v>0</v>
      </c>
      <c r="AN215" s="166">
        <f>SUMIFS(服务费底表!$AC:$AC,服务费底表!$K:$K,服务费明细!$B215,服务费底表!$T:$T,AN$3)</f>
        <v>0</v>
      </c>
      <c r="AO215" s="166">
        <f>SUMIFS(服务费底表!$AC:$AC,服务费底表!$K:$K,服务费明细!$B215,服务费底表!$T:$T,AO$3)</f>
        <v>0</v>
      </c>
      <c r="AP215" s="166">
        <f>SUMIFS(服务费底表!$AC:$AC,服务费底表!$K:$K,服务费明细!$B215,服务费底表!$T:$T,AP$3)</f>
        <v>0</v>
      </c>
      <c r="AQ215" s="166">
        <f>SUMIFS(服务费底表!$AC:$AC,服务费底表!$K:$K,服务费明细!$B215,服务费底表!$T:$T,AQ$3)</f>
        <v>0</v>
      </c>
      <c r="AR215" s="166">
        <f>SUMIFS(服务费底表!$AC:$AC,服务费底表!$K:$K,服务费明细!$B215,服务费底表!$T:$T,AR$3)</f>
        <v>0</v>
      </c>
      <c r="AS215" s="166">
        <f>SUMIFS(服务费底表!$AC:$AC,服务费底表!$K:$K,服务费明细!$B215,服务费底表!$T:$T,AS$3)</f>
        <v>0</v>
      </c>
      <c r="AT215" s="166">
        <f>SUMIFS(服务费底表!$AC:$AC,服务费底表!$K:$K,服务费明细!$B215,服务费底表!$T:$T,AT$3)</f>
        <v>0</v>
      </c>
      <c r="AU215" s="166">
        <f>SUMIFS(服务费底表!$AC:$AC,服务费底表!$K:$K,服务费明细!$B215,服务费底表!$T:$T,AU$3)</f>
        <v>0</v>
      </c>
      <c r="AV215" s="166">
        <f>SUMIFS(服务费底表!$AC:$AC,服务费底表!$K:$K,服务费明细!$B215,服务费底表!$T:$T,AV$3)</f>
        <v>0</v>
      </c>
      <c r="AW215" s="166">
        <f>SUMIFS(服务费底表!$AC:$AC,服务费底表!$K:$K,服务费明细!$B215,服务费底表!$T:$T,AW$3)</f>
        <v>0</v>
      </c>
      <c r="AX215" s="166">
        <f>SUMIFS(服务费底表!$AC:$AC,服务费底表!$K:$K,服务费明细!$B215,服务费底表!$T:$T,AX$3)</f>
        <v>0</v>
      </c>
      <c r="AY215" s="166">
        <f>SUMIFS(服务费底表!$AC:$AC,服务费底表!$K:$K,服务费明细!$B215,服务费底表!$T:$T,AY$3)</f>
        <v>0</v>
      </c>
      <c r="AZ215" s="166">
        <f>SUMIFS(服务费底表!$AC:$AC,服务费底表!$K:$K,服务费明细!$B215,服务费底表!$T:$T,AZ$3)</f>
        <v>0</v>
      </c>
      <c r="BA215" s="166">
        <f>SUMIFS(服务费底表!$AC:$AC,服务费底表!$K:$K,服务费明细!$B215,服务费底表!$T:$T,BA$3)</f>
        <v>0</v>
      </c>
      <c r="BB215" s="166">
        <f>SUMIFS(服务费底表!$AC:$AC,服务费底表!$K:$K,服务费明细!$B215,服务费底表!$T:$T,BB$3)</f>
        <v>0</v>
      </c>
      <c r="BC215" s="166">
        <f>SUMIFS(服务费底表!$AC:$AC,服务费底表!$K:$K,服务费明细!$B215,服务费底表!$T:$T,BC$3)</f>
        <v>0</v>
      </c>
      <c r="BD215" s="166">
        <f>SUMIFS(服务费底表!$AC:$AC,服务费底表!$K:$K,服务费明细!$B215,服务费底表!$T:$T,BD$3)</f>
        <v>0</v>
      </c>
      <c r="BE215" s="166">
        <f>SUMIFS(服务费底表!$AC:$AC,服务费底表!$K:$K,服务费明细!$B215,服务费底表!$T:$T,BE$3)</f>
        <v>0</v>
      </c>
      <c r="BF215" s="166">
        <f>SUMIFS(服务费底表!$AC:$AC,服务费底表!$K:$K,服务费明细!$B215,服务费底表!$T:$T,BF$3)</f>
        <v>0</v>
      </c>
      <c r="BG215" s="166">
        <f>SUMIFS(服务费底表!$AC:$AC,服务费底表!$K:$K,服务费明细!$B215,服务费底表!$T:$T,BG$3)</f>
        <v>0</v>
      </c>
      <c r="BI215" s="388">
        <f>SUMIFS(服务费底表!$AC:$AC,服务费底表!$K:$K,服务费明细!$B215,服务费底表!$H:$H,服务费明细!BI$3)</f>
        <v>0</v>
      </c>
      <c r="BJ215" s="388">
        <f>SUMIFS(服务费底表!$AC:$AC,服务费底表!$K:$K,服务费明细!$B215,服务费底表!$H:$H,服务费明细!BJ$3)</f>
        <v>0</v>
      </c>
      <c r="BK215" s="388">
        <f>SUMIFS(服务费底表!$AC:$AC,服务费底表!$K:$K,服务费明细!$B215,服务费底表!$H:$H,服务费明细!BK$3)</f>
        <v>0</v>
      </c>
      <c r="BL215" s="388">
        <f>SUMIFS(服务费底表!$AC:$AC,服务费底表!$K:$K,服务费明细!$B215,服务费底表!$H:$H,服务费明细!BL$3)</f>
        <v>0</v>
      </c>
      <c r="BM215" s="388">
        <f>SUMIFS(服务费底表!$AC:$AC,服务费底表!$K:$K,服务费明细!$B215,服务费底表!$H:$H,服务费明细!BM$3)</f>
        <v>0</v>
      </c>
      <c r="BN215" s="388">
        <f>SUMIFS(服务费底表!$AC:$AC,服务费底表!$K:$K,服务费明细!$B215,服务费底表!$H:$H,服务费明细!BN$3)</f>
        <v>0</v>
      </c>
      <c r="BO215" s="388">
        <f>SUMIFS(服务费底表!$AC:$AC,服务费底表!$K:$K,服务费明细!$B215,服务费底表!$H:$H,服务费明细!BO$3)</f>
        <v>0</v>
      </c>
      <c r="BQ215" s="389">
        <f>SUMIFS(服务费底表!$AD:$AD,服务费底表!$K:$K,服务费明细!$B215,服务费底表!$H:$H,服务费明细!BQ$3)</f>
        <v>0</v>
      </c>
      <c r="BR215" s="389">
        <f>SUMIFS(服务费底表!$AD:$AD,服务费底表!$K:$K,服务费明细!$B215,服务费底表!$H:$H,服务费明细!BR$3)</f>
        <v>0</v>
      </c>
      <c r="BS215" s="389">
        <f>SUMIFS(服务费底表!$AD:$AD,服务费底表!$K:$K,服务费明细!$B215,服务费底表!$H:$H,服务费明细!BS$3)</f>
        <v>0</v>
      </c>
      <c r="BT215" s="389">
        <f>SUMIFS(服务费底表!$AD:$AD,服务费底表!$K:$K,服务费明细!$B215,服务费底表!$H:$H,服务费明细!BT$3)</f>
        <v>0</v>
      </c>
      <c r="BU215" s="389">
        <f>SUMIFS(服务费底表!$AD:$AD,服务费底表!$K:$K,服务费明细!$B215,服务费底表!$H:$H,服务费明细!BU$3)</f>
        <v>0</v>
      </c>
      <c r="BV215" s="389">
        <f>SUMIFS(服务费底表!$AD:$AD,服务费底表!$K:$K,服务费明细!$B215,服务费底表!$H:$H,服务费明细!BV$3)</f>
        <v>0</v>
      </c>
      <c r="BW215" s="389">
        <f>SUMIFS(服务费底表!$AD:$AD,服务费底表!$K:$K,服务费明细!$B215,服务费底表!$H:$H,服务费明细!BW$3)</f>
        <v>0</v>
      </c>
    </row>
    <row r="216" ht="26.4" spans="2:75">
      <c r="B216" s="89" t="s">
        <v>396</v>
      </c>
      <c r="C216" s="89" t="str">
        <f>INDEX(二三级标准!$C:$C,MATCH(服务费明细!$B216,二三级标准!$B:$B,0))</f>
        <v>安全性数据库变更</v>
      </c>
      <c r="D216" s="166">
        <v>0</v>
      </c>
      <c r="E216" s="166">
        <f>IF($D216=1,1,0)</f>
        <v>0</v>
      </c>
      <c r="F216" s="89" t="str">
        <f>INDEX(二三级标准!$G:$G,MATCH(服务费明细!$B216,二三级标准!$B:$B,0))</f>
        <v>次</v>
      </c>
      <c r="G216" s="166">
        <f t="shared" si="356"/>
        <v>0</v>
      </c>
      <c r="H216" s="166">
        <f t="shared" si="357"/>
        <v>0</v>
      </c>
      <c r="I216" s="166">
        <f t="shared" si="358"/>
        <v>0</v>
      </c>
      <c r="J216" s="166">
        <f t="shared" si="359"/>
        <v>0</v>
      </c>
      <c r="K216" s="166">
        <f t="shared" si="360"/>
        <v>0</v>
      </c>
      <c r="L216" s="166">
        <f t="shared" si="361"/>
        <v>0</v>
      </c>
      <c r="M216" s="166">
        <f t="shared" si="362"/>
        <v>0</v>
      </c>
      <c r="N216" s="166">
        <f t="shared" si="363"/>
        <v>0</v>
      </c>
      <c r="O216" s="166">
        <f t="shared" si="364"/>
        <v>0</v>
      </c>
      <c r="P216" s="166">
        <f t="shared" si="365"/>
        <v>0</v>
      </c>
      <c r="Q216" s="166">
        <f t="shared" si="366"/>
        <v>0</v>
      </c>
      <c r="R216" s="166">
        <f t="shared" si="367"/>
        <v>0</v>
      </c>
      <c r="S216" s="166">
        <f t="shared" si="368"/>
        <v>0</v>
      </c>
      <c r="T216" s="166">
        <f t="shared" si="369"/>
        <v>0</v>
      </c>
      <c r="U216" s="166">
        <f t="shared" si="370"/>
        <v>0</v>
      </c>
      <c r="V216" s="166">
        <f t="shared" si="371"/>
        <v>0</v>
      </c>
      <c r="W216" s="166">
        <f t="shared" si="372"/>
        <v>0</v>
      </c>
      <c r="X216" s="166">
        <f t="shared" si="373"/>
        <v>0</v>
      </c>
      <c r="Y216" s="166">
        <f t="shared" si="374"/>
        <v>0</v>
      </c>
      <c r="Z216" s="166">
        <f t="shared" si="375"/>
        <v>0</v>
      </c>
      <c r="AA216" s="166">
        <f t="shared" si="376"/>
        <v>0</v>
      </c>
      <c r="AB216" s="166">
        <f t="shared" si="377"/>
        <v>0</v>
      </c>
      <c r="AC216" s="166" cm="1">
        <f t="array" ref="AC216">SUMPRODUCT(G216:AB216,$G$4:$AB$4)</f>
        <v>0</v>
      </c>
      <c r="AD216" s="89" t="b">
        <f t="shared" si="378"/>
        <v>1</v>
      </c>
      <c r="AE216" s="386">
        <f>IFERROR(SUMIF(服务费底表!$K:$K,服务费明细!$B216,服务费底表!$AD:$AD)/E216,0)</f>
        <v>0</v>
      </c>
      <c r="AF216" s="386">
        <f t="shared" si="379"/>
        <v>0</v>
      </c>
      <c r="AG216" s="386">
        <f>IFERROR(SUMIF(服务费底表!$K:$K,服务费明细!$B216,服务费底表!$AG:$AG)/E216,0)</f>
        <v>0</v>
      </c>
      <c r="AH216" s="386">
        <f t="shared" si="380"/>
        <v>0</v>
      </c>
      <c r="AI216" s="409" t="s">
        <v>1130</v>
      </c>
      <c r="AJ216" s="563">
        <f t="shared" si="381"/>
        <v>0</v>
      </c>
      <c r="AK216" s="564">
        <f>SUMIF(服务费底表!$K:$K,服务费明细!$B216,服务费底表!$AC:$AC)</f>
        <v>0</v>
      </c>
      <c r="AL216" s="166">
        <f>SUMIFS(服务费底表!$AC:$AC,服务费底表!$K:$K,服务费明细!$B216,服务费底表!$T:$T,AL$3)</f>
        <v>0</v>
      </c>
      <c r="AM216" s="166">
        <f>SUMIFS(服务费底表!$AC:$AC,服务费底表!$K:$K,服务费明细!$B216,服务费底表!$T:$T,AM$3)</f>
        <v>0</v>
      </c>
      <c r="AN216" s="166">
        <f>SUMIFS(服务费底表!$AC:$AC,服务费底表!$K:$K,服务费明细!$B216,服务费底表!$T:$T,AN$3)</f>
        <v>0</v>
      </c>
      <c r="AO216" s="166">
        <f>SUMIFS(服务费底表!$AC:$AC,服务费底表!$K:$K,服务费明细!$B216,服务费底表!$T:$T,AO$3)</f>
        <v>0</v>
      </c>
      <c r="AP216" s="166">
        <f>SUMIFS(服务费底表!$AC:$AC,服务费底表!$K:$K,服务费明细!$B216,服务费底表!$T:$T,AP$3)</f>
        <v>0</v>
      </c>
      <c r="AQ216" s="166">
        <f>SUMIFS(服务费底表!$AC:$AC,服务费底表!$K:$K,服务费明细!$B216,服务费底表!$T:$T,AQ$3)</f>
        <v>0</v>
      </c>
      <c r="AR216" s="166">
        <f>SUMIFS(服务费底表!$AC:$AC,服务费底表!$K:$K,服务费明细!$B216,服务费底表!$T:$T,AR$3)</f>
        <v>0</v>
      </c>
      <c r="AS216" s="166">
        <f>SUMIFS(服务费底表!$AC:$AC,服务费底表!$K:$K,服务费明细!$B216,服务费底表!$T:$T,AS$3)</f>
        <v>0</v>
      </c>
      <c r="AT216" s="166">
        <f>SUMIFS(服务费底表!$AC:$AC,服务费底表!$K:$K,服务费明细!$B216,服务费底表!$T:$T,AT$3)</f>
        <v>0</v>
      </c>
      <c r="AU216" s="166">
        <f>SUMIFS(服务费底表!$AC:$AC,服务费底表!$K:$K,服务费明细!$B216,服务费底表!$T:$T,AU$3)</f>
        <v>0</v>
      </c>
      <c r="AV216" s="166">
        <f>SUMIFS(服务费底表!$AC:$AC,服务费底表!$K:$K,服务费明细!$B216,服务费底表!$T:$T,AV$3)</f>
        <v>0</v>
      </c>
      <c r="AW216" s="166">
        <f>SUMIFS(服务费底表!$AC:$AC,服务费底表!$K:$K,服务费明细!$B216,服务费底表!$T:$T,AW$3)</f>
        <v>0</v>
      </c>
      <c r="AX216" s="166">
        <f>SUMIFS(服务费底表!$AC:$AC,服务费底表!$K:$K,服务费明细!$B216,服务费底表!$T:$T,AX$3)</f>
        <v>0</v>
      </c>
      <c r="AY216" s="166">
        <f>SUMIFS(服务费底表!$AC:$AC,服务费底表!$K:$K,服务费明细!$B216,服务费底表!$T:$T,AY$3)</f>
        <v>0</v>
      </c>
      <c r="AZ216" s="166">
        <f>SUMIFS(服务费底表!$AC:$AC,服务费底表!$K:$K,服务费明细!$B216,服务费底表!$T:$T,AZ$3)</f>
        <v>0</v>
      </c>
      <c r="BA216" s="166">
        <f>SUMIFS(服务费底表!$AC:$AC,服务费底表!$K:$K,服务费明细!$B216,服务费底表!$T:$T,BA$3)</f>
        <v>0</v>
      </c>
      <c r="BB216" s="166">
        <f>SUMIFS(服务费底表!$AC:$AC,服务费底表!$K:$K,服务费明细!$B216,服务费底表!$T:$T,BB$3)</f>
        <v>0</v>
      </c>
      <c r="BC216" s="166">
        <f>SUMIFS(服务费底表!$AC:$AC,服务费底表!$K:$K,服务费明细!$B216,服务费底表!$T:$T,BC$3)</f>
        <v>0</v>
      </c>
      <c r="BD216" s="166">
        <f>SUMIFS(服务费底表!$AC:$AC,服务费底表!$K:$K,服务费明细!$B216,服务费底表!$T:$T,BD$3)</f>
        <v>0</v>
      </c>
      <c r="BE216" s="166">
        <f>SUMIFS(服务费底表!$AC:$AC,服务费底表!$K:$K,服务费明细!$B216,服务费底表!$T:$T,BE$3)</f>
        <v>0</v>
      </c>
      <c r="BF216" s="166">
        <f>SUMIFS(服务费底表!$AC:$AC,服务费底表!$K:$K,服务费明细!$B216,服务费底表!$T:$T,BF$3)</f>
        <v>0</v>
      </c>
      <c r="BG216" s="166">
        <f>SUMIFS(服务费底表!$AC:$AC,服务费底表!$K:$K,服务费明细!$B216,服务费底表!$T:$T,BG$3)</f>
        <v>0</v>
      </c>
      <c r="BI216" s="388">
        <f>SUMIFS(服务费底表!$AC:$AC,服务费底表!$K:$K,服务费明细!$B216,服务费底表!$H:$H,服务费明细!BI$3)</f>
        <v>0</v>
      </c>
      <c r="BJ216" s="388">
        <f>SUMIFS(服务费底表!$AC:$AC,服务费底表!$K:$K,服务费明细!$B216,服务费底表!$H:$H,服务费明细!BJ$3)</f>
        <v>0</v>
      </c>
      <c r="BK216" s="388">
        <f>SUMIFS(服务费底表!$AC:$AC,服务费底表!$K:$K,服务费明细!$B216,服务费底表!$H:$H,服务费明细!BK$3)</f>
        <v>0</v>
      </c>
      <c r="BL216" s="388">
        <f>SUMIFS(服务费底表!$AC:$AC,服务费底表!$K:$K,服务费明细!$B216,服务费底表!$H:$H,服务费明细!BL$3)</f>
        <v>0</v>
      </c>
      <c r="BM216" s="388">
        <f>SUMIFS(服务费底表!$AC:$AC,服务费底表!$K:$K,服务费明细!$B216,服务费底表!$H:$H,服务费明细!BM$3)</f>
        <v>0</v>
      </c>
      <c r="BN216" s="388">
        <f>SUMIFS(服务费底表!$AC:$AC,服务费底表!$K:$K,服务费明细!$B216,服务费底表!$H:$H,服务费明细!BN$3)</f>
        <v>0</v>
      </c>
      <c r="BO216" s="388">
        <f>SUMIFS(服务费底表!$AC:$AC,服务费底表!$K:$K,服务费明细!$B216,服务费底表!$H:$H,服务费明细!BO$3)</f>
        <v>0</v>
      </c>
      <c r="BQ216" s="389">
        <f>SUMIFS(服务费底表!$AD:$AD,服务费底表!$K:$K,服务费明细!$B216,服务费底表!$H:$H,服务费明细!BQ$3)</f>
        <v>0</v>
      </c>
      <c r="BR216" s="389">
        <f>SUMIFS(服务费底表!$AD:$AD,服务费底表!$K:$K,服务费明细!$B216,服务费底表!$H:$H,服务费明细!BR$3)</f>
        <v>0</v>
      </c>
      <c r="BS216" s="389">
        <f>SUMIFS(服务费底表!$AD:$AD,服务费底表!$K:$K,服务费明细!$B216,服务费底表!$H:$H,服务费明细!BS$3)</f>
        <v>0</v>
      </c>
      <c r="BT216" s="389">
        <f>SUMIFS(服务费底表!$AD:$AD,服务费底表!$K:$K,服务费明细!$B216,服务费底表!$H:$H,服务费明细!BT$3)</f>
        <v>0</v>
      </c>
      <c r="BU216" s="389">
        <f>SUMIFS(服务费底表!$AD:$AD,服务费底表!$K:$K,服务费明细!$B216,服务费底表!$H:$H,服务费明细!BU$3)</f>
        <v>0</v>
      </c>
      <c r="BV216" s="389">
        <f>SUMIFS(服务费底表!$AD:$AD,服务费底表!$K:$K,服务费明细!$B216,服务费底表!$H:$H,服务费明细!BV$3)</f>
        <v>0</v>
      </c>
      <c r="BW216" s="389">
        <f>SUMIFS(服务费底表!$AD:$AD,服务费底表!$K:$K,服务费明细!$B216,服务费底表!$H:$H,服务费明细!BW$3)</f>
        <v>0</v>
      </c>
    </row>
    <row r="217" ht="26.4" spans="2:75">
      <c r="B217" s="89" t="s">
        <v>398</v>
      </c>
      <c r="C217" s="89" t="str">
        <f>INDEX(二三级标准!$C:$C,MATCH(服务费明细!$B217,二三级标准!$B:$B,0))</f>
        <v>特殊事件的处理</v>
      </c>
      <c r="D217" s="166">
        <v>0</v>
      </c>
      <c r="E217" s="166">
        <f>IF($D217=1,1,0)</f>
        <v>0</v>
      </c>
      <c r="F217" s="89" t="str">
        <f>INDEX(二三级标准!$G:$G,MATCH(服务费明细!$B217,二三级标准!$B:$B,0))</f>
        <v>次</v>
      </c>
      <c r="G217" s="166">
        <f t="shared" si="356"/>
        <v>0</v>
      </c>
      <c r="H217" s="166">
        <f t="shared" si="357"/>
        <v>0</v>
      </c>
      <c r="I217" s="166">
        <f t="shared" si="358"/>
        <v>0</v>
      </c>
      <c r="J217" s="166">
        <f t="shared" si="359"/>
        <v>0</v>
      </c>
      <c r="K217" s="166">
        <f t="shared" si="360"/>
        <v>0</v>
      </c>
      <c r="L217" s="166">
        <f t="shared" si="361"/>
        <v>0</v>
      </c>
      <c r="M217" s="166">
        <f t="shared" si="362"/>
        <v>0</v>
      </c>
      <c r="N217" s="166">
        <f t="shared" si="363"/>
        <v>0</v>
      </c>
      <c r="O217" s="166">
        <f t="shared" si="364"/>
        <v>0</v>
      </c>
      <c r="P217" s="166">
        <f t="shared" si="365"/>
        <v>0</v>
      </c>
      <c r="Q217" s="166">
        <f t="shared" si="366"/>
        <v>0</v>
      </c>
      <c r="R217" s="166">
        <f t="shared" si="367"/>
        <v>0</v>
      </c>
      <c r="S217" s="166">
        <f t="shared" si="368"/>
        <v>0</v>
      </c>
      <c r="T217" s="166">
        <f t="shared" si="369"/>
        <v>0</v>
      </c>
      <c r="U217" s="166">
        <f t="shared" si="370"/>
        <v>0</v>
      </c>
      <c r="V217" s="166">
        <f t="shared" si="371"/>
        <v>0</v>
      </c>
      <c r="W217" s="166">
        <f t="shared" si="372"/>
        <v>0</v>
      </c>
      <c r="X217" s="166">
        <f t="shared" si="373"/>
        <v>0</v>
      </c>
      <c r="Y217" s="166">
        <f t="shared" si="374"/>
        <v>0</v>
      </c>
      <c r="Z217" s="166">
        <f t="shared" si="375"/>
        <v>0</v>
      </c>
      <c r="AA217" s="166">
        <f t="shared" si="376"/>
        <v>0</v>
      </c>
      <c r="AB217" s="166">
        <f t="shared" si="377"/>
        <v>0</v>
      </c>
      <c r="AC217" s="166" cm="1">
        <f t="array" ref="AC217">SUMPRODUCT(G217:AB217,$G$4:$AB$4)</f>
        <v>0</v>
      </c>
      <c r="AD217" s="89" t="b">
        <f t="shared" si="378"/>
        <v>1</v>
      </c>
      <c r="AE217" s="386">
        <f>IFERROR(SUMIF(服务费底表!$K:$K,服务费明细!$B217,服务费底表!$AD:$AD)/E217,0)</f>
        <v>0</v>
      </c>
      <c r="AF217" s="386">
        <f t="shared" si="379"/>
        <v>0</v>
      </c>
      <c r="AG217" s="386">
        <f>IFERROR(SUMIF(服务费底表!$K:$K,服务费明细!$B217,服务费底表!$AG:$AG)/E217,0)</f>
        <v>0</v>
      </c>
      <c r="AH217" s="386">
        <f t="shared" si="380"/>
        <v>0</v>
      </c>
      <c r="AI217" s="409" t="s">
        <v>1131</v>
      </c>
      <c r="AJ217" s="563">
        <f t="shared" si="381"/>
        <v>0</v>
      </c>
      <c r="AK217" s="564">
        <f>SUMIF(服务费底表!$K:$K,服务费明细!$B217,服务费底表!$AC:$AC)</f>
        <v>0</v>
      </c>
      <c r="AL217" s="166">
        <f>SUMIFS(服务费底表!$AC:$AC,服务费底表!$K:$K,服务费明细!$B217,服务费底表!$T:$T,AL$3)</f>
        <v>0</v>
      </c>
      <c r="AM217" s="166">
        <f>SUMIFS(服务费底表!$AC:$AC,服务费底表!$K:$K,服务费明细!$B217,服务费底表!$T:$T,AM$3)</f>
        <v>0</v>
      </c>
      <c r="AN217" s="166">
        <f>SUMIFS(服务费底表!$AC:$AC,服务费底表!$K:$K,服务费明细!$B217,服务费底表!$T:$T,AN$3)</f>
        <v>0</v>
      </c>
      <c r="AO217" s="166">
        <f>SUMIFS(服务费底表!$AC:$AC,服务费底表!$K:$K,服务费明细!$B217,服务费底表!$T:$T,AO$3)</f>
        <v>0</v>
      </c>
      <c r="AP217" s="166">
        <f>SUMIFS(服务费底表!$AC:$AC,服务费底表!$K:$K,服务费明细!$B217,服务费底表!$T:$T,AP$3)</f>
        <v>0</v>
      </c>
      <c r="AQ217" s="166">
        <f>SUMIFS(服务费底表!$AC:$AC,服务费底表!$K:$K,服务费明细!$B217,服务费底表!$T:$T,AQ$3)</f>
        <v>0</v>
      </c>
      <c r="AR217" s="166">
        <f>SUMIFS(服务费底表!$AC:$AC,服务费底表!$K:$K,服务费明细!$B217,服务费底表!$T:$T,AR$3)</f>
        <v>0</v>
      </c>
      <c r="AS217" s="166">
        <f>SUMIFS(服务费底表!$AC:$AC,服务费底表!$K:$K,服务费明细!$B217,服务费底表!$T:$T,AS$3)</f>
        <v>0</v>
      </c>
      <c r="AT217" s="166">
        <f>SUMIFS(服务费底表!$AC:$AC,服务费底表!$K:$K,服务费明细!$B217,服务费底表!$T:$T,AT$3)</f>
        <v>0</v>
      </c>
      <c r="AU217" s="166">
        <f>SUMIFS(服务费底表!$AC:$AC,服务费底表!$K:$K,服务费明细!$B217,服务费底表!$T:$T,AU$3)</f>
        <v>0</v>
      </c>
      <c r="AV217" s="166">
        <f>SUMIFS(服务费底表!$AC:$AC,服务费底表!$K:$K,服务费明细!$B217,服务费底表!$T:$T,AV$3)</f>
        <v>0</v>
      </c>
      <c r="AW217" s="166">
        <f>SUMIFS(服务费底表!$AC:$AC,服务费底表!$K:$K,服务费明细!$B217,服务费底表!$T:$T,AW$3)</f>
        <v>0</v>
      </c>
      <c r="AX217" s="166">
        <f>SUMIFS(服务费底表!$AC:$AC,服务费底表!$K:$K,服务费明细!$B217,服务费底表!$T:$T,AX$3)</f>
        <v>0</v>
      </c>
      <c r="AY217" s="166">
        <f>SUMIFS(服务费底表!$AC:$AC,服务费底表!$K:$K,服务费明细!$B217,服务费底表!$T:$T,AY$3)</f>
        <v>0</v>
      </c>
      <c r="AZ217" s="166">
        <f>SUMIFS(服务费底表!$AC:$AC,服务费底表!$K:$K,服务费明细!$B217,服务费底表!$T:$T,AZ$3)</f>
        <v>0</v>
      </c>
      <c r="BA217" s="166">
        <f>SUMIFS(服务费底表!$AC:$AC,服务费底表!$K:$K,服务费明细!$B217,服务费底表!$T:$T,BA$3)</f>
        <v>0</v>
      </c>
      <c r="BB217" s="166">
        <f>SUMIFS(服务费底表!$AC:$AC,服务费底表!$K:$K,服务费明细!$B217,服务费底表!$T:$T,BB$3)</f>
        <v>0</v>
      </c>
      <c r="BC217" s="166">
        <f>SUMIFS(服务费底表!$AC:$AC,服务费底表!$K:$K,服务费明细!$B217,服务费底表!$T:$T,BC$3)</f>
        <v>0</v>
      </c>
      <c r="BD217" s="166">
        <f>SUMIFS(服务费底表!$AC:$AC,服务费底表!$K:$K,服务费明细!$B217,服务费底表!$T:$T,BD$3)</f>
        <v>0</v>
      </c>
      <c r="BE217" s="166">
        <f>SUMIFS(服务费底表!$AC:$AC,服务费底表!$K:$K,服务费明细!$B217,服务费底表!$T:$T,BE$3)</f>
        <v>0</v>
      </c>
      <c r="BF217" s="166">
        <f>SUMIFS(服务费底表!$AC:$AC,服务费底表!$K:$K,服务费明细!$B217,服务费底表!$T:$T,BF$3)</f>
        <v>0</v>
      </c>
      <c r="BG217" s="166">
        <f>SUMIFS(服务费底表!$AC:$AC,服务费底表!$K:$K,服务费明细!$B217,服务费底表!$T:$T,BG$3)</f>
        <v>0</v>
      </c>
      <c r="BI217" s="388">
        <f>SUMIFS(服务费底表!$AC:$AC,服务费底表!$K:$K,服务费明细!$B217,服务费底表!$H:$H,服务费明细!BI$3)</f>
        <v>0</v>
      </c>
      <c r="BJ217" s="388">
        <f>SUMIFS(服务费底表!$AC:$AC,服务费底表!$K:$K,服务费明细!$B217,服务费底表!$H:$H,服务费明细!BJ$3)</f>
        <v>0</v>
      </c>
      <c r="BK217" s="388">
        <f>SUMIFS(服务费底表!$AC:$AC,服务费底表!$K:$K,服务费明细!$B217,服务费底表!$H:$H,服务费明细!BK$3)</f>
        <v>0</v>
      </c>
      <c r="BL217" s="388">
        <f>SUMIFS(服务费底表!$AC:$AC,服务费底表!$K:$K,服务费明细!$B217,服务费底表!$H:$H,服务费明细!BL$3)</f>
        <v>0</v>
      </c>
      <c r="BM217" s="388">
        <f>SUMIFS(服务费底表!$AC:$AC,服务费底表!$K:$K,服务费明细!$B217,服务费底表!$H:$H,服务费明细!BM$3)</f>
        <v>0</v>
      </c>
      <c r="BN217" s="388">
        <f>SUMIFS(服务费底表!$AC:$AC,服务费底表!$K:$K,服务费明细!$B217,服务费底表!$H:$H,服务费明细!BN$3)</f>
        <v>0</v>
      </c>
      <c r="BO217" s="388">
        <f>SUMIFS(服务费底表!$AC:$AC,服务费底表!$K:$K,服务费明细!$B217,服务费底表!$H:$H,服务费明细!BO$3)</f>
        <v>0</v>
      </c>
      <c r="BQ217" s="389">
        <f>SUMIFS(服务费底表!$AD:$AD,服务费底表!$K:$K,服务费明细!$B217,服务费底表!$H:$H,服务费明细!BQ$3)</f>
        <v>0</v>
      </c>
      <c r="BR217" s="389">
        <f>SUMIFS(服务费底表!$AD:$AD,服务费底表!$K:$K,服务费明细!$B217,服务费底表!$H:$H,服务费明细!BR$3)</f>
        <v>0</v>
      </c>
      <c r="BS217" s="389">
        <f>SUMIFS(服务费底表!$AD:$AD,服务费底表!$K:$K,服务费明细!$B217,服务费底表!$H:$H,服务费明细!BS$3)</f>
        <v>0</v>
      </c>
      <c r="BT217" s="389">
        <f>SUMIFS(服务费底表!$AD:$AD,服务费底表!$K:$K,服务费明细!$B217,服务费底表!$H:$H,服务费明细!BT$3)</f>
        <v>0</v>
      </c>
      <c r="BU217" s="389">
        <f>SUMIFS(服务费底表!$AD:$AD,服务费底表!$K:$K,服务费明细!$B217,服务费底表!$H:$H,服务费明细!BU$3)</f>
        <v>0</v>
      </c>
      <c r="BV217" s="389">
        <f>SUMIFS(服务费底表!$AD:$AD,服务费底表!$K:$K,服务费明细!$B217,服务费底表!$H:$H,服务费明细!BV$3)</f>
        <v>0</v>
      </c>
      <c r="BW217" s="389">
        <f>SUMIFS(服务费底表!$AD:$AD,服务费底表!$K:$K,服务费明细!$B217,服务费底表!$H:$H,服务费明细!BW$3)</f>
        <v>0</v>
      </c>
    </row>
    <row r="218" ht="18" customHeight="1" spans="2:75">
      <c r="B218" s="89" t="s">
        <v>400</v>
      </c>
      <c r="C218" s="89" t="str">
        <f>INDEX(二三级标准!$C:$C,MATCH(服务费明细!$B218,二三级标准!$B:$B,0))</f>
        <v>安全信号检测</v>
      </c>
      <c r="D218" s="166">
        <v>0</v>
      </c>
      <c r="E218" s="166">
        <f>IF($D218=1,ROUND((入组月+治疗月+随访月+长随访月)/2,0),0)</f>
        <v>0</v>
      </c>
      <c r="F218" s="89" t="str">
        <f>INDEX(二三级标准!$G:$G,MATCH(服务费明细!$B218,二三级标准!$B:$B,0))</f>
        <v>次</v>
      </c>
      <c r="G218" s="166">
        <f t="shared" si="356"/>
        <v>0</v>
      </c>
      <c r="H218" s="166">
        <f t="shared" si="357"/>
        <v>0</v>
      </c>
      <c r="I218" s="166">
        <f t="shared" si="358"/>
        <v>0</v>
      </c>
      <c r="J218" s="166">
        <f t="shared" si="359"/>
        <v>0</v>
      </c>
      <c r="K218" s="166">
        <f t="shared" si="360"/>
        <v>0</v>
      </c>
      <c r="L218" s="166">
        <f t="shared" si="361"/>
        <v>0</v>
      </c>
      <c r="M218" s="166">
        <f t="shared" si="362"/>
        <v>0</v>
      </c>
      <c r="N218" s="166">
        <f t="shared" si="363"/>
        <v>0</v>
      </c>
      <c r="O218" s="166">
        <f t="shared" si="364"/>
        <v>0</v>
      </c>
      <c r="P218" s="166">
        <f t="shared" si="365"/>
        <v>0</v>
      </c>
      <c r="Q218" s="166">
        <f t="shared" si="366"/>
        <v>0</v>
      </c>
      <c r="R218" s="166">
        <f t="shared" si="367"/>
        <v>0</v>
      </c>
      <c r="S218" s="166">
        <f t="shared" si="368"/>
        <v>0</v>
      </c>
      <c r="T218" s="166">
        <f t="shared" si="369"/>
        <v>0</v>
      </c>
      <c r="U218" s="166">
        <f t="shared" si="370"/>
        <v>0</v>
      </c>
      <c r="V218" s="166">
        <f t="shared" si="371"/>
        <v>0</v>
      </c>
      <c r="W218" s="166">
        <f t="shared" si="372"/>
        <v>0</v>
      </c>
      <c r="X218" s="166">
        <f t="shared" si="373"/>
        <v>0</v>
      </c>
      <c r="Y218" s="166">
        <f t="shared" si="374"/>
        <v>0</v>
      </c>
      <c r="Z218" s="166">
        <f t="shared" si="375"/>
        <v>0</v>
      </c>
      <c r="AA218" s="166">
        <f t="shared" si="376"/>
        <v>0</v>
      </c>
      <c r="AB218" s="166">
        <f t="shared" si="377"/>
        <v>0</v>
      </c>
      <c r="AC218" s="166" cm="1">
        <f t="array" ref="AC218">SUMPRODUCT(G218:AB218,$G$4:$AB$4)</f>
        <v>0</v>
      </c>
      <c r="AD218" s="89" t="b">
        <f t="shared" si="378"/>
        <v>1</v>
      </c>
      <c r="AE218" s="386">
        <f>IFERROR(SUMIF(服务费底表!$K:$K,服务费明细!$B218,服务费底表!$AD:$AD)/E218,0)</f>
        <v>0</v>
      </c>
      <c r="AF218" s="386">
        <f t="shared" si="379"/>
        <v>0</v>
      </c>
      <c r="AG218" s="386">
        <f>IFERROR(SUMIF(服务费底表!$K:$K,服务费明细!$B218,服务费底表!$AG:$AG)/E218,0)</f>
        <v>0</v>
      </c>
      <c r="AH218" s="386">
        <f t="shared" si="380"/>
        <v>0</v>
      </c>
      <c r="AI218" s="409" t="s">
        <v>1132</v>
      </c>
      <c r="AJ218" s="563">
        <f t="shared" si="381"/>
        <v>0</v>
      </c>
      <c r="AK218" s="564">
        <f>SUMIF(服务费底表!$K:$K,服务费明细!$B218,服务费底表!$AC:$AC)</f>
        <v>0</v>
      </c>
      <c r="AL218" s="166">
        <f>SUMIFS(服务费底表!$AC:$AC,服务费底表!$K:$K,服务费明细!$B218,服务费底表!$T:$T,AL$3)</f>
        <v>0</v>
      </c>
      <c r="AM218" s="166">
        <f>SUMIFS(服务费底表!$AC:$AC,服务费底表!$K:$K,服务费明细!$B218,服务费底表!$T:$T,AM$3)</f>
        <v>0</v>
      </c>
      <c r="AN218" s="166">
        <f>SUMIFS(服务费底表!$AC:$AC,服务费底表!$K:$K,服务费明细!$B218,服务费底表!$T:$T,AN$3)</f>
        <v>0</v>
      </c>
      <c r="AO218" s="166">
        <f>SUMIFS(服务费底表!$AC:$AC,服务费底表!$K:$K,服务费明细!$B218,服务费底表!$T:$T,AO$3)</f>
        <v>0</v>
      </c>
      <c r="AP218" s="166">
        <f>SUMIFS(服务费底表!$AC:$AC,服务费底表!$K:$K,服务费明细!$B218,服务费底表!$T:$T,AP$3)</f>
        <v>0</v>
      </c>
      <c r="AQ218" s="166">
        <f>SUMIFS(服务费底表!$AC:$AC,服务费底表!$K:$K,服务费明细!$B218,服务费底表!$T:$T,AQ$3)</f>
        <v>0</v>
      </c>
      <c r="AR218" s="166">
        <f>SUMIFS(服务费底表!$AC:$AC,服务费底表!$K:$K,服务费明细!$B218,服务费底表!$T:$T,AR$3)</f>
        <v>0</v>
      </c>
      <c r="AS218" s="166">
        <f>SUMIFS(服务费底表!$AC:$AC,服务费底表!$K:$K,服务费明细!$B218,服务费底表!$T:$T,AS$3)</f>
        <v>0</v>
      </c>
      <c r="AT218" s="166">
        <f>SUMIFS(服务费底表!$AC:$AC,服务费底表!$K:$K,服务费明细!$B218,服务费底表!$T:$T,AT$3)</f>
        <v>0</v>
      </c>
      <c r="AU218" s="166">
        <f>SUMIFS(服务费底表!$AC:$AC,服务费底表!$K:$K,服务费明细!$B218,服务费底表!$T:$T,AU$3)</f>
        <v>0</v>
      </c>
      <c r="AV218" s="166">
        <f>SUMIFS(服务费底表!$AC:$AC,服务费底表!$K:$K,服务费明细!$B218,服务费底表!$T:$T,AV$3)</f>
        <v>0</v>
      </c>
      <c r="AW218" s="166">
        <f>SUMIFS(服务费底表!$AC:$AC,服务费底表!$K:$K,服务费明细!$B218,服务费底表!$T:$T,AW$3)</f>
        <v>0</v>
      </c>
      <c r="AX218" s="166">
        <f>SUMIFS(服务费底表!$AC:$AC,服务费底表!$K:$K,服务费明细!$B218,服务费底表!$T:$T,AX$3)</f>
        <v>0</v>
      </c>
      <c r="AY218" s="166">
        <f>SUMIFS(服务费底表!$AC:$AC,服务费底表!$K:$K,服务费明细!$B218,服务费底表!$T:$T,AY$3)</f>
        <v>0</v>
      </c>
      <c r="AZ218" s="166">
        <f>SUMIFS(服务费底表!$AC:$AC,服务费底表!$K:$K,服务费明细!$B218,服务费底表!$T:$T,AZ$3)</f>
        <v>0</v>
      </c>
      <c r="BA218" s="166">
        <f>SUMIFS(服务费底表!$AC:$AC,服务费底表!$K:$K,服务费明细!$B218,服务费底表!$T:$T,BA$3)</f>
        <v>0</v>
      </c>
      <c r="BB218" s="166">
        <f>SUMIFS(服务费底表!$AC:$AC,服务费底表!$K:$K,服务费明细!$B218,服务费底表!$T:$T,BB$3)</f>
        <v>0</v>
      </c>
      <c r="BC218" s="166">
        <f>SUMIFS(服务费底表!$AC:$AC,服务费底表!$K:$K,服务费明细!$B218,服务费底表!$T:$T,BC$3)</f>
        <v>0</v>
      </c>
      <c r="BD218" s="166">
        <f>SUMIFS(服务费底表!$AC:$AC,服务费底表!$K:$K,服务费明细!$B218,服务费底表!$T:$T,BD$3)</f>
        <v>0</v>
      </c>
      <c r="BE218" s="166">
        <f>SUMIFS(服务费底表!$AC:$AC,服务费底表!$K:$K,服务费明细!$B218,服务费底表!$T:$T,BE$3)</f>
        <v>0</v>
      </c>
      <c r="BF218" s="166">
        <f>SUMIFS(服务费底表!$AC:$AC,服务费底表!$K:$K,服务费明细!$B218,服务费底表!$T:$T,BF$3)</f>
        <v>0</v>
      </c>
      <c r="BG218" s="166">
        <f>SUMIFS(服务费底表!$AC:$AC,服务费底表!$K:$K,服务费明细!$B218,服务费底表!$T:$T,BG$3)</f>
        <v>0</v>
      </c>
      <c r="BI218" s="388">
        <f>SUMIFS(服务费底表!$AC:$AC,服务费底表!$K:$K,服务费明细!$B218,服务费底表!$H:$H,服务费明细!BI$3)</f>
        <v>0</v>
      </c>
      <c r="BJ218" s="388">
        <f>SUMIFS(服务费底表!$AC:$AC,服务费底表!$K:$K,服务费明细!$B218,服务费底表!$H:$H,服务费明细!BJ$3)</f>
        <v>0</v>
      </c>
      <c r="BK218" s="388">
        <f>SUMIFS(服务费底表!$AC:$AC,服务费底表!$K:$K,服务费明细!$B218,服务费底表!$H:$H,服务费明细!BK$3)</f>
        <v>0</v>
      </c>
      <c r="BL218" s="388">
        <f>SUMIFS(服务费底表!$AC:$AC,服务费底表!$K:$K,服务费明细!$B218,服务费底表!$H:$H,服务费明细!BL$3)</f>
        <v>0</v>
      </c>
      <c r="BM218" s="388">
        <f>SUMIFS(服务费底表!$AC:$AC,服务费底表!$K:$K,服务费明细!$B218,服务费底表!$H:$H,服务费明细!BM$3)</f>
        <v>0</v>
      </c>
      <c r="BN218" s="388">
        <f>SUMIFS(服务费底表!$AC:$AC,服务费底表!$K:$K,服务费明细!$B218,服务费底表!$H:$H,服务费明细!BN$3)</f>
        <v>0</v>
      </c>
      <c r="BO218" s="388">
        <f>SUMIFS(服务费底表!$AC:$AC,服务费底表!$K:$K,服务费明细!$B218,服务费底表!$H:$H,服务费明细!BO$3)</f>
        <v>0</v>
      </c>
      <c r="BQ218" s="389">
        <f>SUMIFS(服务费底表!$AD:$AD,服务费底表!$K:$K,服务费明细!$B218,服务费底表!$H:$H,服务费明细!BQ$3)</f>
        <v>0</v>
      </c>
      <c r="BR218" s="389">
        <f>SUMIFS(服务费底表!$AD:$AD,服务费底表!$K:$K,服务费明细!$B218,服务费底表!$H:$H,服务费明细!BR$3)</f>
        <v>0</v>
      </c>
      <c r="BS218" s="389">
        <f>SUMIFS(服务费底表!$AD:$AD,服务费底表!$K:$K,服务费明细!$B218,服务费底表!$H:$H,服务费明细!BS$3)</f>
        <v>0</v>
      </c>
      <c r="BT218" s="389">
        <f>SUMIFS(服务费底表!$AD:$AD,服务费底表!$K:$K,服务费明细!$B218,服务费底表!$H:$H,服务费明细!BT$3)</f>
        <v>0</v>
      </c>
      <c r="BU218" s="389">
        <f>SUMIFS(服务费底表!$AD:$AD,服务费底表!$K:$K,服务费明细!$B218,服务费底表!$H:$H,服务费明细!BU$3)</f>
        <v>0</v>
      </c>
      <c r="BV218" s="389">
        <f>SUMIFS(服务费底表!$AD:$AD,服务费底表!$K:$K,服务费明细!$B218,服务费底表!$H:$H,服务费明细!BV$3)</f>
        <v>0</v>
      </c>
      <c r="BW218" s="389">
        <f>SUMIFS(服务费底表!$AD:$AD,服务费底表!$K:$K,服务费明细!$B218,服务费底表!$H:$H,服务费明细!BW$3)</f>
        <v>0</v>
      </c>
    </row>
    <row r="219" ht="21" customHeight="1" spans="2:75">
      <c r="B219" s="89" t="s">
        <v>402</v>
      </c>
      <c r="C219" s="89" t="str">
        <f>INDEX(二三级标准!$C:$C,MATCH(服务费明细!$B219,二三级标准!$B:$B,0))</f>
        <v>安全警戒项目管理</v>
      </c>
      <c r="D219" s="166">
        <f>IF($D$204=1,1,0)</f>
        <v>1</v>
      </c>
      <c r="E219" s="166">
        <f>IF($D219=1,ROUND(入组月+治疗月+随访月+长随访月+1,0),0)</f>
        <v>14</v>
      </c>
      <c r="F219" s="89" t="str">
        <f>INDEX(二三级标准!$G:$G,MATCH(服务费明细!$B219,二三级标准!$B:$B,0))</f>
        <v>月</v>
      </c>
      <c r="G219" s="166">
        <f t="shared" si="356"/>
        <v>0</v>
      </c>
      <c r="H219" s="166">
        <f t="shared" si="357"/>
        <v>0</v>
      </c>
      <c r="I219" s="166">
        <f t="shared" si="358"/>
        <v>0</v>
      </c>
      <c r="J219" s="166">
        <f t="shared" si="359"/>
        <v>0</v>
      </c>
      <c r="K219" s="166">
        <f t="shared" si="360"/>
        <v>0</v>
      </c>
      <c r="L219" s="166">
        <f t="shared" si="361"/>
        <v>0</v>
      </c>
      <c r="M219" s="166">
        <f t="shared" si="362"/>
        <v>0</v>
      </c>
      <c r="N219" s="166">
        <f t="shared" si="363"/>
        <v>0</v>
      </c>
      <c r="O219" s="166">
        <f t="shared" si="364"/>
        <v>14</v>
      </c>
      <c r="P219" s="166">
        <f t="shared" si="365"/>
        <v>0</v>
      </c>
      <c r="Q219" s="166">
        <f t="shared" si="366"/>
        <v>0</v>
      </c>
      <c r="R219" s="166">
        <f t="shared" si="367"/>
        <v>0</v>
      </c>
      <c r="S219" s="166">
        <f t="shared" si="368"/>
        <v>0</v>
      </c>
      <c r="T219" s="166">
        <f t="shared" si="369"/>
        <v>0</v>
      </c>
      <c r="U219" s="166">
        <f t="shared" si="370"/>
        <v>0</v>
      </c>
      <c r="V219" s="166">
        <f t="shared" si="371"/>
        <v>0</v>
      </c>
      <c r="W219" s="166">
        <f t="shared" si="372"/>
        <v>0</v>
      </c>
      <c r="X219" s="166">
        <f t="shared" si="373"/>
        <v>0</v>
      </c>
      <c r="Y219" s="166">
        <f t="shared" si="374"/>
        <v>0</v>
      </c>
      <c r="Z219" s="166">
        <f t="shared" si="375"/>
        <v>0</v>
      </c>
      <c r="AA219" s="166">
        <f t="shared" si="376"/>
        <v>0</v>
      </c>
      <c r="AB219" s="166">
        <f t="shared" si="377"/>
        <v>0</v>
      </c>
      <c r="AC219" s="166" cm="1">
        <f t="array" ref="AC219">SUMPRODUCT(G219:AB219,$G$4:$AB$4)</f>
        <v>7000</v>
      </c>
      <c r="AD219" s="89" t="b">
        <f t="shared" si="378"/>
        <v>1</v>
      </c>
      <c r="AE219" s="386">
        <f>IFERROR(SUMIF(服务费底表!$K:$K,服务费明细!$B219,服务费底表!$AD:$AD)/E219,0)</f>
        <v>500</v>
      </c>
      <c r="AF219" s="386">
        <f t="shared" si="379"/>
        <v>7000</v>
      </c>
      <c r="AG219" s="386">
        <f>IFERROR(SUMIF(服务费底表!$K:$K,服务费明细!$B219,服务费底表!$AG:$AG)/E219,0)</f>
        <v>500</v>
      </c>
      <c r="AH219" s="386">
        <f t="shared" si="380"/>
        <v>7000</v>
      </c>
      <c r="AI219" s="409" t="s">
        <v>1133</v>
      </c>
      <c r="AJ219" s="563">
        <f t="shared" si="381"/>
        <v>1</v>
      </c>
      <c r="AK219" s="564">
        <f>SUMIF(服务费底表!$K:$K,服务费明细!$B219,服务费底表!$AC:$AC)</f>
        <v>14</v>
      </c>
      <c r="AL219" s="166">
        <f>SUMIFS(服务费底表!$AC:$AC,服务费底表!$K:$K,服务费明细!$B219,服务费底表!$T:$T,AL$3)</f>
        <v>0</v>
      </c>
      <c r="AM219" s="166">
        <f>SUMIFS(服务费底表!$AC:$AC,服务费底表!$K:$K,服务费明细!$B219,服务费底表!$T:$T,AM$3)</f>
        <v>0</v>
      </c>
      <c r="AN219" s="166">
        <f>SUMIFS(服务费底表!$AC:$AC,服务费底表!$K:$K,服务费明细!$B219,服务费底表!$T:$T,AN$3)</f>
        <v>0</v>
      </c>
      <c r="AO219" s="166">
        <f>SUMIFS(服务费底表!$AC:$AC,服务费底表!$K:$K,服务费明细!$B219,服务费底表!$T:$T,AO$3)</f>
        <v>0</v>
      </c>
      <c r="AP219" s="166">
        <f>SUMIFS(服务费底表!$AC:$AC,服务费底表!$K:$K,服务费明细!$B219,服务费底表!$T:$T,AP$3)</f>
        <v>0</v>
      </c>
      <c r="AQ219" s="166">
        <f>SUMIFS(服务费底表!$AC:$AC,服务费底表!$K:$K,服务费明细!$B219,服务费底表!$T:$T,AQ$3)</f>
        <v>0</v>
      </c>
      <c r="AR219" s="166">
        <f>SUMIFS(服务费底表!$AC:$AC,服务费底表!$K:$K,服务费明细!$B219,服务费底表!$T:$T,AR$3)</f>
        <v>0</v>
      </c>
      <c r="AS219" s="166">
        <f>SUMIFS(服务费底表!$AC:$AC,服务费底表!$K:$K,服务费明细!$B219,服务费底表!$T:$T,AS$3)</f>
        <v>0</v>
      </c>
      <c r="AT219" s="166">
        <f>SUMIFS(服务费底表!$AC:$AC,服务费底表!$K:$K,服务费明细!$B219,服务费底表!$T:$T,AT$3)</f>
        <v>14</v>
      </c>
      <c r="AU219" s="166">
        <f>SUMIFS(服务费底表!$AC:$AC,服务费底表!$K:$K,服务费明细!$B219,服务费底表!$T:$T,AU$3)</f>
        <v>0</v>
      </c>
      <c r="AV219" s="166">
        <f>SUMIFS(服务费底表!$AC:$AC,服务费底表!$K:$K,服务费明细!$B219,服务费底表!$T:$T,AV$3)</f>
        <v>0</v>
      </c>
      <c r="AW219" s="166">
        <f>SUMIFS(服务费底表!$AC:$AC,服务费底表!$K:$K,服务费明细!$B219,服务费底表!$T:$T,AW$3)</f>
        <v>0</v>
      </c>
      <c r="AX219" s="166">
        <f>SUMIFS(服务费底表!$AC:$AC,服务费底表!$K:$K,服务费明细!$B219,服务费底表!$T:$T,AX$3)</f>
        <v>0</v>
      </c>
      <c r="AY219" s="166">
        <f>SUMIFS(服务费底表!$AC:$AC,服务费底表!$K:$K,服务费明细!$B219,服务费底表!$T:$T,AY$3)</f>
        <v>0</v>
      </c>
      <c r="AZ219" s="166">
        <f>SUMIFS(服务费底表!$AC:$AC,服务费底表!$K:$K,服务费明细!$B219,服务费底表!$T:$T,AZ$3)</f>
        <v>0</v>
      </c>
      <c r="BA219" s="166">
        <f>SUMIFS(服务费底表!$AC:$AC,服务费底表!$K:$K,服务费明细!$B219,服务费底表!$T:$T,BA$3)</f>
        <v>0</v>
      </c>
      <c r="BB219" s="166">
        <f>SUMIFS(服务费底表!$AC:$AC,服务费底表!$K:$K,服务费明细!$B219,服务费底表!$T:$T,BB$3)</f>
        <v>0</v>
      </c>
      <c r="BC219" s="166">
        <f>SUMIFS(服务费底表!$AC:$AC,服务费底表!$K:$K,服务费明细!$B219,服务费底表!$T:$T,BC$3)</f>
        <v>0</v>
      </c>
      <c r="BD219" s="166">
        <f>SUMIFS(服务费底表!$AC:$AC,服务费底表!$K:$K,服务费明细!$B219,服务费底表!$T:$T,BD$3)</f>
        <v>0</v>
      </c>
      <c r="BE219" s="166">
        <f>SUMIFS(服务费底表!$AC:$AC,服务费底表!$K:$K,服务费明细!$B219,服务费底表!$T:$T,BE$3)</f>
        <v>0</v>
      </c>
      <c r="BF219" s="166">
        <f>SUMIFS(服务费底表!$AC:$AC,服务费底表!$K:$K,服务费明细!$B219,服务费底表!$T:$T,BF$3)</f>
        <v>0</v>
      </c>
      <c r="BG219" s="166">
        <f>SUMIFS(服务费底表!$AC:$AC,服务费底表!$K:$K,服务费明细!$B219,服务费底表!$T:$T,BG$3)</f>
        <v>0</v>
      </c>
      <c r="BI219" s="388">
        <f>SUMIFS(服务费底表!$AC:$AC,服务费底表!$K:$K,服务费明细!$B219,服务费底表!$H:$H,服务费明细!BI$3)</f>
        <v>0</v>
      </c>
      <c r="BJ219" s="388">
        <f>SUMIFS(服务费底表!$AC:$AC,服务费底表!$K:$K,服务费明细!$B219,服务费底表!$H:$H,服务费明细!BJ$3)</f>
        <v>0</v>
      </c>
      <c r="BK219" s="388">
        <f>SUMIFS(服务费底表!$AC:$AC,服务费底表!$K:$K,服务费明细!$B219,服务费底表!$H:$H,服务费明细!BK$3)</f>
        <v>0</v>
      </c>
      <c r="BL219" s="388">
        <f>SUMIFS(服务费底表!$AC:$AC,服务费底表!$K:$K,服务费明细!$B219,服务费底表!$H:$H,服务费明细!BL$3)</f>
        <v>0</v>
      </c>
      <c r="BM219" s="388">
        <f>SUMIFS(服务费底表!$AC:$AC,服务费底表!$K:$K,服务费明细!$B219,服务费底表!$H:$H,服务费明细!BM$3)</f>
        <v>14</v>
      </c>
      <c r="BN219" s="388">
        <f>SUMIFS(服务费底表!$AC:$AC,服务费底表!$K:$K,服务费明细!$B219,服务费底表!$H:$H,服务费明细!BN$3)</f>
        <v>0</v>
      </c>
      <c r="BO219" s="388">
        <f>SUMIFS(服务费底表!$AC:$AC,服务费底表!$K:$K,服务费明细!$B219,服务费底表!$H:$H,服务费明细!BO$3)</f>
        <v>0</v>
      </c>
      <c r="BQ219" s="389">
        <f>SUMIFS(服务费底表!$AD:$AD,服务费底表!$K:$K,服务费明细!$B219,服务费底表!$H:$H,服务费明细!BQ$3)</f>
        <v>0</v>
      </c>
      <c r="BR219" s="389">
        <f>SUMIFS(服务费底表!$AD:$AD,服务费底表!$K:$K,服务费明细!$B219,服务费底表!$H:$H,服务费明细!BR$3)</f>
        <v>0</v>
      </c>
      <c r="BS219" s="389">
        <f>SUMIFS(服务费底表!$AD:$AD,服务费底表!$K:$K,服务费明细!$B219,服务费底表!$H:$H,服务费明细!BS$3)</f>
        <v>0</v>
      </c>
      <c r="BT219" s="389">
        <f>SUMIFS(服务费底表!$AD:$AD,服务费底表!$K:$K,服务费明细!$B219,服务费底表!$H:$H,服务费明细!BT$3)</f>
        <v>0</v>
      </c>
      <c r="BU219" s="389">
        <f>SUMIFS(服务费底表!$AD:$AD,服务费底表!$K:$K,服务费明细!$B219,服务费底表!$H:$H,服务费明细!BU$3)</f>
        <v>7000</v>
      </c>
      <c r="BV219" s="389">
        <f>SUMIFS(服务费底表!$AD:$AD,服务费底表!$K:$K,服务费明细!$B219,服务费底表!$H:$H,服务费明细!BV$3)</f>
        <v>0</v>
      </c>
      <c r="BW219" s="389">
        <f>SUMIFS(服务费底表!$AD:$AD,服务费底表!$K:$K,服务费明细!$B219,服务费底表!$H:$H,服务费明细!BW$3)</f>
        <v>0</v>
      </c>
    </row>
    <row r="220" ht="24" customHeight="1" spans="2:75">
      <c r="B220" s="88" t="s">
        <v>927</v>
      </c>
      <c r="C220" s="88" t="str">
        <f>INDEX(二三级标准!$Q:$Q,MATCH(服务费明细!$B220,二三级标准!$O:$O,0))</f>
        <v>医学撰写</v>
      </c>
      <c r="D220" s="376">
        <f>IF(医学撰写YN=1,1,0)</f>
        <v>1</v>
      </c>
      <c r="E220" s="377"/>
      <c r="F220" s="378"/>
      <c r="G220" s="429">
        <f>SUM(G221:G228)</f>
        <v>0</v>
      </c>
      <c r="H220" s="429">
        <f t="shared" ref="H220:AB220" si="382">SUM(H221:H228)</f>
        <v>0</v>
      </c>
      <c r="I220" s="429">
        <f t="shared" si="382"/>
        <v>2</v>
      </c>
      <c r="J220" s="429">
        <f t="shared" si="382"/>
        <v>0</v>
      </c>
      <c r="K220" s="429">
        <f t="shared" si="382"/>
        <v>0</v>
      </c>
      <c r="L220" s="429">
        <f t="shared" si="382"/>
        <v>16</v>
      </c>
      <c r="M220" s="429">
        <f t="shared" si="382"/>
        <v>130</v>
      </c>
      <c r="N220" s="429">
        <f t="shared" si="382"/>
        <v>0</v>
      </c>
      <c r="O220" s="429">
        <f t="shared" si="382"/>
        <v>0</v>
      </c>
      <c r="P220" s="429">
        <f t="shared" si="382"/>
        <v>0</v>
      </c>
      <c r="Q220" s="429">
        <f t="shared" si="382"/>
        <v>0</v>
      </c>
      <c r="R220" s="429">
        <f t="shared" si="382"/>
        <v>0</v>
      </c>
      <c r="S220" s="429">
        <f t="shared" si="382"/>
        <v>0</v>
      </c>
      <c r="T220" s="429">
        <f t="shared" si="382"/>
        <v>0</v>
      </c>
      <c r="U220" s="429">
        <f t="shared" si="382"/>
        <v>0</v>
      </c>
      <c r="V220" s="429">
        <f t="shared" si="382"/>
        <v>0</v>
      </c>
      <c r="W220" s="429">
        <f t="shared" si="382"/>
        <v>0</v>
      </c>
      <c r="X220" s="429">
        <f t="shared" si="382"/>
        <v>0</v>
      </c>
      <c r="Y220" s="429">
        <f t="shared" si="382"/>
        <v>0</v>
      </c>
      <c r="Z220" s="429">
        <f t="shared" si="382"/>
        <v>0</v>
      </c>
      <c r="AA220" s="429">
        <f t="shared" si="382"/>
        <v>0</v>
      </c>
      <c r="AB220" s="429">
        <f t="shared" si="382"/>
        <v>0</v>
      </c>
      <c r="AC220" s="378"/>
      <c r="AD220" s="378">
        <f>SUM(G220:AB220)</f>
        <v>148</v>
      </c>
      <c r="AE220" s="379"/>
      <c r="AF220" s="581">
        <f>SUM(AF221:AF228)</f>
        <v>101640</v>
      </c>
      <c r="AG220" s="581"/>
      <c r="AH220" s="581">
        <f>SUM(AH221:AH228)</f>
        <v>101640</v>
      </c>
      <c r="AI220" s="582"/>
      <c r="AJ220" s="558"/>
      <c r="AK220" s="559">
        <f>SUM(AK221:AK228)</f>
        <v>148</v>
      </c>
      <c r="AL220" s="583"/>
      <c r="AM220" s="560"/>
      <c r="AN220" s="560"/>
      <c r="AO220" s="560"/>
      <c r="AP220" s="560"/>
      <c r="AQ220" s="560"/>
      <c r="AR220" s="560"/>
      <c r="AS220" s="560"/>
      <c r="AT220" s="560"/>
      <c r="AU220" s="560"/>
      <c r="AV220" s="560"/>
      <c r="AW220" s="560"/>
      <c r="AX220" s="560"/>
      <c r="AY220" s="560"/>
      <c r="AZ220" s="560"/>
      <c r="BA220" s="560"/>
      <c r="BB220" s="560"/>
      <c r="BC220" s="560"/>
      <c r="BD220" s="560"/>
      <c r="BE220" s="560"/>
      <c r="BF220" s="560"/>
      <c r="BG220" s="560"/>
      <c r="BH220" s="560"/>
      <c r="BI220" s="561">
        <f t="shared" ref="BI220:BO220" si="383">SUM(BI221:BI228)</f>
        <v>146</v>
      </c>
      <c r="BJ220" s="561">
        <f t="shared" si="383"/>
        <v>2</v>
      </c>
      <c r="BK220" s="561">
        <f t="shared" si="383"/>
        <v>0</v>
      </c>
      <c r="BL220" s="561">
        <f t="shared" si="383"/>
        <v>0</v>
      </c>
      <c r="BM220" s="561">
        <f t="shared" si="383"/>
        <v>0</v>
      </c>
      <c r="BN220" s="561">
        <f t="shared" si="383"/>
        <v>0</v>
      </c>
      <c r="BO220" s="561">
        <f t="shared" si="383"/>
        <v>0</v>
      </c>
      <c r="BQ220" s="562">
        <f t="shared" ref="BQ220:BW220" si="384">SUM(BQ221:BQ228)</f>
        <v>100340</v>
      </c>
      <c r="BR220" s="562">
        <f t="shared" si="384"/>
        <v>1300</v>
      </c>
      <c r="BS220" s="562">
        <f t="shared" si="384"/>
        <v>0</v>
      </c>
      <c r="BT220" s="562">
        <f t="shared" si="384"/>
        <v>0</v>
      </c>
      <c r="BU220" s="562">
        <f t="shared" si="384"/>
        <v>0</v>
      </c>
      <c r="BV220" s="562">
        <f t="shared" si="384"/>
        <v>0</v>
      </c>
      <c r="BW220" s="562">
        <f t="shared" si="384"/>
        <v>0</v>
      </c>
    </row>
    <row r="221" ht="24" customHeight="1" spans="2:75">
      <c r="B221" s="89" t="s">
        <v>405</v>
      </c>
      <c r="C221" s="89" t="str">
        <f>INDEX(二三级标准!$C:$C,MATCH(服务费明细!$B221,二三级标准!$B:$B,0))</f>
        <v>研究者手册版本更新</v>
      </c>
      <c r="D221" s="166">
        <f t="shared" ref="D221:D223" si="385">IF($D$220=1,1,0)</f>
        <v>1</v>
      </c>
      <c r="E221" s="166">
        <f t="shared" ref="E221:E223" si="386">IF($D221=1,1,0)</f>
        <v>1</v>
      </c>
      <c r="F221" s="89" t="str">
        <f>INDEX(二三级标准!$G:$G,MATCH(服务费明细!$B221,二三级标准!$B:$B,0))</f>
        <v>次</v>
      </c>
      <c r="G221" s="166">
        <f t="shared" ref="G221:AB221" si="387">AL221</f>
        <v>0</v>
      </c>
      <c r="H221" s="166">
        <f t="shared" si="387"/>
        <v>0</v>
      </c>
      <c r="I221" s="166">
        <f t="shared" si="387"/>
        <v>0</v>
      </c>
      <c r="J221" s="166">
        <f t="shared" si="387"/>
        <v>0</v>
      </c>
      <c r="K221" s="166">
        <f t="shared" si="387"/>
        <v>0</v>
      </c>
      <c r="L221" s="166">
        <f t="shared" si="387"/>
        <v>4</v>
      </c>
      <c r="M221" s="166">
        <f t="shared" si="387"/>
        <v>20</v>
      </c>
      <c r="N221" s="166">
        <f t="shared" si="387"/>
        <v>0</v>
      </c>
      <c r="O221" s="166">
        <f t="shared" si="387"/>
        <v>0</v>
      </c>
      <c r="P221" s="166">
        <f t="shared" si="387"/>
        <v>0</v>
      </c>
      <c r="Q221" s="166">
        <f t="shared" si="387"/>
        <v>0</v>
      </c>
      <c r="R221" s="166">
        <f t="shared" si="387"/>
        <v>0</v>
      </c>
      <c r="S221" s="166">
        <f t="shared" si="387"/>
        <v>0</v>
      </c>
      <c r="T221" s="166">
        <f t="shared" si="387"/>
        <v>0</v>
      </c>
      <c r="U221" s="166">
        <f t="shared" si="387"/>
        <v>0</v>
      </c>
      <c r="V221" s="166">
        <f t="shared" si="387"/>
        <v>0</v>
      </c>
      <c r="W221" s="166">
        <f t="shared" si="387"/>
        <v>0</v>
      </c>
      <c r="X221" s="166">
        <f t="shared" si="387"/>
        <v>0</v>
      </c>
      <c r="Y221" s="166">
        <f t="shared" si="387"/>
        <v>0</v>
      </c>
      <c r="Z221" s="166">
        <f t="shared" si="387"/>
        <v>0</v>
      </c>
      <c r="AA221" s="166">
        <f t="shared" si="387"/>
        <v>0</v>
      </c>
      <c r="AB221" s="166">
        <f t="shared" si="387"/>
        <v>0</v>
      </c>
      <c r="AC221" s="166" cm="1">
        <f t="array" ref="AC221">SUMPRODUCT(G221:AB221,$G$4:$AB$4)</f>
        <v>16960</v>
      </c>
      <c r="AD221" s="89" t="b">
        <f t="shared" ref="AD221:AD223" si="388">IF(AF221=AC221,TRUE,FALSE)</f>
        <v>1</v>
      </c>
      <c r="AE221" s="386">
        <f>IFERROR(SUMIF(服务费底表!$K:$K,服务费明细!$B221,服务费底表!$AD:$AD)/E221,0)</f>
        <v>16960</v>
      </c>
      <c r="AF221" s="386">
        <f t="shared" ref="AF221" si="389">E221*AE221</f>
        <v>16960</v>
      </c>
      <c r="AG221" s="386">
        <f>IFERROR(SUMIF(服务费底表!$K:$K,服务费明细!$B221,服务费底表!$AG:$AG)/E221,0)</f>
        <v>16960</v>
      </c>
      <c r="AH221" s="386">
        <f t="shared" ref="AH221" si="390">AG221*E221</f>
        <v>16960</v>
      </c>
      <c r="AI221" s="409"/>
      <c r="AJ221" s="563">
        <f t="shared" ref="AJ221:AJ228" si="391">IF(D221=1,AK221/E221,0)</f>
        <v>24</v>
      </c>
      <c r="AK221" s="564">
        <f>SUMIF(服务费底表!$K:$K,服务费明细!$B221,服务费底表!$AC:$AC)</f>
        <v>24</v>
      </c>
      <c r="AL221" s="166">
        <f>SUMIFS(服务费底表!$AC:$AC,服务费底表!$K:$K,服务费明细!$B221,服务费底表!$T:$T,AL$3)</f>
        <v>0</v>
      </c>
      <c r="AM221" s="166">
        <f>SUMIFS(服务费底表!$AC:$AC,服务费底表!$K:$K,服务费明细!$B221,服务费底表!$T:$T,AM$3)</f>
        <v>0</v>
      </c>
      <c r="AN221" s="166">
        <f>SUMIFS(服务费底表!$AC:$AC,服务费底表!$K:$K,服务费明细!$B221,服务费底表!$T:$T,AN$3)</f>
        <v>0</v>
      </c>
      <c r="AO221" s="166">
        <f>SUMIFS(服务费底表!$AC:$AC,服务费底表!$K:$K,服务费明细!$B221,服务费底表!$T:$T,AO$3)</f>
        <v>0</v>
      </c>
      <c r="AP221" s="166">
        <f>SUMIFS(服务费底表!$AC:$AC,服务费底表!$K:$K,服务费明细!$B221,服务费底表!$T:$T,AP$3)</f>
        <v>0</v>
      </c>
      <c r="AQ221" s="166">
        <f>SUMIFS(服务费底表!$AC:$AC,服务费底表!$K:$K,服务费明细!$B221,服务费底表!$T:$T,AQ$3)</f>
        <v>4</v>
      </c>
      <c r="AR221" s="166">
        <f>SUMIFS(服务费底表!$AC:$AC,服务费底表!$K:$K,服务费明细!$B221,服务费底表!$T:$T,AR$3)</f>
        <v>20</v>
      </c>
      <c r="AS221" s="166">
        <f>SUMIFS(服务费底表!$AC:$AC,服务费底表!$K:$K,服务费明细!$B221,服务费底表!$T:$T,AS$3)</f>
        <v>0</v>
      </c>
      <c r="AT221" s="166">
        <f>SUMIFS(服务费底表!$AC:$AC,服务费底表!$K:$K,服务费明细!$B221,服务费底表!$T:$T,AT$3)</f>
        <v>0</v>
      </c>
      <c r="AU221" s="166">
        <f>SUMIFS(服务费底表!$AC:$AC,服务费底表!$K:$K,服务费明细!$B221,服务费底表!$T:$T,AU$3)</f>
        <v>0</v>
      </c>
      <c r="AV221" s="166">
        <f>SUMIFS(服务费底表!$AC:$AC,服务费底表!$K:$K,服务费明细!$B221,服务费底表!$T:$T,AV$3)</f>
        <v>0</v>
      </c>
      <c r="AW221" s="166">
        <f>SUMIFS(服务费底表!$AC:$AC,服务费底表!$K:$K,服务费明细!$B221,服务费底表!$T:$T,AW$3)</f>
        <v>0</v>
      </c>
      <c r="AX221" s="166">
        <f>SUMIFS(服务费底表!$AC:$AC,服务费底表!$K:$K,服务费明细!$B221,服务费底表!$T:$T,AX$3)</f>
        <v>0</v>
      </c>
      <c r="AY221" s="166">
        <f>SUMIFS(服务费底表!$AC:$AC,服务费底表!$K:$K,服务费明细!$B221,服务费底表!$T:$T,AY$3)</f>
        <v>0</v>
      </c>
      <c r="AZ221" s="166">
        <f>SUMIFS(服务费底表!$AC:$AC,服务费底表!$K:$K,服务费明细!$B221,服务费底表!$T:$T,AZ$3)</f>
        <v>0</v>
      </c>
      <c r="BA221" s="166">
        <f>SUMIFS(服务费底表!$AC:$AC,服务费底表!$K:$K,服务费明细!$B221,服务费底表!$T:$T,BA$3)</f>
        <v>0</v>
      </c>
      <c r="BB221" s="166">
        <f>SUMIFS(服务费底表!$AC:$AC,服务费底表!$K:$K,服务费明细!$B221,服务费底表!$T:$T,BB$3)</f>
        <v>0</v>
      </c>
      <c r="BC221" s="166">
        <f>SUMIFS(服务费底表!$AC:$AC,服务费底表!$K:$K,服务费明细!$B221,服务费底表!$T:$T,BC$3)</f>
        <v>0</v>
      </c>
      <c r="BD221" s="166">
        <f>SUMIFS(服务费底表!$AC:$AC,服务费底表!$K:$K,服务费明细!$B221,服务费底表!$T:$T,BD$3)</f>
        <v>0</v>
      </c>
      <c r="BE221" s="166">
        <f>SUMIFS(服务费底表!$AC:$AC,服务费底表!$K:$K,服务费明细!$B221,服务费底表!$T:$T,BE$3)</f>
        <v>0</v>
      </c>
      <c r="BF221" s="166">
        <f>SUMIFS(服务费底表!$AC:$AC,服务费底表!$K:$K,服务费明细!$B221,服务费底表!$T:$T,BF$3)</f>
        <v>0</v>
      </c>
      <c r="BG221" s="166">
        <f>SUMIFS(服务费底表!$AC:$AC,服务费底表!$K:$K,服务费明细!$B221,服务费底表!$T:$T,BG$3)</f>
        <v>0</v>
      </c>
      <c r="BI221" s="388">
        <f>SUMIFS(服务费底表!$AC:$AC,服务费底表!$K:$K,服务费明细!$B221,服务费底表!$H:$H,服务费明细!BI$3)</f>
        <v>24</v>
      </c>
      <c r="BJ221" s="388">
        <f>SUMIFS(服务费底表!$AC:$AC,服务费底表!$K:$K,服务费明细!$B221,服务费底表!$H:$H,服务费明细!BJ$3)</f>
        <v>0</v>
      </c>
      <c r="BK221" s="388">
        <f>SUMIFS(服务费底表!$AC:$AC,服务费底表!$K:$K,服务费明细!$B221,服务费底表!$H:$H,服务费明细!BK$3)</f>
        <v>0</v>
      </c>
      <c r="BL221" s="388">
        <f>SUMIFS(服务费底表!$AC:$AC,服务费底表!$K:$K,服务费明细!$B221,服务费底表!$H:$H,服务费明细!BL$3)</f>
        <v>0</v>
      </c>
      <c r="BM221" s="388">
        <f>SUMIFS(服务费底表!$AC:$AC,服务费底表!$K:$K,服务费明细!$B221,服务费底表!$H:$H,服务费明细!BM$3)</f>
        <v>0</v>
      </c>
      <c r="BN221" s="388">
        <f>SUMIFS(服务费底表!$AC:$AC,服务费底表!$K:$K,服务费明细!$B221,服务费底表!$H:$H,服务费明细!BN$3)</f>
        <v>0</v>
      </c>
      <c r="BO221" s="388">
        <f>SUMIFS(服务费底表!$AC:$AC,服务费底表!$K:$K,服务费明细!$B221,服务费底表!$H:$H,服务费明细!BO$3)</f>
        <v>0</v>
      </c>
      <c r="BQ221" s="389">
        <f>SUMIFS(服务费底表!$AD:$AD,服务费底表!$K:$K,服务费明细!$B221,服务费底表!$H:$H,服务费明细!BQ$3)</f>
        <v>16960</v>
      </c>
      <c r="BR221" s="389">
        <f>SUMIFS(服务费底表!$AD:$AD,服务费底表!$K:$K,服务费明细!$B221,服务费底表!$H:$H,服务费明细!BR$3)</f>
        <v>0</v>
      </c>
      <c r="BS221" s="389">
        <f>SUMIFS(服务费底表!$AD:$AD,服务费底表!$K:$K,服务费明细!$B221,服务费底表!$H:$H,服务费明细!BS$3)</f>
        <v>0</v>
      </c>
      <c r="BT221" s="389">
        <f>SUMIFS(服务费底表!$AD:$AD,服务费底表!$K:$K,服务费明细!$B221,服务费底表!$H:$H,服务费明细!BT$3)</f>
        <v>0</v>
      </c>
      <c r="BU221" s="389">
        <f>SUMIFS(服务费底表!$AD:$AD,服务费底表!$K:$K,服务费明细!$B221,服务费底表!$H:$H,服务费明细!BU$3)</f>
        <v>0</v>
      </c>
      <c r="BV221" s="389">
        <f>SUMIFS(服务费底表!$AD:$AD,服务费底表!$K:$K,服务费明细!$B221,服务费底表!$H:$H,服务费明细!BV$3)</f>
        <v>0</v>
      </c>
      <c r="BW221" s="389">
        <f>SUMIFS(服务费底表!$AD:$AD,服务费底表!$K:$K,服务费明细!$B221,服务费底表!$H:$H,服务费明细!BW$3)</f>
        <v>0</v>
      </c>
    </row>
    <row r="222" ht="39.6" spans="2:75">
      <c r="B222" s="89" t="s">
        <v>407</v>
      </c>
      <c r="C222" s="89" t="str">
        <f>INDEX(二三级标准!$C:$C,MATCH(服务费明细!$B222,二三级标准!$B:$B,0))</f>
        <v>研究总结报告撰写</v>
      </c>
      <c r="D222" s="166">
        <f t="shared" si="385"/>
        <v>1</v>
      </c>
      <c r="E222" s="166">
        <f t="shared" si="386"/>
        <v>1</v>
      </c>
      <c r="F222" s="89" t="str">
        <f>INDEX(二三级标准!$G:$G,MATCH(服务费明细!$B222,二三级标准!$B:$B,0))</f>
        <v>份</v>
      </c>
      <c r="G222" s="166">
        <f t="shared" ref="G222:G228" si="392">AL222</f>
        <v>0</v>
      </c>
      <c r="H222" s="166">
        <f t="shared" ref="H222:H228" si="393">AM222</f>
        <v>0</v>
      </c>
      <c r="I222" s="166">
        <f t="shared" ref="I222:I228" si="394">AN222</f>
        <v>2</v>
      </c>
      <c r="J222" s="166">
        <f t="shared" ref="J222:J228" si="395">AO222</f>
        <v>0</v>
      </c>
      <c r="K222" s="166">
        <f t="shared" ref="K222:K228" si="396">AP222</f>
        <v>0</v>
      </c>
      <c r="L222" s="166">
        <f t="shared" ref="L222:L228" si="397">AQ222</f>
        <v>12</v>
      </c>
      <c r="M222" s="166">
        <f t="shared" ref="M222:M228" si="398">AR222</f>
        <v>92</v>
      </c>
      <c r="N222" s="166">
        <f t="shared" ref="N222:N228" si="399">AS222</f>
        <v>0</v>
      </c>
      <c r="O222" s="166">
        <f t="shared" ref="O222:O228" si="400">AT222</f>
        <v>0</v>
      </c>
      <c r="P222" s="166">
        <f t="shared" ref="P222:P228" si="401">AU222</f>
        <v>0</v>
      </c>
      <c r="Q222" s="166">
        <f t="shared" ref="Q222:Q228" si="402">AV222</f>
        <v>0</v>
      </c>
      <c r="R222" s="166">
        <f t="shared" ref="R222:R228" si="403">AW222</f>
        <v>0</v>
      </c>
      <c r="S222" s="166">
        <f t="shared" ref="S222:S228" si="404">AX222</f>
        <v>0</v>
      </c>
      <c r="T222" s="166">
        <f t="shared" ref="T222:T228" si="405">AY222</f>
        <v>0</v>
      </c>
      <c r="U222" s="166">
        <f t="shared" ref="U222:U228" si="406">AZ222</f>
        <v>0</v>
      </c>
      <c r="V222" s="166">
        <f t="shared" ref="V222:V228" si="407">BA222</f>
        <v>0</v>
      </c>
      <c r="W222" s="166">
        <f t="shared" ref="W222:W228" si="408">BB222</f>
        <v>0</v>
      </c>
      <c r="X222" s="166">
        <f t="shared" ref="X222:X228" si="409">BC222</f>
        <v>0</v>
      </c>
      <c r="Y222" s="166">
        <f t="shared" ref="Y222:Y228" si="410">BD222</f>
        <v>0</v>
      </c>
      <c r="Z222" s="166">
        <f t="shared" ref="Z222:Z228" si="411">BE222</f>
        <v>0</v>
      </c>
      <c r="AA222" s="166">
        <f t="shared" ref="AA222:AA228" si="412">BF222</f>
        <v>0</v>
      </c>
      <c r="AB222" s="166">
        <f t="shared" ref="AB222:AB228" si="413">BG222</f>
        <v>0</v>
      </c>
      <c r="AC222" s="166" cm="1">
        <f t="array" ref="AC222">SUMPRODUCT(G222:AB222,$G$4:$AB$4)</f>
        <v>72980</v>
      </c>
      <c r="AD222" s="89" t="b">
        <f t="shared" si="388"/>
        <v>1</v>
      </c>
      <c r="AE222" s="386">
        <f>IFERROR(SUMIF(服务费底表!$K:$K,服务费明细!$B222,服务费底表!$AD:$AD)/E222,0)</f>
        <v>72980</v>
      </c>
      <c r="AF222" s="386">
        <f t="shared" ref="AF222:AF228" si="414">E222*AE222</f>
        <v>72980</v>
      </c>
      <c r="AG222" s="386">
        <f>IFERROR(SUMIF(服务费底表!$K:$K,服务费明细!$B222,服务费底表!$AG:$AG)/E222,0)</f>
        <v>72980</v>
      </c>
      <c r="AH222" s="386">
        <f t="shared" ref="AH222:AH228" si="415">AG222*E222</f>
        <v>72980</v>
      </c>
      <c r="AI222" s="409" t="s">
        <v>1134</v>
      </c>
      <c r="AJ222" s="563">
        <f t="shared" si="391"/>
        <v>106</v>
      </c>
      <c r="AK222" s="564">
        <f>SUMIF(服务费底表!$K:$K,服务费明细!$B222,服务费底表!$AC:$AC)</f>
        <v>106</v>
      </c>
      <c r="AL222" s="166">
        <f>SUMIFS(服务费底表!$AC:$AC,服务费底表!$K:$K,服务费明细!$B222,服务费底表!$T:$T,AL$3)</f>
        <v>0</v>
      </c>
      <c r="AM222" s="166">
        <f>SUMIFS(服务费底表!$AC:$AC,服务费底表!$K:$K,服务费明细!$B222,服务费底表!$T:$T,AM$3)</f>
        <v>0</v>
      </c>
      <c r="AN222" s="166">
        <f>SUMIFS(服务费底表!$AC:$AC,服务费底表!$K:$K,服务费明细!$B222,服务费底表!$T:$T,AN$3)</f>
        <v>2</v>
      </c>
      <c r="AO222" s="166">
        <f>SUMIFS(服务费底表!$AC:$AC,服务费底表!$K:$K,服务费明细!$B222,服务费底表!$T:$T,AO$3)</f>
        <v>0</v>
      </c>
      <c r="AP222" s="166">
        <f>SUMIFS(服务费底表!$AC:$AC,服务费底表!$K:$K,服务费明细!$B222,服务费底表!$T:$T,AP$3)</f>
        <v>0</v>
      </c>
      <c r="AQ222" s="166">
        <f>SUMIFS(服务费底表!$AC:$AC,服务费底表!$K:$K,服务费明细!$B222,服务费底表!$T:$T,AQ$3)</f>
        <v>12</v>
      </c>
      <c r="AR222" s="166">
        <f>SUMIFS(服务费底表!$AC:$AC,服务费底表!$K:$K,服务费明细!$B222,服务费底表!$T:$T,AR$3)</f>
        <v>92</v>
      </c>
      <c r="AS222" s="166">
        <f>SUMIFS(服务费底表!$AC:$AC,服务费底表!$K:$K,服务费明细!$B222,服务费底表!$T:$T,AS$3)</f>
        <v>0</v>
      </c>
      <c r="AT222" s="166">
        <f>SUMIFS(服务费底表!$AC:$AC,服务费底表!$K:$K,服务费明细!$B222,服务费底表!$T:$T,AT$3)</f>
        <v>0</v>
      </c>
      <c r="AU222" s="166">
        <f>SUMIFS(服务费底表!$AC:$AC,服务费底表!$K:$K,服务费明细!$B222,服务费底表!$T:$T,AU$3)</f>
        <v>0</v>
      </c>
      <c r="AV222" s="166">
        <f>SUMIFS(服务费底表!$AC:$AC,服务费底表!$K:$K,服务费明细!$B222,服务费底表!$T:$T,AV$3)</f>
        <v>0</v>
      </c>
      <c r="AW222" s="166">
        <f>SUMIFS(服务费底表!$AC:$AC,服务费底表!$K:$K,服务费明细!$B222,服务费底表!$T:$T,AW$3)</f>
        <v>0</v>
      </c>
      <c r="AX222" s="166">
        <f>SUMIFS(服务费底表!$AC:$AC,服务费底表!$K:$K,服务费明细!$B222,服务费底表!$T:$T,AX$3)</f>
        <v>0</v>
      </c>
      <c r="AY222" s="166">
        <f>SUMIFS(服务费底表!$AC:$AC,服务费底表!$K:$K,服务费明细!$B222,服务费底表!$T:$T,AY$3)</f>
        <v>0</v>
      </c>
      <c r="AZ222" s="166">
        <f>SUMIFS(服务费底表!$AC:$AC,服务费底表!$K:$K,服务费明细!$B222,服务费底表!$T:$T,AZ$3)</f>
        <v>0</v>
      </c>
      <c r="BA222" s="166">
        <f>SUMIFS(服务费底表!$AC:$AC,服务费底表!$K:$K,服务费明细!$B222,服务费底表!$T:$T,BA$3)</f>
        <v>0</v>
      </c>
      <c r="BB222" s="166">
        <f>SUMIFS(服务费底表!$AC:$AC,服务费底表!$K:$K,服务费明细!$B222,服务费底表!$T:$T,BB$3)</f>
        <v>0</v>
      </c>
      <c r="BC222" s="166">
        <f>SUMIFS(服务费底表!$AC:$AC,服务费底表!$K:$K,服务费明细!$B222,服务费底表!$T:$T,BC$3)</f>
        <v>0</v>
      </c>
      <c r="BD222" s="166">
        <f>SUMIFS(服务费底表!$AC:$AC,服务费底表!$K:$K,服务费明细!$B222,服务费底表!$T:$T,BD$3)</f>
        <v>0</v>
      </c>
      <c r="BE222" s="166">
        <f>SUMIFS(服务费底表!$AC:$AC,服务费底表!$K:$K,服务费明细!$B222,服务费底表!$T:$T,BE$3)</f>
        <v>0</v>
      </c>
      <c r="BF222" s="166">
        <f>SUMIFS(服务费底表!$AC:$AC,服务费底表!$K:$K,服务费明细!$B222,服务费底表!$T:$T,BF$3)</f>
        <v>0</v>
      </c>
      <c r="BG222" s="166">
        <f>SUMIFS(服务费底表!$AC:$AC,服务费底表!$K:$K,服务费明细!$B222,服务费底表!$T:$T,BG$3)</f>
        <v>0</v>
      </c>
      <c r="BI222" s="388">
        <f>SUMIFS(服务费底表!$AC:$AC,服务费底表!$K:$K,服务费明细!$B222,服务费底表!$H:$H,服务费明细!BI$3)</f>
        <v>104</v>
      </c>
      <c r="BJ222" s="388">
        <f>SUMIFS(服务费底表!$AC:$AC,服务费底表!$K:$K,服务费明细!$B222,服务费底表!$H:$H,服务费明细!BJ$3)</f>
        <v>2</v>
      </c>
      <c r="BK222" s="388">
        <f>SUMIFS(服务费底表!$AC:$AC,服务费底表!$K:$K,服务费明细!$B222,服务费底表!$H:$H,服务费明细!BK$3)</f>
        <v>0</v>
      </c>
      <c r="BL222" s="388">
        <f>SUMIFS(服务费底表!$AC:$AC,服务费底表!$K:$K,服务费明细!$B222,服务费底表!$H:$H,服务费明细!BL$3)</f>
        <v>0</v>
      </c>
      <c r="BM222" s="388">
        <f>SUMIFS(服务费底表!$AC:$AC,服务费底表!$K:$K,服务费明细!$B222,服务费底表!$H:$H,服务费明细!BM$3)</f>
        <v>0</v>
      </c>
      <c r="BN222" s="388">
        <f>SUMIFS(服务费底表!$AC:$AC,服务费底表!$K:$K,服务费明细!$B222,服务费底表!$H:$H,服务费明细!BN$3)</f>
        <v>0</v>
      </c>
      <c r="BO222" s="388">
        <f>SUMIFS(服务费底表!$AC:$AC,服务费底表!$K:$K,服务费明细!$B222,服务费底表!$H:$H,服务费明细!BO$3)</f>
        <v>0</v>
      </c>
      <c r="BQ222" s="389">
        <f>SUMIFS(服务费底表!$AD:$AD,服务费底表!$K:$K,服务费明细!$B222,服务费底表!$H:$H,服务费明细!BQ$3)</f>
        <v>71680</v>
      </c>
      <c r="BR222" s="389">
        <f>SUMIFS(服务费底表!$AD:$AD,服务费底表!$K:$K,服务费明细!$B222,服务费底表!$H:$H,服务费明细!BR$3)</f>
        <v>1300</v>
      </c>
      <c r="BS222" s="389">
        <f>SUMIFS(服务费底表!$AD:$AD,服务费底表!$K:$K,服务费明细!$B222,服务费底表!$H:$H,服务费明细!BS$3)</f>
        <v>0</v>
      </c>
      <c r="BT222" s="389">
        <f>SUMIFS(服务费底表!$AD:$AD,服务费底表!$K:$K,服务费明细!$B222,服务费底表!$H:$H,服务费明细!BT$3)</f>
        <v>0</v>
      </c>
      <c r="BU222" s="389">
        <f>SUMIFS(服务费底表!$AD:$AD,服务费底表!$K:$K,服务费明细!$B222,服务费底表!$H:$H,服务费明细!BU$3)</f>
        <v>0</v>
      </c>
      <c r="BV222" s="389">
        <f>SUMIFS(服务费底表!$AD:$AD,服务费底表!$K:$K,服务费明细!$B222,服务费底表!$H:$H,服务费明细!BV$3)</f>
        <v>0</v>
      </c>
      <c r="BW222" s="389">
        <f>SUMIFS(服务费底表!$AD:$AD,服务费底表!$K:$K,服务费明细!$B222,服务费底表!$H:$H,服务费明细!BW$3)</f>
        <v>0</v>
      </c>
    </row>
    <row r="223" spans="2:75">
      <c r="B223" s="89" t="s">
        <v>1135</v>
      </c>
      <c r="C223" s="89" t="str">
        <f>INDEX(二三级标准!$C:$C,MATCH(服务费明细!$B223,二三级标准!$B:$B,0))</f>
        <v>研究总结报告（中译英）</v>
      </c>
      <c r="D223" s="166">
        <v>0</v>
      </c>
      <c r="E223" s="166">
        <f t="shared" si="386"/>
        <v>0</v>
      </c>
      <c r="F223" s="89" t="str">
        <f>INDEX(二三级标准!$G:$G,MATCH(服务费明细!$B223,二三级标准!$B:$B,0))</f>
        <v>份</v>
      </c>
      <c r="G223" s="166">
        <f t="shared" si="392"/>
        <v>0</v>
      </c>
      <c r="H223" s="166">
        <f t="shared" si="393"/>
        <v>0</v>
      </c>
      <c r="I223" s="166">
        <f t="shared" si="394"/>
        <v>0</v>
      </c>
      <c r="J223" s="166">
        <f t="shared" si="395"/>
        <v>0</v>
      </c>
      <c r="K223" s="166">
        <f t="shared" si="396"/>
        <v>0</v>
      </c>
      <c r="L223" s="166">
        <f t="shared" si="397"/>
        <v>0</v>
      </c>
      <c r="M223" s="166">
        <f t="shared" si="398"/>
        <v>0</v>
      </c>
      <c r="N223" s="166">
        <f t="shared" si="399"/>
        <v>0</v>
      </c>
      <c r="O223" s="166">
        <f t="shared" si="400"/>
        <v>0</v>
      </c>
      <c r="P223" s="166">
        <f t="shared" si="401"/>
        <v>0</v>
      </c>
      <c r="Q223" s="166">
        <f t="shared" si="402"/>
        <v>0</v>
      </c>
      <c r="R223" s="166">
        <f t="shared" si="403"/>
        <v>0</v>
      </c>
      <c r="S223" s="166">
        <f t="shared" si="404"/>
        <v>0</v>
      </c>
      <c r="T223" s="166">
        <f t="shared" si="405"/>
        <v>0</v>
      </c>
      <c r="U223" s="166">
        <f t="shared" si="406"/>
        <v>0</v>
      </c>
      <c r="V223" s="166">
        <f t="shared" si="407"/>
        <v>0</v>
      </c>
      <c r="W223" s="166">
        <f t="shared" si="408"/>
        <v>0</v>
      </c>
      <c r="X223" s="166">
        <f t="shared" si="409"/>
        <v>0</v>
      </c>
      <c r="Y223" s="166">
        <f t="shared" si="410"/>
        <v>0</v>
      </c>
      <c r="Z223" s="166">
        <f t="shared" si="411"/>
        <v>0</v>
      </c>
      <c r="AA223" s="166">
        <f t="shared" si="412"/>
        <v>0</v>
      </c>
      <c r="AB223" s="166">
        <f t="shared" si="413"/>
        <v>0</v>
      </c>
      <c r="AC223" s="166" cm="1">
        <f t="array" ref="AC223">SUMPRODUCT(G223:AB223,$G$4:$AB$4)</f>
        <v>0</v>
      </c>
      <c r="AD223" s="89" t="b">
        <f t="shared" si="388"/>
        <v>1</v>
      </c>
      <c r="AE223" s="386">
        <f>IFERROR(SUMIF(服务费底表!$K:$K,服务费明细!$B223,服务费底表!$AD:$AD)/E223,0)</f>
        <v>0</v>
      </c>
      <c r="AF223" s="386">
        <f t="shared" si="414"/>
        <v>0</v>
      </c>
      <c r="AG223" s="386">
        <f>IFERROR(SUMIF(服务费底表!$K:$K,服务费明细!$B223,服务费底表!$AG:$AG)/E223,0)</f>
        <v>0</v>
      </c>
      <c r="AH223" s="386">
        <f t="shared" si="415"/>
        <v>0</v>
      </c>
      <c r="AI223" s="409" t="s">
        <v>982</v>
      </c>
      <c r="AJ223" s="563">
        <f t="shared" si="391"/>
        <v>0</v>
      </c>
      <c r="AK223" s="564">
        <f>SUMIF(服务费底表!$K:$K,服务费明细!$B223,服务费底表!$AC:$AC)</f>
        <v>0</v>
      </c>
      <c r="AL223" s="166">
        <f>SUMIFS(服务费底表!$AC:$AC,服务费底表!$K:$K,服务费明细!$B223,服务费底表!$T:$T,AL$3)</f>
        <v>0</v>
      </c>
      <c r="AM223" s="166">
        <f>SUMIFS(服务费底表!$AC:$AC,服务费底表!$K:$K,服务费明细!$B223,服务费底表!$T:$T,AM$3)</f>
        <v>0</v>
      </c>
      <c r="AN223" s="166">
        <f>SUMIFS(服务费底表!$AC:$AC,服务费底表!$K:$K,服务费明细!$B223,服务费底表!$T:$T,AN$3)</f>
        <v>0</v>
      </c>
      <c r="AO223" s="166">
        <f>SUMIFS(服务费底表!$AC:$AC,服务费底表!$K:$K,服务费明细!$B223,服务费底表!$T:$T,AO$3)</f>
        <v>0</v>
      </c>
      <c r="AP223" s="166">
        <f>SUMIFS(服务费底表!$AC:$AC,服务费底表!$K:$K,服务费明细!$B223,服务费底表!$T:$T,AP$3)</f>
        <v>0</v>
      </c>
      <c r="AQ223" s="166">
        <f>SUMIFS(服务费底表!$AC:$AC,服务费底表!$K:$K,服务费明细!$B223,服务费底表!$T:$T,AQ$3)</f>
        <v>0</v>
      </c>
      <c r="AR223" s="166">
        <f>SUMIFS(服务费底表!$AC:$AC,服务费底表!$K:$K,服务费明细!$B223,服务费底表!$T:$T,AR$3)</f>
        <v>0</v>
      </c>
      <c r="AS223" s="166">
        <f>SUMIFS(服务费底表!$AC:$AC,服务费底表!$K:$K,服务费明细!$B223,服务费底表!$T:$T,AS$3)</f>
        <v>0</v>
      </c>
      <c r="AT223" s="166">
        <f>SUMIFS(服务费底表!$AC:$AC,服务费底表!$K:$K,服务费明细!$B223,服务费底表!$T:$T,AT$3)</f>
        <v>0</v>
      </c>
      <c r="AU223" s="166">
        <f>SUMIFS(服务费底表!$AC:$AC,服务费底表!$K:$K,服务费明细!$B223,服务费底表!$T:$T,AU$3)</f>
        <v>0</v>
      </c>
      <c r="AV223" s="166">
        <f>SUMIFS(服务费底表!$AC:$AC,服务费底表!$K:$K,服务费明细!$B223,服务费底表!$T:$T,AV$3)</f>
        <v>0</v>
      </c>
      <c r="AW223" s="166">
        <f>SUMIFS(服务费底表!$AC:$AC,服务费底表!$K:$K,服务费明细!$B223,服务费底表!$T:$T,AW$3)</f>
        <v>0</v>
      </c>
      <c r="AX223" s="166">
        <f>SUMIFS(服务费底表!$AC:$AC,服务费底表!$K:$K,服务费明细!$B223,服务费底表!$T:$T,AX$3)</f>
        <v>0</v>
      </c>
      <c r="AY223" s="166">
        <f>SUMIFS(服务费底表!$AC:$AC,服务费底表!$K:$K,服务费明细!$B223,服务费底表!$T:$T,AY$3)</f>
        <v>0</v>
      </c>
      <c r="AZ223" s="166">
        <f>SUMIFS(服务费底表!$AC:$AC,服务费底表!$K:$K,服务费明细!$B223,服务费底表!$T:$T,AZ$3)</f>
        <v>0</v>
      </c>
      <c r="BA223" s="166">
        <f>SUMIFS(服务费底表!$AC:$AC,服务费底表!$K:$K,服务费明细!$B223,服务费底表!$T:$T,BA$3)</f>
        <v>0</v>
      </c>
      <c r="BB223" s="166">
        <f>SUMIFS(服务费底表!$AC:$AC,服务费底表!$K:$K,服务费明细!$B223,服务费底表!$T:$T,BB$3)</f>
        <v>0</v>
      </c>
      <c r="BC223" s="166">
        <f>SUMIFS(服务费底表!$AC:$AC,服务费底表!$K:$K,服务费明细!$B223,服务费底表!$T:$T,BC$3)</f>
        <v>0</v>
      </c>
      <c r="BD223" s="166">
        <f>SUMIFS(服务费底表!$AC:$AC,服务费底表!$K:$K,服务费明细!$B223,服务费底表!$T:$T,BD$3)</f>
        <v>0</v>
      </c>
      <c r="BE223" s="166">
        <f>SUMIFS(服务费底表!$AC:$AC,服务费底表!$K:$K,服务费明细!$B223,服务费底表!$T:$T,BE$3)</f>
        <v>0</v>
      </c>
      <c r="BF223" s="166">
        <f>SUMIFS(服务费底表!$AC:$AC,服务费底表!$K:$K,服务费明细!$B223,服务费底表!$T:$T,BF$3)</f>
        <v>0</v>
      </c>
      <c r="BG223" s="166">
        <f>SUMIFS(服务费底表!$AC:$AC,服务费底表!$K:$K,服务费明细!$B223,服务费底表!$T:$T,BG$3)</f>
        <v>0</v>
      </c>
      <c r="BI223" s="388">
        <f>SUMIFS(服务费底表!$AC:$AC,服务费底表!$K:$K,服务费明细!$B223,服务费底表!$H:$H,服务费明细!BI$3)</f>
        <v>0</v>
      </c>
      <c r="BJ223" s="388">
        <f>SUMIFS(服务费底表!$AC:$AC,服务费底表!$K:$K,服务费明细!$B223,服务费底表!$H:$H,服务费明细!BJ$3)</f>
        <v>0</v>
      </c>
      <c r="BK223" s="388">
        <f>SUMIFS(服务费底表!$AC:$AC,服务费底表!$K:$K,服务费明细!$B223,服务费底表!$H:$H,服务费明细!BK$3)</f>
        <v>0</v>
      </c>
      <c r="BL223" s="388">
        <f>SUMIFS(服务费底表!$AC:$AC,服务费底表!$K:$K,服务费明细!$B223,服务费底表!$H:$H,服务费明细!BL$3)</f>
        <v>0</v>
      </c>
      <c r="BM223" s="388">
        <f>SUMIFS(服务费底表!$AC:$AC,服务费底表!$K:$K,服务费明细!$B223,服务费底表!$H:$H,服务费明细!BM$3)</f>
        <v>0</v>
      </c>
      <c r="BN223" s="388">
        <f>SUMIFS(服务费底表!$AC:$AC,服务费底表!$K:$K,服务费明细!$B223,服务费底表!$H:$H,服务费明细!BN$3)</f>
        <v>0</v>
      </c>
      <c r="BO223" s="388">
        <f>SUMIFS(服务费底表!$AC:$AC,服务费底表!$K:$K,服务费明细!$B223,服务费底表!$H:$H,服务费明细!BO$3)</f>
        <v>0</v>
      </c>
      <c r="BQ223" s="389">
        <f>SUMIFS(服务费底表!$AD:$AD,服务费底表!$K:$K,服务费明细!$B223,服务费底表!$H:$H,服务费明细!BQ$3)</f>
        <v>0</v>
      </c>
      <c r="BR223" s="389">
        <f>SUMIFS(服务费底表!$AD:$AD,服务费底表!$K:$K,服务费明细!$B223,服务费底表!$H:$H,服务费明细!BR$3)</f>
        <v>0</v>
      </c>
      <c r="BS223" s="389">
        <f>SUMIFS(服务费底表!$AD:$AD,服务费底表!$K:$K,服务费明细!$B223,服务费底表!$H:$H,服务费明细!BS$3)</f>
        <v>0</v>
      </c>
      <c r="BT223" s="389">
        <f>SUMIFS(服务费底表!$AD:$AD,服务费底表!$K:$K,服务费明细!$B223,服务费底表!$H:$H,服务费明细!BT$3)</f>
        <v>0</v>
      </c>
      <c r="BU223" s="389">
        <f>SUMIFS(服务费底表!$AD:$AD,服务费底表!$K:$K,服务费明细!$B223,服务费底表!$H:$H,服务费明细!BU$3)</f>
        <v>0</v>
      </c>
      <c r="BV223" s="389">
        <f>SUMIFS(服务费底表!$AD:$AD,服务费底表!$K:$K,服务费明细!$B223,服务费底表!$H:$H,服务费明细!BV$3)</f>
        <v>0</v>
      </c>
      <c r="BW223" s="389">
        <f>SUMIFS(服务费底表!$AD:$AD,服务费底表!$K:$K,服务费明细!$B223,服务费底表!$H:$H,服务费明细!BW$3)</f>
        <v>0</v>
      </c>
    </row>
    <row r="224" spans="2:75">
      <c r="B224" s="89" t="s">
        <v>409</v>
      </c>
      <c r="C224" s="89" t="str">
        <f>INDEX(二三级标准!$C:$C,MATCH(服务费明细!$B224,二三级标准!$B:$B,0))</f>
        <v>SAE个案描述撰写</v>
      </c>
      <c r="D224" s="166">
        <f t="shared" ref="D224:D226" si="416">IF($D$220=1,1,0)</f>
        <v>1</v>
      </c>
      <c r="E224" s="166">
        <f>IF($D224=1,ROUNDUP(入组试验参与者数*SAE发生率,0),0)</f>
        <v>9</v>
      </c>
      <c r="F224" s="89" t="str">
        <f>INDEX(二三级标准!$G:$G,MATCH(服务费明细!$B224,二三级标准!$B:$B,0))</f>
        <v>例次</v>
      </c>
      <c r="G224" s="166">
        <f t="shared" si="392"/>
        <v>0</v>
      </c>
      <c r="H224" s="166">
        <f t="shared" si="393"/>
        <v>0</v>
      </c>
      <c r="I224" s="166">
        <f t="shared" si="394"/>
        <v>0</v>
      </c>
      <c r="J224" s="166">
        <f t="shared" si="395"/>
        <v>0</v>
      </c>
      <c r="K224" s="166">
        <f t="shared" si="396"/>
        <v>0</v>
      </c>
      <c r="L224" s="166">
        <f t="shared" si="397"/>
        <v>0</v>
      </c>
      <c r="M224" s="166">
        <f t="shared" si="398"/>
        <v>18</v>
      </c>
      <c r="N224" s="166">
        <f t="shared" si="399"/>
        <v>0</v>
      </c>
      <c r="O224" s="166">
        <f t="shared" si="400"/>
        <v>0</v>
      </c>
      <c r="P224" s="166">
        <f t="shared" si="401"/>
        <v>0</v>
      </c>
      <c r="Q224" s="166">
        <f t="shared" si="402"/>
        <v>0</v>
      </c>
      <c r="R224" s="166">
        <f t="shared" si="403"/>
        <v>0</v>
      </c>
      <c r="S224" s="166">
        <f t="shared" si="404"/>
        <v>0</v>
      </c>
      <c r="T224" s="166">
        <f t="shared" si="405"/>
        <v>0</v>
      </c>
      <c r="U224" s="166">
        <f t="shared" si="406"/>
        <v>0</v>
      </c>
      <c r="V224" s="166">
        <f t="shared" si="407"/>
        <v>0</v>
      </c>
      <c r="W224" s="166">
        <f t="shared" si="408"/>
        <v>0</v>
      </c>
      <c r="X224" s="166">
        <f t="shared" si="409"/>
        <v>0</v>
      </c>
      <c r="Y224" s="166">
        <f t="shared" si="410"/>
        <v>0</v>
      </c>
      <c r="Z224" s="166">
        <f t="shared" si="411"/>
        <v>0</v>
      </c>
      <c r="AA224" s="166">
        <f t="shared" si="412"/>
        <v>0</v>
      </c>
      <c r="AB224" s="166">
        <f t="shared" si="413"/>
        <v>0</v>
      </c>
      <c r="AC224" s="166" cm="1">
        <f t="array" ref="AC224">SUMPRODUCT(G224:AB224,$G$4:$AB$4)</f>
        <v>11700</v>
      </c>
      <c r="AD224" s="89" t="b">
        <f t="shared" ref="AD224:AD228" si="417">IF(AF224=AC224,TRUE,FALSE)</f>
        <v>1</v>
      </c>
      <c r="AE224" s="386">
        <f>IFERROR(SUMIF(服务费底表!$K:$K,服务费明细!$B224,服务费底表!$AD:$AD)/E224,0)</f>
        <v>1300</v>
      </c>
      <c r="AF224" s="386">
        <f t="shared" si="414"/>
        <v>11700</v>
      </c>
      <c r="AG224" s="386">
        <f>IFERROR(SUMIF(服务费底表!$K:$K,服务费明细!$B224,服务费底表!$AG:$AG)/E224,0)</f>
        <v>1300</v>
      </c>
      <c r="AH224" s="386">
        <f t="shared" si="415"/>
        <v>11700</v>
      </c>
      <c r="AI224" s="409"/>
      <c r="AJ224" s="563">
        <f t="shared" si="391"/>
        <v>2</v>
      </c>
      <c r="AK224" s="564">
        <f>SUMIF(服务费底表!$K:$K,服务费明细!$B224,服务费底表!$AC:$AC)</f>
        <v>18</v>
      </c>
      <c r="AL224" s="166">
        <f>SUMIFS(服务费底表!$AC:$AC,服务费底表!$K:$K,服务费明细!$B224,服务费底表!$T:$T,AL$3)</f>
        <v>0</v>
      </c>
      <c r="AM224" s="166">
        <f>SUMIFS(服务费底表!$AC:$AC,服务费底表!$K:$K,服务费明细!$B224,服务费底表!$T:$T,AM$3)</f>
        <v>0</v>
      </c>
      <c r="AN224" s="166">
        <f>SUMIFS(服务费底表!$AC:$AC,服务费底表!$K:$K,服务费明细!$B224,服务费底表!$T:$T,AN$3)</f>
        <v>0</v>
      </c>
      <c r="AO224" s="166">
        <f>SUMIFS(服务费底表!$AC:$AC,服务费底表!$K:$K,服务费明细!$B224,服务费底表!$T:$T,AO$3)</f>
        <v>0</v>
      </c>
      <c r="AP224" s="166">
        <f>SUMIFS(服务费底表!$AC:$AC,服务费底表!$K:$K,服务费明细!$B224,服务费底表!$T:$T,AP$3)</f>
        <v>0</v>
      </c>
      <c r="AQ224" s="166">
        <f>SUMIFS(服务费底表!$AC:$AC,服务费底表!$K:$K,服务费明细!$B224,服务费底表!$T:$T,AQ$3)</f>
        <v>0</v>
      </c>
      <c r="AR224" s="166">
        <f>SUMIFS(服务费底表!$AC:$AC,服务费底表!$K:$K,服务费明细!$B224,服务费底表!$T:$T,AR$3)</f>
        <v>18</v>
      </c>
      <c r="AS224" s="166">
        <f>SUMIFS(服务费底表!$AC:$AC,服务费底表!$K:$K,服务费明细!$B224,服务费底表!$T:$T,AS$3)</f>
        <v>0</v>
      </c>
      <c r="AT224" s="166">
        <f>SUMIFS(服务费底表!$AC:$AC,服务费底表!$K:$K,服务费明细!$B224,服务费底表!$T:$T,AT$3)</f>
        <v>0</v>
      </c>
      <c r="AU224" s="166">
        <f>SUMIFS(服务费底表!$AC:$AC,服务费底表!$K:$K,服务费明细!$B224,服务费底表!$T:$T,AU$3)</f>
        <v>0</v>
      </c>
      <c r="AV224" s="166">
        <f>SUMIFS(服务费底表!$AC:$AC,服务费底表!$K:$K,服务费明细!$B224,服务费底表!$T:$T,AV$3)</f>
        <v>0</v>
      </c>
      <c r="AW224" s="166">
        <f>SUMIFS(服务费底表!$AC:$AC,服务费底表!$K:$K,服务费明细!$B224,服务费底表!$T:$T,AW$3)</f>
        <v>0</v>
      </c>
      <c r="AX224" s="166">
        <f>SUMIFS(服务费底表!$AC:$AC,服务费底表!$K:$K,服务费明细!$B224,服务费底表!$T:$T,AX$3)</f>
        <v>0</v>
      </c>
      <c r="AY224" s="166">
        <f>SUMIFS(服务费底表!$AC:$AC,服务费底表!$K:$K,服务费明细!$B224,服务费底表!$T:$T,AY$3)</f>
        <v>0</v>
      </c>
      <c r="AZ224" s="166">
        <f>SUMIFS(服务费底表!$AC:$AC,服务费底表!$K:$K,服务费明细!$B224,服务费底表!$T:$T,AZ$3)</f>
        <v>0</v>
      </c>
      <c r="BA224" s="166">
        <f>SUMIFS(服务费底表!$AC:$AC,服务费底表!$K:$K,服务费明细!$B224,服务费底表!$T:$T,BA$3)</f>
        <v>0</v>
      </c>
      <c r="BB224" s="166">
        <f>SUMIFS(服务费底表!$AC:$AC,服务费底表!$K:$K,服务费明细!$B224,服务费底表!$T:$T,BB$3)</f>
        <v>0</v>
      </c>
      <c r="BC224" s="166">
        <f>SUMIFS(服务费底表!$AC:$AC,服务费底表!$K:$K,服务费明细!$B224,服务费底表!$T:$T,BC$3)</f>
        <v>0</v>
      </c>
      <c r="BD224" s="166">
        <f>SUMIFS(服务费底表!$AC:$AC,服务费底表!$K:$K,服务费明细!$B224,服务费底表!$T:$T,BD$3)</f>
        <v>0</v>
      </c>
      <c r="BE224" s="166">
        <f>SUMIFS(服务费底表!$AC:$AC,服务费底表!$K:$K,服务费明细!$B224,服务费底表!$T:$T,BE$3)</f>
        <v>0</v>
      </c>
      <c r="BF224" s="166">
        <f>SUMIFS(服务费底表!$AC:$AC,服务费底表!$K:$K,服务费明细!$B224,服务费底表!$T:$T,BF$3)</f>
        <v>0</v>
      </c>
      <c r="BG224" s="166">
        <f>SUMIFS(服务费底表!$AC:$AC,服务费底表!$K:$K,服务费明细!$B224,服务费底表!$T:$T,BG$3)</f>
        <v>0</v>
      </c>
      <c r="BI224" s="388">
        <f>SUMIFS(服务费底表!$AC:$AC,服务费底表!$K:$K,服务费明细!$B224,服务费底表!$H:$H,服务费明细!BI$3)</f>
        <v>18</v>
      </c>
      <c r="BJ224" s="388">
        <f>SUMIFS(服务费底表!$AC:$AC,服务费底表!$K:$K,服务费明细!$B224,服务费底表!$H:$H,服务费明细!BJ$3)</f>
        <v>0</v>
      </c>
      <c r="BK224" s="388">
        <f>SUMIFS(服务费底表!$AC:$AC,服务费底表!$K:$K,服务费明细!$B224,服务费底表!$H:$H,服务费明细!BK$3)</f>
        <v>0</v>
      </c>
      <c r="BL224" s="388">
        <f>SUMIFS(服务费底表!$AC:$AC,服务费底表!$K:$K,服务费明细!$B224,服务费底表!$H:$H,服务费明细!BL$3)</f>
        <v>0</v>
      </c>
      <c r="BM224" s="388">
        <f>SUMIFS(服务费底表!$AC:$AC,服务费底表!$K:$K,服务费明细!$B224,服务费底表!$H:$H,服务费明细!BM$3)</f>
        <v>0</v>
      </c>
      <c r="BN224" s="388">
        <f>SUMIFS(服务费底表!$AC:$AC,服务费底表!$K:$K,服务费明细!$B224,服务费底表!$H:$H,服务费明细!BN$3)</f>
        <v>0</v>
      </c>
      <c r="BO224" s="388">
        <f>SUMIFS(服务费底表!$AC:$AC,服务费底表!$K:$K,服务费明细!$B224,服务费底表!$H:$H,服务费明细!BO$3)</f>
        <v>0</v>
      </c>
      <c r="BQ224" s="389">
        <f>SUMIFS(服务费底表!$AD:$AD,服务费底表!$K:$K,服务费明细!$B224,服务费底表!$H:$H,服务费明细!BQ$3)</f>
        <v>11700</v>
      </c>
      <c r="BR224" s="389">
        <f>SUMIFS(服务费底表!$AD:$AD,服务费底表!$K:$K,服务费明细!$B224,服务费底表!$H:$H,服务费明细!BR$3)</f>
        <v>0</v>
      </c>
      <c r="BS224" s="389">
        <f>SUMIFS(服务费底表!$AD:$AD,服务费底表!$K:$K,服务费明细!$B224,服务费底表!$H:$H,服务费明细!BS$3)</f>
        <v>0</v>
      </c>
      <c r="BT224" s="389">
        <f>SUMIFS(服务费底表!$AD:$AD,服务费底表!$K:$K,服务费明细!$B224,服务费底表!$H:$H,服务费明细!BT$3)</f>
        <v>0</v>
      </c>
      <c r="BU224" s="389">
        <f>SUMIFS(服务费底表!$AD:$AD,服务费底表!$K:$K,服务费明细!$B224,服务费底表!$H:$H,服务费明细!BU$3)</f>
        <v>0</v>
      </c>
      <c r="BV224" s="389">
        <f>SUMIFS(服务费底表!$AD:$AD,服务费底表!$K:$K,服务费明细!$B224,服务费底表!$H:$H,服务费明细!BV$3)</f>
        <v>0</v>
      </c>
      <c r="BW224" s="389">
        <f>SUMIFS(服务费底表!$AD:$AD,服务费底表!$K:$K,服务费明细!$B224,服务费底表!$H:$H,服务费明细!BW$3)</f>
        <v>0</v>
      </c>
    </row>
    <row r="225" spans="2:75">
      <c r="B225" s="89" t="s">
        <v>1136</v>
      </c>
      <c r="C225" s="89" t="str">
        <f>INDEX(二三级标准!$C:$C,MATCH(服务费明细!$B225,二三级标准!$B:$B,0))</f>
        <v>SAE个案描述（中译英）</v>
      </c>
      <c r="D225" s="166">
        <v>0</v>
      </c>
      <c r="E225" s="166">
        <f>IF($D225=1,ROUNDUP(入组试验参与者数*SAE发生率,0),0)</f>
        <v>0</v>
      </c>
      <c r="F225" s="89" t="str">
        <f>INDEX(二三级标准!$G:$G,MATCH(服务费明细!$B225,二三级标准!$B:$B,0))</f>
        <v>例次</v>
      </c>
      <c r="G225" s="166">
        <f t="shared" si="392"/>
        <v>0</v>
      </c>
      <c r="H225" s="166">
        <f t="shared" si="393"/>
        <v>0</v>
      </c>
      <c r="I225" s="166">
        <f t="shared" si="394"/>
        <v>0</v>
      </c>
      <c r="J225" s="166">
        <f t="shared" si="395"/>
        <v>0</v>
      </c>
      <c r="K225" s="166">
        <f t="shared" si="396"/>
        <v>0</v>
      </c>
      <c r="L225" s="166">
        <f t="shared" si="397"/>
        <v>0</v>
      </c>
      <c r="M225" s="166">
        <f t="shared" si="398"/>
        <v>0</v>
      </c>
      <c r="N225" s="166">
        <f t="shared" si="399"/>
        <v>0</v>
      </c>
      <c r="O225" s="166">
        <f t="shared" si="400"/>
        <v>0</v>
      </c>
      <c r="P225" s="166">
        <f t="shared" si="401"/>
        <v>0</v>
      </c>
      <c r="Q225" s="166">
        <f t="shared" si="402"/>
        <v>0</v>
      </c>
      <c r="R225" s="166">
        <f t="shared" si="403"/>
        <v>0</v>
      </c>
      <c r="S225" s="166">
        <f t="shared" si="404"/>
        <v>0</v>
      </c>
      <c r="T225" s="166">
        <f t="shared" si="405"/>
        <v>0</v>
      </c>
      <c r="U225" s="166">
        <f t="shared" si="406"/>
        <v>0</v>
      </c>
      <c r="V225" s="166">
        <f t="shared" si="407"/>
        <v>0</v>
      </c>
      <c r="W225" s="166">
        <f t="shared" si="408"/>
        <v>0</v>
      </c>
      <c r="X225" s="166">
        <f t="shared" si="409"/>
        <v>0</v>
      </c>
      <c r="Y225" s="166">
        <f t="shared" si="410"/>
        <v>0</v>
      </c>
      <c r="Z225" s="166">
        <f t="shared" si="411"/>
        <v>0</v>
      </c>
      <c r="AA225" s="166">
        <f t="shared" si="412"/>
        <v>0</v>
      </c>
      <c r="AB225" s="166">
        <f t="shared" si="413"/>
        <v>0</v>
      </c>
      <c r="AC225" s="166" cm="1">
        <f t="array" ref="AC225">SUMPRODUCT(G225:AB225,$G$4:$AB$4)</f>
        <v>0</v>
      </c>
      <c r="AD225" s="89" t="b">
        <f t="shared" si="417"/>
        <v>1</v>
      </c>
      <c r="AE225" s="386">
        <f>IFERROR(SUMIF(服务费底表!$K:$K,服务费明细!$B225,服务费底表!$AD:$AD)/E225,0)</f>
        <v>0</v>
      </c>
      <c r="AF225" s="386">
        <f t="shared" si="414"/>
        <v>0</v>
      </c>
      <c r="AG225" s="386">
        <f>IFERROR(SUMIF(服务费底表!$K:$K,服务费明细!$B225,服务费底表!$AG:$AG)/E225,0)</f>
        <v>0</v>
      </c>
      <c r="AH225" s="386">
        <f t="shared" si="415"/>
        <v>0</v>
      </c>
      <c r="AI225" s="409" t="s">
        <v>982</v>
      </c>
      <c r="AJ225" s="563">
        <f t="shared" si="391"/>
        <v>0</v>
      </c>
      <c r="AK225" s="564">
        <f>SUMIF(服务费底表!$K:$K,服务费明细!$B225,服务费底表!$AC:$AC)</f>
        <v>0</v>
      </c>
      <c r="AL225" s="166">
        <f>SUMIFS(服务费底表!$AC:$AC,服务费底表!$K:$K,服务费明细!$B225,服务费底表!$T:$T,AL$3)</f>
        <v>0</v>
      </c>
      <c r="AM225" s="166">
        <f>SUMIFS(服务费底表!$AC:$AC,服务费底表!$K:$K,服务费明细!$B225,服务费底表!$T:$T,AM$3)</f>
        <v>0</v>
      </c>
      <c r="AN225" s="166">
        <f>SUMIFS(服务费底表!$AC:$AC,服务费底表!$K:$K,服务费明细!$B225,服务费底表!$T:$T,AN$3)</f>
        <v>0</v>
      </c>
      <c r="AO225" s="166">
        <f>SUMIFS(服务费底表!$AC:$AC,服务费底表!$K:$K,服务费明细!$B225,服务费底表!$T:$T,AO$3)</f>
        <v>0</v>
      </c>
      <c r="AP225" s="166">
        <f>SUMIFS(服务费底表!$AC:$AC,服务费底表!$K:$K,服务费明细!$B225,服务费底表!$T:$T,AP$3)</f>
        <v>0</v>
      </c>
      <c r="AQ225" s="166">
        <f>SUMIFS(服务费底表!$AC:$AC,服务费底表!$K:$K,服务费明细!$B225,服务费底表!$T:$T,AQ$3)</f>
        <v>0</v>
      </c>
      <c r="AR225" s="166">
        <f>SUMIFS(服务费底表!$AC:$AC,服务费底表!$K:$K,服务费明细!$B225,服务费底表!$T:$T,AR$3)</f>
        <v>0</v>
      </c>
      <c r="AS225" s="166">
        <f>SUMIFS(服务费底表!$AC:$AC,服务费底表!$K:$K,服务费明细!$B225,服务费底表!$T:$T,AS$3)</f>
        <v>0</v>
      </c>
      <c r="AT225" s="166">
        <f>SUMIFS(服务费底表!$AC:$AC,服务费底表!$K:$K,服务费明细!$B225,服务费底表!$T:$T,AT$3)</f>
        <v>0</v>
      </c>
      <c r="AU225" s="166">
        <f>SUMIFS(服务费底表!$AC:$AC,服务费底表!$K:$K,服务费明细!$B225,服务费底表!$T:$T,AU$3)</f>
        <v>0</v>
      </c>
      <c r="AV225" s="166">
        <f>SUMIFS(服务费底表!$AC:$AC,服务费底表!$K:$K,服务费明细!$B225,服务费底表!$T:$T,AV$3)</f>
        <v>0</v>
      </c>
      <c r="AW225" s="166">
        <f>SUMIFS(服务费底表!$AC:$AC,服务费底表!$K:$K,服务费明细!$B225,服务费底表!$T:$T,AW$3)</f>
        <v>0</v>
      </c>
      <c r="AX225" s="166">
        <f>SUMIFS(服务费底表!$AC:$AC,服务费底表!$K:$K,服务费明细!$B225,服务费底表!$T:$T,AX$3)</f>
        <v>0</v>
      </c>
      <c r="AY225" s="166">
        <f>SUMIFS(服务费底表!$AC:$AC,服务费底表!$K:$K,服务费明细!$B225,服务费底表!$T:$T,AY$3)</f>
        <v>0</v>
      </c>
      <c r="AZ225" s="166">
        <f>SUMIFS(服务费底表!$AC:$AC,服务费底表!$K:$K,服务费明细!$B225,服务费底表!$T:$T,AZ$3)</f>
        <v>0</v>
      </c>
      <c r="BA225" s="166">
        <f>SUMIFS(服务费底表!$AC:$AC,服务费底表!$K:$K,服务费明细!$B225,服务费底表!$T:$T,BA$3)</f>
        <v>0</v>
      </c>
      <c r="BB225" s="166">
        <f>SUMIFS(服务费底表!$AC:$AC,服务费底表!$K:$K,服务费明细!$B225,服务费底表!$T:$T,BB$3)</f>
        <v>0</v>
      </c>
      <c r="BC225" s="166">
        <f>SUMIFS(服务费底表!$AC:$AC,服务费底表!$K:$K,服务费明细!$B225,服务费底表!$T:$T,BC$3)</f>
        <v>0</v>
      </c>
      <c r="BD225" s="166">
        <f>SUMIFS(服务费底表!$AC:$AC,服务费底表!$K:$K,服务费明细!$B225,服务费底表!$T:$T,BD$3)</f>
        <v>0</v>
      </c>
      <c r="BE225" s="166">
        <f>SUMIFS(服务费底表!$AC:$AC,服务费底表!$K:$K,服务费明细!$B225,服务费底表!$T:$T,BE$3)</f>
        <v>0</v>
      </c>
      <c r="BF225" s="166">
        <f>SUMIFS(服务费底表!$AC:$AC,服务费底表!$K:$K,服务费明细!$B225,服务费底表!$T:$T,BF$3)</f>
        <v>0</v>
      </c>
      <c r="BG225" s="166">
        <f>SUMIFS(服务费底表!$AC:$AC,服务费底表!$K:$K,服务费明细!$B225,服务费底表!$T:$T,BG$3)</f>
        <v>0</v>
      </c>
      <c r="BI225" s="388">
        <f>SUMIFS(服务费底表!$AC:$AC,服务费底表!$K:$K,服务费明细!$B225,服务费底表!$H:$H,服务费明细!BI$3)</f>
        <v>0</v>
      </c>
      <c r="BJ225" s="388">
        <f>SUMIFS(服务费底表!$AC:$AC,服务费底表!$K:$K,服务费明细!$B225,服务费底表!$H:$H,服务费明细!BJ$3)</f>
        <v>0</v>
      </c>
      <c r="BK225" s="388">
        <f>SUMIFS(服务费底表!$AC:$AC,服务费底表!$K:$K,服务费明细!$B225,服务费底表!$H:$H,服务费明细!BK$3)</f>
        <v>0</v>
      </c>
      <c r="BL225" s="388">
        <f>SUMIFS(服务费底表!$AC:$AC,服务费底表!$K:$K,服务费明细!$B225,服务费底表!$H:$H,服务费明细!BL$3)</f>
        <v>0</v>
      </c>
      <c r="BM225" s="388">
        <f>SUMIFS(服务费底表!$AC:$AC,服务费底表!$K:$K,服务费明细!$B225,服务费底表!$H:$H,服务费明细!BM$3)</f>
        <v>0</v>
      </c>
      <c r="BN225" s="388">
        <f>SUMIFS(服务费底表!$AC:$AC,服务费底表!$K:$K,服务费明细!$B225,服务费底表!$H:$H,服务费明细!BN$3)</f>
        <v>0</v>
      </c>
      <c r="BO225" s="388">
        <f>SUMIFS(服务费底表!$AC:$AC,服务费底表!$K:$K,服务费明细!$B225,服务费底表!$H:$H,服务费明细!BO$3)</f>
        <v>0</v>
      </c>
      <c r="BQ225" s="389">
        <f>SUMIFS(服务费底表!$AD:$AD,服务费底表!$K:$K,服务费明细!$B225,服务费底表!$H:$H,服务费明细!BQ$3)</f>
        <v>0</v>
      </c>
      <c r="BR225" s="389">
        <f>SUMIFS(服务费底表!$AD:$AD,服务费底表!$K:$K,服务费明细!$B225,服务费底表!$H:$H,服务费明细!BR$3)</f>
        <v>0</v>
      </c>
      <c r="BS225" s="389">
        <f>SUMIFS(服务费底表!$AD:$AD,服务费底表!$K:$K,服务费明细!$B225,服务费底表!$H:$H,服务费明细!BS$3)</f>
        <v>0</v>
      </c>
      <c r="BT225" s="389">
        <f>SUMIFS(服务费底表!$AD:$AD,服务费底表!$K:$K,服务费明细!$B225,服务费底表!$H:$H,服务费明细!BT$3)</f>
        <v>0</v>
      </c>
      <c r="BU225" s="389">
        <f>SUMIFS(服务费底表!$AD:$AD,服务费底表!$K:$K,服务费明细!$B225,服务费底表!$H:$H,服务费明细!BU$3)</f>
        <v>0</v>
      </c>
      <c r="BV225" s="389">
        <f>SUMIFS(服务费底表!$AD:$AD,服务费底表!$K:$K,服务费明细!$B225,服务费底表!$H:$H,服务费明细!BV$3)</f>
        <v>0</v>
      </c>
      <c r="BW225" s="389">
        <f>SUMIFS(服务费底表!$AD:$AD,服务费底表!$K:$K,服务费明细!$B225,服务费底表!$H:$H,服务费明细!BW$3)</f>
        <v>0</v>
      </c>
    </row>
    <row r="226" spans="2:75">
      <c r="B226" s="89" t="s">
        <v>1137</v>
      </c>
      <c r="C226" s="89" t="str">
        <f>INDEX(二三级标准!$C:$C,MATCH(服务费明细!$B226,二三级标准!$B:$B,0))</f>
        <v>期中报告撰写</v>
      </c>
      <c r="D226" s="166">
        <v>0</v>
      </c>
      <c r="E226" s="166">
        <f>IF($D226=1,1,0)</f>
        <v>0</v>
      </c>
      <c r="F226" s="89" t="str">
        <f>INDEX(二三级标准!$G:$G,MATCH(服务费明细!$B226,二三级标准!$B:$B,0))</f>
        <v>份</v>
      </c>
      <c r="G226" s="166">
        <f t="shared" si="392"/>
        <v>0</v>
      </c>
      <c r="H226" s="166">
        <f t="shared" si="393"/>
        <v>0</v>
      </c>
      <c r="I226" s="166">
        <f t="shared" si="394"/>
        <v>0</v>
      </c>
      <c r="J226" s="166">
        <f t="shared" si="395"/>
        <v>0</v>
      </c>
      <c r="K226" s="166">
        <f t="shared" si="396"/>
        <v>0</v>
      </c>
      <c r="L226" s="166">
        <f t="shared" si="397"/>
        <v>0</v>
      </c>
      <c r="M226" s="166">
        <f t="shared" si="398"/>
        <v>0</v>
      </c>
      <c r="N226" s="166">
        <f t="shared" si="399"/>
        <v>0</v>
      </c>
      <c r="O226" s="166">
        <f t="shared" si="400"/>
        <v>0</v>
      </c>
      <c r="P226" s="166">
        <f t="shared" si="401"/>
        <v>0</v>
      </c>
      <c r="Q226" s="166">
        <f t="shared" si="402"/>
        <v>0</v>
      </c>
      <c r="R226" s="166">
        <f t="shared" si="403"/>
        <v>0</v>
      </c>
      <c r="S226" s="166">
        <f t="shared" si="404"/>
        <v>0</v>
      </c>
      <c r="T226" s="166">
        <f t="shared" si="405"/>
        <v>0</v>
      </c>
      <c r="U226" s="166">
        <f t="shared" si="406"/>
        <v>0</v>
      </c>
      <c r="V226" s="166">
        <f t="shared" si="407"/>
        <v>0</v>
      </c>
      <c r="W226" s="166">
        <f t="shared" si="408"/>
        <v>0</v>
      </c>
      <c r="X226" s="166">
        <f t="shared" si="409"/>
        <v>0</v>
      </c>
      <c r="Y226" s="166">
        <f t="shared" si="410"/>
        <v>0</v>
      </c>
      <c r="Z226" s="166">
        <f t="shared" si="411"/>
        <v>0</v>
      </c>
      <c r="AA226" s="166">
        <f t="shared" si="412"/>
        <v>0</v>
      </c>
      <c r="AB226" s="166">
        <f t="shared" si="413"/>
        <v>0</v>
      </c>
      <c r="AC226" s="166" cm="1">
        <f t="array" ref="AC226">SUMPRODUCT(G226:AB226,$G$4:$AB$4)</f>
        <v>0</v>
      </c>
      <c r="AD226" s="89" t="b">
        <f t="shared" si="417"/>
        <v>1</v>
      </c>
      <c r="AE226" s="386">
        <f>IFERROR(SUMIF(服务费底表!$K:$K,服务费明细!$B226,服务费底表!$AD:$AD)/E226,0)</f>
        <v>0</v>
      </c>
      <c r="AF226" s="386">
        <f t="shared" si="414"/>
        <v>0</v>
      </c>
      <c r="AG226" s="386">
        <f>IFERROR(SUMIF(服务费底表!$K:$K,服务费明细!$B226,服务费底表!$AG:$AG)/E226,0)</f>
        <v>0</v>
      </c>
      <c r="AH226" s="386">
        <f t="shared" si="415"/>
        <v>0</v>
      </c>
      <c r="AI226" s="409"/>
      <c r="AJ226" s="563">
        <f t="shared" si="391"/>
        <v>0</v>
      </c>
      <c r="AK226" s="564">
        <f>SUMIF(服务费底表!$K:$K,服务费明细!$B226,服务费底表!$AC:$AC)</f>
        <v>0</v>
      </c>
      <c r="AL226" s="166">
        <f>SUMIFS(服务费底表!$AC:$AC,服务费底表!$K:$K,服务费明细!$B226,服务费底表!$T:$T,AL$3)</f>
        <v>0</v>
      </c>
      <c r="AM226" s="166">
        <f>SUMIFS(服务费底表!$AC:$AC,服务费底表!$K:$K,服务费明细!$B226,服务费底表!$T:$T,AM$3)</f>
        <v>0</v>
      </c>
      <c r="AN226" s="166">
        <f>SUMIFS(服务费底表!$AC:$AC,服务费底表!$K:$K,服务费明细!$B226,服务费底表!$T:$T,AN$3)</f>
        <v>0</v>
      </c>
      <c r="AO226" s="166">
        <f>SUMIFS(服务费底表!$AC:$AC,服务费底表!$K:$K,服务费明细!$B226,服务费底表!$T:$T,AO$3)</f>
        <v>0</v>
      </c>
      <c r="AP226" s="166">
        <f>SUMIFS(服务费底表!$AC:$AC,服务费底表!$K:$K,服务费明细!$B226,服务费底表!$T:$T,AP$3)</f>
        <v>0</v>
      </c>
      <c r="AQ226" s="166">
        <f>SUMIFS(服务费底表!$AC:$AC,服务费底表!$K:$K,服务费明细!$B226,服务费底表!$T:$T,AQ$3)</f>
        <v>0</v>
      </c>
      <c r="AR226" s="166">
        <f>SUMIFS(服务费底表!$AC:$AC,服务费底表!$K:$K,服务费明细!$B226,服务费底表!$T:$T,AR$3)</f>
        <v>0</v>
      </c>
      <c r="AS226" s="166">
        <f>SUMIFS(服务费底表!$AC:$AC,服务费底表!$K:$K,服务费明细!$B226,服务费底表!$T:$T,AS$3)</f>
        <v>0</v>
      </c>
      <c r="AT226" s="166">
        <f>SUMIFS(服务费底表!$AC:$AC,服务费底表!$K:$K,服务费明细!$B226,服务费底表!$T:$T,AT$3)</f>
        <v>0</v>
      </c>
      <c r="AU226" s="166">
        <f>SUMIFS(服务费底表!$AC:$AC,服务费底表!$K:$K,服务费明细!$B226,服务费底表!$T:$T,AU$3)</f>
        <v>0</v>
      </c>
      <c r="AV226" s="166">
        <f>SUMIFS(服务费底表!$AC:$AC,服务费底表!$K:$K,服务费明细!$B226,服务费底表!$T:$T,AV$3)</f>
        <v>0</v>
      </c>
      <c r="AW226" s="166">
        <f>SUMIFS(服务费底表!$AC:$AC,服务费底表!$K:$K,服务费明细!$B226,服务费底表!$T:$T,AW$3)</f>
        <v>0</v>
      </c>
      <c r="AX226" s="166">
        <f>SUMIFS(服务费底表!$AC:$AC,服务费底表!$K:$K,服务费明细!$B226,服务费底表!$T:$T,AX$3)</f>
        <v>0</v>
      </c>
      <c r="AY226" s="166">
        <f>SUMIFS(服务费底表!$AC:$AC,服务费底表!$K:$K,服务费明细!$B226,服务费底表!$T:$T,AY$3)</f>
        <v>0</v>
      </c>
      <c r="AZ226" s="166">
        <f>SUMIFS(服务费底表!$AC:$AC,服务费底表!$K:$K,服务费明细!$B226,服务费底表!$T:$T,AZ$3)</f>
        <v>0</v>
      </c>
      <c r="BA226" s="166">
        <f>SUMIFS(服务费底表!$AC:$AC,服务费底表!$K:$K,服务费明细!$B226,服务费底表!$T:$T,BA$3)</f>
        <v>0</v>
      </c>
      <c r="BB226" s="166">
        <f>SUMIFS(服务费底表!$AC:$AC,服务费底表!$K:$K,服务费明细!$B226,服务费底表!$T:$T,BB$3)</f>
        <v>0</v>
      </c>
      <c r="BC226" s="166">
        <f>SUMIFS(服务费底表!$AC:$AC,服务费底表!$K:$K,服务费明细!$B226,服务费底表!$T:$T,BC$3)</f>
        <v>0</v>
      </c>
      <c r="BD226" s="166">
        <f>SUMIFS(服务费底表!$AC:$AC,服务费底表!$K:$K,服务费明细!$B226,服务费底表!$T:$T,BD$3)</f>
        <v>0</v>
      </c>
      <c r="BE226" s="166">
        <f>SUMIFS(服务费底表!$AC:$AC,服务费底表!$K:$K,服务费明细!$B226,服务费底表!$T:$T,BE$3)</f>
        <v>0</v>
      </c>
      <c r="BF226" s="166">
        <f>SUMIFS(服务费底表!$AC:$AC,服务费底表!$K:$K,服务费明细!$B226,服务费底表!$T:$T,BF$3)</f>
        <v>0</v>
      </c>
      <c r="BG226" s="166">
        <f>SUMIFS(服务费底表!$AC:$AC,服务费底表!$K:$K,服务费明细!$B226,服务费底表!$T:$T,BG$3)</f>
        <v>0</v>
      </c>
      <c r="BI226" s="388">
        <f>SUMIFS(服务费底表!$AC:$AC,服务费底表!$K:$K,服务费明细!$B226,服务费底表!$H:$H,服务费明细!BI$3)</f>
        <v>0</v>
      </c>
      <c r="BJ226" s="388">
        <f>SUMIFS(服务费底表!$AC:$AC,服务费底表!$K:$K,服务费明细!$B226,服务费底表!$H:$H,服务费明细!BJ$3)</f>
        <v>0</v>
      </c>
      <c r="BK226" s="388">
        <f>SUMIFS(服务费底表!$AC:$AC,服务费底表!$K:$K,服务费明细!$B226,服务费底表!$H:$H,服务费明细!BK$3)</f>
        <v>0</v>
      </c>
      <c r="BL226" s="388">
        <f>SUMIFS(服务费底表!$AC:$AC,服务费底表!$K:$K,服务费明细!$B226,服务费底表!$H:$H,服务费明细!BL$3)</f>
        <v>0</v>
      </c>
      <c r="BM226" s="388">
        <f>SUMIFS(服务费底表!$AC:$AC,服务费底表!$K:$K,服务费明细!$B226,服务费底表!$H:$H,服务费明细!BM$3)</f>
        <v>0</v>
      </c>
      <c r="BN226" s="388">
        <f>SUMIFS(服务费底表!$AC:$AC,服务费底表!$K:$K,服务费明细!$B226,服务费底表!$H:$H,服务费明细!BN$3)</f>
        <v>0</v>
      </c>
      <c r="BO226" s="388">
        <f>SUMIFS(服务费底表!$AC:$AC,服务费底表!$K:$K,服务费明细!$B226,服务费底表!$H:$H,服务费明细!BO$3)</f>
        <v>0</v>
      </c>
      <c r="BQ226" s="389">
        <f>SUMIFS(服务费底表!$AD:$AD,服务费底表!$K:$K,服务费明细!$B226,服务费底表!$H:$H,服务费明细!BQ$3)</f>
        <v>0</v>
      </c>
      <c r="BR226" s="389">
        <f>SUMIFS(服务费底表!$AD:$AD,服务费底表!$K:$K,服务费明细!$B226,服务费底表!$H:$H,服务费明细!BR$3)</f>
        <v>0</v>
      </c>
      <c r="BS226" s="389">
        <f>SUMIFS(服务费底表!$AD:$AD,服务费底表!$K:$K,服务费明细!$B226,服务费底表!$H:$H,服务费明细!BS$3)</f>
        <v>0</v>
      </c>
      <c r="BT226" s="389">
        <f>SUMIFS(服务费底表!$AD:$AD,服务费底表!$K:$K,服务费明细!$B226,服务费底表!$H:$H,服务费明细!BT$3)</f>
        <v>0</v>
      </c>
      <c r="BU226" s="389">
        <f>SUMIFS(服务费底表!$AD:$AD,服务费底表!$K:$K,服务费明细!$B226,服务费底表!$H:$H,服务费明细!BU$3)</f>
        <v>0</v>
      </c>
      <c r="BV226" s="389">
        <f>SUMIFS(服务费底表!$AD:$AD,服务费底表!$K:$K,服务费明细!$B226,服务费底表!$H:$H,服务费明细!BV$3)</f>
        <v>0</v>
      </c>
      <c r="BW226" s="389">
        <f>SUMIFS(服务费底表!$AD:$AD,服务费底表!$K:$K,服务费明细!$B226,服务费底表!$H:$H,服务费明细!BW$3)</f>
        <v>0</v>
      </c>
    </row>
    <row r="227" spans="2:75">
      <c r="B227" s="89" t="s">
        <v>1138</v>
      </c>
      <c r="C227" s="89" t="str">
        <f>INDEX(二三级标准!$C:$C,MATCH(服务费明细!$B227,二三级标准!$B:$B,0))</f>
        <v>期中报告（中译英）</v>
      </c>
      <c r="D227" s="166">
        <v>0</v>
      </c>
      <c r="E227" s="166">
        <f>IF($D227=1,1,0)</f>
        <v>0</v>
      </c>
      <c r="F227" s="89" t="str">
        <f>INDEX(二三级标准!$G:$G,MATCH(服务费明细!$B227,二三级标准!$B:$B,0))</f>
        <v>份</v>
      </c>
      <c r="G227" s="166">
        <f t="shared" si="392"/>
        <v>0</v>
      </c>
      <c r="H227" s="166">
        <f t="shared" si="393"/>
        <v>0</v>
      </c>
      <c r="I227" s="166">
        <f t="shared" si="394"/>
        <v>0</v>
      </c>
      <c r="J227" s="166">
        <f t="shared" si="395"/>
        <v>0</v>
      </c>
      <c r="K227" s="166">
        <f t="shared" si="396"/>
        <v>0</v>
      </c>
      <c r="L227" s="166">
        <f t="shared" si="397"/>
        <v>0</v>
      </c>
      <c r="M227" s="166">
        <f t="shared" si="398"/>
        <v>0</v>
      </c>
      <c r="N227" s="166">
        <f t="shared" si="399"/>
        <v>0</v>
      </c>
      <c r="O227" s="166">
        <f t="shared" si="400"/>
        <v>0</v>
      </c>
      <c r="P227" s="166">
        <f t="shared" si="401"/>
        <v>0</v>
      </c>
      <c r="Q227" s="166">
        <f t="shared" si="402"/>
        <v>0</v>
      </c>
      <c r="R227" s="166">
        <f t="shared" si="403"/>
        <v>0</v>
      </c>
      <c r="S227" s="166">
        <f t="shared" si="404"/>
        <v>0</v>
      </c>
      <c r="T227" s="166">
        <f t="shared" si="405"/>
        <v>0</v>
      </c>
      <c r="U227" s="166">
        <f t="shared" si="406"/>
        <v>0</v>
      </c>
      <c r="V227" s="166">
        <f t="shared" si="407"/>
        <v>0</v>
      </c>
      <c r="W227" s="166">
        <f t="shared" si="408"/>
        <v>0</v>
      </c>
      <c r="X227" s="166">
        <f t="shared" si="409"/>
        <v>0</v>
      </c>
      <c r="Y227" s="166">
        <f t="shared" si="410"/>
        <v>0</v>
      </c>
      <c r="Z227" s="166">
        <f t="shared" si="411"/>
        <v>0</v>
      </c>
      <c r="AA227" s="166">
        <f t="shared" si="412"/>
        <v>0</v>
      </c>
      <c r="AB227" s="166">
        <f t="shared" si="413"/>
        <v>0</v>
      </c>
      <c r="AC227" s="166" cm="1">
        <f t="array" ref="AC227">SUMPRODUCT(G227:AB227,$G$4:$AB$4)</f>
        <v>0</v>
      </c>
      <c r="AD227" s="89" t="b">
        <f t="shared" si="417"/>
        <v>1</v>
      </c>
      <c r="AE227" s="386">
        <f>IFERROR(SUMIF(服务费底表!$K:$K,服务费明细!$B227,服务费底表!$AD:$AD)/E227,0)</f>
        <v>0</v>
      </c>
      <c r="AF227" s="386">
        <f t="shared" si="414"/>
        <v>0</v>
      </c>
      <c r="AG227" s="386">
        <f>IFERROR(SUMIF(服务费底表!$K:$K,服务费明细!$B227,服务费底表!$AG:$AG)/E227,0)</f>
        <v>0</v>
      </c>
      <c r="AH227" s="386">
        <f t="shared" si="415"/>
        <v>0</v>
      </c>
      <c r="AI227" s="409" t="s">
        <v>982</v>
      </c>
      <c r="AJ227" s="563">
        <f t="shared" si="391"/>
        <v>0</v>
      </c>
      <c r="AK227" s="564">
        <f>SUMIF(服务费底表!$K:$K,服务费明细!$B227,服务费底表!$AC:$AC)</f>
        <v>0</v>
      </c>
      <c r="AL227" s="166">
        <f>SUMIFS(服务费底表!$AC:$AC,服务费底表!$K:$K,服务费明细!$B227,服务费底表!$T:$T,AL$3)</f>
        <v>0</v>
      </c>
      <c r="AM227" s="166">
        <f>SUMIFS(服务费底表!$AC:$AC,服务费底表!$K:$K,服务费明细!$B227,服务费底表!$T:$T,AM$3)</f>
        <v>0</v>
      </c>
      <c r="AN227" s="166">
        <f>SUMIFS(服务费底表!$AC:$AC,服务费底表!$K:$K,服务费明细!$B227,服务费底表!$T:$T,AN$3)</f>
        <v>0</v>
      </c>
      <c r="AO227" s="166">
        <f>SUMIFS(服务费底表!$AC:$AC,服务费底表!$K:$K,服务费明细!$B227,服务费底表!$T:$T,AO$3)</f>
        <v>0</v>
      </c>
      <c r="AP227" s="166">
        <f>SUMIFS(服务费底表!$AC:$AC,服务费底表!$K:$K,服务费明细!$B227,服务费底表!$T:$T,AP$3)</f>
        <v>0</v>
      </c>
      <c r="AQ227" s="166">
        <f>SUMIFS(服务费底表!$AC:$AC,服务费底表!$K:$K,服务费明细!$B227,服务费底表!$T:$T,AQ$3)</f>
        <v>0</v>
      </c>
      <c r="AR227" s="166">
        <f>SUMIFS(服务费底表!$AC:$AC,服务费底表!$K:$K,服务费明细!$B227,服务费底表!$T:$T,AR$3)</f>
        <v>0</v>
      </c>
      <c r="AS227" s="166">
        <f>SUMIFS(服务费底表!$AC:$AC,服务费底表!$K:$K,服务费明细!$B227,服务费底表!$T:$T,AS$3)</f>
        <v>0</v>
      </c>
      <c r="AT227" s="166">
        <f>SUMIFS(服务费底表!$AC:$AC,服务费底表!$K:$K,服务费明细!$B227,服务费底表!$T:$T,AT$3)</f>
        <v>0</v>
      </c>
      <c r="AU227" s="166">
        <f>SUMIFS(服务费底表!$AC:$AC,服务费底表!$K:$K,服务费明细!$B227,服务费底表!$T:$T,AU$3)</f>
        <v>0</v>
      </c>
      <c r="AV227" s="166">
        <f>SUMIFS(服务费底表!$AC:$AC,服务费底表!$K:$K,服务费明细!$B227,服务费底表!$T:$T,AV$3)</f>
        <v>0</v>
      </c>
      <c r="AW227" s="166">
        <f>SUMIFS(服务费底表!$AC:$AC,服务费底表!$K:$K,服务费明细!$B227,服务费底表!$T:$T,AW$3)</f>
        <v>0</v>
      </c>
      <c r="AX227" s="166">
        <f>SUMIFS(服务费底表!$AC:$AC,服务费底表!$K:$K,服务费明细!$B227,服务费底表!$T:$T,AX$3)</f>
        <v>0</v>
      </c>
      <c r="AY227" s="166">
        <f>SUMIFS(服务费底表!$AC:$AC,服务费底表!$K:$K,服务费明细!$B227,服务费底表!$T:$T,AY$3)</f>
        <v>0</v>
      </c>
      <c r="AZ227" s="166">
        <f>SUMIFS(服务费底表!$AC:$AC,服务费底表!$K:$K,服务费明细!$B227,服务费底表!$T:$T,AZ$3)</f>
        <v>0</v>
      </c>
      <c r="BA227" s="166">
        <f>SUMIFS(服务费底表!$AC:$AC,服务费底表!$K:$K,服务费明细!$B227,服务费底表!$T:$T,BA$3)</f>
        <v>0</v>
      </c>
      <c r="BB227" s="166">
        <f>SUMIFS(服务费底表!$AC:$AC,服务费底表!$K:$K,服务费明细!$B227,服务费底表!$T:$T,BB$3)</f>
        <v>0</v>
      </c>
      <c r="BC227" s="166">
        <f>SUMIFS(服务费底表!$AC:$AC,服务费底表!$K:$K,服务费明细!$B227,服务费底表!$T:$T,BC$3)</f>
        <v>0</v>
      </c>
      <c r="BD227" s="166">
        <f>SUMIFS(服务费底表!$AC:$AC,服务费底表!$K:$K,服务费明细!$B227,服务费底表!$T:$T,BD$3)</f>
        <v>0</v>
      </c>
      <c r="BE227" s="166">
        <f>SUMIFS(服务费底表!$AC:$AC,服务费底表!$K:$K,服务费明细!$B227,服务费底表!$T:$T,BE$3)</f>
        <v>0</v>
      </c>
      <c r="BF227" s="166">
        <f>SUMIFS(服务费底表!$AC:$AC,服务费底表!$K:$K,服务费明细!$B227,服务费底表!$T:$T,BF$3)</f>
        <v>0</v>
      </c>
      <c r="BG227" s="166">
        <f>SUMIFS(服务费底表!$AC:$AC,服务费底表!$K:$K,服务费明细!$B227,服务费底表!$T:$T,BG$3)</f>
        <v>0</v>
      </c>
      <c r="BI227" s="388">
        <f>SUMIFS(服务费底表!$AC:$AC,服务费底表!$K:$K,服务费明细!$B227,服务费底表!$H:$H,服务费明细!BI$3)</f>
        <v>0</v>
      </c>
      <c r="BJ227" s="388">
        <f>SUMIFS(服务费底表!$AC:$AC,服务费底表!$K:$K,服务费明细!$B227,服务费底表!$H:$H,服务费明细!BJ$3)</f>
        <v>0</v>
      </c>
      <c r="BK227" s="388">
        <f>SUMIFS(服务费底表!$AC:$AC,服务费底表!$K:$K,服务费明细!$B227,服务费底表!$H:$H,服务费明细!BK$3)</f>
        <v>0</v>
      </c>
      <c r="BL227" s="388">
        <f>SUMIFS(服务费底表!$AC:$AC,服务费底表!$K:$K,服务费明细!$B227,服务费底表!$H:$H,服务费明细!BL$3)</f>
        <v>0</v>
      </c>
      <c r="BM227" s="388">
        <f>SUMIFS(服务费底表!$AC:$AC,服务费底表!$K:$K,服务费明细!$B227,服务费底表!$H:$H,服务费明细!BM$3)</f>
        <v>0</v>
      </c>
      <c r="BN227" s="388">
        <f>SUMIFS(服务费底表!$AC:$AC,服务费底表!$K:$K,服务费明细!$B227,服务费底表!$H:$H,服务费明细!BN$3)</f>
        <v>0</v>
      </c>
      <c r="BO227" s="388">
        <f>SUMIFS(服务费底表!$AC:$AC,服务费底表!$K:$K,服务费明细!$B227,服务费底表!$H:$H,服务费明细!BO$3)</f>
        <v>0</v>
      </c>
      <c r="BQ227" s="389">
        <f>SUMIFS(服务费底表!$AD:$AD,服务费底表!$K:$K,服务费明细!$B227,服务费底表!$H:$H,服务费明细!BQ$3)</f>
        <v>0</v>
      </c>
      <c r="BR227" s="389">
        <f>SUMIFS(服务费底表!$AD:$AD,服务费底表!$K:$K,服务费明细!$B227,服务费底表!$H:$H,服务费明细!BR$3)</f>
        <v>0</v>
      </c>
      <c r="BS227" s="389">
        <f>SUMIFS(服务费底表!$AD:$AD,服务费底表!$K:$K,服务费明细!$B227,服务费底表!$H:$H,服务费明细!BS$3)</f>
        <v>0</v>
      </c>
      <c r="BT227" s="389">
        <f>SUMIFS(服务费底表!$AD:$AD,服务费底表!$K:$K,服务费明细!$B227,服务费底表!$H:$H,服务费明细!BT$3)</f>
        <v>0</v>
      </c>
      <c r="BU227" s="389">
        <f>SUMIFS(服务费底表!$AD:$AD,服务费底表!$K:$K,服务费明细!$B227,服务费底表!$H:$H,服务费明细!BU$3)</f>
        <v>0</v>
      </c>
      <c r="BV227" s="389">
        <f>SUMIFS(服务费底表!$AD:$AD,服务费底表!$K:$K,服务费明细!$B227,服务费底表!$H:$H,服务费明细!BV$3)</f>
        <v>0</v>
      </c>
      <c r="BW227" s="389">
        <f>SUMIFS(服务费底表!$AD:$AD,服务费底表!$K:$K,服务费明细!$B227,服务费底表!$H:$H,服务费明细!BW$3)</f>
        <v>0</v>
      </c>
    </row>
    <row r="228" spans="2:75">
      <c r="B228" s="89" t="s">
        <v>411</v>
      </c>
      <c r="C228" s="89" t="str">
        <f>INDEX(二三级标准!$C:$C,MATCH(服务费明细!$B228,二三级标准!$B:$B,0))</f>
        <v>其他报告撰写</v>
      </c>
      <c r="D228" s="166">
        <v>0</v>
      </c>
      <c r="E228" s="166">
        <f>IF($D228=1,1,0)</f>
        <v>0</v>
      </c>
      <c r="F228" s="89" t="str">
        <f>INDEX(二三级标准!$G:$G,MATCH(服务费明细!$B228,二三级标准!$B:$B,0))</f>
        <v>份</v>
      </c>
      <c r="G228" s="166">
        <f t="shared" si="392"/>
        <v>0</v>
      </c>
      <c r="H228" s="166">
        <f t="shared" si="393"/>
        <v>0</v>
      </c>
      <c r="I228" s="166">
        <f t="shared" si="394"/>
        <v>0</v>
      </c>
      <c r="J228" s="166">
        <f t="shared" si="395"/>
        <v>0</v>
      </c>
      <c r="K228" s="166">
        <f t="shared" si="396"/>
        <v>0</v>
      </c>
      <c r="L228" s="166">
        <f t="shared" si="397"/>
        <v>0</v>
      </c>
      <c r="M228" s="166">
        <f t="shared" si="398"/>
        <v>0</v>
      </c>
      <c r="N228" s="166">
        <f t="shared" si="399"/>
        <v>0</v>
      </c>
      <c r="O228" s="166">
        <f t="shared" si="400"/>
        <v>0</v>
      </c>
      <c r="P228" s="166">
        <f t="shared" si="401"/>
        <v>0</v>
      </c>
      <c r="Q228" s="166">
        <f t="shared" si="402"/>
        <v>0</v>
      </c>
      <c r="R228" s="166">
        <f t="shared" si="403"/>
        <v>0</v>
      </c>
      <c r="S228" s="166">
        <f t="shared" si="404"/>
        <v>0</v>
      </c>
      <c r="T228" s="166">
        <f t="shared" si="405"/>
        <v>0</v>
      </c>
      <c r="U228" s="166">
        <f t="shared" si="406"/>
        <v>0</v>
      </c>
      <c r="V228" s="166">
        <f t="shared" si="407"/>
        <v>0</v>
      </c>
      <c r="W228" s="166">
        <f t="shared" si="408"/>
        <v>0</v>
      </c>
      <c r="X228" s="166">
        <f t="shared" si="409"/>
        <v>0</v>
      </c>
      <c r="Y228" s="166">
        <f t="shared" si="410"/>
        <v>0</v>
      </c>
      <c r="Z228" s="166">
        <f t="shared" si="411"/>
        <v>0</v>
      </c>
      <c r="AA228" s="166">
        <f t="shared" si="412"/>
        <v>0</v>
      </c>
      <c r="AB228" s="166">
        <f t="shared" si="413"/>
        <v>0</v>
      </c>
      <c r="AC228" s="166" cm="1">
        <f t="array" ref="AC228">SUMPRODUCT(G228:AB228,$G$4:$AB$4)</f>
        <v>0</v>
      </c>
      <c r="AD228" s="89" t="b">
        <f t="shared" si="417"/>
        <v>1</v>
      </c>
      <c r="AE228" s="386">
        <f>IFERROR(SUMIF(服务费底表!$K:$K,服务费明细!$B228,服务费底表!$AD:$AD)/E228,0)</f>
        <v>0</v>
      </c>
      <c r="AF228" s="386">
        <f t="shared" si="414"/>
        <v>0</v>
      </c>
      <c r="AG228" s="386">
        <f>IFERROR(SUMIF(服务费底表!$K:$K,服务费明细!$B228,服务费底表!$AG:$AG)/E228,0)</f>
        <v>0</v>
      </c>
      <c r="AH228" s="386">
        <f t="shared" si="415"/>
        <v>0</v>
      </c>
      <c r="AI228" s="409"/>
      <c r="AJ228" s="563">
        <f t="shared" si="391"/>
        <v>0</v>
      </c>
      <c r="AK228" s="564">
        <f>SUMIF(服务费底表!$K:$K,服务费明细!$B228,服务费底表!$AC:$AC)</f>
        <v>0</v>
      </c>
      <c r="AL228" s="166">
        <f>SUMIFS(服务费底表!$AC:$AC,服务费底表!$K:$K,服务费明细!$B228,服务费底表!$T:$T,AL$3)</f>
        <v>0</v>
      </c>
      <c r="AM228" s="166">
        <f>SUMIFS(服务费底表!$AC:$AC,服务费底表!$K:$K,服务费明细!$B228,服务费底表!$T:$T,AM$3)</f>
        <v>0</v>
      </c>
      <c r="AN228" s="166">
        <f>SUMIFS(服务费底表!$AC:$AC,服务费底表!$K:$K,服务费明细!$B228,服务费底表!$T:$T,AN$3)</f>
        <v>0</v>
      </c>
      <c r="AO228" s="166">
        <f>SUMIFS(服务费底表!$AC:$AC,服务费底表!$K:$K,服务费明细!$B228,服务费底表!$T:$T,AO$3)</f>
        <v>0</v>
      </c>
      <c r="AP228" s="166">
        <f>SUMIFS(服务费底表!$AC:$AC,服务费底表!$K:$K,服务费明细!$B228,服务费底表!$T:$T,AP$3)</f>
        <v>0</v>
      </c>
      <c r="AQ228" s="166">
        <f>SUMIFS(服务费底表!$AC:$AC,服务费底表!$K:$K,服务费明细!$B228,服务费底表!$T:$T,AQ$3)</f>
        <v>0</v>
      </c>
      <c r="AR228" s="166">
        <f>SUMIFS(服务费底表!$AC:$AC,服务费底表!$K:$K,服务费明细!$B228,服务费底表!$T:$T,AR$3)</f>
        <v>0</v>
      </c>
      <c r="AS228" s="166">
        <f>SUMIFS(服务费底表!$AC:$AC,服务费底表!$K:$K,服务费明细!$B228,服务费底表!$T:$T,AS$3)</f>
        <v>0</v>
      </c>
      <c r="AT228" s="166">
        <f>SUMIFS(服务费底表!$AC:$AC,服务费底表!$K:$K,服务费明细!$B228,服务费底表!$T:$T,AT$3)</f>
        <v>0</v>
      </c>
      <c r="AU228" s="166">
        <f>SUMIFS(服务费底表!$AC:$AC,服务费底表!$K:$K,服务费明细!$B228,服务费底表!$T:$T,AU$3)</f>
        <v>0</v>
      </c>
      <c r="AV228" s="166">
        <f>SUMIFS(服务费底表!$AC:$AC,服务费底表!$K:$K,服务费明细!$B228,服务费底表!$T:$T,AV$3)</f>
        <v>0</v>
      </c>
      <c r="AW228" s="166">
        <f>SUMIFS(服务费底表!$AC:$AC,服务费底表!$K:$K,服务费明细!$B228,服务费底表!$T:$T,AW$3)</f>
        <v>0</v>
      </c>
      <c r="AX228" s="166">
        <f>SUMIFS(服务费底表!$AC:$AC,服务费底表!$K:$K,服务费明细!$B228,服务费底表!$T:$T,AX$3)</f>
        <v>0</v>
      </c>
      <c r="AY228" s="166">
        <f>SUMIFS(服务费底表!$AC:$AC,服务费底表!$K:$K,服务费明细!$B228,服务费底表!$T:$T,AY$3)</f>
        <v>0</v>
      </c>
      <c r="AZ228" s="166">
        <f>SUMIFS(服务费底表!$AC:$AC,服务费底表!$K:$K,服务费明细!$B228,服务费底表!$T:$T,AZ$3)</f>
        <v>0</v>
      </c>
      <c r="BA228" s="166">
        <f>SUMIFS(服务费底表!$AC:$AC,服务费底表!$K:$K,服务费明细!$B228,服务费底表!$T:$T,BA$3)</f>
        <v>0</v>
      </c>
      <c r="BB228" s="166">
        <f>SUMIFS(服务费底表!$AC:$AC,服务费底表!$K:$K,服务费明细!$B228,服务费底表!$T:$T,BB$3)</f>
        <v>0</v>
      </c>
      <c r="BC228" s="166">
        <f>SUMIFS(服务费底表!$AC:$AC,服务费底表!$K:$K,服务费明细!$B228,服务费底表!$T:$T,BC$3)</f>
        <v>0</v>
      </c>
      <c r="BD228" s="166">
        <f>SUMIFS(服务费底表!$AC:$AC,服务费底表!$K:$K,服务费明细!$B228,服务费底表!$T:$T,BD$3)</f>
        <v>0</v>
      </c>
      <c r="BE228" s="166">
        <f>SUMIFS(服务费底表!$AC:$AC,服务费底表!$K:$K,服务费明细!$B228,服务费底表!$T:$T,BE$3)</f>
        <v>0</v>
      </c>
      <c r="BF228" s="166">
        <f>SUMIFS(服务费底表!$AC:$AC,服务费底表!$K:$K,服务费明细!$B228,服务费底表!$T:$T,BF$3)</f>
        <v>0</v>
      </c>
      <c r="BG228" s="166">
        <f>SUMIFS(服务费底表!$AC:$AC,服务费底表!$K:$K,服务费明细!$B228,服务费底表!$T:$T,BG$3)</f>
        <v>0</v>
      </c>
      <c r="BI228" s="388">
        <f>SUMIFS(服务费底表!$AC:$AC,服务费底表!$K:$K,服务费明细!$B228,服务费底表!$H:$H,服务费明细!BI$3)</f>
        <v>0</v>
      </c>
      <c r="BJ228" s="388">
        <f>SUMIFS(服务费底表!$AC:$AC,服务费底表!$K:$K,服务费明细!$B228,服务费底表!$H:$H,服务费明细!BJ$3)</f>
        <v>0</v>
      </c>
      <c r="BK228" s="388">
        <f>SUMIFS(服务费底表!$AC:$AC,服务费底表!$K:$K,服务费明细!$B228,服务费底表!$H:$H,服务费明细!BK$3)</f>
        <v>0</v>
      </c>
      <c r="BL228" s="388">
        <f>SUMIFS(服务费底表!$AC:$AC,服务费底表!$K:$K,服务费明细!$B228,服务费底表!$H:$H,服务费明细!BL$3)</f>
        <v>0</v>
      </c>
      <c r="BM228" s="388">
        <f>SUMIFS(服务费底表!$AC:$AC,服务费底表!$K:$K,服务费明细!$B228,服务费底表!$H:$H,服务费明细!BM$3)</f>
        <v>0</v>
      </c>
      <c r="BN228" s="388">
        <f>SUMIFS(服务费底表!$AC:$AC,服务费底表!$K:$K,服务费明细!$B228,服务费底表!$H:$H,服务费明细!BN$3)</f>
        <v>0</v>
      </c>
      <c r="BO228" s="388">
        <f>SUMIFS(服务费底表!$AC:$AC,服务费底表!$K:$K,服务费明细!$B228,服务费底表!$H:$H,服务费明细!BO$3)</f>
        <v>0</v>
      </c>
      <c r="BQ228" s="389">
        <f>SUMIFS(服务费底表!$AD:$AD,服务费底表!$K:$K,服务费明细!$B228,服务费底表!$H:$H,服务费明细!BQ$3)</f>
        <v>0</v>
      </c>
      <c r="BR228" s="389">
        <f>SUMIFS(服务费底表!$AD:$AD,服务费底表!$K:$K,服务费明细!$B228,服务费底表!$H:$H,服务费明细!BR$3)</f>
        <v>0</v>
      </c>
      <c r="BS228" s="389">
        <f>SUMIFS(服务费底表!$AD:$AD,服务费底表!$K:$K,服务费明细!$B228,服务费底表!$H:$H,服务费明细!BS$3)</f>
        <v>0</v>
      </c>
      <c r="BT228" s="389">
        <f>SUMIFS(服务费底表!$AD:$AD,服务费底表!$K:$K,服务费明细!$B228,服务费底表!$H:$H,服务费明细!BT$3)</f>
        <v>0</v>
      </c>
      <c r="BU228" s="389">
        <f>SUMIFS(服务费底表!$AD:$AD,服务费底表!$K:$K,服务费明细!$B228,服务费底表!$H:$H,服务费明细!BU$3)</f>
        <v>0</v>
      </c>
      <c r="BV228" s="389">
        <f>SUMIFS(服务费底表!$AD:$AD,服务费底表!$K:$K,服务费明细!$B228,服务费底表!$H:$H,服务费明细!BV$3)</f>
        <v>0</v>
      </c>
      <c r="BW228" s="389">
        <f>SUMIFS(服务费底表!$AD:$AD,服务费底表!$K:$K,服务费明细!$B228,服务费底表!$H:$H,服务费明细!BW$3)</f>
        <v>0</v>
      </c>
    </row>
    <row r="229" ht="15.6" spans="2:75">
      <c r="B229" s="88" t="s">
        <v>928</v>
      </c>
      <c r="C229" s="88" t="str">
        <f>INDEX(二三级标准!$Q:$Q,MATCH(服务费明细!$B229,二三级标准!$O:$O,0))</f>
        <v>非盲临床运营</v>
      </c>
      <c r="D229" s="376">
        <v>0</v>
      </c>
      <c r="E229" s="377"/>
      <c r="F229" s="378"/>
      <c r="G229" s="429">
        <f>SUM(G230:G240)</f>
        <v>0</v>
      </c>
      <c r="H229" s="429">
        <f t="shared" ref="H229:AB229" si="418">SUM(H230:H240)</f>
        <v>0</v>
      </c>
      <c r="I229" s="429">
        <f t="shared" si="418"/>
        <v>0</v>
      </c>
      <c r="J229" s="429">
        <f t="shared" si="418"/>
        <v>0</v>
      </c>
      <c r="K229" s="429">
        <f t="shared" si="418"/>
        <v>0</v>
      </c>
      <c r="L229" s="429">
        <f t="shared" si="418"/>
        <v>0</v>
      </c>
      <c r="M229" s="429">
        <f t="shared" si="418"/>
        <v>0</v>
      </c>
      <c r="N229" s="429">
        <f t="shared" si="418"/>
        <v>0</v>
      </c>
      <c r="O229" s="429">
        <f t="shared" si="418"/>
        <v>0</v>
      </c>
      <c r="P229" s="429">
        <f t="shared" si="418"/>
        <v>0</v>
      </c>
      <c r="Q229" s="429">
        <f t="shared" si="418"/>
        <v>0</v>
      </c>
      <c r="R229" s="429">
        <f t="shared" si="418"/>
        <v>0</v>
      </c>
      <c r="S229" s="429">
        <f t="shared" si="418"/>
        <v>0</v>
      </c>
      <c r="T229" s="429">
        <f t="shared" si="418"/>
        <v>0</v>
      </c>
      <c r="U229" s="429">
        <f t="shared" si="418"/>
        <v>0</v>
      </c>
      <c r="V229" s="429">
        <f t="shared" si="418"/>
        <v>0</v>
      </c>
      <c r="W229" s="429">
        <f t="shared" si="418"/>
        <v>0</v>
      </c>
      <c r="X229" s="429">
        <f t="shared" si="418"/>
        <v>0</v>
      </c>
      <c r="Y229" s="429">
        <f t="shared" si="418"/>
        <v>0</v>
      </c>
      <c r="Z229" s="429">
        <f t="shared" si="418"/>
        <v>0</v>
      </c>
      <c r="AA229" s="429">
        <f t="shared" si="418"/>
        <v>0</v>
      </c>
      <c r="AB229" s="429">
        <f t="shared" si="418"/>
        <v>0</v>
      </c>
      <c r="AC229" s="378"/>
      <c r="AD229" s="378">
        <f>SUM(G229:AB229)</f>
        <v>0</v>
      </c>
      <c r="AE229" s="379"/>
      <c r="AF229" s="380">
        <f>SUM(AF230:AF240)</f>
        <v>0</v>
      </c>
      <c r="AG229" s="380"/>
      <c r="AH229" s="380">
        <f>SUM(AH230:AH240)</f>
        <v>0</v>
      </c>
      <c r="AI229" s="570"/>
      <c r="AJ229" s="566"/>
      <c r="AK229" s="559">
        <f>SUM(AK230:AK240)</f>
        <v>0</v>
      </c>
      <c r="AL229" s="166">
        <f>SUMIFS(服务费底表!$AC:$AC,服务费底表!$K:$K,服务费明细!$B229,服务费底表!$T:$T,AL$3)</f>
        <v>0</v>
      </c>
      <c r="AM229" s="166">
        <f>SUMIFS(服务费底表!$AC:$AC,服务费底表!$K:$K,服务费明细!$B229,服务费底表!$T:$T,AM$3)</f>
        <v>0</v>
      </c>
      <c r="AN229" s="166">
        <f>SUMIFS(服务费底表!$AC:$AC,服务费底表!$K:$K,服务费明细!$B229,服务费底表!$T:$T,AN$3)</f>
        <v>0</v>
      </c>
      <c r="AO229" s="166">
        <f>SUMIFS(服务费底表!$AC:$AC,服务费底表!$K:$K,服务费明细!$B229,服务费底表!$T:$T,AO$3)</f>
        <v>0</v>
      </c>
      <c r="AP229" s="166">
        <f>SUMIFS(服务费底表!$AC:$AC,服务费底表!$K:$K,服务费明细!$B229,服务费底表!$T:$T,AP$3)</f>
        <v>0</v>
      </c>
      <c r="AQ229" s="166">
        <f>SUMIFS(服务费底表!$AC:$AC,服务费底表!$K:$K,服务费明细!$B229,服务费底表!$T:$T,AQ$3)</f>
        <v>0</v>
      </c>
      <c r="AR229" s="166">
        <f>SUMIFS(服务费底表!$AC:$AC,服务费底表!$K:$K,服务费明细!$B229,服务费底表!$T:$T,AR$3)</f>
        <v>0</v>
      </c>
      <c r="AS229" s="166">
        <f>SUMIFS(服务费底表!$AC:$AC,服务费底表!$K:$K,服务费明细!$B229,服务费底表!$T:$T,AS$3)</f>
        <v>0</v>
      </c>
      <c r="AT229" s="166">
        <f>SUMIFS(服务费底表!$AC:$AC,服务费底表!$K:$K,服务费明细!$B229,服务费底表!$T:$T,AT$3)</f>
        <v>0</v>
      </c>
      <c r="AU229" s="166">
        <f>SUMIFS(服务费底表!$AC:$AC,服务费底表!$K:$K,服务费明细!$B229,服务费底表!$T:$T,AU$3)</f>
        <v>0</v>
      </c>
      <c r="AV229" s="166">
        <f>SUMIFS(服务费底表!$AC:$AC,服务费底表!$K:$K,服务费明细!$B229,服务费底表!$T:$T,AV$3)</f>
        <v>0</v>
      </c>
      <c r="AW229" s="166">
        <f>SUMIFS(服务费底表!$AC:$AC,服务费底表!$K:$K,服务费明细!$B229,服务费底表!$T:$T,AW$3)</f>
        <v>0</v>
      </c>
      <c r="AX229" s="166">
        <f>SUMIFS(服务费底表!$AC:$AC,服务费底表!$K:$K,服务费明细!$B229,服务费底表!$T:$T,AX$3)</f>
        <v>0</v>
      </c>
      <c r="AY229" s="166">
        <f>SUMIFS(服务费底表!$AC:$AC,服务费底表!$K:$K,服务费明细!$B229,服务费底表!$T:$T,AY$3)</f>
        <v>0</v>
      </c>
      <c r="AZ229" s="166">
        <f>SUMIFS(服务费底表!$AC:$AC,服务费底表!$K:$K,服务费明细!$B229,服务费底表!$T:$T,AZ$3)</f>
        <v>0</v>
      </c>
      <c r="BA229" s="166">
        <f>SUMIFS(服务费底表!$AC:$AC,服务费底表!$K:$K,服务费明细!$B229,服务费底表!$T:$T,BA$3)</f>
        <v>0</v>
      </c>
      <c r="BB229" s="166">
        <f>SUMIFS(服务费底表!$AC:$AC,服务费底表!$K:$K,服务费明细!$B229,服务费底表!$T:$T,BB$3)</f>
        <v>0</v>
      </c>
      <c r="BC229" s="166">
        <f>SUMIFS(服务费底表!$AC:$AC,服务费底表!$K:$K,服务费明细!$B229,服务费底表!$T:$T,BC$3)</f>
        <v>0</v>
      </c>
      <c r="BD229" s="166">
        <f>SUMIFS(服务费底表!$AC:$AC,服务费底表!$K:$K,服务费明细!$B229,服务费底表!$T:$T,BD$3)</f>
        <v>0</v>
      </c>
      <c r="BE229" s="166">
        <f>SUMIFS(服务费底表!$AC:$AC,服务费底表!$K:$K,服务费明细!$B229,服务费底表!$T:$T,BE$3)</f>
        <v>0</v>
      </c>
      <c r="BF229" s="166">
        <f>SUMIFS(服务费底表!$AC:$AC,服务费底表!$K:$K,服务费明细!$B229,服务费底表!$T:$T,BF$3)</f>
        <v>0</v>
      </c>
      <c r="BG229" s="166">
        <f>SUMIFS(服务费底表!$AC:$AC,服务费底表!$K:$K,服务费明细!$B229,服务费底表!$T:$T,BG$3)</f>
        <v>0</v>
      </c>
      <c r="BH229" s="572"/>
      <c r="BI229" s="568">
        <f t="shared" ref="BI229:BO229" si="419">SUM(BI230:BI240)</f>
        <v>0</v>
      </c>
      <c r="BJ229" s="568">
        <f t="shared" si="419"/>
        <v>0</v>
      </c>
      <c r="BK229" s="568">
        <f t="shared" si="419"/>
        <v>0</v>
      </c>
      <c r="BL229" s="568">
        <f t="shared" si="419"/>
        <v>0</v>
      </c>
      <c r="BM229" s="568">
        <f t="shared" si="419"/>
        <v>0</v>
      </c>
      <c r="BN229" s="568">
        <f t="shared" si="419"/>
        <v>0</v>
      </c>
      <c r="BO229" s="568">
        <f t="shared" si="419"/>
        <v>0</v>
      </c>
      <c r="BQ229" s="569">
        <f t="shared" ref="BQ229:BW229" si="420">SUM(BQ230:BQ240)</f>
        <v>0</v>
      </c>
      <c r="BR229" s="569">
        <f t="shared" si="420"/>
        <v>0</v>
      </c>
      <c r="BS229" s="569">
        <f t="shared" si="420"/>
        <v>0</v>
      </c>
      <c r="BT229" s="569">
        <f t="shared" si="420"/>
        <v>0</v>
      </c>
      <c r="BU229" s="569">
        <f t="shared" si="420"/>
        <v>0</v>
      </c>
      <c r="BV229" s="569">
        <f t="shared" si="420"/>
        <v>0</v>
      </c>
      <c r="BW229" s="569">
        <f t="shared" si="420"/>
        <v>0</v>
      </c>
    </row>
    <row r="230" spans="2:75">
      <c r="B230" s="89" t="s">
        <v>413</v>
      </c>
      <c r="C230" s="89" t="str">
        <f>INDEX(二三级标准!$C:$C,MATCH(服务费明细!$B230,二三级标准!$B:$B,0))</f>
        <v>召开非盲客户启动会</v>
      </c>
      <c r="D230" s="166">
        <f t="shared" ref="D230:D240" si="421">IF($D$229=1,1,0)</f>
        <v>0</v>
      </c>
      <c r="E230" s="166">
        <f>IF($D230=1,1,0)</f>
        <v>0</v>
      </c>
      <c r="F230" s="89" t="str">
        <f>INDEX(二三级标准!$G:$G,MATCH(服务费明细!$B230,二三级标准!$B:$B,0))</f>
        <v>份</v>
      </c>
      <c r="G230" s="166">
        <f t="shared" ref="G230:G240" si="422">AL230</f>
        <v>0</v>
      </c>
      <c r="H230" s="166">
        <f t="shared" ref="H230:H240" si="423">AM230</f>
        <v>0</v>
      </c>
      <c r="I230" s="166">
        <f t="shared" ref="I230:I240" si="424">AN230</f>
        <v>0</v>
      </c>
      <c r="J230" s="166">
        <f t="shared" ref="J230:J240" si="425">AO230</f>
        <v>0</v>
      </c>
      <c r="K230" s="166">
        <f t="shared" ref="K230:K240" si="426">AP230</f>
        <v>0</v>
      </c>
      <c r="L230" s="166">
        <f t="shared" ref="L230:L240" si="427">AQ230</f>
        <v>0</v>
      </c>
      <c r="M230" s="166">
        <f t="shared" ref="M230:M240" si="428">AR230</f>
        <v>0</v>
      </c>
      <c r="N230" s="166">
        <f t="shared" ref="N230:N240" si="429">AS230</f>
        <v>0</v>
      </c>
      <c r="O230" s="166">
        <f t="shared" ref="O230:O240" si="430">AT230</f>
        <v>0</v>
      </c>
      <c r="P230" s="166">
        <f t="shared" ref="P230:P240" si="431">AU230</f>
        <v>0</v>
      </c>
      <c r="Q230" s="166">
        <f t="shared" ref="Q230:Q240" si="432">AV230</f>
        <v>0</v>
      </c>
      <c r="R230" s="166">
        <f t="shared" ref="R230:R240" si="433">AW230</f>
        <v>0</v>
      </c>
      <c r="S230" s="166">
        <f t="shared" ref="S230:S240" si="434">AX230</f>
        <v>0</v>
      </c>
      <c r="T230" s="166">
        <f t="shared" ref="T230:T240" si="435">AY230</f>
        <v>0</v>
      </c>
      <c r="U230" s="166">
        <f t="shared" ref="U230:U240" si="436">AZ230</f>
        <v>0</v>
      </c>
      <c r="V230" s="166">
        <f t="shared" ref="V230:V240" si="437">BA230</f>
        <v>0</v>
      </c>
      <c r="W230" s="166">
        <f t="shared" ref="W230:W240" si="438">BB230</f>
        <v>0</v>
      </c>
      <c r="X230" s="166">
        <f t="shared" ref="X230:X240" si="439">BC230</f>
        <v>0</v>
      </c>
      <c r="Y230" s="166">
        <f t="shared" ref="Y230:Y240" si="440">BD230</f>
        <v>0</v>
      </c>
      <c r="Z230" s="166">
        <f t="shared" ref="Z230:Z240" si="441">BE230</f>
        <v>0</v>
      </c>
      <c r="AA230" s="166">
        <f t="shared" ref="AA230:AA240" si="442">BF230</f>
        <v>0</v>
      </c>
      <c r="AB230" s="166">
        <f t="shared" ref="AB230:AB240" si="443">BG230</f>
        <v>0</v>
      </c>
      <c r="AC230" s="166" cm="1">
        <f t="array" ref="AC230">SUMPRODUCT(G230:AB230,$G$4:$AB$4)</f>
        <v>0</v>
      </c>
      <c r="AD230" s="89" t="b">
        <f t="shared" ref="AD230:AD240" si="444">IF(AF230=AC230,TRUE,FALSE)</f>
        <v>1</v>
      </c>
      <c r="AE230" s="386">
        <f>IFERROR(SUMIF(服务费底表!$K:$K,服务费明细!$B230,服务费底表!$AD:$AD)/E230,0)</f>
        <v>0</v>
      </c>
      <c r="AF230" s="386">
        <f t="shared" ref="AF230" si="445">E230*AE230</f>
        <v>0</v>
      </c>
      <c r="AG230" s="386">
        <f>IFERROR(SUMIF(服务费底表!$K:$K,服务费明细!$B230,服务费底表!$AG:$AG)/E230,0)</f>
        <v>0</v>
      </c>
      <c r="AH230" s="386">
        <f t="shared" ref="AH230" si="446">AG230*E230</f>
        <v>0</v>
      </c>
      <c r="AI230" s="409"/>
      <c r="AJ230" s="563">
        <f t="shared" ref="AJ230:AJ240" si="447">IF(D230=1,AK230/E230,0)</f>
        <v>0</v>
      </c>
      <c r="AK230" s="564">
        <f>SUMIF(服务费底表!$K:$K,服务费明细!$B230,服务费底表!$AC:$AC)</f>
        <v>0</v>
      </c>
      <c r="AL230" s="166">
        <f>SUMIFS(服务费底表!$AC:$AC,服务费底表!$K:$K,服务费明细!$B230,服务费底表!$T:$T,AL$3)</f>
        <v>0</v>
      </c>
      <c r="AM230" s="166">
        <f>SUMIFS(服务费底表!$AC:$AC,服务费底表!$K:$K,服务费明细!$B230,服务费底表!$T:$T,AM$3)</f>
        <v>0</v>
      </c>
      <c r="AN230" s="166">
        <f>SUMIFS(服务费底表!$AC:$AC,服务费底表!$K:$K,服务费明细!$B230,服务费底表!$T:$T,AN$3)</f>
        <v>0</v>
      </c>
      <c r="AO230" s="166">
        <f>SUMIFS(服务费底表!$AC:$AC,服务费底表!$K:$K,服务费明细!$B230,服务费底表!$T:$T,AO$3)</f>
        <v>0</v>
      </c>
      <c r="AP230" s="166">
        <f>SUMIFS(服务费底表!$AC:$AC,服务费底表!$K:$K,服务费明细!$B230,服务费底表!$T:$T,AP$3)</f>
        <v>0</v>
      </c>
      <c r="AQ230" s="166">
        <f>SUMIFS(服务费底表!$AC:$AC,服务费底表!$K:$K,服务费明细!$B230,服务费底表!$T:$T,AQ$3)</f>
        <v>0</v>
      </c>
      <c r="AR230" s="166">
        <f>SUMIFS(服务费底表!$AC:$AC,服务费底表!$K:$K,服务费明细!$B230,服务费底表!$T:$T,AR$3)</f>
        <v>0</v>
      </c>
      <c r="AS230" s="166">
        <f>SUMIFS(服务费底表!$AC:$AC,服务费底表!$K:$K,服务费明细!$B230,服务费底表!$T:$T,AS$3)</f>
        <v>0</v>
      </c>
      <c r="AT230" s="166">
        <f>SUMIFS(服务费底表!$AC:$AC,服务费底表!$K:$K,服务费明细!$B230,服务费底表!$T:$T,AT$3)</f>
        <v>0</v>
      </c>
      <c r="AU230" s="166">
        <f>SUMIFS(服务费底表!$AC:$AC,服务费底表!$K:$K,服务费明细!$B230,服务费底表!$T:$T,AU$3)</f>
        <v>0</v>
      </c>
      <c r="AV230" s="166">
        <f>SUMIFS(服务费底表!$AC:$AC,服务费底表!$K:$K,服务费明细!$B230,服务费底表!$T:$T,AV$3)</f>
        <v>0</v>
      </c>
      <c r="AW230" s="166">
        <f>SUMIFS(服务费底表!$AC:$AC,服务费底表!$K:$K,服务费明细!$B230,服务费底表!$T:$T,AW$3)</f>
        <v>0</v>
      </c>
      <c r="AX230" s="166">
        <f>SUMIFS(服务费底表!$AC:$AC,服务费底表!$K:$K,服务费明细!$B230,服务费底表!$T:$T,AX$3)</f>
        <v>0</v>
      </c>
      <c r="AY230" s="166">
        <f>SUMIFS(服务费底表!$AC:$AC,服务费底表!$K:$K,服务费明细!$B230,服务费底表!$T:$T,AY$3)</f>
        <v>0</v>
      </c>
      <c r="AZ230" s="166">
        <f>SUMIFS(服务费底表!$AC:$AC,服务费底表!$K:$K,服务费明细!$B230,服务费底表!$T:$T,AZ$3)</f>
        <v>0</v>
      </c>
      <c r="BA230" s="166">
        <f>SUMIFS(服务费底表!$AC:$AC,服务费底表!$K:$K,服务费明细!$B230,服务费底表!$T:$T,BA$3)</f>
        <v>0</v>
      </c>
      <c r="BB230" s="166">
        <f>SUMIFS(服务费底表!$AC:$AC,服务费底表!$K:$K,服务费明细!$B230,服务费底表!$T:$T,BB$3)</f>
        <v>0</v>
      </c>
      <c r="BC230" s="166">
        <f>SUMIFS(服务费底表!$AC:$AC,服务费底表!$K:$K,服务费明细!$B230,服务费底表!$T:$T,BC$3)</f>
        <v>0</v>
      </c>
      <c r="BD230" s="166">
        <f>SUMIFS(服务费底表!$AC:$AC,服务费底表!$K:$K,服务费明细!$B230,服务费底表!$T:$T,BD$3)</f>
        <v>0</v>
      </c>
      <c r="BE230" s="166">
        <f>SUMIFS(服务费底表!$AC:$AC,服务费底表!$K:$K,服务费明细!$B230,服务费底表!$T:$T,BE$3)</f>
        <v>0</v>
      </c>
      <c r="BF230" s="166">
        <f>SUMIFS(服务费底表!$AC:$AC,服务费底表!$K:$K,服务费明细!$B230,服务费底表!$T:$T,BF$3)</f>
        <v>0</v>
      </c>
      <c r="BG230" s="166">
        <f>SUMIFS(服务费底表!$AC:$AC,服务费底表!$K:$K,服务费明细!$B230,服务费底表!$T:$T,BG$3)</f>
        <v>0</v>
      </c>
      <c r="BI230" s="388">
        <f>SUMIFS(服务费底表!$AC:$AC,服务费底表!$K:$K,服务费明细!$B230,服务费底表!$H:$H,服务费明细!BI$3)</f>
        <v>0</v>
      </c>
      <c r="BJ230" s="388">
        <f>SUMIFS(服务费底表!$AC:$AC,服务费底表!$K:$K,服务费明细!$B230,服务费底表!$H:$H,服务费明细!BJ$3)</f>
        <v>0</v>
      </c>
      <c r="BK230" s="388">
        <f>SUMIFS(服务费底表!$AC:$AC,服务费底表!$K:$K,服务费明细!$B230,服务费底表!$H:$H,服务费明细!BK$3)</f>
        <v>0</v>
      </c>
      <c r="BL230" s="388">
        <f>SUMIFS(服务费底表!$AC:$AC,服务费底表!$K:$K,服务费明细!$B230,服务费底表!$H:$H,服务费明细!BL$3)</f>
        <v>0</v>
      </c>
      <c r="BM230" s="388">
        <f>SUMIFS(服务费底表!$AC:$AC,服务费底表!$K:$K,服务费明细!$B230,服务费底表!$H:$H,服务费明细!BM$3)</f>
        <v>0</v>
      </c>
      <c r="BN230" s="388">
        <f>SUMIFS(服务费底表!$AC:$AC,服务费底表!$K:$K,服务费明细!$B230,服务费底表!$H:$H,服务费明细!BN$3)</f>
        <v>0</v>
      </c>
      <c r="BO230" s="388">
        <f>SUMIFS(服务费底表!$AC:$AC,服务费底表!$K:$K,服务费明细!$B230,服务费底表!$H:$H,服务费明细!BO$3)</f>
        <v>0</v>
      </c>
      <c r="BQ230" s="389">
        <f>SUMIFS(服务费底表!$AD:$AD,服务费底表!$K:$K,服务费明细!$B230,服务费底表!$H:$H,服务费明细!BQ$3)</f>
        <v>0</v>
      </c>
      <c r="BR230" s="389">
        <f>SUMIFS(服务费底表!$AD:$AD,服务费底表!$K:$K,服务费明细!$B230,服务费底表!$H:$H,服务费明细!BR$3)</f>
        <v>0</v>
      </c>
      <c r="BS230" s="389">
        <f>SUMIFS(服务费底表!$AD:$AD,服务费底表!$K:$K,服务费明细!$B230,服务费底表!$H:$H,服务费明细!BS$3)</f>
        <v>0</v>
      </c>
      <c r="BT230" s="389">
        <f>SUMIFS(服务费底表!$AD:$AD,服务费底表!$K:$K,服务费明细!$B230,服务费底表!$H:$H,服务费明细!BT$3)</f>
        <v>0</v>
      </c>
      <c r="BU230" s="389">
        <f>SUMIFS(服务费底表!$AD:$AD,服务费底表!$K:$K,服务费明细!$B230,服务费底表!$H:$H,服务费明细!BU$3)</f>
        <v>0</v>
      </c>
      <c r="BV230" s="389">
        <f>SUMIFS(服务费底表!$AD:$AD,服务费底表!$K:$K,服务费明细!$B230,服务费底表!$H:$H,服务费明细!BV$3)</f>
        <v>0</v>
      </c>
      <c r="BW230" s="389">
        <f>SUMIFS(服务费底表!$AD:$AD,服务费底表!$K:$K,服务费明细!$B230,服务费底表!$H:$H,服务费明细!BW$3)</f>
        <v>0</v>
      </c>
    </row>
    <row r="231" spans="2:75">
      <c r="B231" s="89" t="s">
        <v>415</v>
      </c>
      <c r="C231" s="89" t="str">
        <f>INDEX(二三级标准!$C:$C,MATCH(服务费明细!$B231,二三级标准!$B:$B,0))</f>
        <v>非盲监查计划撰写</v>
      </c>
      <c r="D231" s="166">
        <f t="shared" si="421"/>
        <v>0</v>
      </c>
      <c r="E231" s="166">
        <f>IF($D231=1,1,0)</f>
        <v>0</v>
      </c>
      <c r="F231" s="89" t="str">
        <f>INDEX(二三级标准!$G:$G,MATCH(服务费明细!$B231,二三级标准!$B:$B,0))</f>
        <v>份</v>
      </c>
      <c r="G231" s="166">
        <f t="shared" si="422"/>
        <v>0</v>
      </c>
      <c r="H231" s="166">
        <f t="shared" si="423"/>
        <v>0</v>
      </c>
      <c r="I231" s="166">
        <f t="shared" si="424"/>
        <v>0</v>
      </c>
      <c r="J231" s="166">
        <f t="shared" si="425"/>
        <v>0</v>
      </c>
      <c r="K231" s="166">
        <f t="shared" si="426"/>
        <v>0</v>
      </c>
      <c r="L231" s="166">
        <f t="shared" si="427"/>
        <v>0</v>
      </c>
      <c r="M231" s="166">
        <f t="shared" si="428"/>
        <v>0</v>
      </c>
      <c r="N231" s="166">
        <f t="shared" si="429"/>
        <v>0</v>
      </c>
      <c r="O231" s="166">
        <f t="shared" si="430"/>
        <v>0</v>
      </c>
      <c r="P231" s="166">
        <f t="shared" si="431"/>
        <v>0</v>
      </c>
      <c r="Q231" s="166">
        <f t="shared" si="432"/>
        <v>0</v>
      </c>
      <c r="R231" s="166">
        <f t="shared" si="433"/>
        <v>0</v>
      </c>
      <c r="S231" s="166">
        <f t="shared" si="434"/>
        <v>0</v>
      </c>
      <c r="T231" s="166">
        <f t="shared" si="435"/>
        <v>0</v>
      </c>
      <c r="U231" s="166">
        <f t="shared" si="436"/>
        <v>0</v>
      </c>
      <c r="V231" s="166">
        <f t="shared" si="437"/>
        <v>0</v>
      </c>
      <c r="W231" s="166">
        <f t="shared" si="438"/>
        <v>0</v>
      </c>
      <c r="X231" s="166">
        <f t="shared" si="439"/>
        <v>0</v>
      </c>
      <c r="Y231" s="166">
        <f t="shared" si="440"/>
        <v>0</v>
      </c>
      <c r="Z231" s="166">
        <f t="shared" si="441"/>
        <v>0</v>
      </c>
      <c r="AA231" s="166">
        <f t="shared" si="442"/>
        <v>0</v>
      </c>
      <c r="AB231" s="166">
        <f t="shared" si="443"/>
        <v>0</v>
      </c>
      <c r="AC231" s="166" cm="1">
        <f t="array" ref="AC231">SUMPRODUCT(G231:AB231,$G$4:$AB$4)</f>
        <v>0</v>
      </c>
      <c r="AD231" s="89" t="b">
        <f t="shared" si="444"/>
        <v>1</v>
      </c>
      <c r="AE231" s="386">
        <f>IFERROR(SUMIF(服务费底表!$K:$K,服务费明细!$B231,服务费底表!$AD:$AD)/E231,0)</f>
        <v>0</v>
      </c>
      <c r="AF231" s="386">
        <f t="shared" ref="AF231:AF240" si="448">E231*AE231</f>
        <v>0</v>
      </c>
      <c r="AG231" s="386">
        <f>IFERROR(SUMIF(服务费底表!$K:$K,服务费明细!$B231,服务费底表!$AG:$AG)/E231,0)</f>
        <v>0</v>
      </c>
      <c r="AH231" s="386">
        <f t="shared" ref="AH231:AH240" si="449">AG231*E231</f>
        <v>0</v>
      </c>
      <c r="AI231" s="409"/>
      <c r="AJ231" s="563">
        <f t="shared" si="447"/>
        <v>0</v>
      </c>
      <c r="AK231" s="564">
        <f>SUMIF(服务费底表!$K:$K,服务费明细!$B231,服务费底表!$AC:$AC)</f>
        <v>0</v>
      </c>
      <c r="AL231" s="166">
        <f>SUMIFS(服务费底表!$AC:$AC,服务费底表!$K:$K,服务费明细!$B231,服务费底表!$T:$T,AL$3)</f>
        <v>0</v>
      </c>
      <c r="AM231" s="166">
        <f>SUMIFS(服务费底表!$AC:$AC,服务费底表!$K:$K,服务费明细!$B231,服务费底表!$T:$T,AM$3)</f>
        <v>0</v>
      </c>
      <c r="AN231" s="166">
        <f>SUMIFS(服务费底表!$AC:$AC,服务费底表!$K:$K,服务费明细!$B231,服务费底表!$T:$T,AN$3)</f>
        <v>0</v>
      </c>
      <c r="AO231" s="166">
        <f>SUMIFS(服务费底表!$AC:$AC,服务费底表!$K:$K,服务费明细!$B231,服务费底表!$T:$T,AO$3)</f>
        <v>0</v>
      </c>
      <c r="AP231" s="166">
        <f>SUMIFS(服务费底表!$AC:$AC,服务费底表!$K:$K,服务费明细!$B231,服务费底表!$T:$T,AP$3)</f>
        <v>0</v>
      </c>
      <c r="AQ231" s="166">
        <f>SUMIFS(服务费底表!$AC:$AC,服务费底表!$K:$K,服务费明细!$B231,服务费底表!$T:$T,AQ$3)</f>
        <v>0</v>
      </c>
      <c r="AR231" s="166">
        <f>SUMIFS(服务费底表!$AC:$AC,服务费底表!$K:$K,服务费明细!$B231,服务费底表!$T:$T,AR$3)</f>
        <v>0</v>
      </c>
      <c r="AS231" s="166">
        <f>SUMIFS(服务费底表!$AC:$AC,服务费底表!$K:$K,服务费明细!$B231,服务费底表!$T:$T,AS$3)</f>
        <v>0</v>
      </c>
      <c r="AT231" s="166">
        <f>SUMIFS(服务费底表!$AC:$AC,服务费底表!$K:$K,服务费明细!$B231,服务费底表!$T:$T,AT$3)</f>
        <v>0</v>
      </c>
      <c r="AU231" s="166">
        <f>SUMIFS(服务费底表!$AC:$AC,服务费底表!$K:$K,服务费明细!$B231,服务费底表!$T:$T,AU$3)</f>
        <v>0</v>
      </c>
      <c r="AV231" s="166">
        <f>SUMIFS(服务费底表!$AC:$AC,服务费底表!$K:$K,服务费明细!$B231,服务费底表!$T:$T,AV$3)</f>
        <v>0</v>
      </c>
      <c r="AW231" s="166">
        <f>SUMIFS(服务费底表!$AC:$AC,服务费底表!$K:$K,服务费明细!$B231,服务费底表!$T:$T,AW$3)</f>
        <v>0</v>
      </c>
      <c r="AX231" s="166">
        <f>SUMIFS(服务费底表!$AC:$AC,服务费底表!$K:$K,服务费明细!$B231,服务费底表!$T:$T,AX$3)</f>
        <v>0</v>
      </c>
      <c r="AY231" s="166">
        <f>SUMIFS(服务费底表!$AC:$AC,服务费底表!$K:$K,服务费明细!$B231,服务费底表!$T:$T,AY$3)</f>
        <v>0</v>
      </c>
      <c r="AZ231" s="166">
        <f>SUMIFS(服务费底表!$AC:$AC,服务费底表!$K:$K,服务费明细!$B231,服务费底表!$T:$T,AZ$3)</f>
        <v>0</v>
      </c>
      <c r="BA231" s="166">
        <f>SUMIFS(服务费底表!$AC:$AC,服务费底表!$K:$K,服务费明细!$B231,服务费底表!$T:$T,BA$3)</f>
        <v>0</v>
      </c>
      <c r="BB231" s="166">
        <f>SUMIFS(服务费底表!$AC:$AC,服务费底表!$K:$K,服务费明细!$B231,服务费底表!$T:$T,BB$3)</f>
        <v>0</v>
      </c>
      <c r="BC231" s="166">
        <f>SUMIFS(服务费底表!$AC:$AC,服务费底表!$K:$K,服务费明细!$B231,服务费底表!$T:$T,BC$3)</f>
        <v>0</v>
      </c>
      <c r="BD231" s="166">
        <f>SUMIFS(服务费底表!$AC:$AC,服务费底表!$K:$K,服务费明细!$B231,服务费底表!$T:$T,BD$3)</f>
        <v>0</v>
      </c>
      <c r="BE231" s="166">
        <f>SUMIFS(服务费底表!$AC:$AC,服务费底表!$K:$K,服务费明细!$B231,服务费底表!$T:$T,BE$3)</f>
        <v>0</v>
      </c>
      <c r="BF231" s="166">
        <f>SUMIFS(服务费底表!$AC:$AC,服务费底表!$K:$K,服务费明细!$B231,服务费底表!$T:$T,BF$3)</f>
        <v>0</v>
      </c>
      <c r="BG231" s="166">
        <f>SUMIFS(服务费底表!$AC:$AC,服务费底表!$K:$K,服务费明细!$B231,服务费底表!$T:$T,BG$3)</f>
        <v>0</v>
      </c>
      <c r="BI231" s="388">
        <f>SUMIFS(服务费底表!$AC:$AC,服务费底表!$K:$K,服务费明细!$B231,服务费底表!$H:$H,服务费明细!BI$3)</f>
        <v>0</v>
      </c>
      <c r="BJ231" s="388">
        <f>SUMIFS(服务费底表!$AC:$AC,服务费底表!$K:$K,服务费明细!$B231,服务费底表!$H:$H,服务费明细!BJ$3)</f>
        <v>0</v>
      </c>
      <c r="BK231" s="388">
        <f>SUMIFS(服务费底表!$AC:$AC,服务费底表!$K:$K,服务费明细!$B231,服务费底表!$H:$H,服务费明细!BK$3)</f>
        <v>0</v>
      </c>
      <c r="BL231" s="388">
        <f>SUMIFS(服务费底表!$AC:$AC,服务费底表!$K:$K,服务费明细!$B231,服务费底表!$H:$H,服务费明细!BL$3)</f>
        <v>0</v>
      </c>
      <c r="BM231" s="388">
        <f>SUMIFS(服务费底表!$AC:$AC,服务费底表!$K:$K,服务费明细!$B231,服务费底表!$H:$H,服务费明细!BM$3)</f>
        <v>0</v>
      </c>
      <c r="BN231" s="388">
        <f>SUMIFS(服务费底表!$AC:$AC,服务费底表!$K:$K,服务费明细!$B231,服务费底表!$H:$H,服务费明细!BN$3)</f>
        <v>0</v>
      </c>
      <c r="BO231" s="388">
        <f>SUMIFS(服务费底表!$AC:$AC,服务费底表!$K:$K,服务费明细!$B231,服务费底表!$H:$H,服务费明细!BO$3)</f>
        <v>0</v>
      </c>
      <c r="BQ231" s="389">
        <f>SUMIFS(服务费底表!$AD:$AD,服务费底表!$K:$K,服务费明细!$B231,服务费底表!$H:$H,服务费明细!BQ$3)</f>
        <v>0</v>
      </c>
      <c r="BR231" s="389">
        <f>SUMIFS(服务费底表!$AD:$AD,服务费底表!$K:$K,服务费明细!$B231,服务费底表!$H:$H,服务费明细!BR$3)</f>
        <v>0</v>
      </c>
      <c r="BS231" s="389">
        <f>SUMIFS(服务费底表!$AD:$AD,服务费底表!$K:$K,服务费明细!$B231,服务费底表!$H:$H,服务费明细!BS$3)</f>
        <v>0</v>
      </c>
      <c r="BT231" s="389">
        <f>SUMIFS(服务费底表!$AD:$AD,服务费底表!$K:$K,服务费明细!$B231,服务费底表!$H:$H,服务费明细!BT$3)</f>
        <v>0</v>
      </c>
      <c r="BU231" s="389">
        <f>SUMIFS(服务费底表!$AD:$AD,服务费底表!$K:$K,服务费明细!$B231,服务费底表!$H:$H,服务费明细!BU$3)</f>
        <v>0</v>
      </c>
      <c r="BV231" s="389">
        <f>SUMIFS(服务费底表!$AD:$AD,服务费底表!$K:$K,服务费明细!$B231,服务费底表!$H:$H,服务费明细!BV$3)</f>
        <v>0</v>
      </c>
      <c r="BW231" s="389">
        <f>SUMIFS(服务费底表!$AD:$AD,服务费底表!$K:$K,服务费明细!$B231,服务费底表!$H:$H,服务费明细!BW$3)</f>
        <v>0</v>
      </c>
    </row>
    <row r="232" spans="2:75">
      <c r="B232" s="89" t="s">
        <v>417</v>
      </c>
      <c r="C232" s="89" t="str">
        <f>INDEX(二三级标准!$C:$C,MATCH(服务费明细!$B232,二三级标准!$B:$B,0))</f>
        <v>非盲药物管理计划撰写</v>
      </c>
      <c r="D232" s="166">
        <f t="shared" si="421"/>
        <v>0</v>
      </c>
      <c r="E232" s="166">
        <f>IF($D232=1,1,0)</f>
        <v>0</v>
      </c>
      <c r="F232" s="89" t="str">
        <f>INDEX(二三级标准!$G:$G,MATCH(服务费明细!$B232,二三级标准!$B:$B,0))</f>
        <v>份</v>
      </c>
      <c r="G232" s="166">
        <f t="shared" si="422"/>
        <v>0</v>
      </c>
      <c r="H232" s="166">
        <f t="shared" si="423"/>
        <v>0</v>
      </c>
      <c r="I232" s="166">
        <f t="shared" si="424"/>
        <v>0</v>
      </c>
      <c r="J232" s="166">
        <f t="shared" si="425"/>
        <v>0</v>
      </c>
      <c r="K232" s="166">
        <f t="shared" si="426"/>
        <v>0</v>
      </c>
      <c r="L232" s="166">
        <f t="shared" si="427"/>
        <v>0</v>
      </c>
      <c r="M232" s="166">
        <f t="shared" si="428"/>
        <v>0</v>
      </c>
      <c r="N232" s="166">
        <f t="shared" si="429"/>
        <v>0</v>
      </c>
      <c r="O232" s="166">
        <f t="shared" si="430"/>
        <v>0</v>
      </c>
      <c r="P232" s="166">
        <f t="shared" si="431"/>
        <v>0</v>
      </c>
      <c r="Q232" s="166">
        <f t="shared" si="432"/>
        <v>0</v>
      </c>
      <c r="R232" s="166">
        <f t="shared" si="433"/>
        <v>0</v>
      </c>
      <c r="S232" s="166">
        <f t="shared" si="434"/>
        <v>0</v>
      </c>
      <c r="T232" s="166">
        <f t="shared" si="435"/>
        <v>0</v>
      </c>
      <c r="U232" s="166">
        <f t="shared" si="436"/>
        <v>0</v>
      </c>
      <c r="V232" s="166">
        <f t="shared" si="437"/>
        <v>0</v>
      </c>
      <c r="W232" s="166">
        <f t="shared" si="438"/>
        <v>0</v>
      </c>
      <c r="X232" s="166">
        <f t="shared" si="439"/>
        <v>0</v>
      </c>
      <c r="Y232" s="166">
        <f t="shared" si="440"/>
        <v>0</v>
      </c>
      <c r="Z232" s="166">
        <f t="shared" si="441"/>
        <v>0</v>
      </c>
      <c r="AA232" s="166">
        <f t="shared" si="442"/>
        <v>0</v>
      </c>
      <c r="AB232" s="166">
        <f t="shared" si="443"/>
        <v>0</v>
      </c>
      <c r="AC232" s="166" cm="1">
        <f t="array" ref="AC232">SUMPRODUCT(G232:AB232,$G$4:$AB$4)</f>
        <v>0</v>
      </c>
      <c r="AD232" s="89" t="b">
        <f t="shared" si="444"/>
        <v>1</v>
      </c>
      <c r="AE232" s="386">
        <f>IFERROR(SUMIF(服务费底表!$K:$K,服务费明细!$B232,服务费底表!$AD:$AD)/E232,0)</f>
        <v>0</v>
      </c>
      <c r="AF232" s="386">
        <f t="shared" si="448"/>
        <v>0</v>
      </c>
      <c r="AG232" s="386">
        <f>IFERROR(SUMIF(服务费底表!$K:$K,服务费明细!$B232,服务费底表!$AG:$AG)/E232,0)</f>
        <v>0</v>
      </c>
      <c r="AH232" s="386">
        <f t="shared" si="449"/>
        <v>0</v>
      </c>
      <c r="AI232" s="409"/>
      <c r="AJ232" s="563">
        <f t="shared" si="447"/>
        <v>0</v>
      </c>
      <c r="AK232" s="564">
        <f>SUMIF(服务费底表!$K:$K,服务费明细!$B232,服务费底表!$AC:$AC)</f>
        <v>0</v>
      </c>
      <c r="AL232" s="166">
        <f>SUMIFS(服务费底表!$AC:$AC,服务费底表!$K:$K,服务费明细!$B232,服务费底表!$T:$T,AL$3)</f>
        <v>0</v>
      </c>
      <c r="AM232" s="166">
        <f>SUMIFS(服务费底表!$AC:$AC,服务费底表!$K:$K,服务费明细!$B232,服务费底表!$T:$T,AM$3)</f>
        <v>0</v>
      </c>
      <c r="AN232" s="166">
        <f>SUMIFS(服务费底表!$AC:$AC,服务费底表!$K:$K,服务费明细!$B232,服务费底表!$T:$T,AN$3)</f>
        <v>0</v>
      </c>
      <c r="AO232" s="166">
        <f>SUMIFS(服务费底表!$AC:$AC,服务费底表!$K:$K,服务费明细!$B232,服务费底表!$T:$T,AO$3)</f>
        <v>0</v>
      </c>
      <c r="AP232" s="166">
        <f>SUMIFS(服务费底表!$AC:$AC,服务费底表!$K:$K,服务费明细!$B232,服务费底表!$T:$T,AP$3)</f>
        <v>0</v>
      </c>
      <c r="AQ232" s="166">
        <f>SUMIFS(服务费底表!$AC:$AC,服务费底表!$K:$K,服务费明细!$B232,服务费底表!$T:$T,AQ$3)</f>
        <v>0</v>
      </c>
      <c r="AR232" s="166">
        <f>SUMIFS(服务费底表!$AC:$AC,服务费底表!$K:$K,服务费明细!$B232,服务费底表!$T:$T,AR$3)</f>
        <v>0</v>
      </c>
      <c r="AS232" s="166">
        <f>SUMIFS(服务费底表!$AC:$AC,服务费底表!$K:$K,服务费明细!$B232,服务费底表!$T:$T,AS$3)</f>
        <v>0</v>
      </c>
      <c r="AT232" s="166">
        <f>SUMIFS(服务费底表!$AC:$AC,服务费底表!$K:$K,服务费明细!$B232,服务费底表!$T:$T,AT$3)</f>
        <v>0</v>
      </c>
      <c r="AU232" s="166">
        <f>SUMIFS(服务费底表!$AC:$AC,服务费底表!$K:$K,服务费明细!$B232,服务费底表!$T:$T,AU$3)</f>
        <v>0</v>
      </c>
      <c r="AV232" s="166">
        <f>SUMIFS(服务费底表!$AC:$AC,服务费底表!$K:$K,服务费明细!$B232,服务费底表!$T:$T,AV$3)</f>
        <v>0</v>
      </c>
      <c r="AW232" s="166">
        <f>SUMIFS(服务费底表!$AC:$AC,服务费底表!$K:$K,服务费明细!$B232,服务费底表!$T:$T,AW$3)</f>
        <v>0</v>
      </c>
      <c r="AX232" s="166">
        <f>SUMIFS(服务费底表!$AC:$AC,服务费底表!$K:$K,服务费明细!$B232,服务费底表!$T:$T,AX$3)</f>
        <v>0</v>
      </c>
      <c r="AY232" s="166">
        <f>SUMIFS(服务费底表!$AC:$AC,服务费底表!$K:$K,服务费明细!$B232,服务费底表!$T:$T,AY$3)</f>
        <v>0</v>
      </c>
      <c r="AZ232" s="166">
        <f>SUMIFS(服务费底表!$AC:$AC,服务费底表!$K:$K,服务费明细!$B232,服务费底表!$T:$T,AZ$3)</f>
        <v>0</v>
      </c>
      <c r="BA232" s="166">
        <f>SUMIFS(服务费底表!$AC:$AC,服务费底表!$K:$K,服务费明细!$B232,服务费底表!$T:$T,BA$3)</f>
        <v>0</v>
      </c>
      <c r="BB232" s="166">
        <f>SUMIFS(服务费底表!$AC:$AC,服务费底表!$K:$K,服务费明细!$B232,服务费底表!$T:$T,BB$3)</f>
        <v>0</v>
      </c>
      <c r="BC232" s="166">
        <f>SUMIFS(服务费底表!$AC:$AC,服务费底表!$K:$K,服务费明细!$B232,服务费底表!$T:$T,BC$3)</f>
        <v>0</v>
      </c>
      <c r="BD232" s="166">
        <f>SUMIFS(服务费底表!$AC:$AC,服务费底表!$K:$K,服务费明细!$B232,服务费底表!$T:$T,BD$3)</f>
        <v>0</v>
      </c>
      <c r="BE232" s="166">
        <f>SUMIFS(服务费底表!$AC:$AC,服务费底表!$K:$K,服务费明细!$B232,服务费底表!$T:$T,BE$3)</f>
        <v>0</v>
      </c>
      <c r="BF232" s="166">
        <f>SUMIFS(服务费底表!$AC:$AC,服务费底表!$K:$K,服务费明细!$B232,服务费底表!$T:$T,BF$3)</f>
        <v>0</v>
      </c>
      <c r="BG232" s="166">
        <f>SUMIFS(服务费底表!$AC:$AC,服务费底表!$K:$K,服务费明细!$B232,服务费底表!$T:$T,BG$3)</f>
        <v>0</v>
      </c>
      <c r="BI232" s="388">
        <f>SUMIFS(服务费底表!$AC:$AC,服务费底表!$K:$K,服务费明细!$B232,服务费底表!$H:$H,服务费明细!BI$3)</f>
        <v>0</v>
      </c>
      <c r="BJ232" s="388">
        <f>SUMIFS(服务费底表!$AC:$AC,服务费底表!$K:$K,服务费明细!$B232,服务费底表!$H:$H,服务费明细!BJ$3)</f>
        <v>0</v>
      </c>
      <c r="BK232" s="388">
        <f>SUMIFS(服务费底表!$AC:$AC,服务费底表!$K:$K,服务费明细!$B232,服务费底表!$H:$H,服务费明细!BK$3)</f>
        <v>0</v>
      </c>
      <c r="BL232" s="388">
        <f>SUMIFS(服务费底表!$AC:$AC,服务费底表!$K:$K,服务费明细!$B232,服务费底表!$H:$H,服务费明细!BL$3)</f>
        <v>0</v>
      </c>
      <c r="BM232" s="388">
        <f>SUMIFS(服务费底表!$AC:$AC,服务费底表!$K:$K,服务费明细!$B232,服务费底表!$H:$H,服务费明细!BM$3)</f>
        <v>0</v>
      </c>
      <c r="BN232" s="388">
        <f>SUMIFS(服务费底表!$AC:$AC,服务费底表!$K:$K,服务费明细!$B232,服务费底表!$H:$H,服务费明细!BN$3)</f>
        <v>0</v>
      </c>
      <c r="BO232" s="388">
        <f>SUMIFS(服务费底表!$AC:$AC,服务费底表!$K:$K,服务费明细!$B232,服务费底表!$H:$H,服务费明细!BO$3)</f>
        <v>0</v>
      </c>
      <c r="BQ232" s="389">
        <f>SUMIFS(服务费底表!$AD:$AD,服务费底表!$K:$K,服务费明细!$B232,服务费底表!$H:$H,服务费明细!BQ$3)</f>
        <v>0</v>
      </c>
      <c r="BR232" s="389">
        <f>SUMIFS(服务费底表!$AD:$AD,服务费底表!$K:$K,服务费明细!$B232,服务费底表!$H:$H,服务费明细!BR$3)</f>
        <v>0</v>
      </c>
      <c r="BS232" s="389">
        <f>SUMIFS(服务费底表!$AD:$AD,服务费底表!$K:$K,服务费明细!$B232,服务费底表!$H:$H,服务费明细!BS$3)</f>
        <v>0</v>
      </c>
      <c r="BT232" s="389">
        <f>SUMIFS(服务费底表!$AD:$AD,服务费底表!$K:$K,服务费明细!$B232,服务费底表!$H:$H,服务费明细!BT$3)</f>
        <v>0</v>
      </c>
      <c r="BU232" s="389">
        <f>SUMIFS(服务费底表!$AD:$AD,服务费底表!$K:$K,服务费明细!$B232,服务费底表!$H:$H,服务费明细!BU$3)</f>
        <v>0</v>
      </c>
      <c r="BV232" s="389">
        <f>SUMIFS(服务费底表!$AD:$AD,服务费底表!$K:$K,服务费明细!$B232,服务费底表!$H:$H,服务费明细!BV$3)</f>
        <v>0</v>
      </c>
      <c r="BW232" s="389">
        <f>SUMIFS(服务费底表!$AD:$AD,服务费底表!$K:$K,服务费明细!$B232,服务费底表!$H:$H,服务费明细!BW$3)</f>
        <v>0</v>
      </c>
    </row>
    <row r="233" spans="2:75">
      <c r="B233" s="89" t="s">
        <v>419</v>
      </c>
      <c r="C233" s="89" t="str">
        <f>INDEX(二三级标准!$C:$C,MATCH(服务费明细!$B233,二三级标准!$B:$B,0))</f>
        <v>非盲团队培训</v>
      </c>
      <c r="D233" s="166">
        <f t="shared" si="421"/>
        <v>0</v>
      </c>
      <c r="E233" s="166">
        <f>IF($D233=1,1,0)</f>
        <v>0</v>
      </c>
      <c r="F233" s="89" t="str">
        <f>INDEX(二三级标准!$G:$G,MATCH(服务费明细!$B233,二三级标准!$B:$B,0))</f>
        <v>次</v>
      </c>
      <c r="G233" s="166">
        <f t="shared" si="422"/>
        <v>0</v>
      </c>
      <c r="H233" s="166">
        <f t="shared" si="423"/>
        <v>0</v>
      </c>
      <c r="I233" s="166">
        <f t="shared" si="424"/>
        <v>0</v>
      </c>
      <c r="J233" s="166">
        <f t="shared" si="425"/>
        <v>0</v>
      </c>
      <c r="K233" s="166">
        <f t="shared" si="426"/>
        <v>0</v>
      </c>
      <c r="L233" s="166">
        <f t="shared" si="427"/>
        <v>0</v>
      </c>
      <c r="M233" s="166">
        <f t="shared" si="428"/>
        <v>0</v>
      </c>
      <c r="N233" s="166">
        <f t="shared" si="429"/>
        <v>0</v>
      </c>
      <c r="O233" s="166">
        <f t="shared" si="430"/>
        <v>0</v>
      </c>
      <c r="P233" s="166">
        <f t="shared" si="431"/>
        <v>0</v>
      </c>
      <c r="Q233" s="166">
        <f t="shared" si="432"/>
        <v>0</v>
      </c>
      <c r="R233" s="166">
        <f t="shared" si="433"/>
        <v>0</v>
      </c>
      <c r="S233" s="166">
        <f t="shared" si="434"/>
        <v>0</v>
      </c>
      <c r="T233" s="166">
        <f t="shared" si="435"/>
        <v>0</v>
      </c>
      <c r="U233" s="166">
        <f t="shared" si="436"/>
        <v>0</v>
      </c>
      <c r="V233" s="166">
        <f t="shared" si="437"/>
        <v>0</v>
      </c>
      <c r="W233" s="166">
        <f t="shared" si="438"/>
        <v>0</v>
      </c>
      <c r="X233" s="166">
        <f t="shared" si="439"/>
        <v>0</v>
      </c>
      <c r="Y233" s="166">
        <f t="shared" si="440"/>
        <v>0</v>
      </c>
      <c r="Z233" s="166">
        <f t="shared" si="441"/>
        <v>0</v>
      </c>
      <c r="AA233" s="166">
        <f t="shared" si="442"/>
        <v>0</v>
      </c>
      <c r="AB233" s="166">
        <f t="shared" si="443"/>
        <v>0</v>
      </c>
      <c r="AC233" s="166" cm="1">
        <f t="array" ref="AC233">SUMPRODUCT(G233:AB233,$G$4:$AB$4)</f>
        <v>0</v>
      </c>
      <c r="AD233" s="89" t="b">
        <f t="shared" si="444"/>
        <v>1</v>
      </c>
      <c r="AE233" s="386">
        <f>IFERROR(SUMIF(服务费底表!$K:$K,服务费明细!$B233,服务费底表!$AD:$AD)/E233,0)</f>
        <v>0</v>
      </c>
      <c r="AF233" s="386">
        <f t="shared" si="448"/>
        <v>0</v>
      </c>
      <c r="AG233" s="386">
        <f>IFERROR(SUMIF(服务费底表!$K:$K,服务费明细!$B233,服务费底表!$AG:$AG)/E233,0)</f>
        <v>0</v>
      </c>
      <c r="AH233" s="386">
        <f t="shared" si="449"/>
        <v>0</v>
      </c>
      <c r="AI233" s="409"/>
      <c r="AJ233" s="563">
        <f t="shared" si="447"/>
        <v>0</v>
      </c>
      <c r="AK233" s="564">
        <f>SUMIF(服务费底表!$K:$K,服务费明细!$B233,服务费底表!$AC:$AC)</f>
        <v>0</v>
      </c>
      <c r="AL233" s="166">
        <f>SUMIFS(服务费底表!$AC:$AC,服务费底表!$K:$K,服务费明细!$B233,服务费底表!$T:$T,AL$3)</f>
        <v>0</v>
      </c>
      <c r="AM233" s="166">
        <f>SUMIFS(服务费底表!$AC:$AC,服务费底表!$K:$K,服务费明细!$B233,服务费底表!$T:$T,AM$3)</f>
        <v>0</v>
      </c>
      <c r="AN233" s="166">
        <f>SUMIFS(服务费底表!$AC:$AC,服务费底表!$K:$K,服务费明细!$B233,服务费底表!$T:$T,AN$3)</f>
        <v>0</v>
      </c>
      <c r="AO233" s="166">
        <f>SUMIFS(服务费底表!$AC:$AC,服务费底表!$K:$K,服务费明细!$B233,服务费底表!$T:$T,AO$3)</f>
        <v>0</v>
      </c>
      <c r="AP233" s="166">
        <f>SUMIFS(服务费底表!$AC:$AC,服务费底表!$K:$K,服务费明细!$B233,服务费底表!$T:$T,AP$3)</f>
        <v>0</v>
      </c>
      <c r="AQ233" s="166">
        <f>SUMIFS(服务费底表!$AC:$AC,服务费底表!$K:$K,服务费明细!$B233,服务费底表!$T:$T,AQ$3)</f>
        <v>0</v>
      </c>
      <c r="AR233" s="166">
        <f>SUMIFS(服务费底表!$AC:$AC,服务费底表!$K:$K,服务费明细!$B233,服务费底表!$T:$T,AR$3)</f>
        <v>0</v>
      </c>
      <c r="AS233" s="166">
        <f>SUMIFS(服务费底表!$AC:$AC,服务费底表!$K:$K,服务费明细!$B233,服务费底表!$T:$T,AS$3)</f>
        <v>0</v>
      </c>
      <c r="AT233" s="166">
        <f>SUMIFS(服务费底表!$AC:$AC,服务费底表!$K:$K,服务费明细!$B233,服务费底表!$T:$T,AT$3)</f>
        <v>0</v>
      </c>
      <c r="AU233" s="166">
        <f>SUMIFS(服务费底表!$AC:$AC,服务费底表!$K:$K,服务费明细!$B233,服务费底表!$T:$T,AU$3)</f>
        <v>0</v>
      </c>
      <c r="AV233" s="166">
        <f>SUMIFS(服务费底表!$AC:$AC,服务费底表!$K:$K,服务费明细!$B233,服务费底表!$T:$T,AV$3)</f>
        <v>0</v>
      </c>
      <c r="AW233" s="166">
        <f>SUMIFS(服务费底表!$AC:$AC,服务费底表!$K:$K,服务费明细!$B233,服务费底表!$T:$T,AW$3)</f>
        <v>0</v>
      </c>
      <c r="AX233" s="166">
        <f>SUMIFS(服务费底表!$AC:$AC,服务费底表!$K:$K,服务费明细!$B233,服务费底表!$T:$T,AX$3)</f>
        <v>0</v>
      </c>
      <c r="AY233" s="166">
        <f>SUMIFS(服务费底表!$AC:$AC,服务费底表!$K:$K,服务费明细!$B233,服务费底表!$T:$T,AY$3)</f>
        <v>0</v>
      </c>
      <c r="AZ233" s="166">
        <f>SUMIFS(服务费底表!$AC:$AC,服务费底表!$K:$K,服务费明细!$B233,服务费底表!$T:$T,AZ$3)</f>
        <v>0</v>
      </c>
      <c r="BA233" s="166">
        <f>SUMIFS(服务费底表!$AC:$AC,服务费底表!$K:$K,服务费明细!$B233,服务费底表!$T:$T,BA$3)</f>
        <v>0</v>
      </c>
      <c r="BB233" s="166">
        <f>SUMIFS(服务费底表!$AC:$AC,服务费底表!$K:$K,服务费明细!$B233,服务费底表!$T:$T,BB$3)</f>
        <v>0</v>
      </c>
      <c r="BC233" s="166">
        <f>SUMIFS(服务费底表!$AC:$AC,服务费底表!$K:$K,服务费明细!$B233,服务费底表!$T:$T,BC$3)</f>
        <v>0</v>
      </c>
      <c r="BD233" s="166">
        <f>SUMIFS(服务费底表!$AC:$AC,服务费底表!$K:$K,服务费明细!$B233,服务费底表!$T:$T,BD$3)</f>
        <v>0</v>
      </c>
      <c r="BE233" s="166">
        <f>SUMIFS(服务费底表!$AC:$AC,服务费底表!$K:$K,服务费明细!$B233,服务费底表!$T:$T,BE$3)</f>
        <v>0</v>
      </c>
      <c r="BF233" s="166">
        <f>SUMIFS(服务费底表!$AC:$AC,服务费底表!$K:$K,服务费明细!$B233,服务费底表!$T:$T,BF$3)</f>
        <v>0</v>
      </c>
      <c r="BG233" s="166">
        <f>SUMIFS(服务费底表!$AC:$AC,服务费底表!$K:$K,服务费明细!$B233,服务费底表!$T:$T,BG$3)</f>
        <v>0</v>
      </c>
      <c r="BI233" s="388">
        <f>SUMIFS(服务费底表!$AC:$AC,服务费底表!$K:$K,服务费明细!$B233,服务费底表!$H:$H,服务费明细!BI$3)</f>
        <v>0</v>
      </c>
      <c r="BJ233" s="388">
        <f>SUMIFS(服务费底表!$AC:$AC,服务费底表!$K:$K,服务费明细!$B233,服务费底表!$H:$H,服务费明细!BJ$3)</f>
        <v>0</v>
      </c>
      <c r="BK233" s="388">
        <f>SUMIFS(服务费底表!$AC:$AC,服务费底表!$K:$K,服务费明细!$B233,服务费底表!$H:$H,服务费明细!BK$3)</f>
        <v>0</v>
      </c>
      <c r="BL233" s="388">
        <f>SUMIFS(服务费底表!$AC:$AC,服务费底表!$K:$K,服务费明细!$B233,服务费底表!$H:$H,服务费明细!BL$3)</f>
        <v>0</v>
      </c>
      <c r="BM233" s="388">
        <f>SUMIFS(服务费底表!$AC:$AC,服务费底表!$K:$K,服务费明细!$B233,服务费底表!$H:$H,服务费明细!BM$3)</f>
        <v>0</v>
      </c>
      <c r="BN233" s="388">
        <f>SUMIFS(服务费底表!$AC:$AC,服务费底表!$K:$K,服务费明细!$B233,服务费底表!$H:$H,服务费明细!BN$3)</f>
        <v>0</v>
      </c>
      <c r="BO233" s="388">
        <f>SUMIFS(服务费底表!$AC:$AC,服务费底表!$K:$K,服务费明细!$B233,服务费底表!$H:$H,服务费明细!BO$3)</f>
        <v>0</v>
      </c>
      <c r="BQ233" s="389">
        <f>SUMIFS(服务费底表!$AD:$AD,服务费底表!$K:$K,服务费明细!$B233,服务费底表!$H:$H,服务费明细!BQ$3)</f>
        <v>0</v>
      </c>
      <c r="BR233" s="389">
        <f>SUMIFS(服务费底表!$AD:$AD,服务费底表!$K:$K,服务费明细!$B233,服务费底表!$H:$H,服务费明细!BR$3)</f>
        <v>0</v>
      </c>
      <c r="BS233" s="389">
        <f>SUMIFS(服务费底表!$AD:$AD,服务费底表!$K:$K,服务费明细!$B233,服务费底表!$H:$H,服务费明细!BS$3)</f>
        <v>0</v>
      </c>
      <c r="BT233" s="389">
        <f>SUMIFS(服务费底表!$AD:$AD,服务费底表!$K:$K,服务费明细!$B233,服务费底表!$H:$H,服务费明细!BT$3)</f>
        <v>0</v>
      </c>
      <c r="BU233" s="389">
        <f>SUMIFS(服务费底表!$AD:$AD,服务费底表!$K:$K,服务费明细!$B233,服务费底表!$H:$H,服务费明细!BU$3)</f>
        <v>0</v>
      </c>
      <c r="BV233" s="389">
        <f>SUMIFS(服务费底表!$AD:$AD,服务费底表!$K:$K,服务费明细!$B233,服务费底表!$H:$H,服务费明细!BV$3)</f>
        <v>0</v>
      </c>
      <c r="BW233" s="389">
        <f>SUMIFS(服务费底表!$AD:$AD,服务费底表!$K:$K,服务费明细!$B233,服务费底表!$H:$H,服务费明细!BW$3)</f>
        <v>0</v>
      </c>
    </row>
    <row r="234" spans="2:75">
      <c r="B234" s="89" t="s">
        <v>421</v>
      </c>
      <c r="C234" s="89" t="str">
        <f>INDEX(二三级标准!$C:$C,MATCH(服务费明细!$B234,二三级标准!$B:$B,0))</f>
        <v>召开非盲监查员会</v>
      </c>
      <c r="D234" s="166">
        <f t="shared" si="421"/>
        <v>0</v>
      </c>
      <c r="E234" s="166">
        <f>IF($D234=1,ROUND((筛选月+入组月+治疗月)/1,0),0)</f>
        <v>0</v>
      </c>
      <c r="F234" s="89" t="str">
        <f>INDEX(二三级标准!$G:$G,MATCH(服务费明细!$B234,二三级标准!$B:$B,0))</f>
        <v>次</v>
      </c>
      <c r="G234" s="166">
        <f t="shared" si="422"/>
        <v>0</v>
      </c>
      <c r="H234" s="166">
        <f t="shared" si="423"/>
        <v>0</v>
      </c>
      <c r="I234" s="166">
        <f t="shared" si="424"/>
        <v>0</v>
      </c>
      <c r="J234" s="166">
        <f t="shared" si="425"/>
        <v>0</v>
      </c>
      <c r="K234" s="166">
        <f t="shared" si="426"/>
        <v>0</v>
      </c>
      <c r="L234" s="166">
        <f t="shared" si="427"/>
        <v>0</v>
      </c>
      <c r="M234" s="166">
        <f t="shared" si="428"/>
        <v>0</v>
      </c>
      <c r="N234" s="166">
        <f t="shared" si="429"/>
        <v>0</v>
      </c>
      <c r="O234" s="166">
        <f t="shared" si="430"/>
        <v>0</v>
      </c>
      <c r="P234" s="166">
        <f t="shared" si="431"/>
        <v>0</v>
      </c>
      <c r="Q234" s="166">
        <f t="shared" si="432"/>
        <v>0</v>
      </c>
      <c r="R234" s="166">
        <f t="shared" si="433"/>
        <v>0</v>
      </c>
      <c r="S234" s="166">
        <f t="shared" si="434"/>
        <v>0</v>
      </c>
      <c r="T234" s="166">
        <f t="shared" si="435"/>
        <v>0</v>
      </c>
      <c r="U234" s="166">
        <f t="shared" si="436"/>
        <v>0</v>
      </c>
      <c r="V234" s="166">
        <f t="shared" si="437"/>
        <v>0</v>
      </c>
      <c r="W234" s="166">
        <f t="shared" si="438"/>
        <v>0</v>
      </c>
      <c r="X234" s="166">
        <f t="shared" si="439"/>
        <v>0</v>
      </c>
      <c r="Y234" s="166">
        <f t="shared" si="440"/>
        <v>0</v>
      </c>
      <c r="Z234" s="166">
        <f t="shared" si="441"/>
        <v>0</v>
      </c>
      <c r="AA234" s="166">
        <f t="shared" si="442"/>
        <v>0</v>
      </c>
      <c r="AB234" s="166">
        <f t="shared" si="443"/>
        <v>0</v>
      </c>
      <c r="AC234" s="166" cm="1">
        <f t="array" ref="AC234">SUMPRODUCT(G234:AB234,$G$4:$AB$4)</f>
        <v>0</v>
      </c>
      <c r="AD234" s="89" t="b">
        <f t="shared" si="444"/>
        <v>1</v>
      </c>
      <c r="AE234" s="386">
        <f>IFERROR(SUMIF(服务费底表!$K:$K,服务费明细!$B234,服务费底表!$AD:$AD)/E234,0)</f>
        <v>0</v>
      </c>
      <c r="AF234" s="386">
        <f t="shared" si="448"/>
        <v>0</v>
      </c>
      <c r="AG234" s="386">
        <f>IFERROR(SUMIF(服务费底表!$K:$K,服务费明细!$B234,服务费底表!$AG:$AG)/E234,0)</f>
        <v>0</v>
      </c>
      <c r="AH234" s="386">
        <f t="shared" si="449"/>
        <v>0</v>
      </c>
      <c r="AI234" s="409"/>
      <c r="AJ234" s="563">
        <f t="shared" si="447"/>
        <v>0</v>
      </c>
      <c r="AK234" s="564">
        <f>SUMIF(服务费底表!$K:$K,服务费明细!$B234,服务费底表!$AC:$AC)</f>
        <v>0</v>
      </c>
      <c r="AL234" s="166">
        <f>SUMIFS(服务费底表!$AC:$AC,服务费底表!$K:$K,服务费明细!$B234,服务费底表!$T:$T,AL$3)</f>
        <v>0</v>
      </c>
      <c r="AM234" s="166">
        <f>SUMIFS(服务费底表!$AC:$AC,服务费底表!$K:$K,服务费明细!$B234,服务费底表!$T:$T,AM$3)</f>
        <v>0</v>
      </c>
      <c r="AN234" s="166">
        <f>SUMIFS(服务费底表!$AC:$AC,服务费底表!$K:$K,服务费明细!$B234,服务费底表!$T:$T,AN$3)</f>
        <v>0</v>
      </c>
      <c r="AO234" s="166">
        <f>SUMIFS(服务费底表!$AC:$AC,服务费底表!$K:$K,服务费明细!$B234,服务费底表!$T:$T,AO$3)</f>
        <v>0</v>
      </c>
      <c r="AP234" s="166">
        <f>SUMIFS(服务费底表!$AC:$AC,服务费底表!$K:$K,服务费明细!$B234,服务费底表!$T:$T,AP$3)</f>
        <v>0</v>
      </c>
      <c r="AQ234" s="166">
        <f>SUMIFS(服务费底表!$AC:$AC,服务费底表!$K:$K,服务费明细!$B234,服务费底表!$T:$T,AQ$3)</f>
        <v>0</v>
      </c>
      <c r="AR234" s="166">
        <f>SUMIFS(服务费底表!$AC:$AC,服务费底表!$K:$K,服务费明细!$B234,服务费底表!$T:$T,AR$3)</f>
        <v>0</v>
      </c>
      <c r="AS234" s="166">
        <f>SUMIFS(服务费底表!$AC:$AC,服务费底表!$K:$K,服务费明细!$B234,服务费底表!$T:$T,AS$3)</f>
        <v>0</v>
      </c>
      <c r="AT234" s="166">
        <f>SUMIFS(服务费底表!$AC:$AC,服务费底表!$K:$K,服务费明细!$B234,服务费底表!$T:$T,AT$3)</f>
        <v>0</v>
      </c>
      <c r="AU234" s="166">
        <f>SUMIFS(服务费底表!$AC:$AC,服务费底表!$K:$K,服务费明细!$B234,服务费底表!$T:$T,AU$3)</f>
        <v>0</v>
      </c>
      <c r="AV234" s="166">
        <f>SUMIFS(服务费底表!$AC:$AC,服务费底表!$K:$K,服务费明细!$B234,服务费底表!$T:$T,AV$3)</f>
        <v>0</v>
      </c>
      <c r="AW234" s="166">
        <f>SUMIFS(服务费底表!$AC:$AC,服务费底表!$K:$K,服务费明细!$B234,服务费底表!$T:$T,AW$3)</f>
        <v>0</v>
      </c>
      <c r="AX234" s="166">
        <f>SUMIFS(服务费底表!$AC:$AC,服务费底表!$K:$K,服务费明细!$B234,服务费底表!$T:$T,AX$3)</f>
        <v>0</v>
      </c>
      <c r="AY234" s="166">
        <f>SUMIFS(服务费底表!$AC:$AC,服务费底表!$K:$K,服务费明细!$B234,服务费底表!$T:$T,AY$3)</f>
        <v>0</v>
      </c>
      <c r="AZ234" s="166">
        <f>SUMIFS(服务费底表!$AC:$AC,服务费底表!$K:$K,服务费明细!$B234,服务费底表!$T:$T,AZ$3)</f>
        <v>0</v>
      </c>
      <c r="BA234" s="166">
        <f>SUMIFS(服务费底表!$AC:$AC,服务费底表!$K:$K,服务费明细!$B234,服务费底表!$T:$T,BA$3)</f>
        <v>0</v>
      </c>
      <c r="BB234" s="166">
        <f>SUMIFS(服务费底表!$AC:$AC,服务费底表!$K:$K,服务费明细!$B234,服务费底表!$T:$T,BB$3)</f>
        <v>0</v>
      </c>
      <c r="BC234" s="166">
        <f>SUMIFS(服务费底表!$AC:$AC,服务费底表!$K:$K,服务费明细!$B234,服务费底表!$T:$T,BC$3)</f>
        <v>0</v>
      </c>
      <c r="BD234" s="166">
        <f>SUMIFS(服务费底表!$AC:$AC,服务费底表!$K:$K,服务费明细!$B234,服务费底表!$T:$T,BD$3)</f>
        <v>0</v>
      </c>
      <c r="BE234" s="166">
        <f>SUMIFS(服务费底表!$AC:$AC,服务费底表!$K:$K,服务费明细!$B234,服务费底表!$T:$T,BE$3)</f>
        <v>0</v>
      </c>
      <c r="BF234" s="166">
        <f>SUMIFS(服务费底表!$AC:$AC,服务费底表!$K:$K,服务费明细!$B234,服务费底表!$T:$T,BF$3)</f>
        <v>0</v>
      </c>
      <c r="BG234" s="166">
        <f>SUMIFS(服务费底表!$AC:$AC,服务费底表!$K:$K,服务费明细!$B234,服务费底表!$T:$T,BG$3)</f>
        <v>0</v>
      </c>
      <c r="BI234" s="388">
        <f>SUMIFS(服务费底表!$AC:$AC,服务费底表!$K:$K,服务费明细!$B234,服务费底表!$H:$H,服务费明细!BI$3)</f>
        <v>0</v>
      </c>
      <c r="BJ234" s="388">
        <f>SUMIFS(服务费底表!$AC:$AC,服务费底表!$K:$K,服务费明细!$B234,服务费底表!$H:$H,服务费明细!BJ$3)</f>
        <v>0</v>
      </c>
      <c r="BK234" s="388">
        <f>SUMIFS(服务费底表!$AC:$AC,服务费底表!$K:$K,服务费明细!$B234,服务费底表!$H:$H,服务费明细!BK$3)</f>
        <v>0</v>
      </c>
      <c r="BL234" s="388">
        <f>SUMIFS(服务费底表!$AC:$AC,服务费底表!$K:$K,服务费明细!$B234,服务费底表!$H:$H,服务费明细!BL$3)</f>
        <v>0</v>
      </c>
      <c r="BM234" s="388">
        <f>SUMIFS(服务费底表!$AC:$AC,服务费底表!$K:$K,服务费明细!$B234,服务费底表!$H:$H,服务费明细!BM$3)</f>
        <v>0</v>
      </c>
      <c r="BN234" s="388">
        <f>SUMIFS(服务费底表!$AC:$AC,服务费底表!$K:$K,服务费明细!$B234,服务费底表!$H:$H,服务费明细!BN$3)</f>
        <v>0</v>
      </c>
      <c r="BO234" s="388">
        <f>SUMIFS(服务费底表!$AC:$AC,服务费底表!$K:$K,服务费明细!$B234,服务费底表!$H:$H,服务费明细!BO$3)</f>
        <v>0</v>
      </c>
      <c r="BQ234" s="389">
        <f>SUMIFS(服务费底表!$AD:$AD,服务费底表!$K:$K,服务费明细!$B234,服务费底表!$H:$H,服务费明细!BQ$3)</f>
        <v>0</v>
      </c>
      <c r="BR234" s="389">
        <f>SUMIFS(服务费底表!$AD:$AD,服务费底表!$K:$K,服务费明细!$B234,服务费底表!$H:$H,服务费明细!BR$3)</f>
        <v>0</v>
      </c>
      <c r="BS234" s="389">
        <f>SUMIFS(服务费底表!$AD:$AD,服务费底表!$K:$K,服务费明细!$B234,服务费底表!$H:$H,服务费明细!BS$3)</f>
        <v>0</v>
      </c>
      <c r="BT234" s="389">
        <f>SUMIFS(服务费底表!$AD:$AD,服务费底表!$K:$K,服务费明细!$B234,服务费底表!$H:$H,服务费明细!BT$3)</f>
        <v>0</v>
      </c>
      <c r="BU234" s="389">
        <f>SUMIFS(服务费底表!$AD:$AD,服务费底表!$K:$K,服务费明细!$B234,服务费底表!$H:$H,服务费明细!BU$3)</f>
        <v>0</v>
      </c>
      <c r="BV234" s="389">
        <f>SUMIFS(服务费底表!$AD:$AD,服务费底表!$K:$K,服务费明细!$B234,服务费底表!$H:$H,服务费明细!BV$3)</f>
        <v>0</v>
      </c>
      <c r="BW234" s="389">
        <f>SUMIFS(服务费底表!$AD:$AD,服务费底表!$K:$K,服务费明细!$B234,服务费底表!$H:$H,服务费明细!BW$3)</f>
        <v>0</v>
      </c>
    </row>
    <row r="235" spans="2:75">
      <c r="B235" s="89" t="s">
        <v>423</v>
      </c>
      <c r="C235" s="89" t="str">
        <f>INDEX(二三级标准!$C:$C,MATCH(服务费明细!$B235,二三级标准!$B:$B,0))</f>
        <v>召开非盲客户电话会</v>
      </c>
      <c r="D235" s="166">
        <f t="shared" si="421"/>
        <v>0</v>
      </c>
      <c r="E235" s="166">
        <f>IF($D235=1,ROUND((筛选月+入组月+治疗月)/2,0),0)</f>
        <v>0</v>
      </c>
      <c r="F235" s="89" t="str">
        <f>INDEX(二三级标准!$G:$G,MATCH(服务费明细!$B235,二三级标准!$B:$B,0))</f>
        <v>次</v>
      </c>
      <c r="G235" s="166">
        <f t="shared" si="422"/>
        <v>0</v>
      </c>
      <c r="H235" s="166">
        <f t="shared" si="423"/>
        <v>0</v>
      </c>
      <c r="I235" s="166">
        <f t="shared" si="424"/>
        <v>0</v>
      </c>
      <c r="J235" s="166">
        <f t="shared" si="425"/>
        <v>0</v>
      </c>
      <c r="K235" s="166">
        <f t="shared" si="426"/>
        <v>0</v>
      </c>
      <c r="L235" s="166">
        <f t="shared" si="427"/>
        <v>0</v>
      </c>
      <c r="M235" s="166">
        <f t="shared" si="428"/>
        <v>0</v>
      </c>
      <c r="N235" s="166">
        <f t="shared" si="429"/>
        <v>0</v>
      </c>
      <c r="O235" s="166">
        <f t="shared" si="430"/>
        <v>0</v>
      </c>
      <c r="P235" s="166">
        <f t="shared" si="431"/>
        <v>0</v>
      </c>
      <c r="Q235" s="166">
        <f t="shared" si="432"/>
        <v>0</v>
      </c>
      <c r="R235" s="166">
        <f t="shared" si="433"/>
        <v>0</v>
      </c>
      <c r="S235" s="166">
        <f t="shared" si="434"/>
        <v>0</v>
      </c>
      <c r="T235" s="166">
        <f t="shared" si="435"/>
        <v>0</v>
      </c>
      <c r="U235" s="166">
        <f t="shared" si="436"/>
        <v>0</v>
      </c>
      <c r="V235" s="166">
        <f t="shared" si="437"/>
        <v>0</v>
      </c>
      <c r="W235" s="166">
        <f t="shared" si="438"/>
        <v>0</v>
      </c>
      <c r="X235" s="166">
        <f t="shared" si="439"/>
        <v>0</v>
      </c>
      <c r="Y235" s="166">
        <f t="shared" si="440"/>
        <v>0</v>
      </c>
      <c r="Z235" s="166">
        <f t="shared" si="441"/>
        <v>0</v>
      </c>
      <c r="AA235" s="166">
        <f t="shared" si="442"/>
        <v>0</v>
      </c>
      <c r="AB235" s="166">
        <f t="shared" si="443"/>
        <v>0</v>
      </c>
      <c r="AC235" s="166" cm="1">
        <f t="array" ref="AC235">SUMPRODUCT(G235:AB235,$G$4:$AB$4)</f>
        <v>0</v>
      </c>
      <c r="AD235" s="89" t="b">
        <f t="shared" si="444"/>
        <v>1</v>
      </c>
      <c r="AE235" s="386">
        <f>IFERROR(SUMIF(服务费底表!$K:$K,服务费明细!$B235,服务费底表!$AD:$AD)/E235,0)</f>
        <v>0</v>
      </c>
      <c r="AF235" s="386">
        <f t="shared" si="448"/>
        <v>0</v>
      </c>
      <c r="AG235" s="386">
        <f>IFERROR(SUMIF(服务费底表!$K:$K,服务费明细!$B235,服务费底表!$AG:$AG)/E235,0)</f>
        <v>0</v>
      </c>
      <c r="AH235" s="386">
        <f t="shared" si="449"/>
        <v>0</v>
      </c>
      <c r="AI235" s="409"/>
      <c r="AJ235" s="563">
        <f t="shared" si="447"/>
        <v>0</v>
      </c>
      <c r="AK235" s="564">
        <f>SUMIF(服务费底表!$K:$K,服务费明细!$B235,服务费底表!$AC:$AC)</f>
        <v>0</v>
      </c>
      <c r="AL235" s="166">
        <f>SUMIFS(服务费底表!$AC:$AC,服务费底表!$K:$K,服务费明细!$B235,服务费底表!$T:$T,AL$3)</f>
        <v>0</v>
      </c>
      <c r="AM235" s="166">
        <f>SUMIFS(服务费底表!$AC:$AC,服务费底表!$K:$K,服务费明细!$B235,服务费底表!$T:$T,AM$3)</f>
        <v>0</v>
      </c>
      <c r="AN235" s="166">
        <f>SUMIFS(服务费底表!$AC:$AC,服务费底表!$K:$K,服务费明细!$B235,服务费底表!$T:$T,AN$3)</f>
        <v>0</v>
      </c>
      <c r="AO235" s="166">
        <f>SUMIFS(服务费底表!$AC:$AC,服务费底表!$K:$K,服务费明细!$B235,服务费底表!$T:$T,AO$3)</f>
        <v>0</v>
      </c>
      <c r="AP235" s="166">
        <f>SUMIFS(服务费底表!$AC:$AC,服务费底表!$K:$K,服务费明细!$B235,服务费底表!$T:$T,AP$3)</f>
        <v>0</v>
      </c>
      <c r="AQ235" s="166">
        <f>SUMIFS(服务费底表!$AC:$AC,服务费底表!$K:$K,服务费明细!$B235,服务费底表!$T:$T,AQ$3)</f>
        <v>0</v>
      </c>
      <c r="AR235" s="166">
        <f>SUMIFS(服务费底表!$AC:$AC,服务费底表!$K:$K,服务费明细!$B235,服务费底表!$T:$T,AR$3)</f>
        <v>0</v>
      </c>
      <c r="AS235" s="166">
        <f>SUMIFS(服务费底表!$AC:$AC,服务费底表!$K:$K,服务费明细!$B235,服务费底表!$T:$T,AS$3)</f>
        <v>0</v>
      </c>
      <c r="AT235" s="166">
        <f>SUMIFS(服务费底表!$AC:$AC,服务费底表!$K:$K,服务费明细!$B235,服务费底表!$T:$T,AT$3)</f>
        <v>0</v>
      </c>
      <c r="AU235" s="166">
        <f>SUMIFS(服务费底表!$AC:$AC,服务费底表!$K:$K,服务费明细!$B235,服务费底表!$T:$T,AU$3)</f>
        <v>0</v>
      </c>
      <c r="AV235" s="166">
        <f>SUMIFS(服务费底表!$AC:$AC,服务费底表!$K:$K,服务费明细!$B235,服务费底表!$T:$T,AV$3)</f>
        <v>0</v>
      </c>
      <c r="AW235" s="166">
        <f>SUMIFS(服务费底表!$AC:$AC,服务费底表!$K:$K,服务费明细!$B235,服务费底表!$T:$T,AW$3)</f>
        <v>0</v>
      </c>
      <c r="AX235" s="166">
        <f>SUMIFS(服务费底表!$AC:$AC,服务费底表!$K:$K,服务费明细!$B235,服务费底表!$T:$T,AX$3)</f>
        <v>0</v>
      </c>
      <c r="AY235" s="166">
        <f>SUMIFS(服务费底表!$AC:$AC,服务费底表!$K:$K,服务费明细!$B235,服务费底表!$T:$T,AY$3)</f>
        <v>0</v>
      </c>
      <c r="AZ235" s="166">
        <f>SUMIFS(服务费底表!$AC:$AC,服务费底表!$K:$K,服务费明细!$B235,服务费底表!$T:$T,AZ$3)</f>
        <v>0</v>
      </c>
      <c r="BA235" s="166">
        <f>SUMIFS(服务费底表!$AC:$AC,服务费底表!$K:$K,服务费明细!$B235,服务费底表!$T:$T,BA$3)</f>
        <v>0</v>
      </c>
      <c r="BB235" s="166">
        <f>SUMIFS(服务费底表!$AC:$AC,服务费底表!$K:$K,服务费明细!$B235,服务费底表!$T:$T,BB$3)</f>
        <v>0</v>
      </c>
      <c r="BC235" s="166">
        <f>SUMIFS(服务费底表!$AC:$AC,服务费底表!$K:$K,服务费明细!$B235,服务费底表!$T:$T,BC$3)</f>
        <v>0</v>
      </c>
      <c r="BD235" s="166">
        <f>SUMIFS(服务费底表!$AC:$AC,服务费底表!$K:$K,服务费明细!$B235,服务费底表!$T:$T,BD$3)</f>
        <v>0</v>
      </c>
      <c r="BE235" s="166">
        <f>SUMIFS(服务费底表!$AC:$AC,服务费底表!$K:$K,服务费明细!$B235,服务费底表!$T:$T,BE$3)</f>
        <v>0</v>
      </c>
      <c r="BF235" s="166">
        <f>SUMIFS(服务费底表!$AC:$AC,服务费底表!$K:$K,服务费明细!$B235,服务费底表!$T:$T,BF$3)</f>
        <v>0</v>
      </c>
      <c r="BG235" s="166">
        <f>SUMIFS(服务费底表!$AC:$AC,服务费底表!$K:$K,服务费明细!$B235,服务费底表!$T:$T,BG$3)</f>
        <v>0</v>
      </c>
      <c r="BI235" s="388">
        <f>SUMIFS(服务费底表!$AC:$AC,服务费底表!$K:$K,服务费明细!$B235,服务费底表!$H:$H,服务费明细!BI$3)</f>
        <v>0</v>
      </c>
      <c r="BJ235" s="388">
        <f>SUMIFS(服务费底表!$AC:$AC,服务费底表!$K:$K,服务费明细!$B235,服务费底表!$H:$H,服务费明细!BJ$3)</f>
        <v>0</v>
      </c>
      <c r="BK235" s="388">
        <f>SUMIFS(服务费底表!$AC:$AC,服务费底表!$K:$K,服务费明细!$B235,服务费底表!$H:$H,服务费明细!BK$3)</f>
        <v>0</v>
      </c>
      <c r="BL235" s="388">
        <f>SUMIFS(服务费底表!$AC:$AC,服务费底表!$K:$K,服务费明细!$B235,服务费底表!$H:$H,服务费明细!BL$3)</f>
        <v>0</v>
      </c>
      <c r="BM235" s="388">
        <f>SUMIFS(服务费底表!$AC:$AC,服务费底表!$K:$K,服务费明细!$B235,服务费底表!$H:$H,服务费明细!BM$3)</f>
        <v>0</v>
      </c>
      <c r="BN235" s="388">
        <f>SUMIFS(服务费底表!$AC:$AC,服务费底表!$K:$K,服务费明细!$B235,服务费底表!$H:$H,服务费明细!BN$3)</f>
        <v>0</v>
      </c>
      <c r="BO235" s="388">
        <f>SUMIFS(服务费底表!$AC:$AC,服务费底表!$K:$K,服务费明细!$B235,服务费底表!$H:$H,服务费明细!BO$3)</f>
        <v>0</v>
      </c>
      <c r="BQ235" s="389">
        <f>SUMIFS(服务费底表!$AD:$AD,服务费底表!$K:$K,服务费明细!$B235,服务费底表!$H:$H,服务费明细!BQ$3)</f>
        <v>0</v>
      </c>
      <c r="BR235" s="389">
        <f>SUMIFS(服务费底表!$AD:$AD,服务费底表!$K:$K,服务费明细!$B235,服务费底表!$H:$H,服务费明细!BR$3)</f>
        <v>0</v>
      </c>
      <c r="BS235" s="389">
        <f>SUMIFS(服务费底表!$AD:$AD,服务费底表!$K:$K,服务费明细!$B235,服务费底表!$H:$H,服务费明细!BS$3)</f>
        <v>0</v>
      </c>
      <c r="BT235" s="389">
        <f>SUMIFS(服务费底表!$AD:$AD,服务费底表!$K:$K,服务费明细!$B235,服务费底表!$H:$H,服务费明细!BT$3)</f>
        <v>0</v>
      </c>
      <c r="BU235" s="389">
        <f>SUMIFS(服务费底表!$AD:$AD,服务费底表!$K:$K,服务费明细!$B235,服务费底表!$H:$H,服务费明细!BU$3)</f>
        <v>0</v>
      </c>
      <c r="BV235" s="389">
        <f>SUMIFS(服务费底表!$AD:$AD,服务费底表!$K:$K,服务费明细!$B235,服务费底表!$H:$H,服务费明细!BV$3)</f>
        <v>0</v>
      </c>
      <c r="BW235" s="389">
        <f>SUMIFS(服务费底表!$AD:$AD,服务费底表!$K:$K,服务费明细!$B235,服务费底表!$H:$H,服务费明细!BW$3)</f>
        <v>0</v>
      </c>
    </row>
    <row r="236" spans="2:75">
      <c r="B236" s="89" t="s">
        <v>425</v>
      </c>
      <c r="C236" s="89" t="str">
        <f>INDEX(二三级标准!$C:$C,MATCH(服务费明细!$B236,二三级标准!$B:$B,0))</f>
        <v>非盲启动访视</v>
      </c>
      <c r="D236" s="166">
        <f t="shared" si="421"/>
        <v>0</v>
      </c>
      <c r="E236" s="166">
        <f>IF($D236=1,启动中心数,0)</f>
        <v>0</v>
      </c>
      <c r="F236" s="89" t="str">
        <f>INDEX(二三级标准!$G:$G,MATCH(服务费明细!$B236,二三级标准!$B:$B,0))</f>
        <v>次</v>
      </c>
      <c r="G236" s="166">
        <f t="shared" si="422"/>
        <v>0</v>
      </c>
      <c r="H236" s="166">
        <f t="shared" si="423"/>
        <v>0</v>
      </c>
      <c r="I236" s="166">
        <f t="shared" si="424"/>
        <v>0</v>
      </c>
      <c r="J236" s="166">
        <f t="shared" si="425"/>
        <v>0</v>
      </c>
      <c r="K236" s="166">
        <f t="shared" si="426"/>
        <v>0</v>
      </c>
      <c r="L236" s="166">
        <f t="shared" si="427"/>
        <v>0</v>
      </c>
      <c r="M236" s="166">
        <f t="shared" si="428"/>
        <v>0</v>
      </c>
      <c r="N236" s="166">
        <f t="shared" si="429"/>
        <v>0</v>
      </c>
      <c r="O236" s="166">
        <f t="shared" si="430"/>
        <v>0</v>
      </c>
      <c r="P236" s="166">
        <f t="shared" si="431"/>
        <v>0</v>
      </c>
      <c r="Q236" s="166">
        <f t="shared" si="432"/>
        <v>0</v>
      </c>
      <c r="R236" s="166">
        <f t="shared" si="433"/>
        <v>0</v>
      </c>
      <c r="S236" s="166">
        <f t="shared" si="434"/>
        <v>0</v>
      </c>
      <c r="T236" s="166">
        <f t="shared" si="435"/>
        <v>0</v>
      </c>
      <c r="U236" s="166">
        <f t="shared" si="436"/>
        <v>0</v>
      </c>
      <c r="V236" s="166">
        <f t="shared" si="437"/>
        <v>0</v>
      </c>
      <c r="W236" s="166">
        <f t="shared" si="438"/>
        <v>0</v>
      </c>
      <c r="X236" s="166">
        <f t="shared" si="439"/>
        <v>0</v>
      </c>
      <c r="Y236" s="166">
        <f t="shared" si="440"/>
        <v>0</v>
      </c>
      <c r="Z236" s="166">
        <f t="shared" si="441"/>
        <v>0</v>
      </c>
      <c r="AA236" s="166">
        <f t="shared" si="442"/>
        <v>0</v>
      </c>
      <c r="AB236" s="166">
        <f t="shared" si="443"/>
        <v>0</v>
      </c>
      <c r="AC236" s="166" cm="1">
        <f t="array" ref="AC236">SUMPRODUCT(G236:AB236,$G$4:$AB$4)</f>
        <v>0</v>
      </c>
      <c r="AD236" s="89" t="b">
        <f t="shared" si="444"/>
        <v>1</v>
      </c>
      <c r="AE236" s="386">
        <f>IFERROR(SUMIF(服务费底表!$K:$K,服务费明细!$B236,服务费底表!$AD:$AD)/E236,0)</f>
        <v>0</v>
      </c>
      <c r="AF236" s="386">
        <f t="shared" si="448"/>
        <v>0</v>
      </c>
      <c r="AG236" s="386">
        <f>IFERROR(SUMIF(服务费底表!$K:$K,服务费明细!$B236,服务费底表!$AG:$AG)/E236,0)</f>
        <v>0</v>
      </c>
      <c r="AH236" s="386">
        <f t="shared" si="449"/>
        <v>0</v>
      </c>
      <c r="AI236" s="409"/>
      <c r="AJ236" s="563">
        <f t="shared" si="447"/>
        <v>0</v>
      </c>
      <c r="AK236" s="564">
        <f>SUMIF(服务费底表!$K:$K,服务费明细!$B236,服务费底表!$AC:$AC)</f>
        <v>0</v>
      </c>
      <c r="AL236" s="166">
        <f>SUMIFS(服务费底表!$AC:$AC,服务费底表!$K:$K,服务费明细!$B236,服务费底表!$T:$T,AL$3)</f>
        <v>0</v>
      </c>
      <c r="AM236" s="166">
        <f>SUMIFS(服务费底表!$AC:$AC,服务费底表!$K:$K,服务费明细!$B236,服务费底表!$T:$T,AM$3)</f>
        <v>0</v>
      </c>
      <c r="AN236" s="166">
        <f>SUMIFS(服务费底表!$AC:$AC,服务费底表!$K:$K,服务费明细!$B236,服务费底表!$T:$T,AN$3)</f>
        <v>0</v>
      </c>
      <c r="AO236" s="166">
        <f>SUMIFS(服务费底表!$AC:$AC,服务费底表!$K:$K,服务费明细!$B236,服务费底表!$T:$T,AO$3)</f>
        <v>0</v>
      </c>
      <c r="AP236" s="166">
        <f>SUMIFS(服务费底表!$AC:$AC,服务费底表!$K:$K,服务费明细!$B236,服务费底表!$T:$T,AP$3)</f>
        <v>0</v>
      </c>
      <c r="AQ236" s="166">
        <f>SUMIFS(服务费底表!$AC:$AC,服务费底表!$K:$K,服务费明细!$B236,服务费底表!$T:$T,AQ$3)</f>
        <v>0</v>
      </c>
      <c r="AR236" s="166">
        <f>SUMIFS(服务费底表!$AC:$AC,服务费底表!$K:$K,服务费明细!$B236,服务费底表!$T:$T,AR$3)</f>
        <v>0</v>
      </c>
      <c r="AS236" s="166">
        <f>SUMIFS(服务费底表!$AC:$AC,服务费底表!$K:$K,服务费明细!$B236,服务费底表!$T:$T,AS$3)</f>
        <v>0</v>
      </c>
      <c r="AT236" s="166">
        <f>SUMIFS(服务费底表!$AC:$AC,服务费底表!$K:$K,服务费明细!$B236,服务费底表!$T:$T,AT$3)</f>
        <v>0</v>
      </c>
      <c r="AU236" s="166">
        <f>SUMIFS(服务费底表!$AC:$AC,服务费底表!$K:$K,服务费明细!$B236,服务费底表!$T:$T,AU$3)</f>
        <v>0</v>
      </c>
      <c r="AV236" s="166">
        <f>SUMIFS(服务费底表!$AC:$AC,服务费底表!$K:$K,服务费明细!$B236,服务费底表!$T:$T,AV$3)</f>
        <v>0</v>
      </c>
      <c r="AW236" s="166">
        <f>SUMIFS(服务费底表!$AC:$AC,服务费底表!$K:$K,服务费明细!$B236,服务费底表!$T:$T,AW$3)</f>
        <v>0</v>
      </c>
      <c r="AX236" s="166">
        <f>SUMIFS(服务费底表!$AC:$AC,服务费底表!$K:$K,服务费明细!$B236,服务费底表!$T:$T,AX$3)</f>
        <v>0</v>
      </c>
      <c r="AY236" s="166">
        <f>SUMIFS(服务费底表!$AC:$AC,服务费底表!$K:$K,服务费明细!$B236,服务费底表!$T:$T,AY$3)</f>
        <v>0</v>
      </c>
      <c r="AZ236" s="166">
        <f>SUMIFS(服务费底表!$AC:$AC,服务费底表!$K:$K,服务费明细!$B236,服务费底表!$T:$T,AZ$3)</f>
        <v>0</v>
      </c>
      <c r="BA236" s="166">
        <f>SUMIFS(服务费底表!$AC:$AC,服务费底表!$K:$K,服务费明细!$B236,服务费底表!$T:$T,BA$3)</f>
        <v>0</v>
      </c>
      <c r="BB236" s="166">
        <f>SUMIFS(服务费底表!$AC:$AC,服务费底表!$K:$K,服务费明细!$B236,服务费底表!$T:$T,BB$3)</f>
        <v>0</v>
      </c>
      <c r="BC236" s="166">
        <f>SUMIFS(服务费底表!$AC:$AC,服务费底表!$K:$K,服务费明细!$B236,服务费底表!$T:$T,BC$3)</f>
        <v>0</v>
      </c>
      <c r="BD236" s="166">
        <f>SUMIFS(服务费底表!$AC:$AC,服务费底表!$K:$K,服务费明细!$B236,服务费底表!$T:$T,BD$3)</f>
        <v>0</v>
      </c>
      <c r="BE236" s="166">
        <f>SUMIFS(服务费底表!$AC:$AC,服务费底表!$K:$K,服务费明细!$B236,服务费底表!$T:$T,BE$3)</f>
        <v>0</v>
      </c>
      <c r="BF236" s="166">
        <f>SUMIFS(服务费底表!$AC:$AC,服务费底表!$K:$K,服务费明细!$B236,服务费底表!$T:$T,BF$3)</f>
        <v>0</v>
      </c>
      <c r="BG236" s="166">
        <f>SUMIFS(服务费底表!$AC:$AC,服务费底表!$K:$K,服务费明细!$B236,服务费底表!$T:$T,BG$3)</f>
        <v>0</v>
      </c>
      <c r="BI236" s="388">
        <f>SUMIFS(服务费底表!$AC:$AC,服务费底表!$K:$K,服务费明细!$B236,服务费底表!$H:$H,服务费明细!BI$3)</f>
        <v>0</v>
      </c>
      <c r="BJ236" s="388">
        <f>SUMIFS(服务费底表!$AC:$AC,服务费底表!$K:$K,服务费明细!$B236,服务费底表!$H:$H,服务费明细!BJ$3)</f>
        <v>0</v>
      </c>
      <c r="BK236" s="388">
        <f>SUMIFS(服务费底表!$AC:$AC,服务费底表!$K:$K,服务费明细!$B236,服务费底表!$H:$H,服务费明细!BK$3)</f>
        <v>0</v>
      </c>
      <c r="BL236" s="388">
        <f>SUMIFS(服务费底表!$AC:$AC,服务费底表!$K:$K,服务费明细!$B236,服务费底表!$H:$H,服务费明细!BL$3)</f>
        <v>0</v>
      </c>
      <c r="BM236" s="388">
        <f>SUMIFS(服务费底表!$AC:$AC,服务费底表!$K:$K,服务费明细!$B236,服务费底表!$H:$H,服务费明细!BM$3)</f>
        <v>0</v>
      </c>
      <c r="BN236" s="388">
        <f>SUMIFS(服务费底表!$AC:$AC,服务费底表!$K:$K,服务费明细!$B236,服务费底表!$H:$H,服务费明细!BN$3)</f>
        <v>0</v>
      </c>
      <c r="BO236" s="388">
        <f>SUMIFS(服务费底表!$AC:$AC,服务费底表!$K:$K,服务费明细!$B236,服务费底表!$H:$H,服务费明细!BO$3)</f>
        <v>0</v>
      </c>
      <c r="BQ236" s="389">
        <f>SUMIFS(服务费底表!$AD:$AD,服务费底表!$K:$K,服务费明细!$B236,服务费底表!$H:$H,服务费明细!BQ$3)</f>
        <v>0</v>
      </c>
      <c r="BR236" s="389">
        <f>SUMIFS(服务费底表!$AD:$AD,服务费底表!$K:$K,服务费明细!$B236,服务费底表!$H:$H,服务费明细!BR$3)</f>
        <v>0</v>
      </c>
      <c r="BS236" s="389">
        <f>SUMIFS(服务费底表!$AD:$AD,服务费底表!$K:$K,服务费明细!$B236,服务费底表!$H:$H,服务费明细!BS$3)</f>
        <v>0</v>
      </c>
      <c r="BT236" s="389">
        <f>SUMIFS(服务费底表!$AD:$AD,服务费底表!$K:$K,服务费明细!$B236,服务费底表!$H:$H,服务费明细!BT$3)</f>
        <v>0</v>
      </c>
      <c r="BU236" s="389">
        <f>SUMIFS(服务费底表!$AD:$AD,服务费底表!$K:$K,服务费明细!$B236,服务费底表!$H:$H,服务费明细!BU$3)</f>
        <v>0</v>
      </c>
      <c r="BV236" s="389">
        <f>SUMIFS(服务费底表!$AD:$AD,服务费底表!$K:$K,服务费明细!$B236,服务费底表!$H:$H,服务费明细!BV$3)</f>
        <v>0</v>
      </c>
      <c r="BW236" s="389">
        <f>SUMIFS(服务费底表!$AD:$AD,服务费底表!$K:$K,服务费明细!$B236,服务费底表!$H:$H,服务费明细!BW$3)</f>
        <v>0</v>
      </c>
    </row>
    <row r="237" spans="2:75">
      <c r="B237" s="89" t="s">
        <v>427</v>
      </c>
      <c r="C237" s="89" t="str">
        <f>INDEX(二三级标准!$C:$C,MATCH(服务费明细!$B237,二三级标准!$B:$B,0))</f>
        <v>非盲常规监查访视</v>
      </c>
      <c r="D237" s="166">
        <f t="shared" si="421"/>
        <v>0</v>
      </c>
      <c r="E237" s="166">
        <f>IF($D237=1,ROUND(E52/3,0),0)</f>
        <v>0</v>
      </c>
      <c r="F237" s="89" t="str">
        <f>INDEX(二三级标准!$G:$G,MATCH(服务费明细!$B237,二三级标准!$B:$B,0))</f>
        <v>次</v>
      </c>
      <c r="G237" s="166">
        <f t="shared" si="422"/>
        <v>0</v>
      </c>
      <c r="H237" s="166">
        <f t="shared" si="423"/>
        <v>0</v>
      </c>
      <c r="I237" s="166">
        <f t="shared" si="424"/>
        <v>0</v>
      </c>
      <c r="J237" s="166">
        <f t="shared" si="425"/>
        <v>0</v>
      </c>
      <c r="K237" s="166">
        <f t="shared" si="426"/>
        <v>0</v>
      </c>
      <c r="L237" s="166">
        <f t="shared" si="427"/>
        <v>0</v>
      </c>
      <c r="M237" s="166">
        <f t="shared" si="428"/>
        <v>0</v>
      </c>
      <c r="N237" s="166">
        <f t="shared" si="429"/>
        <v>0</v>
      </c>
      <c r="O237" s="166">
        <f t="shared" si="430"/>
        <v>0</v>
      </c>
      <c r="P237" s="166">
        <f t="shared" si="431"/>
        <v>0</v>
      </c>
      <c r="Q237" s="166">
        <f t="shared" si="432"/>
        <v>0</v>
      </c>
      <c r="R237" s="166">
        <f t="shared" si="433"/>
        <v>0</v>
      </c>
      <c r="S237" s="166">
        <f t="shared" si="434"/>
        <v>0</v>
      </c>
      <c r="T237" s="166">
        <f t="shared" si="435"/>
        <v>0</v>
      </c>
      <c r="U237" s="166">
        <f t="shared" si="436"/>
        <v>0</v>
      </c>
      <c r="V237" s="166">
        <f t="shared" si="437"/>
        <v>0</v>
      </c>
      <c r="W237" s="166">
        <f t="shared" si="438"/>
        <v>0</v>
      </c>
      <c r="X237" s="166">
        <f t="shared" si="439"/>
        <v>0</v>
      </c>
      <c r="Y237" s="166">
        <f t="shared" si="440"/>
        <v>0</v>
      </c>
      <c r="Z237" s="166">
        <f t="shared" si="441"/>
        <v>0</v>
      </c>
      <c r="AA237" s="166">
        <f t="shared" si="442"/>
        <v>0</v>
      </c>
      <c r="AB237" s="166">
        <f t="shared" si="443"/>
        <v>0</v>
      </c>
      <c r="AC237" s="166" cm="1">
        <f t="array" ref="AC237">SUMPRODUCT(G237:AB237,$G$4:$AB$4)</f>
        <v>0</v>
      </c>
      <c r="AD237" s="89" t="b">
        <f t="shared" si="444"/>
        <v>1</v>
      </c>
      <c r="AE237" s="386">
        <f>IFERROR(SUMIF(服务费底表!$K:$K,服务费明细!$B237,服务费底表!$AD:$AD)/E237,0)</f>
        <v>0</v>
      </c>
      <c r="AF237" s="386">
        <f t="shared" si="448"/>
        <v>0</v>
      </c>
      <c r="AG237" s="386">
        <f>IFERROR(SUMIF(服务费底表!$K:$K,服务费明细!$B237,服务费底表!$AG:$AG)/E237,0)</f>
        <v>0</v>
      </c>
      <c r="AH237" s="386">
        <f t="shared" si="449"/>
        <v>0</v>
      </c>
      <c r="AI237" s="409"/>
      <c r="AJ237" s="563">
        <f t="shared" si="447"/>
        <v>0</v>
      </c>
      <c r="AK237" s="564">
        <f>SUMIF(服务费底表!$K:$K,服务费明细!$B237,服务费底表!$AC:$AC)</f>
        <v>0</v>
      </c>
      <c r="AL237" s="166">
        <f>SUMIFS(服务费底表!$AC:$AC,服务费底表!$K:$K,服务费明细!$B237,服务费底表!$T:$T,AL$3)</f>
        <v>0</v>
      </c>
      <c r="AM237" s="166">
        <f>SUMIFS(服务费底表!$AC:$AC,服务费底表!$K:$K,服务费明细!$B237,服务费底表!$T:$T,AM$3)</f>
        <v>0</v>
      </c>
      <c r="AN237" s="166">
        <f>SUMIFS(服务费底表!$AC:$AC,服务费底表!$K:$K,服务费明细!$B237,服务费底表!$T:$T,AN$3)</f>
        <v>0</v>
      </c>
      <c r="AO237" s="166">
        <f>SUMIFS(服务费底表!$AC:$AC,服务费底表!$K:$K,服务费明细!$B237,服务费底表!$T:$T,AO$3)</f>
        <v>0</v>
      </c>
      <c r="AP237" s="166">
        <f>SUMIFS(服务费底表!$AC:$AC,服务费底表!$K:$K,服务费明细!$B237,服务费底表!$T:$T,AP$3)</f>
        <v>0</v>
      </c>
      <c r="AQ237" s="166">
        <f>SUMIFS(服务费底表!$AC:$AC,服务费底表!$K:$K,服务费明细!$B237,服务费底表!$T:$T,AQ$3)</f>
        <v>0</v>
      </c>
      <c r="AR237" s="166">
        <f>SUMIFS(服务费底表!$AC:$AC,服务费底表!$K:$K,服务费明细!$B237,服务费底表!$T:$T,AR$3)</f>
        <v>0</v>
      </c>
      <c r="AS237" s="166">
        <f>SUMIFS(服务费底表!$AC:$AC,服务费底表!$K:$K,服务费明细!$B237,服务费底表!$T:$T,AS$3)</f>
        <v>0</v>
      </c>
      <c r="AT237" s="166">
        <f>SUMIFS(服务费底表!$AC:$AC,服务费底表!$K:$K,服务费明细!$B237,服务费底表!$T:$T,AT$3)</f>
        <v>0</v>
      </c>
      <c r="AU237" s="166">
        <f>SUMIFS(服务费底表!$AC:$AC,服务费底表!$K:$K,服务费明细!$B237,服务费底表!$T:$T,AU$3)</f>
        <v>0</v>
      </c>
      <c r="AV237" s="166">
        <f>SUMIFS(服务费底表!$AC:$AC,服务费底表!$K:$K,服务费明细!$B237,服务费底表!$T:$T,AV$3)</f>
        <v>0</v>
      </c>
      <c r="AW237" s="166">
        <f>SUMIFS(服务费底表!$AC:$AC,服务费底表!$K:$K,服务费明细!$B237,服务费底表!$T:$T,AW$3)</f>
        <v>0</v>
      </c>
      <c r="AX237" s="166">
        <f>SUMIFS(服务费底表!$AC:$AC,服务费底表!$K:$K,服务费明细!$B237,服务费底表!$T:$T,AX$3)</f>
        <v>0</v>
      </c>
      <c r="AY237" s="166">
        <f>SUMIFS(服务费底表!$AC:$AC,服务费底表!$K:$K,服务费明细!$B237,服务费底表!$T:$T,AY$3)</f>
        <v>0</v>
      </c>
      <c r="AZ237" s="166">
        <f>SUMIFS(服务费底表!$AC:$AC,服务费底表!$K:$K,服务费明细!$B237,服务费底表!$T:$T,AZ$3)</f>
        <v>0</v>
      </c>
      <c r="BA237" s="166">
        <f>SUMIFS(服务费底表!$AC:$AC,服务费底表!$K:$K,服务费明细!$B237,服务费底表!$T:$T,BA$3)</f>
        <v>0</v>
      </c>
      <c r="BB237" s="166">
        <f>SUMIFS(服务费底表!$AC:$AC,服务费底表!$K:$K,服务费明细!$B237,服务费底表!$T:$T,BB$3)</f>
        <v>0</v>
      </c>
      <c r="BC237" s="166">
        <f>SUMIFS(服务费底表!$AC:$AC,服务费底表!$K:$K,服务费明细!$B237,服务费底表!$T:$T,BC$3)</f>
        <v>0</v>
      </c>
      <c r="BD237" s="166">
        <f>SUMIFS(服务费底表!$AC:$AC,服务费底表!$K:$K,服务费明细!$B237,服务费底表!$T:$T,BD$3)</f>
        <v>0</v>
      </c>
      <c r="BE237" s="166">
        <f>SUMIFS(服务费底表!$AC:$AC,服务费底表!$K:$K,服务费明细!$B237,服务费底表!$T:$T,BE$3)</f>
        <v>0</v>
      </c>
      <c r="BF237" s="166">
        <f>SUMIFS(服务费底表!$AC:$AC,服务费底表!$K:$K,服务费明细!$B237,服务费底表!$T:$T,BF$3)</f>
        <v>0</v>
      </c>
      <c r="BG237" s="166">
        <f>SUMIFS(服务费底表!$AC:$AC,服务费底表!$K:$K,服务费明细!$B237,服务费底表!$T:$T,BG$3)</f>
        <v>0</v>
      </c>
      <c r="BI237" s="388">
        <f>SUMIFS(服务费底表!$AC:$AC,服务费底表!$K:$K,服务费明细!$B237,服务费底表!$H:$H,服务费明细!BI$3)</f>
        <v>0</v>
      </c>
      <c r="BJ237" s="388">
        <f>SUMIFS(服务费底表!$AC:$AC,服务费底表!$K:$K,服务费明细!$B237,服务费底表!$H:$H,服务费明细!BJ$3)</f>
        <v>0</v>
      </c>
      <c r="BK237" s="388">
        <f>SUMIFS(服务费底表!$AC:$AC,服务费底表!$K:$K,服务费明细!$B237,服务费底表!$H:$H,服务费明细!BK$3)</f>
        <v>0</v>
      </c>
      <c r="BL237" s="388">
        <f>SUMIFS(服务费底表!$AC:$AC,服务费底表!$K:$K,服务费明细!$B237,服务费底表!$H:$H,服务费明细!BL$3)</f>
        <v>0</v>
      </c>
      <c r="BM237" s="388">
        <f>SUMIFS(服务费底表!$AC:$AC,服务费底表!$K:$K,服务费明细!$B237,服务费底表!$H:$H,服务费明细!BM$3)</f>
        <v>0</v>
      </c>
      <c r="BN237" s="388">
        <f>SUMIFS(服务费底表!$AC:$AC,服务费底表!$K:$K,服务费明细!$B237,服务费底表!$H:$H,服务费明细!BN$3)</f>
        <v>0</v>
      </c>
      <c r="BO237" s="388">
        <f>SUMIFS(服务费底表!$AC:$AC,服务费底表!$K:$K,服务费明细!$B237,服务费底表!$H:$H,服务费明细!BO$3)</f>
        <v>0</v>
      </c>
      <c r="BQ237" s="389">
        <f>SUMIFS(服务费底表!$AD:$AD,服务费底表!$K:$K,服务费明细!$B237,服务费底表!$H:$H,服务费明细!BQ$3)</f>
        <v>0</v>
      </c>
      <c r="BR237" s="389">
        <f>SUMIFS(服务费底表!$AD:$AD,服务费底表!$K:$K,服务费明细!$B237,服务费底表!$H:$H,服务费明细!BR$3)</f>
        <v>0</v>
      </c>
      <c r="BS237" s="389">
        <f>SUMIFS(服务费底表!$AD:$AD,服务费底表!$K:$K,服务费明细!$B237,服务费底表!$H:$H,服务费明细!BS$3)</f>
        <v>0</v>
      </c>
      <c r="BT237" s="389">
        <f>SUMIFS(服务费底表!$AD:$AD,服务费底表!$K:$K,服务费明细!$B237,服务费底表!$H:$H,服务费明细!BT$3)</f>
        <v>0</v>
      </c>
      <c r="BU237" s="389">
        <f>SUMIFS(服务费底表!$AD:$AD,服务费底表!$K:$K,服务费明细!$B237,服务费底表!$H:$H,服务费明细!BU$3)</f>
        <v>0</v>
      </c>
      <c r="BV237" s="389">
        <f>SUMIFS(服务费底表!$AD:$AD,服务费底表!$K:$K,服务费明细!$B237,服务费底表!$H:$H,服务费明细!BV$3)</f>
        <v>0</v>
      </c>
      <c r="BW237" s="389">
        <f>SUMIFS(服务费底表!$AD:$AD,服务费底表!$K:$K,服务费明细!$B237,服务费底表!$H:$H,服务费明细!BW$3)</f>
        <v>0</v>
      </c>
    </row>
    <row r="238" spans="2:75">
      <c r="B238" s="89" t="s">
        <v>429</v>
      </c>
      <c r="C238" s="89" t="str">
        <f>INDEX(二三级标准!$C:$C,MATCH(服务费明细!$B238,二三级标准!$B:$B,0))</f>
        <v>非盲中心日常支持和管理</v>
      </c>
      <c r="D238" s="166">
        <f t="shared" si="421"/>
        <v>0</v>
      </c>
      <c r="E238" s="166">
        <f>IF($D238=1,中心激活月-随访月*启动中心数,0)</f>
        <v>0</v>
      </c>
      <c r="F238" s="89" t="str">
        <f>INDEX(二三级标准!$G:$G,MATCH(服务费明细!$B238,二三级标准!$B:$B,0))</f>
        <v>月*中心</v>
      </c>
      <c r="G238" s="166">
        <f t="shared" si="422"/>
        <v>0</v>
      </c>
      <c r="H238" s="166">
        <f t="shared" si="423"/>
        <v>0</v>
      </c>
      <c r="I238" s="166">
        <f t="shared" si="424"/>
        <v>0</v>
      </c>
      <c r="J238" s="166">
        <f t="shared" si="425"/>
        <v>0</v>
      </c>
      <c r="K238" s="166">
        <f t="shared" si="426"/>
        <v>0</v>
      </c>
      <c r="L238" s="166">
        <f t="shared" si="427"/>
        <v>0</v>
      </c>
      <c r="M238" s="166">
        <f t="shared" si="428"/>
        <v>0</v>
      </c>
      <c r="N238" s="166">
        <f t="shared" si="429"/>
        <v>0</v>
      </c>
      <c r="O238" s="166">
        <f t="shared" si="430"/>
        <v>0</v>
      </c>
      <c r="P238" s="166">
        <f t="shared" si="431"/>
        <v>0</v>
      </c>
      <c r="Q238" s="166">
        <f t="shared" si="432"/>
        <v>0</v>
      </c>
      <c r="R238" s="166">
        <f t="shared" si="433"/>
        <v>0</v>
      </c>
      <c r="S238" s="166">
        <f t="shared" si="434"/>
        <v>0</v>
      </c>
      <c r="T238" s="166">
        <f t="shared" si="435"/>
        <v>0</v>
      </c>
      <c r="U238" s="166">
        <f t="shared" si="436"/>
        <v>0</v>
      </c>
      <c r="V238" s="166">
        <f t="shared" si="437"/>
        <v>0</v>
      </c>
      <c r="W238" s="166">
        <f t="shared" si="438"/>
        <v>0</v>
      </c>
      <c r="X238" s="166">
        <f t="shared" si="439"/>
        <v>0</v>
      </c>
      <c r="Y238" s="166">
        <f t="shared" si="440"/>
        <v>0</v>
      </c>
      <c r="Z238" s="166">
        <f t="shared" si="441"/>
        <v>0</v>
      </c>
      <c r="AA238" s="166">
        <f t="shared" si="442"/>
        <v>0</v>
      </c>
      <c r="AB238" s="166">
        <f t="shared" si="443"/>
        <v>0</v>
      </c>
      <c r="AC238" s="166" cm="1">
        <f t="array" ref="AC238">SUMPRODUCT(G238:AB238,$G$4:$AB$4)</f>
        <v>0</v>
      </c>
      <c r="AD238" s="89" t="b">
        <f t="shared" si="444"/>
        <v>1</v>
      </c>
      <c r="AE238" s="386">
        <f>IFERROR(SUMIF(服务费底表!$K:$K,服务费明细!$B238,服务费底表!$AD:$AD)/E238,0)</f>
        <v>0</v>
      </c>
      <c r="AF238" s="386">
        <f t="shared" si="448"/>
        <v>0</v>
      </c>
      <c r="AG238" s="386">
        <f>IFERROR(SUMIF(服务费底表!$K:$K,服务费明细!$B238,服务费底表!$AG:$AG)/E238,0)</f>
        <v>0</v>
      </c>
      <c r="AH238" s="386">
        <f t="shared" si="449"/>
        <v>0</v>
      </c>
      <c r="AI238" s="409"/>
      <c r="AJ238" s="563">
        <f t="shared" si="447"/>
        <v>0</v>
      </c>
      <c r="AK238" s="564">
        <f>SUMIF(服务费底表!$K:$K,服务费明细!$B238,服务费底表!$AC:$AC)</f>
        <v>0</v>
      </c>
      <c r="AL238" s="166">
        <f>SUMIFS(服务费底表!$AC:$AC,服务费底表!$K:$K,服务费明细!$B238,服务费底表!$T:$T,AL$3)</f>
        <v>0</v>
      </c>
      <c r="AM238" s="166">
        <f>SUMIFS(服务费底表!$AC:$AC,服务费底表!$K:$K,服务费明细!$B238,服务费底表!$T:$T,AM$3)</f>
        <v>0</v>
      </c>
      <c r="AN238" s="166">
        <f>SUMIFS(服务费底表!$AC:$AC,服务费底表!$K:$K,服务费明细!$B238,服务费底表!$T:$T,AN$3)</f>
        <v>0</v>
      </c>
      <c r="AO238" s="166">
        <f>SUMIFS(服务费底表!$AC:$AC,服务费底表!$K:$K,服务费明细!$B238,服务费底表!$T:$T,AO$3)</f>
        <v>0</v>
      </c>
      <c r="AP238" s="166">
        <f>SUMIFS(服务费底表!$AC:$AC,服务费底表!$K:$K,服务费明细!$B238,服务费底表!$T:$T,AP$3)</f>
        <v>0</v>
      </c>
      <c r="AQ238" s="166">
        <f>SUMIFS(服务费底表!$AC:$AC,服务费底表!$K:$K,服务费明细!$B238,服务费底表!$T:$T,AQ$3)</f>
        <v>0</v>
      </c>
      <c r="AR238" s="166">
        <f>SUMIFS(服务费底表!$AC:$AC,服务费底表!$K:$K,服务费明细!$B238,服务费底表!$T:$T,AR$3)</f>
        <v>0</v>
      </c>
      <c r="AS238" s="166">
        <f>SUMIFS(服务费底表!$AC:$AC,服务费底表!$K:$K,服务费明细!$B238,服务费底表!$T:$T,AS$3)</f>
        <v>0</v>
      </c>
      <c r="AT238" s="166">
        <f>SUMIFS(服务费底表!$AC:$AC,服务费底表!$K:$K,服务费明细!$B238,服务费底表!$T:$T,AT$3)</f>
        <v>0</v>
      </c>
      <c r="AU238" s="166">
        <f>SUMIFS(服务费底表!$AC:$AC,服务费底表!$K:$K,服务费明细!$B238,服务费底表!$T:$T,AU$3)</f>
        <v>0</v>
      </c>
      <c r="AV238" s="166">
        <f>SUMIFS(服务费底表!$AC:$AC,服务费底表!$K:$K,服务费明细!$B238,服务费底表!$T:$T,AV$3)</f>
        <v>0</v>
      </c>
      <c r="AW238" s="166">
        <f>SUMIFS(服务费底表!$AC:$AC,服务费底表!$K:$K,服务费明细!$B238,服务费底表!$T:$T,AW$3)</f>
        <v>0</v>
      </c>
      <c r="AX238" s="166">
        <f>SUMIFS(服务费底表!$AC:$AC,服务费底表!$K:$K,服务费明细!$B238,服务费底表!$T:$T,AX$3)</f>
        <v>0</v>
      </c>
      <c r="AY238" s="166">
        <f>SUMIFS(服务费底表!$AC:$AC,服务费底表!$K:$K,服务费明细!$B238,服务费底表!$T:$T,AY$3)</f>
        <v>0</v>
      </c>
      <c r="AZ238" s="166">
        <f>SUMIFS(服务费底表!$AC:$AC,服务费底表!$K:$K,服务费明细!$B238,服务费底表!$T:$T,AZ$3)</f>
        <v>0</v>
      </c>
      <c r="BA238" s="166">
        <f>SUMIFS(服务费底表!$AC:$AC,服务费底表!$K:$K,服务费明细!$B238,服务费底表!$T:$T,BA$3)</f>
        <v>0</v>
      </c>
      <c r="BB238" s="166">
        <f>SUMIFS(服务费底表!$AC:$AC,服务费底表!$K:$K,服务费明细!$B238,服务费底表!$T:$T,BB$3)</f>
        <v>0</v>
      </c>
      <c r="BC238" s="166">
        <f>SUMIFS(服务费底表!$AC:$AC,服务费底表!$K:$K,服务费明细!$B238,服务费底表!$T:$T,BC$3)</f>
        <v>0</v>
      </c>
      <c r="BD238" s="166">
        <f>SUMIFS(服务费底表!$AC:$AC,服务费底表!$K:$K,服务费明细!$B238,服务费底表!$T:$T,BD$3)</f>
        <v>0</v>
      </c>
      <c r="BE238" s="166">
        <f>SUMIFS(服务费底表!$AC:$AC,服务费底表!$K:$K,服务费明细!$B238,服务费底表!$T:$T,BE$3)</f>
        <v>0</v>
      </c>
      <c r="BF238" s="166">
        <f>SUMIFS(服务费底表!$AC:$AC,服务费底表!$K:$K,服务费明细!$B238,服务费底表!$T:$T,BF$3)</f>
        <v>0</v>
      </c>
      <c r="BG238" s="166">
        <f>SUMIFS(服务费底表!$AC:$AC,服务费底表!$K:$K,服务费明细!$B238,服务费底表!$T:$T,BG$3)</f>
        <v>0</v>
      </c>
      <c r="BI238" s="388">
        <f>SUMIFS(服务费底表!$AC:$AC,服务费底表!$K:$K,服务费明细!$B238,服务费底表!$H:$H,服务费明细!BI$3)</f>
        <v>0</v>
      </c>
      <c r="BJ238" s="388">
        <f>SUMIFS(服务费底表!$AC:$AC,服务费底表!$K:$K,服务费明细!$B238,服务费底表!$H:$H,服务费明细!BJ$3)</f>
        <v>0</v>
      </c>
      <c r="BK238" s="388">
        <f>SUMIFS(服务费底表!$AC:$AC,服务费底表!$K:$K,服务费明细!$B238,服务费底表!$H:$H,服务费明细!BK$3)</f>
        <v>0</v>
      </c>
      <c r="BL238" s="388">
        <f>SUMIFS(服务费底表!$AC:$AC,服务费底表!$K:$K,服务费明细!$B238,服务费底表!$H:$H,服务费明细!BL$3)</f>
        <v>0</v>
      </c>
      <c r="BM238" s="388">
        <f>SUMIFS(服务费底表!$AC:$AC,服务费底表!$K:$K,服务费明细!$B238,服务费底表!$H:$H,服务费明细!BM$3)</f>
        <v>0</v>
      </c>
      <c r="BN238" s="388">
        <f>SUMIFS(服务费底表!$AC:$AC,服务费底表!$K:$K,服务费明细!$B238,服务费底表!$H:$H,服务费明细!BN$3)</f>
        <v>0</v>
      </c>
      <c r="BO238" s="388">
        <f>SUMIFS(服务费底表!$AC:$AC,服务费底表!$K:$K,服务费明细!$B238,服务费底表!$H:$H,服务费明细!BO$3)</f>
        <v>0</v>
      </c>
      <c r="BQ238" s="389">
        <f>SUMIFS(服务费底表!$AD:$AD,服务费底表!$K:$K,服务费明细!$B238,服务费底表!$H:$H,服务费明细!BQ$3)</f>
        <v>0</v>
      </c>
      <c r="BR238" s="389">
        <f>SUMIFS(服务费底表!$AD:$AD,服务费底表!$K:$K,服务费明细!$B238,服务费底表!$H:$H,服务费明细!BR$3)</f>
        <v>0</v>
      </c>
      <c r="BS238" s="389">
        <f>SUMIFS(服务费底表!$AD:$AD,服务费底表!$K:$K,服务费明细!$B238,服务费底表!$H:$H,服务费明细!BS$3)</f>
        <v>0</v>
      </c>
      <c r="BT238" s="389">
        <f>SUMIFS(服务费底表!$AD:$AD,服务费底表!$K:$K,服务费明细!$B238,服务费底表!$H:$H,服务费明细!BT$3)</f>
        <v>0</v>
      </c>
      <c r="BU238" s="389">
        <f>SUMIFS(服务费底表!$AD:$AD,服务费底表!$K:$K,服务费明细!$B238,服务费底表!$H:$H,服务费明细!BU$3)</f>
        <v>0</v>
      </c>
      <c r="BV238" s="389">
        <f>SUMIFS(服务费底表!$AD:$AD,服务费底表!$K:$K,服务费明细!$B238,服务费底表!$H:$H,服务费明细!BV$3)</f>
        <v>0</v>
      </c>
      <c r="BW238" s="389">
        <f>SUMIFS(服务费底表!$AD:$AD,服务费底表!$K:$K,服务费明细!$B238,服务费底表!$H:$H,服务费明细!BW$3)</f>
        <v>0</v>
      </c>
    </row>
    <row r="239" spans="2:75">
      <c r="B239" s="89" t="s">
        <v>431</v>
      </c>
      <c r="C239" s="89" t="str">
        <f>INDEX(二三级标准!$C:$C,MATCH(服务费明细!$B239,二三级标准!$B:$B,0))</f>
        <v>非盲文件管理</v>
      </c>
      <c r="D239" s="166">
        <f t="shared" si="421"/>
        <v>0</v>
      </c>
      <c r="E239" s="166">
        <f>IF($D239=1,ROUND((筛选月+入组月+治疗月),0),0)</f>
        <v>0</v>
      </c>
      <c r="F239" s="89" t="str">
        <f>INDEX(二三级标准!$G:$G,MATCH(服务费明细!$B239,二三级标准!$B:$B,0))</f>
        <v>月</v>
      </c>
      <c r="G239" s="166">
        <f t="shared" si="422"/>
        <v>0</v>
      </c>
      <c r="H239" s="166">
        <f t="shared" si="423"/>
        <v>0</v>
      </c>
      <c r="I239" s="166">
        <f t="shared" si="424"/>
        <v>0</v>
      </c>
      <c r="J239" s="166">
        <f t="shared" si="425"/>
        <v>0</v>
      </c>
      <c r="K239" s="166">
        <f t="shared" si="426"/>
        <v>0</v>
      </c>
      <c r="L239" s="166">
        <f t="shared" si="427"/>
        <v>0</v>
      </c>
      <c r="M239" s="166">
        <f t="shared" si="428"/>
        <v>0</v>
      </c>
      <c r="N239" s="166">
        <f t="shared" si="429"/>
        <v>0</v>
      </c>
      <c r="O239" s="166">
        <f t="shared" si="430"/>
        <v>0</v>
      </c>
      <c r="P239" s="166">
        <f t="shared" si="431"/>
        <v>0</v>
      </c>
      <c r="Q239" s="166">
        <f t="shared" si="432"/>
        <v>0</v>
      </c>
      <c r="R239" s="166">
        <f t="shared" si="433"/>
        <v>0</v>
      </c>
      <c r="S239" s="166">
        <f t="shared" si="434"/>
        <v>0</v>
      </c>
      <c r="T239" s="166">
        <f t="shared" si="435"/>
        <v>0</v>
      </c>
      <c r="U239" s="166">
        <f t="shared" si="436"/>
        <v>0</v>
      </c>
      <c r="V239" s="166">
        <f t="shared" si="437"/>
        <v>0</v>
      </c>
      <c r="W239" s="166">
        <f t="shared" si="438"/>
        <v>0</v>
      </c>
      <c r="X239" s="166">
        <f t="shared" si="439"/>
        <v>0</v>
      </c>
      <c r="Y239" s="166">
        <f t="shared" si="440"/>
        <v>0</v>
      </c>
      <c r="Z239" s="166">
        <f t="shared" si="441"/>
        <v>0</v>
      </c>
      <c r="AA239" s="166">
        <f t="shared" si="442"/>
        <v>0</v>
      </c>
      <c r="AB239" s="166">
        <f t="shared" si="443"/>
        <v>0</v>
      </c>
      <c r="AC239" s="166" cm="1">
        <f t="array" ref="AC239">SUMPRODUCT(G239:AB239,$G$4:$AB$4)</f>
        <v>0</v>
      </c>
      <c r="AD239" s="89" t="b">
        <f t="shared" si="444"/>
        <v>1</v>
      </c>
      <c r="AE239" s="386">
        <f>IFERROR(SUMIF(服务费底表!$K:$K,服务费明细!$B239,服务费底表!$AD:$AD)/E239,0)</f>
        <v>0</v>
      </c>
      <c r="AF239" s="386">
        <f t="shared" si="448"/>
        <v>0</v>
      </c>
      <c r="AG239" s="386">
        <f>IFERROR(SUMIF(服务费底表!$K:$K,服务费明细!$B239,服务费底表!$AG:$AG)/E239,0)</f>
        <v>0</v>
      </c>
      <c r="AH239" s="386">
        <f t="shared" si="449"/>
        <v>0</v>
      </c>
      <c r="AI239" s="409"/>
      <c r="AJ239" s="563">
        <f t="shared" si="447"/>
        <v>0</v>
      </c>
      <c r="AK239" s="564">
        <f>SUMIF(服务费底表!$K:$K,服务费明细!$B239,服务费底表!$AC:$AC)</f>
        <v>0</v>
      </c>
      <c r="AL239" s="166">
        <f>SUMIFS(服务费底表!$AC:$AC,服务费底表!$K:$K,服务费明细!$B239,服务费底表!$T:$T,AL$3)</f>
        <v>0</v>
      </c>
      <c r="AM239" s="166">
        <f>SUMIFS(服务费底表!$AC:$AC,服务费底表!$K:$K,服务费明细!$B239,服务费底表!$T:$T,AM$3)</f>
        <v>0</v>
      </c>
      <c r="AN239" s="166">
        <f>SUMIFS(服务费底表!$AC:$AC,服务费底表!$K:$K,服务费明细!$B239,服务费底表!$T:$T,AN$3)</f>
        <v>0</v>
      </c>
      <c r="AO239" s="166">
        <f>SUMIFS(服务费底表!$AC:$AC,服务费底表!$K:$K,服务费明细!$B239,服务费底表!$T:$T,AO$3)</f>
        <v>0</v>
      </c>
      <c r="AP239" s="166">
        <f>SUMIFS(服务费底表!$AC:$AC,服务费底表!$K:$K,服务费明细!$B239,服务费底表!$T:$T,AP$3)</f>
        <v>0</v>
      </c>
      <c r="AQ239" s="166">
        <f>SUMIFS(服务费底表!$AC:$AC,服务费底表!$K:$K,服务费明细!$B239,服务费底表!$T:$T,AQ$3)</f>
        <v>0</v>
      </c>
      <c r="AR239" s="166">
        <f>SUMIFS(服务费底表!$AC:$AC,服务费底表!$K:$K,服务费明细!$B239,服务费底表!$T:$T,AR$3)</f>
        <v>0</v>
      </c>
      <c r="AS239" s="166">
        <f>SUMIFS(服务费底表!$AC:$AC,服务费底表!$K:$K,服务费明细!$B239,服务费底表!$T:$T,AS$3)</f>
        <v>0</v>
      </c>
      <c r="AT239" s="166">
        <f>SUMIFS(服务费底表!$AC:$AC,服务费底表!$K:$K,服务费明细!$B239,服务费底表!$T:$T,AT$3)</f>
        <v>0</v>
      </c>
      <c r="AU239" s="166">
        <f>SUMIFS(服务费底表!$AC:$AC,服务费底表!$K:$K,服务费明细!$B239,服务费底表!$T:$T,AU$3)</f>
        <v>0</v>
      </c>
      <c r="AV239" s="166">
        <f>SUMIFS(服务费底表!$AC:$AC,服务费底表!$K:$K,服务费明细!$B239,服务费底表!$T:$T,AV$3)</f>
        <v>0</v>
      </c>
      <c r="AW239" s="166">
        <f>SUMIFS(服务费底表!$AC:$AC,服务费底表!$K:$K,服务费明细!$B239,服务费底表!$T:$T,AW$3)</f>
        <v>0</v>
      </c>
      <c r="AX239" s="166">
        <f>SUMIFS(服务费底表!$AC:$AC,服务费底表!$K:$K,服务费明细!$B239,服务费底表!$T:$T,AX$3)</f>
        <v>0</v>
      </c>
      <c r="AY239" s="166">
        <f>SUMIFS(服务费底表!$AC:$AC,服务费底表!$K:$K,服务费明细!$B239,服务费底表!$T:$T,AY$3)</f>
        <v>0</v>
      </c>
      <c r="AZ239" s="166">
        <f>SUMIFS(服务费底表!$AC:$AC,服务费底表!$K:$K,服务费明细!$B239,服务费底表!$T:$T,AZ$3)</f>
        <v>0</v>
      </c>
      <c r="BA239" s="166">
        <f>SUMIFS(服务费底表!$AC:$AC,服务费底表!$K:$K,服务费明细!$B239,服务费底表!$T:$T,BA$3)</f>
        <v>0</v>
      </c>
      <c r="BB239" s="166">
        <f>SUMIFS(服务费底表!$AC:$AC,服务费底表!$K:$K,服务费明细!$B239,服务费底表!$T:$T,BB$3)</f>
        <v>0</v>
      </c>
      <c r="BC239" s="166">
        <f>SUMIFS(服务费底表!$AC:$AC,服务费底表!$K:$K,服务费明细!$B239,服务费底表!$T:$T,BC$3)</f>
        <v>0</v>
      </c>
      <c r="BD239" s="166">
        <f>SUMIFS(服务费底表!$AC:$AC,服务费底表!$K:$K,服务费明细!$B239,服务费底表!$T:$T,BD$3)</f>
        <v>0</v>
      </c>
      <c r="BE239" s="166">
        <f>SUMIFS(服务费底表!$AC:$AC,服务费底表!$K:$K,服务费明细!$B239,服务费底表!$T:$T,BE$3)</f>
        <v>0</v>
      </c>
      <c r="BF239" s="166">
        <f>SUMIFS(服务费底表!$AC:$AC,服务费底表!$K:$K,服务费明细!$B239,服务费底表!$T:$T,BF$3)</f>
        <v>0</v>
      </c>
      <c r="BG239" s="166">
        <f>SUMIFS(服务费底表!$AC:$AC,服务费底表!$K:$K,服务费明细!$B239,服务费底表!$T:$T,BG$3)</f>
        <v>0</v>
      </c>
      <c r="BI239" s="388">
        <f>SUMIFS(服务费底表!$AC:$AC,服务费底表!$K:$K,服务费明细!$B239,服务费底表!$H:$H,服务费明细!BI$3)</f>
        <v>0</v>
      </c>
      <c r="BJ239" s="388">
        <f>SUMIFS(服务费底表!$AC:$AC,服务费底表!$K:$K,服务费明细!$B239,服务费底表!$H:$H,服务费明细!BJ$3)</f>
        <v>0</v>
      </c>
      <c r="BK239" s="388">
        <f>SUMIFS(服务费底表!$AC:$AC,服务费底表!$K:$K,服务费明细!$B239,服务费底表!$H:$H,服务费明细!BK$3)</f>
        <v>0</v>
      </c>
      <c r="BL239" s="388">
        <f>SUMIFS(服务费底表!$AC:$AC,服务费底表!$K:$K,服务费明细!$B239,服务费底表!$H:$H,服务费明细!BL$3)</f>
        <v>0</v>
      </c>
      <c r="BM239" s="388">
        <f>SUMIFS(服务费底表!$AC:$AC,服务费底表!$K:$K,服务费明细!$B239,服务费底表!$H:$H,服务费明细!BM$3)</f>
        <v>0</v>
      </c>
      <c r="BN239" s="388">
        <f>SUMIFS(服务费底表!$AC:$AC,服务费底表!$K:$K,服务费明细!$B239,服务费底表!$H:$H,服务费明细!BN$3)</f>
        <v>0</v>
      </c>
      <c r="BO239" s="388">
        <f>SUMIFS(服务费底表!$AC:$AC,服务费底表!$K:$K,服务费明细!$B239,服务费底表!$H:$H,服务费明细!BO$3)</f>
        <v>0</v>
      </c>
      <c r="BQ239" s="389">
        <f>SUMIFS(服务费底表!$AD:$AD,服务费底表!$K:$K,服务费明细!$B239,服务费底表!$H:$H,服务费明细!BQ$3)</f>
        <v>0</v>
      </c>
      <c r="BR239" s="389">
        <f>SUMIFS(服务费底表!$AD:$AD,服务费底表!$K:$K,服务费明细!$B239,服务费底表!$H:$H,服务费明细!BR$3)</f>
        <v>0</v>
      </c>
      <c r="BS239" s="389">
        <f>SUMIFS(服务费底表!$AD:$AD,服务费底表!$K:$K,服务费明细!$B239,服务费底表!$H:$H,服务费明细!BS$3)</f>
        <v>0</v>
      </c>
      <c r="BT239" s="389">
        <f>SUMIFS(服务费底表!$AD:$AD,服务费底表!$K:$K,服务费明细!$B239,服务费底表!$H:$H,服务费明细!BT$3)</f>
        <v>0</v>
      </c>
      <c r="BU239" s="389">
        <f>SUMIFS(服务费底表!$AD:$AD,服务费底表!$K:$K,服务费明细!$B239,服务费底表!$H:$H,服务费明细!BU$3)</f>
        <v>0</v>
      </c>
      <c r="BV239" s="389">
        <f>SUMIFS(服务费底表!$AD:$AD,服务费底表!$K:$K,服务费明细!$B239,服务费底表!$H:$H,服务费明细!BV$3)</f>
        <v>0</v>
      </c>
      <c r="BW239" s="389">
        <f>SUMIFS(服务费底表!$AD:$AD,服务费底表!$K:$K,服务费明细!$B239,服务费底表!$H:$H,服务费明细!BW$3)</f>
        <v>0</v>
      </c>
    </row>
    <row r="240" spans="2:75">
      <c r="B240" s="89" t="s">
        <v>433</v>
      </c>
      <c r="C240" s="89" t="str">
        <f>INDEX(二三级标准!$C:$C,MATCH(服务费明细!$B240,二三级标准!$B:$B,0))</f>
        <v>非盲项目管理</v>
      </c>
      <c r="D240" s="166">
        <f t="shared" si="421"/>
        <v>0</v>
      </c>
      <c r="E240" s="166">
        <f>IF($D240=1,ROUND((筛选月+入组月+治疗月),0),0)</f>
        <v>0</v>
      </c>
      <c r="F240" s="89" t="str">
        <f>INDEX(二三级标准!$G:$G,MATCH(服务费明细!$B240,二三级标准!$B:$B,0))</f>
        <v>月</v>
      </c>
      <c r="G240" s="166">
        <f t="shared" si="422"/>
        <v>0</v>
      </c>
      <c r="H240" s="166">
        <f t="shared" si="423"/>
        <v>0</v>
      </c>
      <c r="I240" s="166">
        <f t="shared" si="424"/>
        <v>0</v>
      </c>
      <c r="J240" s="166">
        <f t="shared" si="425"/>
        <v>0</v>
      </c>
      <c r="K240" s="166">
        <f t="shared" si="426"/>
        <v>0</v>
      </c>
      <c r="L240" s="166">
        <f t="shared" si="427"/>
        <v>0</v>
      </c>
      <c r="M240" s="166">
        <f t="shared" si="428"/>
        <v>0</v>
      </c>
      <c r="N240" s="166">
        <f t="shared" si="429"/>
        <v>0</v>
      </c>
      <c r="O240" s="166">
        <f t="shared" si="430"/>
        <v>0</v>
      </c>
      <c r="P240" s="166">
        <f t="shared" si="431"/>
        <v>0</v>
      </c>
      <c r="Q240" s="166">
        <f t="shared" si="432"/>
        <v>0</v>
      </c>
      <c r="R240" s="166">
        <f t="shared" si="433"/>
        <v>0</v>
      </c>
      <c r="S240" s="166">
        <f t="shared" si="434"/>
        <v>0</v>
      </c>
      <c r="T240" s="166">
        <f t="shared" si="435"/>
        <v>0</v>
      </c>
      <c r="U240" s="166">
        <f t="shared" si="436"/>
        <v>0</v>
      </c>
      <c r="V240" s="166">
        <f t="shared" si="437"/>
        <v>0</v>
      </c>
      <c r="W240" s="166">
        <f t="shared" si="438"/>
        <v>0</v>
      </c>
      <c r="X240" s="166">
        <f t="shared" si="439"/>
        <v>0</v>
      </c>
      <c r="Y240" s="166">
        <f t="shared" si="440"/>
        <v>0</v>
      </c>
      <c r="Z240" s="166">
        <f t="shared" si="441"/>
        <v>0</v>
      </c>
      <c r="AA240" s="166">
        <f t="shared" si="442"/>
        <v>0</v>
      </c>
      <c r="AB240" s="166">
        <f t="shared" si="443"/>
        <v>0</v>
      </c>
      <c r="AC240" s="166" cm="1">
        <f t="array" ref="AC240">SUMPRODUCT(G240:AB240,$G$4:$AB$4)</f>
        <v>0</v>
      </c>
      <c r="AD240" s="89" t="b">
        <f t="shared" si="444"/>
        <v>1</v>
      </c>
      <c r="AE240" s="386">
        <f>IFERROR(SUMIF(服务费底表!$K:$K,服务费明细!$B240,服务费底表!$AD:$AD)/E240,0)</f>
        <v>0</v>
      </c>
      <c r="AF240" s="386">
        <f t="shared" si="448"/>
        <v>0</v>
      </c>
      <c r="AG240" s="386">
        <f>IFERROR(SUMIF(服务费底表!$K:$K,服务费明细!$B240,服务费底表!$AG:$AG)/E240,0)</f>
        <v>0</v>
      </c>
      <c r="AH240" s="386">
        <f t="shared" si="449"/>
        <v>0</v>
      </c>
      <c r="AI240" s="409"/>
      <c r="AJ240" s="563">
        <f t="shared" si="447"/>
        <v>0</v>
      </c>
      <c r="AK240" s="564">
        <f>SUMIF(服务费底表!$K:$K,服务费明细!$B240,服务费底表!$AC:$AC)</f>
        <v>0</v>
      </c>
      <c r="AL240" s="166">
        <f>SUMIFS(服务费底表!$AC:$AC,服务费底表!$K:$K,服务费明细!$B240,服务费底表!$T:$T,AL$3)</f>
        <v>0</v>
      </c>
      <c r="AM240" s="166">
        <f>SUMIFS(服务费底表!$AC:$AC,服务费底表!$K:$K,服务费明细!$B240,服务费底表!$T:$T,AM$3)</f>
        <v>0</v>
      </c>
      <c r="AN240" s="166">
        <f>SUMIFS(服务费底表!$AC:$AC,服务费底表!$K:$K,服务费明细!$B240,服务费底表!$T:$T,AN$3)</f>
        <v>0</v>
      </c>
      <c r="AO240" s="166">
        <f>SUMIFS(服务费底表!$AC:$AC,服务费底表!$K:$K,服务费明细!$B240,服务费底表!$T:$T,AO$3)</f>
        <v>0</v>
      </c>
      <c r="AP240" s="166">
        <f>SUMIFS(服务费底表!$AC:$AC,服务费底表!$K:$K,服务费明细!$B240,服务费底表!$T:$T,AP$3)</f>
        <v>0</v>
      </c>
      <c r="AQ240" s="166">
        <f>SUMIFS(服务费底表!$AC:$AC,服务费底表!$K:$K,服务费明细!$B240,服务费底表!$T:$T,AQ$3)</f>
        <v>0</v>
      </c>
      <c r="AR240" s="166">
        <f>SUMIFS(服务费底表!$AC:$AC,服务费底表!$K:$K,服务费明细!$B240,服务费底表!$T:$T,AR$3)</f>
        <v>0</v>
      </c>
      <c r="AS240" s="166">
        <f>SUMIFS(服务费底表!$AC:$AC,服务费底表!$K:$K,服务费明细!$B240,服务费底表!$T:$T,AS$3)</f>
        <v>0</v>
      </c>
      <c r="AT240" s="166">
        <f>SUMIFS(服务费底表!$AC:$AC,服务费底表!$K:$K,服务费明细!$B240,服务费底表!$T:$T,AT$3)</f>
        <v>0</v>
      </c>
      <c r="AU240" s="166">
        <f>SUMIFS(服务费底表!$AC:$AC,服务费底表!$K:$K,服务费明细!$B240,服务费底表!$T:$T,AU$3)</f>
        <v>0</v>
      </c>
      <c r="AV240" s="166">
        <f>SUMIFS(服务费底表!$AC:$AC,服务费底表!$K:$K,服务费明细!$B240,服务费底表!$T:$T,AV$3)</f>
        <v>0</v>
      </c>
      <c r="AW240" s="166">
        <f>SUMIFS(服务费底表!$AC:$AC,服务费底表!$K:$K,服务费明细!$B240,服务费底表!$T:$T,AW$3)</f>
        <v>0</v>
      </c>
      <c r="AX240" s="166">
        <f>SUMIFS(服务费底表!$AC:$AC,服务费底表!$K:$K,服务费明细!$B240,服务费底表!$T:$T,AX$3)</f>
        <v>0</v>
      </c>
      <c r="AY240" s="166">
        <f>SUMIFS(服务费底表!$AC:$AC,服务费底表!$K:$K,服务费明细!$B240,服务费底表!$T:$T,AY$3)</f>
        <v>0</v>
      </c>
      <c r="AZ240" s="166">
        <f>SUMIFS(服务费底表!$AC:$AC,服务费底表!$K:$K,服务费明细!$B240,服务费底表!$T:$T,AZ$3)</f>
        <v>0</v>
      </c>
      <c r="BA240" s="166">
        <f>SUMIFS(服务费底表!$AC:$AC,服务费底表!$K:$K,服务费明细!$B240,服务费底表!$T:$T,BA$3)</f>
        <v>0</v>
      </c>
      <c r="BB240" s="166">
        <f>SUMIFS(服务费底表!$AC:$AC,服务费底表!$K:$K,服务费明细!$B240,服务费底表!$T:$T,BB$3)</f>
        <v>0</v>
      </c>
      <c r="BC240" s="166">
        <f>SUMIFS(服务费底表!$AC:$AC,服务费底表!$K:$K,服务费明细!$B240,服务费底表!$T:$T,BC$3)</f>
        <v>0</v>
      </c>
      <c r="BD240" s="166">
        <f>SUMIFS(服务费底表!$AC:$AC,服务费底表!$K:$K,服务费明细!$B240,服务费底表!$T:$T,BD$3)</f>
        <v>0</v>
      </c>
      <c r="BE240" s="166">
        <f>SUMIFS(服务费底表!$AC:$AC,服务费底表!$K:$K,服务费明细!$B240,服务费底表!$T:$T,BE$3)</f>
        <v>0</v>
      </c>
      <c r="BF240" s="166">
        <f>SUMIFS(服务费底表!$AC:$AC,服务费底表!$K:$K,服务费明细!$B240,服务费底表!$T:$T,BF$3)</f>
        <v>0</v>
      </c>
      <c r="BG240" s="166">
        <f>SUMIFS(服务费底表!$AC:$AC,服务费底表!$K:$K,服务费明细!$B240,服务费底表!$T:$T,BG$3)</f>
        <v>0</v>
      </c>
      <c r="BI240" s="388">
        <f>SUMIFS(服务费底表!$AC:$AC,服务费底表!$K:$K,服务费明细!$B240,服务费底表!$H:$H,服务费明细!BI$3)</f>
        <v>0</v>
      </c>
      <c r="BJ240" s="388">
        <f>SUMIFS(服务费底表!$AC:$AC,服务费底表!$K:$K,服务费明细!$B240,服务费底表!$H:$H,服务费明细!BJ$3)</f>
        <v>0</v>
      </c>
      <c r="BK240" s="388">
        <f>SUMIFS(服务费底表!$AC:$AC,服务费底表!$K:$K,服务费明细!$B240,服务费底表!$H:$H,服务费明细!BK$3)</f>
        <v>0</v>
      </c>
      <c r="BL240" s="388">
        <f>SUMIFS(服务费底表!$AC:$AC,服务费底表!$K:$K,服务费明细!$B240,服务费底表!$H:$H,服务费明细!BL$3)</f>
        <v>0</v>
      </c>
      <c r="BM240" s="388">
        <f>SUMIFS(服务费底表!$AC:$AC,服务费底表!$K:$K,服务费明细!$B240,服务费底表!$H:$H,服务费明细!BM$3)</f>
        <v>0</v>
      </c>
      <c r="BN240" s="388">
        <f>SUMIFS(服务费底表!$AC:$AC,服务费底表!$K:$K,服务费明细!$B240,服务费底表!$H:$H,服务费明细!BN$3)</f>
        <v>0</v>
      </c>
      <c r="BO240" s="388">
        <f>SUMIFS(服务费底表!$AC:$AC,服务费底表!$K:$K,服务费明细!$B240,服务费底表!$H:$H,服务费明细!BO$3)</f>
        <v>0</v>
      </c>
      <c r="BQ240" s="389">
        <f>SUMIFS(服务费底表!$AD:$AD,服务费底表!$K:$K,服务费明细!$B240,服务费底表!$H:$H,服务费明细!BQ$3)</f>
        <v>0</v>
      </c>
      <c r="BR240" s="389">
        <f>SUMIFS(服务费底表!$AD:$AD,服务费底表!$K:$K,服务费明细!$B240,服务费底表!$H:$H,服务费明细!BR$3)</f>
        <v>0</v>
      </c>
      <c r="BS240" s="389">
        <f>SUMIFS(服务费底表!$AD:$AD,服务费底表!$K:$K,服务费明细!$B240,服务费底表!$H:$H,服务费明细!BS$3)</f>
        <v>0</v>
      </c>
      <c r="BT240" s="389">
        <f>SUMIFS(服务费底表!$AD:$AD,服务费底表!$K:$K,服务费明细!$B240,服务费底表!$H:$H,服务费明细!BT$3)</f>
        <v>0</v>
      </c>
      <c r="BU240" s="389">
        <f>SUMIFS(服务费底表!$AD:$AD,服务费底表!$K:$K,服务费明细!$B240,服务费底表!$H:$H,服务费明细!BU$3)</f>
        <v>0</v>
      </c>
      <c r="BV240" s="389">
        <f>SUMIFS(服务费底表!$AD:$AD,服务费底表!$K:$K,服务费明细!$B240,服务费底表!$H:$H,服务费明细!BV$3)</f>
        <v>0</v>
      </c>
      <c r="BW240" s="389">
        <f>SUMIFS(服务费底表!$AD:$AD,服务费底表!$K:$K,服务费明细!$B240,服务费底表!$H:$H,服务费明细!BW$3)</f>
        <v>0</v>
      </c>
    </row>
    <row r="241" ht="15.6" spans="2:75">
      <c r="B241" s="88" t="s">
        <v>929</v>
      </c>
      <c r="C241" s="88" t="str">
        <f>INDEX(二三级标准!$Q:$Q,MATCH(服务费明细!$B241,二三级标准!$O:$O,0))</f>
        <v>质量保证</v>
      </c>
      <c r="D241" s="376">
        <f>IF(质量保证YN=1,1,0)</f>
        <v>0</v>
      </c>
      <c r="E241" s="377"/>
      <c r="F241" s="378"/>
      <c r="G241" s="429">
        <f>SUM(G242:G245)</f>
        <v>0</v>
      </c>
      <c r="H241" s="429">
        <f t="shared" ref="H241:AB241" si="450">SUM(H242:H245)</f>
        <v>0</v>
      </c>
      <c r="I241" s="429">
        <f t="shared" si="450"/>
        <v>0</v>
      </c>
      <c r="J241" s="429">
        <f t="shared" si="450"/>
        <v>0</v>
      </c>
      <c r="K241" s="429">
        <f t="shared" si="450"/>
        <v>0</v>
      </c>
      <c r="L241" s="429">
        <f t="shared" si="450"/>
        <v>0</v>
      </c>
      <c r="M241" s="429">
        <f t="shared" si="450"/>
        <v>0</v>
      </c>
      <c r="N241" s="429">
        <f t="shared" si="450"/>
        <v>0</v>
      </c>
      <c r="O241" s="429">
        <f t="shared" si="450"/>
        <v>0</v>
      </c>
      <c r="P241" s="429">
        <f t="shared" si="450"/>
        <v>0</v>
      </c>
      <c r="Q241" s="429">
        <f t="shared" si="450"/>
        <v>0</v>
      </c>
      <c r="R241" s="429">
        <f t="shared" si="450"/>
        <v>0</v>
      </c>
      <c r="S241" s="429">
        <f t="shared" si="450"/>
        <v>0</v>
      </c>
      <c r="T241" s="429">
        <f t="shared" si="450"/>
        <v>0</v>
      </c>
      <c r="U241" s="429">
        <f t="shared" si="450"/>
        <v>0</v>
      </c>
      <c r="V241" s="429">
        <f t="shared" si="450"/>
        <v>0</v>
      </c>
      <c r="W241" s="429">
        <f t="shared" si="450"/>
        <v>0</v>
      </c>
      <c r="X241" s="429">
        <f t="shared" si="450"/>
        <v>0</v>
      </c>
      <c r="Y241" s="429">
        <f t="shared" si="450"/>
        <v>0</v>
      </c>
      <c r="Z241" s="429">
        <f t="shared" si="450"/>
        <v>0</v>
      </c>
      <c r="AA241" s="429">
        <f t="shared" si="450"/>
        <v>0</v>
      </c>
      <c r="AB241" s="429">
        <f t="shared" si="450"/>
        <v>0</v>
      </c>
      <c r="AC241" s="378"/>
      <c r="AD241" s="378">
        <f>SUM(G241:AB241)</f>
        <v>0</v>
      </c>
      <c r="AE241" s="379"/>
      <c r="AF241" s="581">
        <f>SUM(AF242:AF245)</f>
        <v>0</v>
      </c>
      <c r="AG241" s="581"/>
      <c r="AH241" s="581">
        <f>SUM(AH242:AH245)</f>
        <v>0</v>
      </c>
      <c r="AI241" s="582"/>
      <c r="AJ241" s="558"/>
      <c r="AK241" s="559">
        <f>SUM(AK242:AK245)</f>
        <v>0</v>
      </c>
      <c r="AL241" s="583"/>
      <c r="AM241" s="560"/>
      <c r="AN241" s="560"/>
      <c r="AO241" s="560"/>
      <c r="AP241" s="560"/>
      <c r="AQ241" s="560"/>
      <c r="AR241" s="560"/>
      <c r="AS241" s="560"/>
      <c r="AT241" s="560"/>
      <c r="AU241" s="560"/>
      <c r="AV241" s="560"/>
      <c r="AW241" s="560"/>
      <c r="AX241" s="560"/>
      <c r="AY241" s="560"/>
      <c r="AZ241" s="560"/>
      <c r="BA241" s="560"/>
      <c r="BB241" s="560"/>
      <c r="BC241" s="560"/>
      <c r="BD241" s="560"/>
      <c r="BE241" s="560"/>
      <c r="BF241" s="560"/>
      <c r="BG241" s="560"/>
      <c r="BH241" s="560"/>
      <c r="BI241" s="561">
        <f t="shared" ref="BI241:BO241" si="451">SUM(BI242:BI245)</f>
        <v>0</v>
      </c>
      <c r="BJ241" s="561">
        <f t="shared" si="451"/>
        <v>0</v>
      </c>
      <c r="BK241" s="561">
        <f t="shared" si="451"/>
        <v>0</v>
      </c>
      <c r="BL241" s="561">
        <f t="shared" si="451"/>
        <v>0</v>
      </c>
      <c r="BM241" s="561">
        <f t="shared" si="451"/>
        <v>0</v>
      </c>
      <c r="BN241" s="561">
        <f t="shared" si="451"/>
        <v>0</v>
      </c>
      <c r="BO241" s="561">
        <f t="shared" si="451"/>
        <v>0</v>
      </c>
      <c r="BQ241" s="562">
        <f t="shared" ref="BQ241:BW241" si="452">SUM(BQ242:BQ245)</f>
        <v>0</v>
      </c>
      <c r="BR241" s="562">
        <f t="shared" si="452"/>
        <v>0</v>
      </c>
      <c r="BS241" s="562">
        <f t="shared" si="452"/>
        <v>0</v>
      </c>
      <c r="BT241" s="562">
        <f t="shared" si="452"/>
        <v>0</v>
      </c>
      <c r="BU241" s="562">
        <f t="shared" si="452"/>
        <v>0</v>
      </c>
      <c r="BV241" s="562">
        <f t="shared" si="452"/>
        <v>0</v>
      </c>
      <c r="BW241" s="562">
        <f t="shared" si="452"/>
        <v>0</v>
      </c>
    </row>
    <row r="242" ht="28" customHeight="1" spans="2:75">
      <c r="B242" s="89" t="s">
        <v>435</v>
      </c>
      <c r="C242" s="89" t="str">
        <f>INDEX(二三级标准!$C:$C,MATCH(服务费明细!$B242,二三级标准!$B:$B,0))</f>
        <v>稽查计划撰写</v>
      </c>
      <c r="D242" s="166">
        <f>IF($D$241=1,1,0)</f>
        <v>0</v>
      </c>
      <c r="E242" s="166">
        <f>IF($D242=1,1,0)</f>
        <v>0</v>
      </c>
      <c r="F242" s="89" t="str">
        <f>INDEX(二三级标准!$G:$G,MATCH(服务费明细!$B242,二三级标准!$B:$B,0))</f>
        <v>份</v>
      </c>
      <c r="G242" s="166">
        <f t="shared" ref="G242:G245" si="453">AL242</f>
        <v>0</v>
      </c>
      <c r="H242" s="166">
        <f t="shared" ref="H242:H245" si="454">AM242</f>
        <v>0</v>
      </c>
      <c r="I242" s="166">
        <f t="shared" ref="I242:I245" si="455">AN242</f>
        <v>0</v>
      </c>
      <c r="J242" s="166">
        <f t="shared" ref="J242:J245" si="456">AO242</f>
        <v>0</v>
      </c>
      <c r="K242" s="166">
        <f t="shared" ref="K242:K245" si="457">AP242</f>
        <v>0</v>
      </c>
      <c r="L242" s="166">
        <f t="shared" ref="L242:L245" si="458">AQ242</f>
        <v>0</v>
      </c>
      <c r="M242" s="166">
        <f t="shared" ref="M242:M245" si="459">AR242</f>
        <v>0</v>
      </c>
      <c r="N242" s="166">
        <f t="shared" ref="N242:N245" si="460">AS242</f>
        <v>0</v>
      </c>
      <c r="O242" s="166">
        <f t="shared" ref="O242:O245" si="461">AT242</f>
        <v>0</v>
      </c>
      <c r="P242" s="166">
        <f t="shared" ref="P242:P245" si="462">AU242</f>
        <v>0</v>
      </c>
      <c r="Q242" s="166">
        <f t="shared" ref="Q242:Q245" si="463">AV242</f>
        <v>0</v>
      </c>
      <c r="R242" s="166">
        <f t="shared" ref="R242:R245" si="464">AW242</f>
        <v>0</v>
      </c>
      <c r="S242" s="166">
        <f t="shared" ref="S242:S245" si="465">AX242</f>
        <v>0</v>
      </c>
      <c r="T242" s="166">
        <f t="shared" ref="T242:T245" si="466">AY242</f>
        <v>0</v>
      </c>
      <c r="U242" s="166">
        <f t="shared" ref="U242:U245" si="467">AZ242</f>
        <v>0</v>
      </c>
      <c r="V242" s="166">
        <f t="shared" ref="V242:V245" si="468">BA242</f>
        <v>0</v>
      </c>
      <c r="W242" s="166">
        <f t="shared" ref="W242:W245" si="469">BB242</f>
        <v>0</v>
      </c>
      <c r="X242" s="166">
        <f t="shared" ref="X242:X245" si="470">BC242</f>
        <v>0</v>
      </c>
      <c r="Y242" s="166">
        <f t="shared" ref="Y242:Y245" si="471">BD242</f>
        <v>0</v>
      </c>
      <c r="Z242" s="166">
        <f t="shared" ref="Z242:Z245" si="472">BE242</f>
        <v>0</v>
      </c>
      <c r="AA242" s="166">
        <f t="shared" ref="AA242:AA245" si="473">BF242</f>
        <v>0</v>
      </c>
      <c r="AB242" s="166">
        <f t="shared" ref="AB242:AB245" si="474">BG242</f>
        <v>0</v>
      </c>
      <c r="AC242" s="166" cm="1">
        <f t="array" ref="AC242">SUMPRODUCT(G242:AB242,$G$4:$AB$4)</f>
        <v>0</v>
      </c>
      <c r="AD242" s="89" t="b">
        <f t="shared" ref="AD242:AD245" si="475">IF(AF242=AC242,TRUE,FALSE)</f>
        <v>1</v>
      </c>
      <c r="AE242" s="386">
        <f>IFERROR(SUMIF(服务费底表!$K:$K,服务费明细!$B242,服务费底表!$AD:$AD)/E242,0)</f>
        <v>0</v>
      </c>
      <c r="AF242" s="386">
        <f t="shared" ref="AF242" si="476">E242*AE242</f>
        <v>0</v>
      </c>
      <c r="AG242" s="386">
        <f>IFERROR(SUMIF(服务费底表!$K:$K,服务费明细!$B242,服务费底表!$AG:$AG)/E242,0)</f>
        <v>0</v>
      </c>
      <c r="AH242" s="386">
        <f t="shared" ref="AH242" si="477">AG242*E242</f>
        <v>0</v>
      </c>
      <c r="AI242" s="409" t="s">
        <v>1139</v>
      </c>
      <c r="AJ242" s="563">
        <f>IF(D242=1,AK242/E242,0)</f>
        <v>0</v>
      </c>
      <c r="AK242" s="564">
        <f>SUMIF(服务费底表!$K:$K,服务费明细!$B242,服务费底表!$AC:$AC)</f>
        <v>0</v>
      </c>
      <c r="AL242" s="166">
        <f>SUMIFS(服务费底表!$AC:$AC,服务费底表!$K:$K,服务费明细!$B242,服务费底表!$T:$T,AL$3)</f>
        <v>0</v>
      </c>
      <c r="AM242" s="166">
        <f>SUMIFS(服务费底表!$AC:$AC,服务费底表!$K:$K,服务费明细!$B242,服务费底表!$T:$T,AM$3)</f>
        <v>0</v>
      </c>
      <c r="AN242" s="166">
        <f>SUMIFS(服务费底表!$AC:$AC,服务费底表!$K:$K,服务费明细!$B242,服务费底表!$T:$T,AN$3)</f>
        <v>0</v>
      </c>
      <c r="AO242" s="166">
        <f>SUMIFS(服务费底表!$AC:$AC,服务费底表!$K:$K,服务费明细!$B242,服务费底表!$T:$T,AO$3)</f>
        <v>0</v>
      </c>
      <c r="AP242" s="166">
        <f>SUMIFS(服务费底表!$AC:$AC,服务费底表!$K:$K,服务费明细!$B242,服务费底表!$T:$T,AP$3)</f>
        <v>0</v>
      </c>
      <c r="AQ242" s="166">
        <f>SUMIFS(服务费底表!$AC:$AC,服务费底表!$K:$K,服务费明细!$B242,服务费底表!$T:$T,AQ$3)</f>
        <v>0</v>
      </c>
      <c r="AR242" s="166">
        <f>SUMIFS(服务费底表!$AC:$AC,服务费底表!$K:$K,服务费明细!$B242,服务费底表!$T:$T,AR$3)</f>
        <v>0</v>
      </c>
      <c r="AS242" s="166">
        <f>SUMIFS(服务费底表!$AC:$AC,服务费底表!$K:$K,服务费明细!$B242,服务费底表!$T:$T,AS$3)</f>
        <v>0</v>
      </c>
      <c r="AT242" s="166">
        <f>SUMIFS(服务费底表!$AC:$AC,服务费底表!$K:$K,服务费明细!$B242,服务费底表!$T:$T,AT$3)</f>
        <v>0</v>
      </c>
      <c r="AU242" s="166">
        <f>SUMIFS(服务费底表!$AC:$AC,服务费底表!$K:$K,服务费明细!$B242,服务费底表!$T:$T,AU$3)</f>
        <v>0</v>
      </c>
      <c r="AV242" s="166">
        <f>SUMIFS(服务费底表!$AC:$AC,服务费底表!$K:$K,服务费明细!$B242,服务费底表!$T:$T,AV$3)</f>
        <v>0</v>
      </c>
      <c r="AW242" s="166">
        <f>SUMIFS(服务费底表!$AC:$AC,服务费底表!$K:$K,服务费明细!$B242,服务费底表!$T:$T,AW$3)</f>
        <v>0</v>
      </c>
      <c r="AX242" s="166">
        <f>SUMIFS(服务费底表!$AC:$AC,服务费底表!$K:$K,服务费明细!$B242,服务费底表!$T:$T,AX$3)</f>
        <v>0</v>
      </c>
      <c r="AY242" s="166">
        <f>SUMIFS(服务费底表!$AC:$AC,服务费底表!$K:$K,服务费明细!$B242,服务费底表!$T:$T,AY$3)</f>
        <v>0</v>
      </c>
      <c r="AZ242" s="166">
        <f>SUMIFS(服务费底表!$AC:$AC,服务费底表!$K:$K,服务费明细!$B242,服务费底表!$T:$T,AZ$3)</f>
        <v>0</v>
      </c>
      <c r="BA242" s="166">
        <f>SUMIFS(服务费底表!$AC:$AC,服务费底表!$K:$K,服务费明细!$B242,服务费底表!$T:$T,BA$3)</f>
        <v>0</v>
      </c>
      <c r="BB242" s="166">
        <f>SUMIFS(服务费底表!$AC:$AC,服务费底表!$K:$K,服务费明细!$B242,服务费底表!$T:$T,BB$3)</f>
        <v>0</v>
      </c>
      <c r="BC242" s="166">
        <f>SUMIFS(服务费底表!$AC:$AC,服务费底表!$K:$K,服务费明细!$B242,服务费底表!$T:$T,BC$3)</f>
        <v>0</v>
      </c>
      <c r="BD242" s="166">
        <f>SUMIFS(服务费底表!$AC:$AC,服务费底表!$K:$K,服务费明细!$B242,服务费底表!$T:$T,BD$3)</f>
        <v>0</v>
      </c>
      <c r="BE242" s="166">
        <f>SUMIFS(服务费底表!$AC:$AC,服务费底表!$K:$K,服务费明细!$B242,服务费底表!$T:$T,BE$3)</f>
        <v>0</v>
      </c>
      <c r="BF242" s="166">
        <f>SUMIFS(服务费底表!$AC:$AC,服务费底表!$K:$K,服务费明细!$B242,服务费底表!$T:$T,BF$3)</f>
        <v>0</v>
      </c>
      <c r="BG242" s="166">
        <f>SUMIFS(服务费底表!$AC:$AC,服务费底表!$K:$K,服务费明细!$B242,服务费底表!$T:$T,BG$3)</f>
        <v>0</v>
      </c>
      <c r="BI242" s="388">
        <f>SUMIFS(服务费底表!$AC:$AC,服务费底表!$K:$K,服务费明细!$B242,服务费底表!$H:$H,服务费明细!BI$3)</f>
        <v>0</v>
      </c>
      <c r="BJ242" s="388">
        <f>SUMIFS(服务费底表!$AC:$AC,服务费底表!$K:$K,服务费明细!$B242,服务费底表!$H:$H,服务费明细!BJ$3)</f>
        <v>0</v>
      </c>
      <c r="BK242" s="388">
        <f>SUMIFS(服务费底表!$AC:$AC,服务费底表!$K:$K,服务费明细!$B242,服务费底表!$H:$H,服务费明细!BK$3)</f>
        <v>0</v>
      </c>
      <c r="BL242" s="388">
        <f>SUMIFS(服务费底表!$AC:$AC,服务费底表!$K:$K,服务费明细!$B242,服务费底表!$H:$H,服务费明细!BL$3)</f>
        <v>0</v>
      </c>
      <c r="BM242" s="388">
        <f>SUMIFS(服务费底表!$AC:$AC,服务费底表!$K:$K,服务费明细!$B242,服务费底表!$H:$H,服务费明细!BM$3)</f>
        <v>0</v>
      </c>
      <c r="BN242" s="388">
        <f>SUMIFS(服务费底表!$AC:$AC,服务费底表!$K:$K,服务费明细!$B242,服务费底表!$H:$H,服务费明细!BN$3)</f>
        <v>0</v>
      </c>
      <c r="BO242" s="388">
        <f>SUMIFS(服务费底表!$AC:$AC,服务费底表!$K:$K,服务费明细!$B242,服务费底表!$H:$H,服务费明细!BO$3)</f>
        <v>0</v>
      </c>
      <c r="BQ242" s="389">
        <f>SUMIFS(服务费底表!$AD:$AD,服务费底表!$K:$K,服务费明细!$B242,服务费底表!$H:$H,服务费明细!BQ$3)</f>
        <v>0</v>
      </c>
      <c r="BR242" s="389">
        <f>SUMIFS(服务费底表!$AD:$AD,服务费底表!$K:$K,服务费明细!$B242,服务费底表!$H:$H,服务费明细!BR$3)</f>
        <v>0</v>
      </c>
      <c r="BS242" s="389">
        <f>SUMIFS(服务费底表!$AD:$AD,服务费底表!$K:$K,服务费明细!$B242,服务费底表!$H:$H,服务费明细!BS$3)</f>
        <v>0</v>
      </c>
      <c r="BT242" s="389">
        <f>SUMIFS(服务费底表!$AD:$AD,服务费底表!$K:$K,服务费明细!$B242,服务费底表!$H:$H,服务费明细!BT$3)</f>
        <v>0</v>
      </c>
      <c r="BU242" s="389">
        <f>SUMIFS(服务费底表!$AD:$AD,服务费底表!$K:$K,服务费明细!$B242,服务费底表!$H:$H,服务费明细!BU$3)</f>
        <v>0</v>
      </c>
      <c r="BV242" s="389">
        <f>SUMIFS(服务费底表!$AD:$AD,服务费底表!$K:$K,服务费明细!$B242,服务费底表!$H:$H,服务费明细!BV$3)</f>
        <v>0</v>
      </c>
      <c r="BW242" s="389">
        <f>SUMIFS(服务费底表!$AD:$AD,服务费底表!$K:$K,服务费明细!$B242,服务费底表!$H:$H,服务费明细!BW$3)</f>
        <v>0</v>
      </c>
    </row>
    <row r="243" ht="52.8" spans="2:75">
      <c r="B243" s="89" t="s">
        <v>437</v>
      </c>
      <c r="C243" s="89" t="str">
        <f>INDEX(二三级标准!$C:$C,MATCH(服务费明细!$B243,二三级标准!$B:$B,0))</f>
        <v>研究中心稽查</v>
      </c>
      <c r="D243" s="166">
        <f>IF($D$241=1,1,0)</f>
        <v>0</v>
      </c>
      <c r="E243" s="166">
        <f>IF($D243=1,ROUNDUP(启动中心数*20%,0),0)</f>
        <v>0</v>
      </c>
      <c r="F243" s="89" t="str">
        <f>INDEX(二三级标准!$G:$G,MATCH(服务费明细!$B243,二三级标准!$B:$B,0))</f>
        <v>次</v>
      </c>
      <c r="G243" s="166">
        <f t="shared" si="453"/>
        <v>0</v>
      </c>
      <c r="H243" s="166">
        <f t="shared" si="454"/>
        <v>0</v>
      </c>
      <c r="I243" s="166">
        <f t="shared" si="455"/>
        <v>0</v>
      </c>
      <c r="J243" s="166">
        <f t="shared" si="456"/>
        <v>0</v>
      </c>
      <c r="K243" s="166">
        <f t="shared" si="457"/>
        <v>0</v>
      </c>
      <c r="L243" s="166">
        <f t="shared" si="458"/>
        <v>0</v>
      </c>
      <c r="M243" s="166">
        <f t="shared" si="459"/>
        <v>0</v>
      </c>
      <c r="N243" s="166">
        <f t="shared" si="460"/>
        <v>0</v>
      </c>
      <c r="O243" s="166">
        <f t="shared" si="461"/>
        <v>0</v>
      </c>
      <c r="P243" s="166">
        <f t="shared" si="462"/>
        <v>0</v>
      </c>
      <c r="Q243" s="166">
        <f t="shared" si="463"/>
        <v>0</v>
      </c>
      <c r="R243" s="166">
        <f t="shared" si="464"/>
        <v>0</v>
      </c>
      <c r="S243" s="166">
        <f t="shared" si="465"/>
        <v>0</v>
      </c>
      <c r="T243" s="166">
        <f t="shared" si="466"/>
        <v>0</v>
      </c>
      <c r="U243" s="166">
        <f t="shared" si="467"/>
        <v>0</v>
      </c>
      <c r="V243" s="166">
        <f t="shared" si="468"/>
        <v>0</v>
      </c>
      <c r="W243" s="166">
        <f t="shared" si="469"/>
        <v>0</v>
      </c>
      <c r="X243" s="166">
        <f t="shared" si="470"/>
        <v>0</v>
      </c>
      <c r="Y243" s="166">
        <f t="shared" si="471"/>
        <v>0</v>
      </c>
      <c r="Z243" s="166">
        <f t="shared" si="472"/>
        <v>0</v>
      </c>
      <c r="AA243" s="166">
        <f t="shared" si="473"/>
        <v>0</v>
      </c>
      <c r="AB243" s="166">
        <f t="shared" si="474"/>
        <v>0</v>
      </c>
      <c r="AC243" s="166" cm="1">
        <f t="array" ref="AC243">SUMPRODUCT(G243:AB243,$G$4:$AB$4)</f>
        <v>0</v>
      </c>
      <c r="AD243" s="89" t="b">
        <f t="shared" si="475"/>
        <v>1</v>
      </c>
      <c r="AE243" s="386">
        <f>IFERROR(SUMIF(服务费底表!$K:$K,服务费明细!$B243,服务费底表!$AD:$AD)/E243,0)</f>
        <v>0</v>
      </c>
      <c r="AF243" s="386">
        <f t="shared" ref="AF243:AF245" si="478">E243*AE243</f>
        <v>0</v>
      </c>
      <c r="AG243" s="386">
        <f>IFERROR(SUMIF(服务费底表!$K:$K,服务费明细!$B243,服务费底表!$AG:$AG)/E243,0)</f>
        <v>0</v>
      </c>
      <c r="AH243" s="386">
        <f t="shared" ref="AH243:AH245" si="479">AG243*E243</f>
        <v>0</v>
      </c>
      <c r="AI243" s="409" t="s">
        <v>1140</v>
      </c>
      <c r="AJ243" s="563">
        <f>IF(D243=1,AK243/E243,0)</f>
        <v>0</v>
      </c>
      <c r="AK243" s="564">
        <f>SUMIF(服务费底表!$K:$K,服务费明细!$B243,服务费底表!$AC:$AC)</f>
        <v>0</v>
      </c>
      <c r="AL243" s="166">
        <f>SUMIFS(服务费底表!$AC:$AC,服务费底表!$K:$K,服务费明细!$B243,服务费底表!$T:$T,AL$3)</f>
        <v>0</v>
      </c>
      <c r="AM243" s="166">
        <f>SUMIFS(服务费底表!$AC:$AC,服务费底表!$K:$K,服务费明细!$B243,服务费底表!$T:$T,AM$3)</f>
        <v>0</v>
      </c>
      <c r="AN243" s="166">
        <f>SUMIFS(服务费底表!$AC:$AC,服务费底表!$K:$K,服务费明细!$B243,服务费底表!$T:$T,AN$3)</f>
        <v>0</v>
      </c>
      <c r="AO243" s="166">
        <f>SUMIFS(服务费底表!$AC:$AC,服务费底表!$K:$K,服务费明细!$B243,服务费底表!$T:$T,AO$3)</f>
        <v>0</v>
      </c>
      <c r="AP243" s="166">
        <f>SUMIFS(服务费底表!$AC:$AC,服务费底表!$K:$K,服务费明细!$B243,服务费底表!$T:$T,AP$3)</f>
        <v>0</v>
      </c>
      <c r="AQ243" s="166">
        <f>SUMIFS(服务费底表!$AC:$AC,服务费底表!$K:$K,服务费明细!$B243,服务费底表!$T:$T,AQ$3)</f>
        <v>0</v>
      </c>
      <c r="AR243" s="166">
        <f>SUMIFS(服务费底表!$AC:$AC,服务费底表!$K:$K,服务费明细!$B243,服务费底表!$T:$T,AR$3)</f>
        <v>0</v>
      </c>
      <c r="AS243" s="166">
        <f>SUMIFS(服务费底表!$AC:$AC,服务费底表!$K:$K,服务费明细!$B243,服务费底表!$T:$T,AS$3)</f>
        <v>0</v>
      </c>
      <c r="AT243" s="166">
        <f>SUMIFS(服务费底表!$AC:$AC,服务费底表!$K:$K,服务费明细!$B243,服务费底表!$T:$T,AT$3)</f>
        <v>0</v>
      </c>
      <c r="AU243" s="166">
        <f>SUMIFS(服务费底表!$AC:$AC,服务费底表!$K:$K,服务费明细!$B243,服务费底表!$T:$T,AU$3)</f>
        <v>0</v>
      </c>
      <c r="AV243" s="166">
        <f>SUMIFS(服务费底表!$AC:$AC,服务费底表!$K:$K,服务费明细!$B243,服务费底表!$T:$T,AV$3)</f>
        <v>0</v>
      </c>
      <c r="AW243" s="166">
        <f>SUMIFS(服务费底表!$AC:$AC,服务费底表!$K:$K,服务费明细!$B243,服务费底表!$T:$T,AW$3)</f>
        <v>0</v>
      </c>
      <c r="AX243" s="166">
        <f>SUMIFS(服务费底表!$AC:$AC,服务费底表!$K:$K,服务费明细!$B243,服务费底表!$T:$T,AX$3)</f>
        <v>0</v>
      </c>
      <c r="AY243" s="166">
        <f>SUMIFS(服务费底表!$AC:$AC,服务费底表!$K:$K,服务费明细!$B243,服务费底表!$T:$T,AY$3)</f>
        <v>0</v>
      </c>
      <c r="AZ243" s="166">
        <f>SUMIFS(服务费底表!$AC:$AC,服务费底表!$K:$K,服务费明细!$B243,服务费底表!$T:$T,AZ$3)</f>
        <v>0</v>
      </c>
      <c r="BA243" s="166">
        <f>SUMIFS(服务费底表!$AC:$AC,服务费底表!$K:$K,服务费明细!$B243,服务费底表!$T:$T,BA$3)</f>
        <v>0</v>
      </c>
      <c r="BB243" s="166">
        <f>SUMIFS(服务费底表!$AC:$AC,服务费底表!$K:$K,服务费明细!$B243,服务费底表!$T:$T,BB$3)</f>
        <v>0</v>
      </c>
      <c r="BC243" s="166">
        <f>SUMIFS(服务费底表!$AC:$AC,服务费底表!$K:$K,服务费明细!$B243,服务费底表!$T:$T,BC$3)</f>
        <v>0</v>
      </c>
      <c r="BD243" s="166">
        <f>SUMIFS(服务费底表!$AC:$AC,服务费底表!$K:$K,服务费明细!$B243,服务费底表!$T:$T,BD$3)</f>
        <v>0</v>
      </c>
      <c r="BE243" s="166">
        <f>SUMIFS(服务费底表!$AC:$AC,服务费底表!$K:$K,服务费明细!$B243,服务费底表!$T:$T,BE$3)</f>
        <v>0</v>
      </c>
      <c r="BF243" s="166">
        <f>SUMIFS(服务费底表!$AC:$AC,服务费底表!$K:$K,服务费明细!$B243,服务费底表!$T:$T,BF$3)</f>
        <v>0</v>
      </c>
      <c r="BG243" s="166">
        <f>SUMIFS(服务费底表!$AC:$AC,服务费底表!$K:$K,服务费明细!$B243,服务费底表!$T:$T,BG$3)</f>
        <v>0</v>
      </c>
      <c r="BI243" s="388">
        <f>SUMIFS(服务费底表!$AC:$AC,服务费底表!$K:$K,服务费明细!$B243,服务费底表!$H:$H,服务费明细!BI$3)</f>
        <v>0</v>
      </c>
      <c r="BJ243" s="388">
        <f>SUMIFS(服务费底表!$AC:$AC,服务费底表!$K:$K,服务费明细!$B243,服务费底表!$H:$H,服务费明细!BJ$3)</f>
        <v>0</v>
      </c>
      <c r="BK243" s="388">
        <f>SUMIFS(服务费底表!$AC:$AC,服务费底表!$K:$K,服务费明细!$B243,服务费底表!$H:$H,服务费明细!BK$3)</f>
        <v>0</v>
      </c>
      <c r="BL243" s="388">
        <f>SUMIFS(服务费底表!$AC:$AC,服务费底表!$K:$K,服务费明细!$B243,服务费底表!$H:$H,服务费明细!BL$3)</f>
        <v>0</v>
      </c>
      <c r="BM243" s="388">
        <f>SUMIFS(服务费底表!$AC:$AC,服务费底表!$K:$K,服务费明细!$B243,服务费底表!$H:$H,服务费明细!BM$3)</f>
        <v>0</v>
      </c>
      <c r="BN243" s="388">
        <f>SUMIFS(服务费底表!$AC:$AC,服务费底表!$K:$K,服务费明细!$B243,服务费底表!$H:$H,服务费明细!BN$3)</f>
        <v>0</v>
      </c>
      <c r="BO243" s="388">
        <f>SUMIFS(服务费底表!$AC:$AC,服务费底表!$K:$K,服务费明细!$B243,服务费底表!$H:$H,服务费明细!BO$3)</f>
        <v>0</v>
      </c>
      <c r="BQ243" s="389">
        <f>SUMIFS(服务费底表!$AD:$AD,服务费底表!$K:$K,服务费明细!$B243,服务费底表!$H:$H,服务费明细!BQ$3)</f>
        <v>0</v>
      </c>
      <c r="BR243" s="389">
        <f>SUMIFS(服务费底表!$AD:$AD,服务费底表!$K:$K,服务费明细!$B243,服务费底表!$H:$H,服务费明细!BR$3)</f>
        <v>0</v>
      </c>
      <c r="BS243" s="389">
        <f>SUMIFS(服务费底表!$AD:$AD,服务费底表!$K:$K,服务费明细!$B243,服务费底表!$H:$H,服务费明细!BS$3)</f>
        <v>0</v>
      </c>
      <c r="BT243" s="389">
        <f>SUMIFS(服务费底表!$AD:$AD,服务费底表!$K:$K,服务费明细!$B243,服务费底表!$H:$H,服务费明细!BT$3)</f>
        <v>0</v>
      </c>
      <c r="BU243" s="389">
        <f>SUMIFS(服务费底表!$AD:$AD,服务费底表!$K:$K,服务费明细!$B243,服务费底表!$H:$H,服务费明细!BU$3)</f>
        <v>0</v>
      </c>
      <c r="BV243" s="389">
        <f>SUMIFS(服务费底表!$AD:$AD,服务费底表!$K:$K,服务费明细!$B243,服务费底表!$H:$H,服务费明细!BV$3)</f>
        <v>0</v>
      </c>
      <c r="BW243" s="389">
        <f>SUMIFS(服务费底表!$AD:$AD,服务费底表!$K:$K,服务费明细!$B243,服务费底表!$H:$H,服务费明细!BW$3)</f>
        <v>0</v>
      </c>
    </row>
    <row r="244" ht="26.4" spans="2:75">
      <c r="B244" s="89" t="s">
        <v>439</v>
      </c>
      <c r="C244" s="89" t="str">
        <f>INDEX(二三级标准!$C:$C,MATCH(服务费明细!$B244,二三级标准!$B:$B,0))</f>
        <v>临床试验主文件稽查</v>
      </c>
      <c r="D244" s="166">
        <v>0</v>
      </c>
      <c r="E244" s="166">
        <f>IF($D244=1,1,0)</f>
        <v>0</v>
      </c>
      <c r="F244" s="89" t="str">
        <f>INDEX(二三级标准!$G:$G,MATCH(服务费明细!$B244,二三级标准!$B:$B,0))</f>
        <v>次</v>
      </c>
      <c r="G244" s="166">
        <f t="shared" si="453"/>
        <v>0</v>
      </c>
      <c r="H244" s="166">
        <f t="shared" si="454"/>
        <v>0</v>
      </c>
      <c r="I244" s="166">
        <f t="shared" si="455"/>
        <v>0</v>
      </c>
      <c r="J244" s="166">
        <f t="shared" si="456"/>
        <v>0</v>
      </c>
      <c r="K244" s="166">
        <f t="shared" si="457"/>
        <v>0</v>
      </c>
      <c r="L244" s="166">
        <f t="shared" si="458"/>
        <v>0</v>
      </c>
      <c r="M244" s="166">
        <f t="shared" si="459"/>
        <v>0</v>
      </c>
      <c r="N244" s="166">
        <f t="shared" si="460"/>
        <v>0</v>
      </c>
      <c r="O244" s="166">
        <f t="shared" si="461"/>
        <v>0</v>
      </c>
      <c r="P244" s="166">
        <f t="shared" si="462"/>
        <v>0</v>
      </c>
      <c r="Q244" s="166">
        <f t="shared" si="463"/>
        <v>0</v>
      </c>
      <c r="R244" s="166">
        <f t="shared" si="464"/>
        <v>0</v>
      </c>
      <c r="S244" s="166">
        <f t="shared" si="465"/>
        <v>0</v>
      </c>
      <c r="T244" s="166">
        <f t="shared" si="466"/>
        <v>0</v>
      </c>
      <c r="U244" s="166">
        <f t="shared" si="467"/>
        <v>0</v>
      </c>
      <c r="V244" s="166">
        <f t="shared" si="468"/>
        <v>0</v>
      </c>
      <c r="W244" s="166">
        <f t="shared" si="469"/>
        <v>0</v>
      </c>
      <c r="X244" s="166">
        <f t="shared" si="470"/>
        <v>0</v>
      </c>
      <c r="Y244" s="166">
        <f t="shared" si="471"/>
        <v>0</v>
      </c>
      <c r="Z244" s="166">
        <f t="shared" si="472"/>
        <v>0</v>
      </c>
      <c r="AA244" s="166">
        <f t="shared" si="473"/>
        <v>0</v>
      </c>
      <c r="AB244" s="166">
        <f t="shared" si="474"/>
        <v>0</v>
      </c>
      <c r="AC244" s="166" cm="1">
        <f t="array" ref="AC244">SUMPRODUCT(G244:AB244,$G$4:$AB$4)</f>
        <v>0</v>
      </c>
      <c r="AD244" s="89" t="b">
        <f t="shared" si="475"/>
        <v>1</v>
      </c>
      <c r="AE244" s="386">
        <f>IFERROR(SUMIF(服务费底表!$K:$K,服务费明细!$B244,服务费底表!$AD:$AD)/E244,0)</f>
        <v>0</v>
      </c>
      <c r="AF244" s="386">
        <f t="shared" si="478"/>
        <v>0</v>
      </c>
      <c r="AG244" s="386">
        <f>IFERROR(SUMIF(服务费底表!$K:$K,服务费明细!$B244,服务费底表!$AG:$AG)/E244,0)</f>
        <v>0</v>
      </c>
      <c r="AH244" s="386">
        <f t="shared" si="479"/>
        <v>0</v>
      </c>
      <c r="AI244" s="409" t="s">
        <v>1141</v>
      </c>
      <c r="AJ244" s="563">
        <f>IF(D244=1,AK244/E244,0)</f>
        <v>0</v>
      </c>
      <c r="AK244" s="564">
        <f>SUMIF(服务费底表!$K:$K,服务费明细!$B244,服务费底表!$AC:$AC)</f>
        <v>0</v>
      </c>
      <c r="AL244" s="166">
        <f>SUMIFS(服务费底表!$AC:$AC,服务费底表!$K:$K,服务费明细!$B244,服务费底表!$T:$T,AL$3)</f>
        <v>0</v>
      </c>
      <c r="AM244" s="166">
        <f>SUMIFS(服务费底表!$AC:$AC,服务费底表!$K:$K,服务费明细!$B244,服务费底表!$T:$T,AM$3)</f>
        <v>0</v>
      </c>
      <c r="AN244" s="166">
        <f>SUMIFS(服务费底表!$AC:$AC,服务费底表!$K:$K,服务费明细!$B244,服务费底表!$T:$T,AN$3)</f>
        <v>0</v>
      </c>
      <c r="AO244" s="166">
        <f>SUMIFS(服务费底表!$AC:$AC,服务费底表!$K:$K,服务费明细!$B244,服务费底表!$T:$T,AO$3)</f>
        <v>0</v>
      </c>
      <c r="AP244" s="166">
        <f>SUMIFS(服务费底表!$AC:$AC,服务费底表!$K:$K,服务费明细!$B244,服务费底表!$T:$T,AP$3)</f>
        <v>0</v>
      </c>
      <c r="AQ244" s="166">
        <f>SUMIFS(服务费底表!$AC:$AC,服务费底表!$K:$K,服务费明细!$B244,服务费底表!$T:$T,AQ$3)</f>
        <v>0</v>
      </c>
      <c r="AR244" s="166">
        <f>SUMIFS(服务费底表!$AC:$AC,服务费底表!$K:$K,服务费明细!$B244,服务费底表!$T:$T,AR$3)</f>
        <v>0</v>
      </c>
      <c r="AS244" s="166">
        <f>SUMIFS(服务费底表!$AC:$AC,服务费底表!$K:$K,服务费明细!$B244,服务费底表!$T:$T,AS$3)</f>
        <v>0</v>
      </c>
      <c r="AT244" s="166">
        <f>SUMIFS(服务费底表!$AC:$AC,服务费底表!$K:$K,服务费明细!$B244,服务费底表!$T:$T,AT$3)</f>
        <v>0</v>
      </c>
      <c r="AU244" s="166">
        <f>SUMIFS(服务费底表!$AC:$AC,服务费底表!$K:$K,服务费明细!$B244,服务费底表!$T:$T,AU$3)</f>
        <v>0</v>
      </c>
      <c r="AV244" s="166">
        <f>SUMIFS(服务费底表!$AC:$AC,服务费底表!$K:$K,服务费明细!$B244,服务费底表!$T:$T,AV$3)</f>
        <v>0</v>
      </c>
      <c r="AW244" s="166">
        <f>SUMIFS(服务费底表!$AC:$AC,服务费底表!$K:$K,服务费明细!$B244,服务费底表!$T:$T,AW$3)</f>
        <v>0</v>
      </c>
      <c r="AX244" s="166">
        <f>SUMIFS(服务费底表!$AC:$AC,服务费底表!$K:$K,服务费明细!$B244,服务费底表!$T:$T,AX$3)</f>
        <v>0</v>
      </c>
      <c r="AY244" s="166">
        <f>SUMIFS(服务费底表!$AC:$AC,服务费底表!$K:$K,服务费明细!$B244,服务费底表!$T:$T,AY$3)</f>
        <v>0</v>
      </c>
      <c r="AZ244" s="166">
        <f>SUMIFS(服务费底表!$AC:$AC,服务费底表!$K:$K,服务费明细!$B244,服务费底表!$T:$T,AZ$3)</f>
        <v>0</v>
      </c>
      <c r="BA244" s="166">
        <f>SUMIFS(服务费底表!$AC:$AC,服务费底表!$K:$K,服务费明细!$B244,服务费底表!$T:$T,BA$3)</f>
        <v>0</v>
      </c>
      <c r="BB244" s="166">
        <f>SUMIFS(服务费底表!$AC:$AC,服务费底表!$K:$K,服务费明细!$B244,服务费底表!$T:$T,BB$3)</f>
        <v>0</v>
      </c>
      <c r="BC244" s="166">
        <f>SUMIFS(服务费底表!$AC:$AC,服务费底表!$K:$K,服务费明细!$B244,服务费底表!$T:$T,BC$3)</f>
        <v>0</v>
      </c>
      <c r="BD244" s="166">
        <f>SUMIFS(服务费底表!$AC:$AC,服务费底表!$K:$K,服务费明细!$B244,服务费底表!$T:$T,BD$3)</f>
        <v>0</v>
      </c>
      <c r="BE244" s="166">
        <f>SUMIFS(服务费底表!$AC:$AC,服务费底表!$K:$K,服务费明细!$B244,服务费底表!$T:$T,BE$3)</f>
        <v>0</v>
      </c>
      <c r="BF244" s="166">
        <f>SUMIFS(服务费底表!$AC:$AC,服务费底表!$K:$K,服务费明细!$B244,服务费底表!$T:$T,BF$3)</f>
        <v>0</v>
      </c>
      <c r="BG244" s="166">
        <f>SUMIFS(服务费底表!$AC:$AC,服务费底表!$K:$K,服务费明细!$B244,服务费底表!$T:$T,BG$3)</f>
        <v>0</v>
      </c>
      <c r="BI244" s="388">
        <f>SUMIFS(服务费底表!$AC:$AC,服务费底表!$K:$K,服务费明细!$B244,服务费底表!$H:$H,服务费明细!BI$3)</f>
        <v>0</v>
      </c>
      <c r="BJ244" s="388">
        <f>SUMIFS(服务费底表!$AC:$AC,服务费底表!$K:$K,服务费明细!$B244,服务费底表!$H:$H,服务费明细!BJ$3)</f>
        <v>0</v>
      </c>
      <c r="BK244" s="388">
        <f>SUMIFS(服务费底表!$AC:$AC,服务费底表!$K:$K,服务费明细!$B244,服务费底表!$H:$H,服务费明细!BK$3)</f>
        <v>0</v>
      </c>
      <c r="BL244" s="388">
        <f>SUMIFS(服务费底表!$AC:$AC,服务费底表!$K:$K,服务费明细!$B244,服务费底表!$H:$H,服务费明细!BL$3)</f>
        <v>0</v>
      </c>
      <c r="BM244" s="388">
        <f>SUMIFS(服务费底表!$AC:$AC,服务费底表!$K:$K,服务费明细!$B244,服务费底表!$H:$H,服务费明细!BM$3)</f>
        <v>0</v>
      </c>
      <c r="BN244" s="388">
        <f>SUMIFS(服务费底表!$AC:$AC,服务费底表!$K:$K,服务费明细!$B244,服务费底表!$H:$H,服务费明细!BN$3)</f>
        <v>0</v>
      </c>
      <c r="BO244" s="388">
        <f>SUMIFS(服务费底表!$AC:$AC,服务费底表!$K:$K,服务费明细!$B244,服务费底表!$H:$H,服务费明细!BO$3)</f>
        <v>0</v>
      </c>
      <c r="BQ244" s="389">
        <f>SUMIFS(服务费底表!$AD:$AD,服务费底表!$K:$K,服务费明细!$B244,服务费底表!$H:$H,服务费明细!BQ$3)</f>
        <v>0</v>
      </c>
      <c r="BR244" s="389">
        <f>SUMIFS(服务费底表!$AD:$AD,服务费底表!$K:$K,服务费明细!$B244,服务费底表!$H:$H,服务费明细!BR$3)</f>
        <v>0</v>
      </c>
      <c r="BS244" s="389">
        <f>SUMIFS(服务费底表!$AD:$AD,服务费底表!$K:$K,服务费明细!$B244,服务费底表!$H:$H,服务费明细!BS$3)</f>
        <v>0</v>
      </c>
      <c r="BT244" s="389">
        <f>SUMIFS(服务费底表!$AD:$AD,服务费底表!$K:$K,服务费明细!$B244,服务费底表!$H:$H,服务费明细!BT$3)</f>
        <v>0</v>
      </c>
      <c r="BU244" s="389">
        <f>SUMIFS(服务费底表!$AD:$AD,服务费底表!$K:$K,服务费明细!$B244,服务费底表!$H:$H,服务费明细!BU$3)</f>
        <v>0</v>
      </c>
      <c r="BV244" s="389">
        <f>SUMIFS(服务费底表!$AD:$AD,服务费底表!$K:$K,服务费明细!$B244,服务费底表!$H:$H,服务费明细!BV$3)</f>
        <v>0</v>
      </c>
      <c r="BW244" s="389">
        <f>SUMIFS(服务费底表!$AD:$AD,服务费底表!$K:$K,服务费明细!$B244,服务费底表!$H:$H,服务费明细!BW$3)</f>
        <v>0</v>
      </c>
    </row>
    <row r="245" ht="26.4" spans="2:75">
      <c r="B245" s="89" t="s">
        <v>441</v>
      </c>
      <c r="C245" s="89" t="str">
        <f>INDEX(二三级标准!$C:$C,MATCH(服务费明细!$B245,二三级标准!$B:$B,0))</f>
        <v>第三方供应商稽查</v>
      </c>
      <c r="D245" s="166">
        <v>0</v>
      </c>
      <c r="E245" s="166">
        <f>IF($D245=1,1,0)</f>
        <v>0</v>
      </c>
      <c r="F245" s="89" t="str">
        <f>INDEX(二三级标准!$G:$G,MATCH(服务费明细!$B245,二三级标准!$B:$B,0))</f>
        <v>次</v>
      </c>
      <c r="G245" s="166">
        <f t="shared" si="453"/>
        <v>0</v>
      </c>
      <c r="H245" s="166">
        <f t="shared" si="454"/>
        <v>0</v>
      </c>
      <c r="I245" s="166">
        <f t="shared" si="455"/>
        <v>0</v>
      </c>
      <c r="J245" s="166">
        <f t="shared" si="456"/>
        <v>0</v>
      </c>
      <c r="K245" s="166">
        <f t="shared" si="457"/>
        <v>0</v>
      </c>
      <c r="L245" s="166">
        <f t="shared" si="458"/>
        <v>0</v>
      </c>
      <c r="M245" s="166">
        <f t="shared" si="459"/>
        <v>0</v>
      </c>
      <c r="N245" s="166">
        <f t="shared" si="460"/>
        <v>0</v>
      </c>
      <c r="O245" s="166">
        <f t="shared" si="461"/>
        <v>0</v>
      </c>
      <c r="P245" s="166">
        <f t="shared" si="462"/>
        <v>0</v>
      </c>
      <c r="Q245" s="166">
        <f t="shared" si="463"/>
        <v>0</v>
      </c>
      <c r="R245" s="166">
        <f t="shared" si="464"/>
        <v>0</v>
      </c>
      <c r="S245" s="166">
        <f t="shared" si="465"/>
        <v>0</v>
      </c>
      <c r="T245" s="166">
        <f t="shared" si="466"/>
        <v>0</v>
      </c>
      <c r="U245" s="166">
        <f t="shared" si="467"/>
        <v>0</v>
      </c>
      <c r="V245" s="166">
        <f t="shared" si="468"/>
        <v>0</v>
      </c>
      <c r="W245" s="166">
        <f t="shared" si="469"/>
        <v>0</v>
      </c>
      <c r="X245" s="166">
        <f t="shared" si="470"/>
        <v>0</v>
      </c>
      <c r="Y245" s="166">
        <f t="shared" si="471"/>
        <v>0</v>
      </c>
      <c r="Z245" s="166">
        <f t="shared" si="472"/>
        <v>0</v>
      </c>
      <c r="AA245" s="166">
        <f t="shared" si="473"/>
        <v>0</v>
      </c>
      <c r="AB245" s="166">
        <f t="shared" si="474"/>
        <v>0</v>
      </c>
      <c r="AC245" s="166" cm="1">
        <f t="array" ref="AC245">SUMPRODUCT(G245:AB245,$G$4:$AB$4)</f>
        <v>0</v>
      </c>
      <c r="AD245" s="89" t="b">
        <f t="shared" si="475"/>
        <v>1</v>
      </c>
      <c r="AE245" s="386">
        <f>IFERROR(SUMIF(服务费底表!$K:$K,服务费明细!$B245,服务费底表!$AD:$AD)/E245,0)</f>
        <v>0</v>
      </c>
      <c r="AF245" s="386">
        <f t="shared" si="478"/>
        <v>0</v>
      </c>
      <c r="AG245" s="386">
        <f>IFERROR(SUMIF(服务费底表!$K:$K,服务费明细!$B245,服务费底表!$AG:$AG)/E245,0)</f>
        <v>0</v>
      </c>
      <c r="AH245" s="386">
        <f t="shared" si="479"/>
        <v>0</v>
      </c>
      <c r="AI245" s="409" t="s">
        <v>1142</v>
      </c>
      <c r="AJ245" s="563">
        <f>IF(D245=1,AK245/E245,0)</f>
        <v>0</v>
      </c>
      <c r="AK245" s="564">
        <f>SUMIF(服务费底表!$K:$K,服务费明细!$B245,服务费底表!$AC:$AC)</f>
        <v>0</v>
      </c>
      <c r="AL245" s="166">
        <f>SUMIFS(服务费底表!$AC:$AC,服务费底表!$K:$K,服务费明细!$B245,服务费底表!$T:$T,AL$3)</f>
        <v>0</v>
      </c>
      <c r="AM245" s="166">
        <f>SUMIFS(服务费底表!$AC:$AC,服务费底表!$K:$K,服务费明细!$B245,服务费底表!$T:$T,AM$3)</f>
        <v>0</v>
      </c>
      <c r="AN245" s="166">
        <f>SUMIFS(服务费底表!$AC:$AC,服务费底表!$K:$K,服务费明细!$B245,服务费底表!$T:$T,AN$3)</f>
        <v>0</v>
      </c>
      <c r="AO245" s="166">
        <f>SUMIFS(服务费底表!$AC:$AC,服务费底表!$K:$K,服务费明细!$B245,服务费底表!$T:$T,AO$3)</f>
        <v>0</v>
      </c>
      <c r="AP245" s="166">
        <f>SUMIFS(服务费底表!$AC:$AC,服务费底表!$K:$K,服务费明细!$B245,服务费底表!$T:$T,AP$3)</f>
        <v>0</v>
      </c>
      <c r="AQ245" s="166">
        <f>SUMIFS(服务费底表!$AC:$AC,服务费底表!$K:$K,服务费明细!$B245,服务费底表!$T:$T,AQ$3)</f>
        <v>0</v>
      </c>
      <c r="AR245" s="166">
        <f>SUMIFS(服务费底表!$AC:$AC,服务费底表!$K:$K,服务费明细!$B245,服务费底表!$T:$T,AR$3)</f>
        <v>0</v>
      </c>
      <c r="AS245" s="166">
        <f>SUMIFS(服务费底表!$AC:$AC,服务费底表!$K:$K,服务费明细!$B245,服务费底表!$T:$T,AS$3)</f>
        <v>0</v>
      </c>
      <c r="AT245" s="166">
        <f>SUMIFS(服务费底表!$AC:$AC,服务费底表!$K:$K,服务费明细!$B245,服务费底表!$T:$T,AT$3)</f>
        <v>0</v>
      </c>
      <c r="AU245" s="166">
        <f>SUMIFS(服务费底表!$AC:$AC,服务费底表!$K:$K,服务费明细!$B245,服务费底表!$T:$T,AU$3)</f>
        <v>0</v>
      </c>
      <c r="AV245" s="166">
        <f>SUMIFS(服务费底表!$AC:$AC,服务费底表!$K:$K,服务费明细!$B245,服务费底表!$T:$T,AV$3)</f>
        <v>0</v>
      </c>
      <c r="AW245" s="166">
        <f>SUMIFS(服务费底表!$AC:$AC,服务费底表!$K:$K,服务费明细!$B245,服务费底表!$T:$T,AW$3)</f>
        <v>0</v>
      </c>
      <c r="AX245" s="166">
        <f>SUMIFS(服务费底表!$AC:$AC,服务费底表!$K:$K,服务费明细!$B245,服务费底表!$T:$T,AX$3)</f>
        <v>0</v>
      </c>
      <c r="AY245" s="166">
        <f>SUMIFS(服务费底表!$AC:$AC,服务费底表!$K:$K,服务费明细!$B245,服务费底表!$T:$T,AY$3)</f>
        <v>0</v>
      </c>
      <c r="AZ245" s="166">
        <f>SUMIFS(服务费底表!$AC:$AC,服务费底表!$K:$K,服务费明细!$B245,服务费底表!$T:$T,AZ$3)</f>
        <v>0</v>
      </c>
      <c r="BA245" s="166">
        <f>SUMIFS(服务费底表!$AC:$AC,服务费底表!$K:$K,服务费明细!$B245,服务费底表!$T:$T,BA$3)</f>
        <v>0</v>
      </c>
      <c r="BB245" s="166">
        <f>SUMIFS(服务费底表!$AC:$AC,服务费底表!$K:$K,服务费明细!$B245,服务费底表!$T:$T,BB$3)</f>
        <v>0</v>
      </c>
      <c r="BC245" s="166">
        <f>SUMIFS(服务费底表!$AC:$AC,服务费底表!$K:$K,服务费明细!$B245,服务费底表!$T:$T,BC$3)</f>
        <v>0</v>
      </c>
      <c r="BD245" s="166">
        <f>SUMIFS(服务费底表!$AC:$AC,服务费底表!$K:$K,服务费明细!$B245,服务费底表!$T:$T,BD$3)</f>
        <v>0</v>
      </c>
      <c r="BE245" s="166">
        <f>SUMIFS(服务费底表!$AC:$AC,服务费底表!$K:$K,服务费明细!$B245,服务费底表!$T:$T,BE$3)</f>
        <v>0</v>
      </c>
      <c r="BF245" s="166">
        <f>SUMIFS(服务费底表!$AC:$AC,服务费底表!$K:$K,服务费明细!$B245,服务费底表!$T:$T,BF$3)</f>
        <v>0</v>
      </c>
      <c r="BG245" s="166">
        <f>SUMIFS(服务费底表!$AC:$AC,服务费底表!$K:$K,服务费明细!$B245,服务费底表!$T:$T,BG$3)</f>
        <v>0</v>
      </c>
      <c r="BI245" s="388">
        <f>SUMIFS(服务费底表!$AC:$AC,服务费底表!$K:$K,服务费明细!$B245,服务费底表!$H:$H,服务费明细!BI$3)</f>
        <v>0</v>
      </c>
      <c r="BJ245" s="388">
        <f>SUMIFS(服务费底表!$AC:$AC,服务费底表!$K:$K,服务费明细!$B245,服务费底表!$H:$H,服务费明细!BJ$3)</f>
        <v>0</v>
      </c>
      <c r="BK245" s="388">
        <f>SUMIFS(服务费底表!$AC:$AC,服务费底表!$K:$K,服务费明细!$B245,服务费底表!$H:$H,服务费明细!BK$3)</f>
        <v>0</v>
      </c>
      <c r="BL245" s="388">
        <f>SUMIFS(服务费底表!$AC:$AC,服务费底表!$K:$K,服务费明细!$B245,服务费底表!$H:$H,服务费明细!BL$3)</f>
        <v>0</v>
      </c>
      <c r="BM245" s="388">
        <f>SUMIFS(服务费底表!$AC:$AC,服务费底表!$K:$K,服务费明细!$B245,服务费底表!$H:$H,服务费明细!BM$3)</f>
        <v>0</v>
      </c>
      <c r="BN245" s="388">
        <f>SUMIFS(服务费底表!$AC:$AC,服务费底表!$K:$K,服务费明细!$B245,服务费底表!$H:$H,服务费明细!BN$3)</f>
        <v>0</v>
      </c>
      <c r="BO245" s="388">
        <f>SUMIFS(服务费底表!$AC:$AC,服务费底表!$K:$K,服务费明细!$B245,服务费底表!$H:$H,服务费明细!BO$3)</f>
        <v>0</v>
      </c>
      <c r="BQ245" s="389">
        <f>SUMIFS(服务费底表!$AD:$AD,服务费底表!$K:$K,服务费明细!$B245,服务费底表!$H:$H,服务费明细!BQ$3)</f>
        <v>0</v>
      </c>
      <c r="BR245" s="389">
        <f>SUMIFS(服务费底表!$AD:$AD,服务费底表!$K:$K,服务费明细!$B245,服务费底表!$H:$H,服务费明细!BR$3)</f>
        <v>0</v>
      </c>
      <c r="BS245" s="389">
        <f>SUMIFS(服务费底表!$AD:$AD,服务费底表!$K:$K,服务费明细!$B245,服务费底表!$H:$H,服务费明细!BS$3)</f>
        <v>0</v>
      </c>
      <c r="BT245" s="389">
        <f>SUMIFS(服务费底表!$AD:$AD,服务费底表!$K:$K,服务费明细!$B245,服务费底表!$H:$H,服务费明细!BT$3)</f>
        <v>0</v>
      </c>
      <c r="BU245" s="389">
        <f>SUMIFS(服务费底表!$AD:$AD,服务费底表!$K:$K,服务费明细!$B245,服务费底表!$H:$H,服务费明细!BU$3)</f>
        <v>0</v>
      </c>
      <c r="BV245" s="389">
        <f>SUMIFS(服务费底表!$AD:$AD,服务费底表!$K:$K,服务费明细!$B245,服务费底表!$H:$H,服务费明细!BV$3)</f>
        <v>0</v>
      </c>
      <c r="BW245" s="389">
        <f>SUMIFS(服务费底表!$AD:$AD,服务费底表!$K:$K,服务费明细!$B245,服务费底表!$H:$H,服务费明细!BW$3)</f>
        <v>0</v>
      </c>
    </row>
    <row r="246" ht="16.8" customHeight="1" spans="2:75">
      <c r="B246" s="88" t="s">
        <v>930</v>
      </c>
      <c r="C246" s="88" t="str">
        <f>INDEX(二三级标准!$Q:$Q,MATCH(服务费明细!$B246,二三级标准!$O:$O,0))</f>
        <v>国家局核查支持</v>
      </c>
      <c r="D246" s="376">
        <v>0</v>
      </c>
      <c r="E246" s="377"/>
      <c r="F246" s="378"/>
      <c r="G246" s="429">
        <f>SUM(G247:G250)</f>
        <v>0</v>
      </c>
      <c r="H246" s="429">
        <f t="shared" ref="H246:AC246" si="480">SUM(H247:H250)</f>
        <v>0</v>
      </c>
      <c r="I246" s="429">
        <f t="shared" si="480"/>
        <v>0</v>
      </c>
      <c r="J246" s="429">
        <f t="shared" si="480"/>
        <v>0</v>
      </c>
      <c r="K246" s="429">
        <f t="shared" si="480"/>
        <v>0</v>
      </c>
      <c r="L246" s="429">
        <f t="shared" si="480"/>
        <v>0</v>
      </c>
      <c r="M246" s="429">
        <f t="shared" si="480"/>
        <v>0</v>
      </c>
      <c r="N246" s="429">
        <f t="shared" si="480"/>
        <v>0</v>
      </c>
      <c r="O246" s="429">
        <f t="shared" si="480"/>
        <v>0</v>
      </c>
      <c r="P246" s="429">
        <f t="shared" si="480"/>
        <v>0</v>
      </c>
      <c r="Q246" s="429">
        <f t="shared" si="480"/>
        <v>0</v>
      </c>
      <c r="R246" s="429">
        <f t="shared" si="480"/>
        <v>0</v>
      </c>
      <c r="S246" s="429">
        <f t="shared" si="480"/>
        <v>0</v>
      </c>
      <c r="T246" s="429">
        <f t="shared" si="480"/>
        <v>0</v>
      </c>
      <c r="U246" s="429">
        <f t="shared" si="480"/>
        <v>0</v>
      </c>
      <c r="V246" s="429">
        <f t="shared" si="480"/>
        <v>0</v>
      </c>
      <c r="W246" s="429">
        <f t="shared" si="480"/>
        <v>0</v>
      </c>
      <c r="X246" s="429">
        <f t="shared" si="480"/>
        <v>0</v>
      </c>
      <c r="Y246" s="429">
        <f t="shared" si="480"/>
        <v>0</v>
      </c>
      <c r="Z246" s="429">
        <f t="shared" si="480"/>
        <v>0</v>
      </c>
      <c r="AA246" s="429">
        <f t="shared" si="480"/>
        <v>0</v>
      </c>
      <c r="AB246" s="429">
        <f t="shared" si="480"/>
        <v>0</v>
      </c>
      <c r="AC246" s="429">
        <f t="shared" si="480"/>
        <v>0</v>
      </c>
      <c r="AD246" s="378">
        <f>SUM(G246:AB246)</f>
        <v>0</v>
      </c>
      <c r="AE246" s="379"/>
      <c r="AF246" s="581">
        <f>SUM(AF247:AF250)</f>
        <v>0</v>
      </c>
      <c r="AG246" s="581"/>
      <c r="AH246" s="581">
        <f>SUM(AH247:AH250)</f>
        <v>0</v>
      </c>
      <c r="AI246" s="582"/>
      <c r="AJ246" s="558"/>
      <c r="AK246" s="559">
        <f>SUM(AK247:AK250)</f>
        <v>0</v>
      </c>
      <c r="AL246" s="583"/>
      <c r="AM246" s="560"/>
      <c r="AN246" s="560"/>
      <c r="AO246" s="560"/>
      <c r="AP246" s="560"/>
      <c r="AQ246" s="560"/>
      <c r="AR246" s="560"/>
      <c r="AS246" s="560"/>
      <c r="AT246" s="560"/>
      <c r="AU246" s="560"/>
      <c r="AV246" s="560"/>
      <c r="AW246" s="560"/>
      <c r="AX246" s="560"/>
      <c r="AY246" s="560"/>
      <c r="AZ246" s="560"/>
      <c r="BA246" s="560"/>
      <c r="BB246" s="560"/>
      <c r="BC246" s="560"/>
      <c r="BD246" s="560"/>
      <c r="BE246" s="560"/>
      <c r="BF246" s="560"/>
      <c r="BG246" s="560"/>
      <c r="BH246" s="560"/>
      <c r="BI246" s="561">
        <f t="shared" ref="BI246:BO246" si="481">SUM(BI247:BI250)</f>
        <v>0</v>
      </c>
      <c r="BJ246" s="561">
        <f t="shared" si="481"/>
        <v>0</v>
      </c>
      <c r="BK246" s="561">
        <f t="shared" si="481"/>
        <v>0</v>
      </c>
      <c r="BL246" s="561">
        <f t="shared" si="481"/>
        <v>0</v>
      </c>
      <c r="BM246" s="561">
        <f t="shared" si="481"/>
        <v>0</v>
      </c>
      <c r="BN246" s="561">
        <f t="shared" si="481"/>
        <v>0</v>
      </c>
      <c r="BO246" s="561">
        <f t="shared" si="481"/>
        <v>0</v>
      </c>
      <c r="BQ246" s="562">
        <f t="shared" ref="BQ246:BW246" si="482">SUM(BQ247:BQ250)</f>
        <v>0</v>
      </c>
      <c r="BR246" s="562">
        <f t="shared" si="482"/>
        <v>0</v>
      </c>
      <c r="BS246" s="562">
        <f t="shared" si="482"/>
        <v>0</v>
      </c>
      <c r="BT246" s="562">
        <f t="shared" si="482"/>
        <v>0</v>
      </c>
      <c r="BU246" s="562">
        <f t="shared" si="482"/>
        <v>0</v>
      </c>
      <c r="BV246" s="562">
        <f t="shared" si="482"/>
        <v>0</v>
      </c>
      <c r="BW246" s="562">
        <f t="shared" si="482"/>
        <v>0</v>
      </c>
    </row>
    <row r="247" ht="16.8" customHeight="1" spans="2:75">
      <c r="B247" s="89" t="s">
        <v>443</v>
      </c>
      <c r="C247" s="89" t="str">
        <f>INDEX(二三级标准!$C:$C,MATCH(服务费明细!$B247,二三级标准!$B:$B,0))</f>
        <v>核查前现场准备</v>
      </c>
      <c r="D247" s="166">
        <f>IF($D$246=1,1,0)</f>
        <v>0</v>
      </c>
      <c r="E247" s="166">
        <f>IF($D247=1,1,0)</f>
        <v>0</v>
      </c>
      <c r="F247" s="89" t="str">
        <f>INDEX(二三级标准!$G:$G,MATCH(服务费明细!$B247,二三级标准!$B:$B,0))</f>
        <v>次</v>
      </c>
      <c r="G247" s="166">
        <f t="shared" ref="G247:G250" si="483">AL247</f>
        <v>0</v>
      </c>
      <c r="H247" s="166">
        <f t="shared" ref="H247:H250" si="484">AM247</f>
        <v>0</v>
      </c>
      <c r="I247" s="166">
        <f t="shared" ref="I247:I250" si="485">AN247</f>
        <v>0</v>
      </c>
      <c r="J247" s="166">
        <f t="shared" ref="J247:J250" si="486">AO247</f>
        <v>0</v>
      </c>
      <c r="K247" s="166">
        <f t="shared" ref="K247:K250" si="487">AP247</f>
        <v>0</v>
      </c>
      <c r="L247" s="166">
        <f t="shared" ref="L247:L250" si="488">AQ247</f>
        <v>0</v>
      </c>
      <c r="M247" s="166">
        <f t="shared" ref="M247:M250" si="489">AR247</f>
        <v>0</v>
      </c>
      <c r="N247" s="166">
        <f t="shared" ref="N247:N250" si="490">AS247</f>
        <v>0</v>
      </c>
      <c r="O247" s="166">
        <f t="shared" ref="O247:O250" si="491">AT247</f>
        <v>0</v>
      </c>
      <c r="P247" s="166">
        <f t="shared" ref="P247:P250" si="492">AU247</f>
        <v>0</v>
      </c>
      <c r="Q247" s="166">
        <f t="shared" ref="Q247:Q250" si="493">AV247</f>
        <v>0</v>
      </c>
      <c r="R247" s="166">
        <f t="shared" ref="R247:R250" si="494">AW247</f>
        <v>0</v>
      </c>
      <c r="S247" s="166">
        <f t="shared" ref="S247:S250" si="495">AX247</f>
        <v>0</v>
      </c>
      <c r="T247" s="166">
        <f t="shared" ref="T247:T250" si="496">AY247</f>
        <v>0</v>
      </c>
      <c r="U247" s="166">
        <f t="shared" ref="U247:U250" si="497">AZ247</f>
        <v>0</v>
      </c>
      <c r="V247" s="166">
        <f t="shared" ref="V247:V250" si="498">BA247</f>
        <v>0</v>
      </c>
      <c r="W247" s="166">
        <f t="shared" ref="W247:W250" si="499">BB247</f>
        <v>0</v>
      </c>
      <c r="X247" s="166">
        <f t="shared" ref="X247:X250" si="500">BC247</f>
        <v>0</v>
      </c>
      <c r="Y247" s="166">
        <f t="shared" ref="Y247:Y250" si="501">BD247</f>
        <v>0</v>
      </c>
      <c r="Z247" s="166">
        <f t="shared" ref="Z247:Z250" si="502">BE247</f>
        <v>0</v>
      </c>
      <c r="AA247" s="166">
        <f t="shared" ref="AA247:AA250" si="503">BF247</f>
        <v>0</v>
      </c>
      <c r="AB247" s="166">
        <f t="shared" ref="AB247:AB250" si="504">BG247</f>
        <v>0</v>
      </c>
      <c r="AC247" s="166" cm="1">
        <f t="array" ref="AC247">SUMPRODUCT(G247:AB247,$G$4:$AB$4)</f>
        <v>0</v>
      </c>
      <c r="AD247" s="89" t="b">
        <f t="shared" ref="AD247:AD250" si="505">IF(AF247=AC247,TRUE,FALSE)</f>
        <v>1</v>
      </c>
      <c r="AE247" s="386">
        <f>IFERROR(SUMIF(服务费底表!$K:$K,服务费明细!$B247,服务费底表!$AD:$AD)/E247,0)</f>
        <v>0</v>
      </c>
      <c r="AF247" s="386">
        <f t="shared" ref="AF247" si="506">E247*AE247</f>
        <v>0</v>
      </c>
      <c r="AG247" s="386">
        <f>IFERROR(SUMIF(服务费底表!$K:$K,服务费明细!$B247,服务费底表!$AG:$AG)/E247,0)</f>
        <v>0</v>
      </c>
      <c r="AH247" s="386">
        <f t="shared" ref="AH247" si="507">AG247*E247</f>
        <v>0</v>
      </c>
      <c r="AI247" s="409"/>
      <c r="AJ247" s="563">
        <f>IF(D247=1,AK247/E247,0)</f>
        <v>0</v>
      </c>
      <c r="AK247" s="564">
        <f>SUMIF(服务费底表!$K:$K,服务费明细!$B247,服务费底表!$AC:$AC)</f>
        <v>0</v>
      </c>
      <c r="AL247" s="166">
        <f>SUMIFS(服务费底表!$AC:$AC,服务费底表!$K:$K,服务费明细!$B247,服务费底表!$T:$T,AL$3)</f>
        <v>0</v>
      </c>
      <c r="AM247" s="166">
        <f>SUMIFS(服务费底表!$AC:$AC,服务费底表!$K:$K,服务费明细!$B247,服务费底表!$T:$T,AM$3)</f>
        <v>0</v>
      </c>
      <c r="AN247" s="166">
        <f>SUMIFS(服务费底表!$AC:$AC,服务费底表!$K:$K,服务费明细!$B247,服务费底表!$T:$T,AN$3)</f>
        <v>0</v>
      </c>
      <c r="AO247" s="166">
        <f>SUMIFS(服务费底表!$AC:$AC,服务费底表!$K:$K,服务费明细!$B247,服务费底表!$T:$T,AO$3)</f>
        <v>0</v>
      </c>
      <c r="AP247" s="166">
        <f>SUMIFS(服务费底表!$AC:$AC,服务费底表!$K:$K,服务费明细!$B247,服务费底表!$T:$T,AP$3)</f>
        <v>0</v>
      </c>
      <c r="AQ247" s="166">
        <f>SUMIFS(服务费底表!$AC:$AC,服务费底表!$K:$K,服务费明细!$B247,服务费底表!$T:$T,AQ$3)</f>
        <v>0</v>
      </c>
      <c r="AR247" s="166">
        <f>SUMIFS(服务费底表!$AC:$AC,服务费底表!$K:$K,服务费明细!$B247,服务费底表!$T:$T,AR$3)</f>
        <v>0</v>
      </c>
      <c r="AS247" s="166">
        <f>SUMIFS(服务费底表!$AC:$AC,服务费底表!$K:$K,服务费明细!$B247,服务费底表!$T:$T,AS$3)</f>
        <v>0</v>
      </c>
      <c r="AT247" s="166">
        <f>SUMIFS(服务费底表!$AC:$AC,服务费底表!$K:$K,服务费明细!$B247,服务费底表!$T:$T,AT$3)</f>
        <v>0</v>
      </c>
      <c r="AU247" s="166">
        <f>SUMIFS(服务费底表!$AC:$AC,服务费底表!$K:$K,服务费明细!$B247,服务费底表!$T:$T,AU$3)</f>
        <v>0</v>
      </c>
      <c r="AV247" s="166">
        <f>SUMIFS(服务费底表!$AC:$AC,服务费底表!$K:$K,服务费明细!$B247,服务费底表!$T:$T,AV$3)</f>
        <v>0</v>
      </c>
      <c r="AW247" s="166">
        <f>SUMIFS(服务费底表!$AC:$AC,服务费底表!$K:$K,服务费明细!$B247,服务费底表!$T:$T,AW$3)</f>
        <v>0</v>
      </c>
      <c r="AX247" s="166">
        <f>SUMIFS(服务费底表!$AC:$AC,服务费底表!$K:$K,服务费明细!$B247,服务费底表!$T:$T,AX$3)</f>
        <v>0</v>
      </c>
      <c r="AY247" s="166">
        <f>SUMIFS(服务费底表!$AC:$AC,服务费底表!$K:$K,服务费明细!$B247,服务费底表!$T:$T,AY$3)</f>
        <v>0</v>
      </c>
      <c r="AZ247" s="166">
        <f>SUMIFS(服务费底表!$AC:$AC,服务费底表!$K:$K,服务费明细!$B247,服务费底表!$T:$T,AZ$3)</f>
        <v>0</v>
      </c>
      <c r="BA247" s="166">
        <f>SUMIFS(服务费底表!$AC:$AC,服务费底表!$K:$K,服务费明细!$B247,服务费底表!$T:$T,BA$3)</f>
        <v>0</v>
      </c>
      <c r="BB247" s="166">
        <f>SUMIFS(服务费底表!$AC:$AC,服务费底表!$K:$K,服务费明细!$B247,服务费底表!$T:$T,BB$3)</f>
        <v>0</v>
      </c>
      <c r="BC247" s="166">
        <f>SUMIFS(服务费底表!$AC:$AC,服务费底表!$K:$K,服务费明细!$B247,服务费底表!$T:$T,BC$3)</f>
        <v>0</v>
      </c>
      <c r="BD247" s="166">
        <f>SUMIFS(服务费底表!$AC:$AC,服务费底表!$K:$K,服务费明细!$B247,服务费底表!$T:$T,BD$3)</f>
        <v>0</v>
      </c>
      <c r="BE247" s="166">
        <f>SUMIFS(服务费底表!$AC:$AC,服务费底表!$K:$K,服务费明细!$B247,服务费底表!$T:$T,BE$3)</f>
        <v>0</v>
      </c>
      <c r="BF247" s="166">
        <f>SUMIFS(服务费底表!$AC:$AC,服务费底表!$K:$K,服务费明细!$B247,服务费底表!$T:$T,BF$3)</f>
        <v>0</v>
      </c>
      <c r="BG247" s="166">
        <f>SUMIFS(服务费底表!$AC:$AC,服务费底表!$K:$K,服务费明细!$B247,服务费底表!$T:$T,BG$3)</f>
        <v>0</v>
      </c>
      <c r="BI247" s="388">
        <f>SUMIFS(服务费底表!$AC:$AC,服务费底表!$K:$K,服务费明细!$B247,服务费底表!$H:$H,服务费明细!BI$3)</f>
        <v>0</v>
      </c>
      <c r="BJ247" s="388">
        <f>SUMIFS(服务费底表!$AC:$AC,服务费底表!$K:$K,服务费明细!$B247,服务费底表!$H:$H,服务费明细!BJ$3)</f>
        <v>0</v>
      </c>
      <c r="BK247" s="388">
        <f>SUMIFS(服务费底表!$AC:$AC,服务费底表!$K:$K,服务费明细!$B247,服务费底表!$H:$H,服务费明细!BK$3)</f>
        <v>0</v>
      </c>
      <c r="BL247" s="388">
        <f>SUMIFS(服务费底表!$AC:$AC,服务费底表!$K:$K,服务费明细!$B247,服务费底表!$H:$H,服务费明细!BL$3)</f>
        <v>0</v>
      </c>
      <c r="BM247" s="388">
        <f>SUMIFS(服务费底表!$AC:$AC,服务费底表!$K:$K,服务费明细!$B247,服务费底表!$H:$H,服务费明细!BM$3)</f>
        <v>0</v>
      </c>
      <c r="BN247" s="388">
        <f>SUMIFS(服务费底表!$AC:$AC,服务费底表!$K:$K,服务费明细!$B247,服务费底表!$H:$H,服务费明细!BN$3)</f>
        <v>0</v>
      </c>
      <c r="BO247" s="388">
        <f>SUMIFS(服务费底表!$AC:$AC,服务费底表!$K:$K,服务费明细!$B247,服务费底表!$H:$H,服务费明细!BO$3)</f>
        <v>0</v>
      </c>
      <c r="BQ247" s="389">
        <f>SUMIFS(服务费底表!$AD:$AD,服务费底表!$K:$K,服务费明细!$B247,服务费底表!$H:$H,服务费明细!BQ$3)</f>
        <v>0</v>
      </c>
      <c r="BR247" s="389">
        <f>SUMIFS(服务费底表!$AD:$AD,服务费底表!$K:$K,服务费明细!$B247,服务费底表!$H:$H,服务费明细!BR$3)</f>
        <v>0</v>
      </c>
      <c r="BS247" s="389">
        <f>SUMIFS(服务费底表!$AD:$AD,服务费底表!$K:$K,服务费明细!$B247,服务费底表!$H:$H,服务费明细!BS$3)</f>
        <v>0</v>
      </c>
      <c r="BT247" s="389">
        <f>SUMIFS(服务费底表!$AD:$AD,服务费底表!$K:$K,服务费明细!$B247,服务费底表!$H:$H,服务费明细!BT$3)</f>
        <v>0</v>
      </c>
      <c r="BU247" s="389">
        <f>SUMIFS(服务费底表!$AD:$AD,服务费底表!$K:$K,服务费明细!$B247,服务费底表!$H:$H,服务费明细!BU$3)</f>
        <v>0</v>
      </c>
      <c r="BV247" s="389">
        <f>SUMIFS(服务费底表!$AD:$AD,服务费底表!$K:$K,服务费明细!$B247,服务费底表!$H:$H,服务费明细!BV$3)</f>
        <v>0</v>
      </c>
      <c r="BW247" s="389">
        <f>SUMIFS(服务费底表!$AD:$AD,服务费底表!$K:$K,服务费明细!$B247,服务费底表!$H:$H,服务费明细!BW$3)</f>
        <v>0</v>
      </c>
    </row>
    <row r="248" ht="16.8" customHeight="1" spans="2:75">
      <c r="B248" s="89" t="s">
        <v>445</v>
      </c>
      <c r="C248" s="89" t="str">
        <f>INDEX(二三级标准!$C:$C,MATCH(服务费明细!$B248,二三级标准!$B:$B,0))</f>
        <v>核查前准备-系统填报</v>
      </c>
      <c r="D248" s="166">
        <f>IF($D$246=1,1,0)</f>
        <v>0</v>
      </c>
      <c r="E248" s="166">
        <f>IF($D248=1,1,0)</f>
        <v>0</v>
      </c>
      <c r="F248" s="89" t="str">
        <f>INDEX(二三级标准!$G:$G,MATCH(服务费明细!$B248,二三级标准!$B:$B,0))</f>
        <v>次</v>
      </c>
      <c r="G248" s="166">
        <f t="shared" si="483"/>
        <v>0</v>
      </c>
      <c r="H248" s="166">
        <f t="shared" si="484"/>
        <v>0</v>
      </c>
      <c r="I248" s="166">
        <f t="shared" si="485"/>
        <v>0</v>
      </c>
      <c r="J248" s="166">
        <f t="shared" si="486"/>
        <v>0</v>
      </c>
      <c r="K248" s="166">
        <f t="shared" si="487"/>
        <v>0</v>
      </c>
      <c r="L248" s="166">
        <f t="shared" si="488"/>
        <v>0</v>
      </c>
      <c r="M248" s="166">
        <f t="shared" si="489"/>
        <v>0</v>
      </c>
      <c r="N248" s="166">
        <f t="shared" si="490"/>
        <v>0</v>
      </c>
      <c r="O248" s="166">
        <f t="shared" si="491"/>
        <v>0</v>
      </c>
      <c r="P248" s="166">
        <f t="shared" si="492"/>
        <v>0</v>
      </c>
      <c r="Q248" s="166">
        <f t="shared" si="493"/>
        <v>0</v>
      </c>
      <c r="R248" s="166">
        <f t="shared" si="494"/>
        <v>0</v>
      </c>
      <c r="S248" s="166">
        <f t="shared" si="495"/>
        <v>0</v>
      </c>
      <c r="T248" s="166">
        <f t="shared" si="496"/>
        <v>0</v>
      </c>
      <c r="U248" s="166">
        <f t="shared" si="497"/>
        <v>0</v>
      </c>
      <c r="V248" s="166">
        <f t="shared" si="498"/>
        <v>0</v>
      </c>
      <c r="W248" s="166">
        <f t="shared" si="499"/>
        <v>0</v>
      </c>
      <c r="X248" s="166">
        <f t="shared" si="500"/>
        <v>0</v>
      </c>
      <c r="Y248" s="166">
        <f t="shared" si="501"/>
        <v>0</v>
      </c>
      <c r="Z248" s="166">
        <f t="shared" si="502"/>
        <v>0</v>
      </c>
      <c r="AA248" s="166">
        <f t="shared" si="503"/>
        <v>0</v>
      </c>
      <c r="AB248" s="166">
        <f t="shared" si="504"/>
        <v>0</v>
      </c>
      <c r="AC248" s="166" cm="1">
        <f t="array" ref="AC248">SUMPRODUCT(G248:AB248,$G$4:$AB$4)</f>
        <v>0</v>
      </c>
      <c r="AD248" s="89" t="b">
        <f t="shared" si="505"/>
        <v>1</v>
      </c>
      <c r="AE248" s="386">
        <f>IFERROR(SUMIF(服务费底表!$K:$K,服务费明细!$B248,服务费底表!$AD:$AD)/E248,0)</f>
        <v>0</v>
      </c>
      <c r="AF248" s="386">
        <f t="shared" ref="AF248:AF250" si="508">E248*AE248</f>
        <v>0</v>
      </c>
      <c r="AG248" s="386">
        <f>IFERROR(SUMIF(服务费底表!$K:$K,服务费明细!$B248,服务费底表!$AG:$AG)/E248,0)</f>
        <v>0</v>
      </c>
      <c r="AH248" s="386">
        <f t="shared" ref="AH248:AH250" si="509">AG248*E248</f>
        <v>0</v>
      </c>
      <c r="AI248" s="409"/>
      <c r="AJ248" s="563">
        <f>IF(D248=1,AK248/E248,0)</f>
        <v>0</v>
      </c>
      <c r="AK248" s="564">
        <f>SUMIF(服务费底表!$K:$K,服务费明细!$B248,服务费底表!$AC:$AC)</f>
        <v>0</v>
      </c>
      <c r="AL248" s="166">
        <f>SUMIFS(服务费底表!$AC:$AC,服务费底表!$K:$K,服务费明细!$B248,服务费底表!$T:$T,AL$3)</f>
        <v>0</v>
      </c>
      <c r="AM248" s="166">
        <f>SUMIFS(服务费底表!$AC:$AC,服务费底表!$K:$K,服务费明细!$B248,服务费底表!$T:$T,AM$3)</f>
        <v>0</v>
      </c>
      <c r="AN248" s="166">
        <f>SUMIFS(服务费底表!$AC:$AC,服务费底表!$K:$K,服务费明细!$B248,服务费底表!$T:$T,AN$3)</f>
        <v>0</v>
      </c>
      <c r="AO248" s="166">
        <f>SUMIFS(服务费底表!$AC:$AC,服务费底表!$K:$K,服务费明细!$B248,服务费底表!$T:$T,AO$3)</f>
        <v>0</v>
      </c>
      <c r="AP248" s="166">
        <f>SUMIFS(服务费底表!$AC:$AC,服务费底表!$K:$K,服务费明细!$B248,服务费底表!$T:$T,AP$3)</f>
        <v>0</v>
      </c>
      <c r="AQ248" s="166">
        <f>SUMIFS(服务费底表!$AC:$AC,服务费底表!$K:$K,服务费明细!$B248,服务费底表!$T:$T,AQ$3)</f>
        <v>0</v>
      </c>
      <c r="AR248" s="166">
        <f>SUMIFS(服务费底表!$AC:$AC,服务费底表!$K:$K,服务费明细!$B248,服务费底表!$T:$T,AR$3)</f>
        <v>0</v>
      </c>
      <c r="AS248" s="166">
        <f>SUMIFS(服务费底表!$AC:$AC,服务费底表!$K:$K,服务费明细!$B248,服务费底表!$T:$T,AS$3)</f>
        <v>0</v>
      </c>
      <c r="AT248" s="166">
        <f>SUMIFS(服务费底表!$AC:$AC,服务费底表!$K:$K,服务费明细!$B248,服务费底表!$T:$T,AT$3)</f>
        <v>0</v>
      </c>
      <c r="AU248" s="166">
        <f>SUMIFS(服务费底表!$AC:$AC,服务费底表!$K:$K,服务费明细!$B248,服务费底表!$T:$T,AU$3)</f>
        <v>0</v>
      </c>
      <c r="AV248" s="166">
        <f>SUMIFS(服务费底表!$AC:$AC,服务费底表!$K:$K,服务费明细!$B248,服务费底表!$T:$T,AV$3)</f>
        <v>0</v>
      </c>
      <c r="AW248" s="166">
        <f>SUMIFS(服务费底表!$AC:$AC,服务费底表!$K:$K,服务费明细!$B248,服务费底表!$T:$T,AW$3)</f>
        <v>0</v>
      </c>
      <c r="AX248" s="166">
        <f>SUMIFS(服务费底表!$AC:$AC,服务费底表!$K:$K,服务费明细!$B248,服务费底表!$T:$T,AX$3)</f>
        <v>0</v>
      </c>
      <c r="AY248" s="166">
        <f>SUMIFS(服务费底表!$AC:$AC,服务费底表!$K:$K,服务费明细!$B248,服务费底表!$T:$T,AY$3)</f>
        <v>0</v>
      </c>
      <c r="AZ248" s="166">
        <f>SUMIFS(服务费底表!$AC:$AC,服务费底表!$K:$K,服务费明细!$B248,服务费底表!$T:$T,AZ$3)</f>
        <v>0</v>
      </c>
      <c r="BA248" s="166">
        <f>SUMIFS(服务费底表!$AC:$AC,服务费底表!$K:$K,服务费明细!$B248,服务费底表!$T:$T,BA$3)</f>
        <v>0</v>
      </c>
      <c r="BB248" s="166">
        <f>SUMIFS(服务费底表!$AC:$AC,服务费底表!$K:$K,服务费明细!$B248,服务费底表!$T:$T,BB$3)</f>
        <v>0</v>
      </c>
      <c r="BC248" s="166">
        <f>SUMIFS(服务费底表!$AC:$AC,服务费底表!$K:$K,服务费明细!$B248,服务费底表!$T:$T,BC$3)</f>
        <v>0</v>
      </c>
      <c r="BD248" s="166">
        <f>SUMIFS(服务费底表!$AC:$AC,服务费底表!$K:$K,服务费明细!$B248,服务费底表!$T:$T,BD$3)</f>
        <v>0</v>
      </c>
      <c r="BE248" s="166">
        <f>SUMIFS(服务费底表!$AC:$AC,服务费底表!$K:$K,服务费明细!$B248,服务费底表!$T:$T,BE$3)</f>
        <v>0</v>
      </c>
      <c r="BF248" s="166">
        <f>SUMIFS(服务费底表!$AC:$AC,服务费底表!$K:$K,服务费明细!$B248,服务费底表!$T:$T,BF$3)</f>
        <v>0</v>
      </c>
      <c r="BG248" s="166">
        <f>SUMIFS(服务费底表!$AC:$AC,服务费底表!$K:$K,服务费明细!$B248,服务费底表!$T:$T,BG$3)</f>
        <v>0</v>
      </c>
      <c r="BI248" s="388">
        <f>SUMIFS(服务费底表!$AC:$AC,服务费底表!$K:$K,服务费明细!$B248,服务费底表!$H:$H,服务费明细!BI$3)</f>
        <v>0</v>
      </c>
      <c r="BJ248" s="388">
        <f>SUMIFS(服务费底表!$AC:$AC,服务费底表!$K:$K,服务费明细!$B248,服务费底表!$H:$H,服务费明细!BJ$3)</f>
        <v>0</v>
      </c>
      <c r="BK248" s="388">
        <f>SUMIFS(服务费底表!$AC:$AC,服务费底表!$K:$K,服务费明细!$B248,服务费底表!$H:$H,服务费明细!BK$3)</f>
        <v>0</v>
      </c>
      <c r="BL248" s="388">
        <f>SUMIFS(服务费底表!$AC:$AC,服务费底表!$K:$K,服务费明细!$B248,服务费底表!$H:$H,服务费明细!BL$3)</f>
        <v>0</v>
      </c>
      <c r="BM248" s="388">
        <f>SUMIFS(服务费底表!$AC:$AC,服务费底表!$K:$K,服务费明细!$B248,服务费底表!$H:$H,服务费明细!BM$3)</f>
        <v>0</v>
      </c>
      <c r="BN248" s="388">
        <f>SUMIFS(服务费底表!$AC:$AC,服务费底表!$K:$K,服务费明细!$B248,服务费底表!$H:$H,服务费明细!BN$3)</f>
        <v>0</v>
      </c>
      <c r="BO248" s="388">
        <f>SUMIFS(服务费底表!$AC:$AC,服务费底表!$K:$K,服务费明细!$B248,服务费底表!$H:$H,服务费明细!BO$3)</f>
        <v>0</v>
      </c>
      <c r="BQ248" s="389">
        <f>SUMIFS(服务费底表!$AD:$AD,服务费底表!$K:$K,服务费明细!$B248,服务费底表!$H:$H,服务费明细!BQ$3)</f>
        <v>0</v>
      </c>
      <c r="BR248" s="389">
        <f>SUMIFS(服务费底表!$AD:$AD,服务费底表!$K:$K,服务费明细!$B248,服务费底表!$H:$H,服务费明细!BR$3)</f>
        <v>0</v>
      </c>
      <c r="BS248" s="389">
        <f>SUMIFS(服务费底表!$AD:$AD,服务费底表!$K:$K,服务费明细!$B248,服务费底表!$H:$H,服务费明细!BS$3)</f>
        <v>0</v>
      </c>
      <c r="BT248" s="389">
        <f>SUMIFS(服务费底表!$AD:$AD,服务费底表!$K:$K,服务费明细!$B248,服务费底表!$H:$H,服务费明细!BT$3)</f>
        <v>0</v>
      </c>
      <c r="BU248" s="389">
        <f>SUMIFS(服务费底表!$AD:$AD,服务费底表!$K:$K,服务费明细!$B248,服务费底表!$H:$H,服务费明细!BU$3)</f>
        <v>0</v>
      </c>
      <c r="BV248" s="389">
        <f>SUMIFS(服务费底表!$AD:$AD,服务费底表!$K:$K,服务费明细!$B248,服务费底表!$H:$H,服务费明细!BV$3)</f>
        <v>0</v>
      </c>
      <c r="BW248" s="389">
        <f>SUMIFS(服务费底表!$AD:$AD,服务费底表!$K:$K,服务费明细!$B248,服务费底表!$H:$H,服务费明细!BW$3)</f>
        <v>0</v>
      </c>
    </row>
    <row r="249" ht="16.8" customHeight="1" spans="2:75">
      <c r="B249" s="89" t="s">
        <v>447</v>
      </c>
      <c r="C249" s="89" t="str">
        <f>INDEX(二三级标准!$C:$C,MATCH(服务费明细!$B249,二三级标准!$B:$B,0))</f>
        <v>现场支持</v>
      </c>
      <c r="D249" s="166">
        <f>IF($D$246=1,1,0)</f>
        <v>0</v>
      </c>
      <c r="E249" s="166">
        <f>IF($D249=1,1,0)</f>
        <v>0</v>
      </c>
      <c r="F249" s="89" t="str">
        <f>INDEX(二三级标准!$G:$G,MATCH(服务费明细!$B249,二三级标准!$B:$B,0))</f>
        <v>次</v>
      </c>
      <c r="G249" s="166">
        <f t="shared" si="483"/>
        <v>0</v>
      </c>
      <c r="H249" s="166">
        <f t="shared" si="484"/>
        <v>0</v>
      </c>
      <c r="I249" s="166">
        <f t="shared" si="485"/>
        <v>0</v>
      </c>
      <c r="J249" s="166">
        <f t="shared" si="486"/>
        <v>0</v>
      </c>
      <c r="K249" s="166">
        <f t="shared" si="487"/>
        <v>0</v>
      </c>
      <c r="L249" s="166">
        <f t="shared" si="488"/>
        <v>0</v>
      </c>
      <c r="M249" s="166">
        <f t="shared" si="489"/>
        <v>0</v>
      </c>
      <c r="N249" s="166">
        <f t="shared" si="490"/>
        <v>0</v>
      </c>
      <c r="O249" s="166">
        <f t="shared" si="491"/>
        <v>0</v>
      </c>
      <c r="P249" s="166">
        <f t="shared" si="492"/>
        <v>0</v>
      </c>
      <c r="Q249" s="166">
        <f t="shared" si="493"/>
        <v>0</v>
      </c>
      <c r="R249" s="166">
        <f t="shared" si="494"/>
        <v>0</v>
      </c>
      <c r="S249" s="166">
        <f t="shared" si="495"/>
        <v>0</v>
      </c>
      <c r="T249" s="166">
        <f t="shared" si="496"/>
        <v>0</v>
      </c>
      <c r="U249" s="166">
        <f t="shared" si="497"/>
        <v>0</v>
      </c>
      <c r="V249" s="166">
        <f t="shared" si="498"/>
        <v>0</v>
      </c>
      <c r="W249" s="166">
        <f t="shared" si="499"/>
        <v>0</v>
      </c>
      <c r="X249" s="166">
        <f t="shared" si="500"/>
        <v>0</v>
      </c>
      <c r="Y249" s="166">
        <f t="shared" si="501"/>
        <v>0</v>
      </c>
      <c r="Z249" s="166">
        <f t="shared" si="502"/>
        <v>0</v>
      </c>
      <c r="AA249" s="166">
        <f t="shared" si="503"/>
        <v>0</v>
      </c>
      <c r="AB249" s="166">
        <f t="shared" si="504"/>
        <v>0</v>
      </c>
      <c r="AC249" s="166" cm="1">
        <f t="array" ref="AC249">SUMPRODUCT(G249:AB249,$G$4:$AB$4)</f>
        <v>0</v>
      </c>
      <c r="AD249" s="89" t="b">
        <f t="shared" si="505"/>
        <v>1</v>
      </c>
      <c r="AE249" s="386">
        <f>IFERROR(SUMIF(服务费底表!$K:$K,服务费明细!$B249,服务费底表!$AD:$AD)/E249,0)</f>
        <v>0</v>
      </c>
      <c r="AF249" s="386">
        <f t="shared" si="508"/>
        <v>0</v>
      </c>
      <c r="AG249" s="386">
        <f>IFERROR(SUMIF(服务费底表!$K:$K,服务费明细!$B249,服务费底表!$AG:$AG)/E249,0)</f>
        <v>0</v>
      </c>
      <c r="AH249" s="386">
        <f t="shared" si="509"/>
        <v>0</v>
      </c>
      <c r="AI249" s="409"/>
      <c r="AJ249" s="563">
        <f>IF(D249=1,AK249/E249,0)</f>
        <v>0</v>
      </c>
      <c r="AK249" s="564">
        <f>SUMIF(服务费底表!$K:$K,服务费明细!$B249,服务费底表!$AC:$AC)</f>
        <v>0</v>
      </c>
      <c r="AL249" s="166">
        <f>SUMIFS(服务费底表!$AC:$AC,服务费底表!$K:$K,服务费明细!$B249,服务费底表!$T:$T,AL$3)</f>
        <v>0</v>
      </c>
      <c r="AM249" s="166">
        <f>SUMIFS(服务费底表!$AC:$AC,服务费底表!$K:$K,服务费明细!$B249,服务费底表!$T:$T,AM$3)</f>
        <v>0</v>
      </c>
      <c r="AN249" s="166">
        <f>SUMIFS(服务费底表!$AC:$AC,服务费底表!$K:$K,服务费明细!$B249,服务费底表!$T:$T,AN$3)</f>
        <v>0</v>
      </c>
      <c r="AO249" s="166">
        <f>SUMIFS(服务费底表!$AC:$AC,服务费底表!$K:$K,服务费明细!$B249,服务费底表!$T:$T,AO$3)</f>
        <v>0</v>
      </c>
      <c r="AP249" s="166">
        <f>SUMIFS(服务费底表!$AC:$AC,服务费底表!$K:$K,服务费明细!$B249,服务费底表!$T:$T,AP$3)</f>
        <v>0</v>
      </c>
      <c r="AQ249" s="166">
        <f>SUMIFS(服务费底表!$AC:$AC,服务费底表!$K:$K,服务费明细!$B249,服务费底表!$T:$T,AQ$3)</f>
        <v>0</v>
      </c>
      <c r="AR249" s="166">
        <f>SUMIFS(服务费底表!$AC:$AC,服务费底表!$K:$K,服务费明细!$B249,服务费底表!$T:$T,AR$3)</f>
        <v>0</v>
      </c>
      <c r="AS249" s="166">
        <f>SUMIFS(服务费底表!$AC:$AC,服务费底表!$K:$K,服务费明细!$B249,服务费底表!$T:$T,AS$3)</f>
        <v>0</v>
      </c>
      <c r="AT249" s="166">
        <f>SUMIFS(服务费底表!$AC:$AC,服务费底表!$K:$K,服务费明细!$B249,服务费底表!$T:$T,AT$3)</f>
        <v>0</v>
      </c>
      <c r="AU249" s="166">
        <f>SUMIFS(服务费底表!$AC:$AC,服务费底表!$K:$K,服务费明细!$B249,服务费底表!$T:$T,AU$3)</f>
        <v>0</v>
      </c>
      <c r="AV249" s="166">
        <f>SUMIFS(服务费底表!$AC:$AC,服务费底表!$K:$K,服务费明细!$B249,服务费底表!$T:$T,AV$3)</f>
        <v>0</v>
      </c>
      <c r="AW249" s="166">
        <f>SUMIFS(服务费底表!$AC:$AC,服务费底表!$K:$K,服务费明细!$B249,服务费底表!$T:$T,AW$3)</f>
        <v>0</v>
      </c>
      <c r="AX249" s="166">
        <f>SUMIFS(服务费底表!$AC:$AC,服务费底表!$K:$K,服务费明细!$B249,服务费底表!$T:$T,AX$3)</f>
        <v>0</v>
      </c>
      <c r="AY249" s="166">
        <f>SUMIFS(服务费底表!$AC:$AC,服务费底表!$K:$K,服务费明细!$B249,服务费底表!$T:$T,AY$3)</f>
        <v>0</v>
      </c>
      <c r="AZ249" s="166">
        <f>SUMIFS(服务费底表!$AC:$AC,服务费底表!$K:$K,服务费明细!$B249,服务费底表!$T:$T,AZ$3)</f>
        <v>0</v>
      </c>
      <c r="BA249" s="166">
        <f>SUMIFS(服务费底表!$AC:$AC,服务费底表!$K:$K,服务费明细!$B249,服务费底表!$T:$T,BA$3)</f>
        <v>0</v>
      </c>
      <c r="BB249" s="166">
        <f>SUMIFS(服务费底表!$AC:$AC,服务费底表!$K:$K,服务费明细!$B249,服务费底表!$T:$T,BB$3)</f>
        <v>0</v>
      </c>
      <c r="BC249" s="166">
        <f>SUMIFS(服务费底表!$AC:$AC,服务费底表!$K:$K,服务费明细!$B249,服务费底表!$T:$T,BC$3)</f>
        <v>0</v>
      </c>
      <c r="BD249" s="166">
        <f>SUMIFS(服务费底表!$AC:$AC,服务费底表!$K:$K,服务费明细!$B249,服务费底表!$T:$T,BD$3)</f>
        <v>0</v>
      </c>
      <c r="BE249" s="166">
        <f>SUMIFS(服务费底表!$AC:$AC,服务费底表!$K:$K,服务费明细!$B249,服务费底表!$T:$T,BE$3)</f>
        <v>0</v>
      </c>
      <c r="BF249" s="166">
        <f>SUMIFS(服务费底表!$AC:$AC,服务费底表!$K:$K,服务费明细!$B249,服务费底表!$T:$T,BF$3)</f>
        <v>0</v>
      </c>
      <c r="BG249" s="166">
        <f>SUMIFS(服务费底表!$AC:$AC,服务费底表!$K:$K,服务费明细!$B249,服务费底表!$T:$T,BG$3)</f>
        <v>0</v>
      </c>
      <c r="BI249" s="388">
        <f>SUMIFS(服务费底表!$AC:$AC,服务费底表!$K:$K,服务费明细!$B249,服务费底表!$H:$H,服务费明细!BI$3)</f>
        <v>0</v>
      </c>
      <c r="BJ249" s="388">
        <f>SUMIFS(服务费底表!$AC:$AC,服务费底表!$K:$K,服务费明细!$B249,服务费底表!$H:$H,服务费明细!BJ$3)</f>
        <v>0</v>
      </c>
      <c r="BK249" s="388">
        <f>SUMIFS(服务费底表!$AC:$AC,服务费底表!$K:$K,服务费明细!$B249,服务费底表!$H:$H,服务费明细!BK$3)</f>
        <v>0</v>
      </c>
      <c r="BL249" s="388">
        <f>SUMIFS(服务费底表!$AC:$AC,服务费底表!$K:$K,服务费明细!$B249,服务费底表!$H:$H,服务费明细!BL$3)</f>
        <v>0</v>
      </c>
      <c r="BM249" s="388">
        <f>SUMIFS(服务费底表!$AC:$AC,服务费底表!$K:$K,服务费明细!$B249,服务费底表!$H:$H,服务费明细!BM$3)</f>
        <v>0</v>
      </c>
      <c r="BN249" s="388">
        <f>SUMIFS(服务费底表!$AC:$AC,服务费底表!$K:$K,服务费明细!$B249,服务费底表!$H:$H,服务费明细!BN$3)</f>
        <v>0</v>
      </c>
      <c r="BO249" s="388">
        <f>SUMIFS(服务费底表!$AC:$AC,服务费底表!$K:$K,服务费明细!$B249,服务费底表!$H:$H,服务费明细!BO$3)</f>
        <v>0</v>
      </c>
      <c r="BQ249" s="389">
        <f>SUMIFS(服务费底表!$AD:$AD,服务费底表!$K:$K,服务费明细!$B249,服务费底表!$H:$H,服务费明细!BQ$3)</f>
        <v>0</v>
      </c>
      <c r="BR249" s="389">
        <f>SUMIFS(服务费底表!$AD:$AD,服务费底表!$K:$K,服务费明细!$B249,服务费底表!$H:$H,服务费明细!BR$3)</f>
        <v>0</v>
      </c>
      <c r="BS249" s="389">
        <f>SUMIFS(服务费底表!$AD:$AD,服务费底表!$K:$K,服务费明细!$B249,服务费底表!$H:$H,服务费明细!BS$3)</f>
        <v>0</v>
      </c>
      <c r="BT249" s="389">
        <f>SUMIFS(服务费底表!$AD:$AD,服务费底表!$K:$K,服务费明细!$B249,服务费底表!$H:$H,服务费明细!BT$3)</f>
        <v>0</v>
      </c>
      <c r="BU249" s="389">
        <f>SUMIFS(服务费底表!$AD:$AD,服务费底表!$K:$K,服务费明细!$B249,服务费底表!$H:$H,服务费明细!BU$3)</f>
        <v>0</v>
      </c>
      <c r="BV249" s="389">
        <f>SUMIFS(服务费底表!$AD:$AD,服务费底表!$K:$K,服务费明细!$B249,服务费底表!$H:$H,服务费明细!BV$3)</f>
        <v>0</v>
      </c>
      <c r="BW249" s="389">
        <f>SUMIFS(服务费底表!$AD:$AD,服务费底表!$K:$K,服务费明细!$B249,服务费底表!$H:$H,服务费明细!BW$3)</f>
        <v>0</v>
      </c>
    </row>
    <row r="250" ht="16.8" customHeight="1" spans="2:75">
      <c r="B250" s="89" t="s">
        <v>449</v>
      </c>
      <c r="C250" s="89" t="str">
        <f>INDEX(二三级标准!$C:$C,MATCH(服务费明细!$B250,二三级标准!$B:$B,0))</f>
        <v>核查后支持报告回复</v>
      </c>
      <c r="D250" s="166">
        <f>IF($D$246=1,1,0)</f>
        <v>0</v>
      </c>
      <c r="E250" s="166">
        <f>IF($D250=1,1,0)</f>
        <v>0</v>
      </c>
      <c r="F250" s="89" t="str">
        <f>INDEX(二三级标准!$G:$G,MATCH(服务费明细!$B250,二三级标准!$B:$B,0))</f>
        <v>次</v>
      </c>
      <c r="G250" s="166">
        <f t="shared" si="483"/>
        <v>0</v>
      </c>
      <c r="H250" s="166">
        <f t="shared" si="484"/>
        <v>0</v>
      </c>
      <c r="I250" s="166">
        <f t="shared" si="485"/>
        <v>0</v>
      </c>
      <c r="J250" s="166">
        <f t="shared" si="486"/>
        <v>0</v>
      </c>
      <c r="K250" s="166">
        <f t="shared" si="487"/>
        <v>0</v>
      </c>
      <c r="L250" s="166">
        <f t="shared" si="488"/>
        <v>0</v>
      </c>
      <c r="M250" s="166">
        <f t="shared" si="489"/>
        <v>0</v>
      </c>
      <c r="N250" s="166">
        <f t="shared" si="490"/>
        <v>0</v>
      </c>
      <c r="O250" s="166">
        <f t="shared" si="491"/>
        <v>0</v>
      </c>
      <c r="P250" s="166">
        <f t="shared" si="492"/>
        <v>0</v>
      </c>
      <c r="Q250" s="166">
        <f t="shared" si="493"/>
        <v>0</v>
      </c>
      <c r="R250" s="166">
        <f t="shared" si="494"/>
        <v>0</v>
      </c>
      <c r="S250" s="166">
        <f t="shared" si="495"/>
        <v>0</v>
      </c>
      <c r="T250" s="166">
        <f t="shared" si="496"/>
        <v>0</v>
      </c>
      <c r="U250" s="166">
        <f t="shared" si="497"/>
        <v>0</v>
      </c>
      <c r="V250" s="166">
        <f t="shared" si="498"/>
        <v>0</v>
      </c>
      <c r="W250" s="166">
        <f t="shared" si="499"/>
        <v>0</v>
      </c>
      <c r="X250" s="166">
        <f t="shared" si="500"/>
        <v>0</v>
      </c>
      <c r="Y250" s="166">
        <f t="shared" si="501"/>
        <v>0</v>
      </c>
      <c r="Z250" s="166">
        <f t="shared" si="502"/>
        <v>0</v>
      </c>
      <c r="AA250" s="166">
        <f t="shared" si="503"/>
        <v>0</v>
      </c>
      <c r="AB250" s="166">
        <f t="shared" si="504"/>
        <v>0</v>
      </c>
      <c r="AC250" s="166" cm="1">
        <f t="array" ref="AC250">SUMPRODUCT(G250:AB250,$G$4:$AB$4)</f>
        <v>0</v>
      </c>
      <c r="AD250" s="89" t="b">
        <f t="shared" si="505"/>
        <v>1</v>
      </c>
      <c r="AE250" s="386">
        <f>IFERROR(SUMIF(服务费底表!$K:$K,服务费明细!$B250,服务费底表!$AD:$AD)/E250,0)</f>
        <v>0</v>
      </c>
      <c r="AF250" s="386">
        <f t="shared" si="508"/>
        <v>0</v>
      </c>
      <c r="AG250" s="386">
        <f>IFERROR(SUMIF(服务费底表!$K:$K,服务费明细!$B250,服务费底表!$AG:$AG)/E250,0)</f>
        <v>0</v>
      </c>
      <c r="AH250" s="386">
        <f t="shared" si="509"/>
        <v>0</v>
      </c>
      <c r="AI250" s="409"/>
      <c r="AJ250" s="563">
        <f>IF(D250=1,AK250/E250,0)</f>
        <v>0</v>
      </c>
      <c r="AK250" s="564">
        <f>SUMIF(服务费底表!$K:$K,服务费明细!$B250,服务费底表!$AC:$AC)</f>
        <v>0</v>
      </c>
      <c r="AL250" s="166">
        <f>SUMIFS(服务费底表!$AC:$AC,服务费底表!$K:$K,服务费明细!$B250,服务费底表!$T:$T,AL$3)</f>
        <v>0</v>
      </c>
      <c r="AM250" s="166">
        <f>SUMIFS(服务费底表!$AC:$AC,服务费底表!$K:$K,服务费明细!$B250,服务费底表!$T:$T,AM$3)</f>
        <v>0</v>
      </c>
      <c r="AN250" s="166">
        <f>SUMIFS(服务费底表!$AC:$AC,服务费底表!$K:$K,服务费明细!$B250,服务费底表!$T:$T,AN$3)</f>
        <v>0</v>
      </c>
      <c r="AO250" s="166">
        <f>SUMIFS(服务费底表!$AC:$AC,服务费底表!$K:$K,服务费明细!$B250,服务费底表!$T:$T,AO$3)</f>
        <v>0</v>
      </c>
      <c r="AP250" s="166">
        <f>SUMIFS(服务费底表!$AC:$AC,服务费底表!$K:$K,服务费明细!$B250,服务费底表!$T:$T,AP$3)</f>
        <v>0</v>
      </c>
      <c r="AQ250" s="166">
        <f>SUMIFS(服务费底表!$AC:$AC,服务费底表!$K:$K,服务费明细!$B250,服务费底表!$T:$T,AQ$3)</f>
        <v>0</v>
      </c>
      <c r="AR250" s="166">
        <f>SUMIFS(服务费底表!$AC:$AC,服务费底表!$K:$K,服务费明细!$B250,服务费底表!$T:$T,AR$3)</f>
        <v>0</v>
      </c>
      <c r="AS250" s="166">
        <f>SUMIFS(服务费底表!$AC:$AC,服务费底表!$K:$K,服务费明细!$B250,服务费底表!$T:$T,AS$3)</f>
        <v>0</v>
      </c>
      <c r="AT250" s="166">
        <f>SUMIFS(服务费底表!$AC:$AC,服务费底表!$K:$K,服务费明细!$B250,服务费底表!$T:$T,AT$3)</f>
        <v>0</v>
      </c>
      <c r="AU250" s="166">
        <f>SUMIFS(服务费底表!$AC:$AC,服务费底表!$K:$K,服务费明细!$B250,服务费底表!$T:$T,AU$3)</f>
        <v>0</v>
      </c>
      <c r="AV250" s="166">
        <f>SUMIFS(服务费底表!$AC:$AC,服务费底表!$K:$K,服务费明细!$B250,服务费底表!$T:$T,AV$3)</f>
        <v>0</v>
      </c>
      <c r="AW250" s="166">
        <f>SUMIFS(服务费底表!$AC:$AC,服务费底表!$K:$K,服务费明细!$B250,服务费底表!$T:$T,AW$3)</f>
        <v>0</v>
      </c>
      <c r="AX250" s="166">
        <f>SUMIFS(服务费底表!$AC:$AC,服务费底表!$K:$K,服务费明细!$B250,服务费底表!$T:$T,AX$3)</f>
        <v>0</v>
      </c>
      <c r="AY250" s="166">
        <f>SUMIFS(服务费底表!$AC:$AC,服务费底表!$K:$K,服务费明细!$B250,服务费底表!$T:$T,AY$3)</f>
        <v>0</v>
      </c>
      <c r="AZ250" s="166">
        <f>SUMIFS(服务费底表!$AC:$AC,服务费底表!$K:$K,服务费明细!$B250,服务费底表!$T:$T,AZ$3)</f>
        <v>0</v>
      </c>
      <c r="BA250" s="166">
        <f>SUMIFS(服务费底表!$AC:$AC,服务费底表!$K:$K,服务费明细!$B250,服务费底表!$T:$T,BA$3)</f>
        <v>0</v>
      </c>
      <c r="BB250" s="166">
        <f>SUMIFS(服务费底表!$AC:$AC,服务费底表!$K:$K,服务费明细!$B250,服务费底表!$T:$T,BB$3)</f>
        <v>0</v>
      </c>
      <c r="BC250" s="166">
        <f>SUMIFS(服务费底表!$AC:$AC,服务费底表!$K:$K,服务费明细!$B250,服务费底表!$T:$T,BC$3)</f>
        <v>0</v>
      </c>
      <c r="BD250" s="166">
        <f>SUMIFS(服务费底表!$AC:$AC,服务费底表!$K:$K,服务费明细!$B250,服务费底表!$T:$T,BD$3)</f>
        <v>0</v>
      </c>
      <c r="BE250" s="166">
        <f>SUMIFS(服务费底表!$AC:$AC,服务费底表!$K:$K,服务费明细!$B250,服务费底表!$T:$T,BE$3)</f>
        <v>0</v>
      </c>
      <c r="BF250" s="166">
        <f>SUMIFS(服务费底表!$AC:$AC,服务费底表!$K:$K,服务费明细!$B250,服务费底表!$T:$T,BF$3)</f>
        <v>0</v>
      </c>
      <c r="BG250" s="166">
        <f>SUMIFS(服务费底表!$AC:$AC,服务费底表!$K:$K,服务费明细!$B250,服务费底表!$T:$T,BG$3)</f>
        <v>0</v>
      </c>
      <c r="BI250" s="388">
        <f>SUMIFS(服务费底表!$AC:$AC,服务费底表!$K:$K,服务费明细!$B250,服务费底表!$H:$H,服务费明细!BI$3)</f>
        <v>0</v>
      </c>
      <c r="BJ250" s="388">
        <f>SUMIFS(服务费底表!$AC:$AC,服务费底表!$K:$K,服务费明细!$B250,服务费底表!$H:$H,服务费明细!BJ$3)</f>
        <v>0</v>
      </c>
      <c r="BK250" s="388">
        <f>SUMIFS(服务费底表!$AC:$AC,服务费底表!$K:$K,服务费明细!$B250,服务费底表!$H:$H,服务费明细!BK$3)</f>
        <v>0</v>
      </c>
      <c r="BL250" s="388">
        <f>SUMIFS(服务费底表!$AC:$AC,服务费底表!$K:$K,服务费明细!$B250,服务费底表!$H:$H,服务费明细!BL$3)</f>
        <v>0</v>
      </c>
      <c r="BM250" s="388">
        <f>SUMIFS(服务费底表!$AC:$AC,服务费底表!$K:$K,服务费明细!$B250,服务费底表!$H:$H,服务费明细!BM$3)</f>
        <v>0</v>
      </c>
      <c r="BN250" s="388">
        <f>SUMIFS(服务费底表!$AC:$AC,服务费底表!$K:$K,服务费明细!$B250,服务费底表!$H:$H,服务费明细!BN$3)</f>
        <v>0</v>
      </c>
      <c r="BO250" s="388">
        <f>SUMIFS(服务费底表!$AC:$AC,服务费底表!$K:$K,服务费明细!$B250,服务费底表!$H:$H,服务费明细!BO$3)</f>
        <v>0</v>
      </c>
      <c r="BQ250" s="389">
        <f>SUMIFS(服务费底表!$AD:$AD,服务费底表!$K:$K,服务费明细!$B250,服务费底表!$H:$H,服务费明细!BQ$3)</f>
        <v>0</v>
      </c>
      <c r="BR250" s="389">
        <f>SUMIFS(服务费底表!$AD:$AD,服务费底表!$K:$K,服务费明细!$B250,服务费底表!$H:$H,服务费明细!BR$3)</f>
        <v>0</v>
      </c>
      <c r="BS250" s="389">
        <f>SUMIFS(服务费底表!$AD:$AD,服务费底表!$K:$K,服务费明细!$B250,服务费底表!$H:$H,服务费明细!BS$3)</f>
        <v>0</v>
      </c>
      <c r="BT250" s="389">
        <f>SUMIFS(服务费底表!$AD:$AD,服务费底表!$K:$K,服务费明细!$B250,服务费底表!$H:$H,服务费明细!BT$3)</f>
        <v>0</v>
      </c>
      <c r="BU250" s="389">
        <f>SUMIFS(服务费底表!$AD:$AD,服务费底表!$K:$K,服务费明细!$B250,服务费底表!$H:$H,服务费明细!BU$3)</f>
        <v>0</v>
      </c>
      <c r="BV250" s="389">
        <f>SUMIFS(服务费底表!$AD:$AD,服务费底表!$K:$K,服务费明细!$B250,服务费底表!$H:$H,服务费明细!BV$3)</f>
        <v>0</v>
      </c>
      <c r="BW250" s="389">
        <f>SUMIFS(服务费底表!$AD:$AD,服务费底表!$K:$K,服务费明细!$B250,服务费底表!$H:$H,服务费明细!BW$3)</f>
        <v>0</v>
      </c>
    </row>
    <row r="251" ht="16.8" customHeight="1" spans="2:75">
      <c r="B251" s="398" t="s">
        <v>1143</v>
      </c>
      <c r="C251" s="85"/>
      <c r="D251" s="370"/>
      <c r="E251" s="370"/>
      <c r="F251" s="85"/>
      <c r="G251" s="85"/>
      <c r="H251" s="85"/>
      <c r="I251" s="85"/>
      <c r="J251" s="85"/>
      <c r="K251" s="85"/>
      <c r="L251" s="85"/>
      <c r="M251" s="85"/>
      <c r="N251" s="85"/>
      <c r="O251" s="85"/>
      <c r="P251" s="85"/>
      <c r="Q251" s="85"/>
      <c r="R251" s="85"/>
      <c r="S251" s="85"/>
      <c r="T251" s="85"/>
      <c r="U251" s="85"/>
      <c r="V251" s="85"/>
      <c r="W251" s="85"/>
      <c r="X251" s="85"/>
      <c r="Y251" s="85"/>
      <c r="Z251" s="85"/>
      <c r="AA251" s="85"/>
      <c r="AB251" s="85"/>
      <c r="AC251" s="85"/>
      <c r="AD251" s="85"/>
      <c r="AE251" s="399"/>
      <c r="AF251" s="400">
        <f>ROUND(SUM(AF246,AF241,AF229,AF220,AF204,AF173,AF143,AF113,AF97,AF70,AF46,AF39,AF34,AF15,AF5),2)</f>
        <v>3348842</v>
      </c>
      <c r="AG251" s="400"/>
      <c r="AH251" s="400">
        <f>ROUND(SUM(AH246,AH241,AH229,AH220,AH204,AH173,AH143,AH113,AH97,AH70,AH46,AH39,AH34,AH15,AH5),2)</f>
        <v>3348842</v>
      </c>
      <c r="AI251" s="587"/>
      <c r="AK251" s="404">
        <f>SUM(AK246,AK241,AK229,AK220,AK204,AK173,AK143,AK113,AK97,AK70,AK46,AK39,AK34,AK15,AK5)</f>
        <v>7698.85</v>
      </c>
      <c r="AL251" s="405"/>
      <c r="AM251" s="588"/>
      <c r="AN251" s="588"/>
      <c r="AO251" s="588"/>
      <c r="AP251" s="588"/>
      <c r="AQ251" s="588"/>
      <c r="AR251" s="588"/>
      <c r="AS251" s="588"/>
      <c r="AT251" s="588"/>
      <c r="AU251" s="588"/>
      <c r="AV251" s="588"/>
      <c r="AW251" s="588"/>
      <c r="AX251" s="588"/>
      <c r="AY251" s="588"/>
      <c r="AZ251" s="588"/>
      <c r="BA251" s="588"/>
      <c r="BB251" s="588"/>
      <c r="BC251" s="588"/>
      <c r="BD251" s="588"/>
      <c r="BE251" s="588"/>
      <c r="BF251" s="588"/>
      <c r="BG251" s="588"/>
      <c r="BH251" s="588"/>
      <c r="BI251" s="589">
        <f t="shared" ref="BI251:BO251" si="510">SUM(BI246,BI241,BI229,BI220,BI204,BI173,BI143,BI113,BI97,BI70,BI46,BI39,BI34,BI15,BI5)</f>
        <v>930.95</v>
      </c>
      <c r="BJ251" s="590">
        <f t="shared" si="510"/>
        <v>4405.25</v>
      </c>
      <c r="BK251" s="590">
        <f t="shared" si="510"/>
        <v>788.7</v>
      </c>
      <c r="BL251" s="590">
        <f t="shared" si="510"/>
        <v>957.55</v>
      </c>
      <c r="BM251" s="590">
        <f t="shared" si="510"/>
        <v>341.75</v>
      </c>
      <c r="BN251" s="590">
        <f t="shared" si="510"/>
        <v>218.25</v>
      </c>
      <c r="BO251" s="590">
        <f t="shared" si="510"/>
        <v>0</v>
      </c>
      <c r="BQ251" s="401">
        <f t="shared" ref="BQ251:BW251" si="511">SUM(BQ246,BQ241,BQ229,BQ220,BQ204,BQ173,BQ143,BQ113,BQ97,BQ70,BQ46,BQ39,BQ34,BQ15,BQ5)</f>
        <v>601751.5</v>
      </c>
      <c r="BR251" s="401">
        <f t="shared" si="511"/>
        <v>1905045</v>
      </c>
      <c r="BS251" s="401">
        <f t="shared" si="511"/>
        <v>193399</v>
      </c>
      <c r="BT251" s="401">
        <f t="shared" si="511"/>
        <v>264462.5</v>
      </c>
      <c r="BU251" s="401">
        <f t="shared" si="511"/>
        <v>175875</v>
      </c>
      <c r="BV251" s="401">
        <f t="shared" si="511"/>
        <v>136995</v>
      </c>
      <c r="BW251" s="401">
        <f t="shared" si="511"/>
        <v>0</v>
      </c>
    </row>
    <row r="252" ht="16.8" customHeight="1" spans="2:75">
      <c r="B252" s="89" t="s">
        <v>934</v>
      </c>
      <c r="C252" s="406">
        <v>0.066</v>
      </c>
      <c r="D252" s="166"/>
      <c r="E252" s="166"/>
      <c r="F252" s="89"/>
      <c r="G252" s="89"/>
      <c r="H252" s="89"/>
      <c r="I252" s="89"/>
      <c r="J252" s="89"/>
      <c r="K252" s="89"/>
      <c r="L252" s="89"/>
      <c r="M252" s="89"/>
      <c r="N252" s="89"/>
      <c r="O252" s="89"/>
      <c r="P252" s="89"/>
      <c r="Q252" s="89"/>
      <c r="R252" s="89"/>
      <c r="S252" s="89"/>
      <c r="T252" s="89"/>
      <c r="U252" s="89"/>
      <c r="V252" s="89"/>
      <c r="W252" s="89"/>
      <c r="X252" s="89"/>
      <c r="Y252" s="89"/>
      <c r="Z252" s="89"/>
      <c r="AA252" s="89"/>
      <c r="AB252" s="89"/>
      <c r="AC252" s="89"/>
      <c r="AD252" s="89"/>
      <c r="AE252" s="407"/>
      <c r="AF252" s="386">
        <f>AF253-AF251</f>
        <v>221023.57</v>
      </c>
      <c r="AG252" s="386"/>
      <c r="AH252" s="407">
        <f>AH253-AH251</f>
        <v>221023.57</v>
      </c>
      <c r="AI252" s="409"/>
      <c r="BQ252" s="261"/>
      <c r="BR252" s="261"/>
      <c r="BS252" s="261"/>
      <c r="BT252" s="261"/>
      <c r="BU252" s="261"/>
      <c r="BV252" s="261"/>
      <c r="BW252" s="261"/>
    </row>
    <row r="253" ht="16.8" customHeight="1" spans="2:75">
      <c r="B253" s="398" t="s">
        <v>1144</v>
      </c>
      <c r="C253" s="85"/>
      <c r="D253" s="370"/>
      <c r="E253" s="370"/>
      <c r="F253" s="85"/>
      <c r="G253" s="85"/>
      <c r="H253" s="85"/>
      <c r="I253" s="85"/>
      <c r="J253" s="85"/>
      <c r="K253" s="85"/>
      <c r="L253" s="85"/>
      <c r="M253" s="85"/>
      <c r="N253" s="85"/>
      <c r="O253" s="85"/>
      <c r="P253" s="85"/>
      <c r="Q253" s="85"/>
      <c r="R253" s="85"/>
      <c r="S253" s="85"/>
      <c r="T253" s="85"/>
      <c r="U253" s="85"/>
      <c r="V253" s="85"/>
      <c r="W253" s="85"/>
      <c r="X253" s="85"/>
      <c r="Y253" s="85"/>
      <c r="Z253" s="85"/>
      <c r="AA253" s="85"/>
      <c r="AB253" s="85"/>
      <c r="AC253" s="85"/>
      <c r="AD253" s="85"/>
      <c r="AE253" s="399"/>
      <c r="AF253" s="400">
        <f>ROUND(AF251*(1+$C$252),2)</f>
        <v>3569865.57</v>
      </c>
      <c r="AG253" s="400"/>
      <c r="AH253" s="400">
        <f t="shared" ref="AH253" si="512">ROUND(AH251*(1+$C$252),2)</f>
        <v>3569865.57</v>
      </c>
      <c r="AI253" s="591"/>
      <c r="AL253" s="372"/>
      <c r="BQ253" s="261"/>
      <c r="BR253" s="261"/>
      <c r="BS253" s="261"/>
      <c r="BT253" s="261"/>
      <c r="BU253" s="261"/>
      <c r="BV253" s="261"/>
      <c r="BW253" s="261"/>
    </row>
    <row r="254" ht="16.35" spans="2:75">
      <c r="G254" s="592" t="s">
        <v>1145</v>
      </c>
    </row>
    <row r="255" ht="16.35" spans="2:75">
      <c r="G255" s="550" t="s">
        <v>595</v>
      </c>
      <c r="H255" s="550" t="s">
        <v>597</v>
      </c>
      <c r="I255" s="550" t="s">
        <v>599</v>
      </c>
      <c r="J255" s="550" t="s">
        <v>601</v>
      </c>
      <c r="K255" s="550" t="s">
        <v>603</v>
      </c>
      <c r="L255" s="550" t="s">
        <v>613</v>
      </c>
      <c r="M255" s="550" t="s">
        <v>615</v>
      </c>
      <c r="N255" s="550" t="s">
        <v>624</v>
      </c>
      <c r="O255" s="550" t="s">
        <v>620</v>
      </c>
      <c r="P255" s="550" t="s">
        <v>622</v>
      </c>
      <c r="Q255" s="550" t="s">
        <v>629</v>
      </c>
      <c r="R255" s="550" t="s">
        <v>631</v>
      </c>
      <c r="S255" s="550" t="s">
        <v>633</v>
      </c>
      <c r="T255" s="550" t="s">
        <v>635</v>
      </c>
      <c r="U255" s="550" t="s">
        <v>638</v>
      </c>
      <c r="V255" s="550" t="s">
        <v>639</v>
      </c>
      <c r="W255" s="550" t="s">
        <v>642</v>
      </c>
      <c r="X255" s="550" t="s">
        <v>652</v>
      </c>
      <c r="Y255" s="550" t="s">
        <v>654</v>
      </c>
      <c r="Z255" s="550" t="s">
        <v>645</v>
      </c>
      <c r="AA255" s="550" t="s">
        <v>647</v>
      </c>
      <c r="AB255" s="550" t="s">
        <v>649</v>
      </c>
      <c r="AC255" s="550" t="s">
        <v>947</v>
      </c>
      <c r="AE255" s="593" t="s">
        <v>1146</v>
      </c>
      <c r="AF255" s="594">
        <f>SUM(AF5:AF250)/2-AF251</f>
        <v>0</v>
      </c>
      <c r="AG255" s="594"/>
      <c r="AH255" s="595">
        <f>SUM(AH5:AH250)/2-AH251</f>
        <v>0</v>
      </c>
      <c r="AK255" s="596">
        <f>SUM(AK5:AK250)/2-AK251</f>
        <v>0</v>
      </c>
      <c r="AM255" s="597"/>
      <c r="AN255" s="597"/>
      <c r="AO255" s="597"/>
      <c r="AP255" s="597"/>
      <c r="AQ255" s="597"/>
      <c r="AR255" s="597"/>
      <c r="AS255" s="597"/>
      <c r="AT255" s="597"/>
      <c r="AU255" s="597"/>
      <c r="AV255" s="597"/>
      <c r="AW255" s="597"/>
      <c r="AX255" s="597"/>
      <c r="AY255" s="597"/>
      <c r="AZ255" s="597"/>
      <c r="BA255" s="597"/>
      <c r="BB255" s="597"/>
      <c r="BC255" s="597"/>
      <c r="BD255" s="597"/>
      <c r="BE255" s="597"/>
      <c r="BF255" s="597"/>
      <c r="BG255" s="597"/>
      <c r="BH255" s="597"/>
      <c r="BI255" s="598">
        <f t="shared" ref="BI255:BO255" si="513">SUM(BI5:BI250)/2-BI251</f>
        <v>3.99999999999989</v>
      </c>
      <c r="BJ255" s="599">
        <f t="shared" si="513"/>
        <v>0</v>
      </c>
      <c r="BK255" s="599">
        <f t="shared" si="513"/>
        <v>0</v>
      </c>
      <c r="BL255" s="599">
        <f t="shared" si="513"/>
        <v>0</v>
      </c>
      <c r="BM255" s="599">
        <f t="shared" si="513"/>
        <v>0</v>
      </c>
      <c r="BN255" s="599">
        <f t="shared" si="513"/>
        <v>0</v>
      </c>
      <c r="BO255" s="600">
        <f t="shared" si="513"/>
        <v>0</v>
      </c>
      <c r="BQ255" s="601">
        <f t="shared" ref="BQ255:BW255" si="514">SUM(BQ5:BQ250)/2-BQ251</f>
        <v>2600</v>
      </c>
      <c r="BR255" s="414">
        <f t="shared" si="514"/>
        <v>0</v>
      </c>
      <c r="BS255" s="414">
        <f t="shared" si="514"/>
        <v>0</v>
      </c>
      <c r="BT255" s="414">
        <f t="shared" si="514"/>
        <v>0</v>
      </c>
      <c r="BU255" s="414">
        <f t="shared" si="514"/>
        <v>0</v>
      </c>
      <c r="BV255" s="602">
        <f t="shared" si="514"/>
        <v>0</v>
      </c>
      <c r="BW255" s="602">
        <f t="shared" si="514"/>
        <v>0</v>
      </c>
    </row>
    <row r="256" ht="16.35" spans="2:75">
      <c r="G256" s="603">
        <f>SUM(G5,G15,G34,G39,G46,G70,G97,G113,G143,G173,G204,G220,G229,G241,G246)</f>
        <v>2739.5</v>
      </c>
      <c r="H256" s="603">
        <f t="shared" ref="H256:AB256" si="515">SUM(H5,H15,H34,H39,H46,H70,H97,H113,H143,H173,H204,H220,H229,H241,H246)</f>
        <v>281</v>
      </c>
      <c r="I256" s="603">
        <f t="shared" si="515"/>
        <v>1291.9</v>
      </c>
      <c r="J256" s="603">
        <f t="shared" si="515"/>
        <v>44.25</v>
      </c>
      <c r="K256" s="603">
        <f t="shared" si="515"/>
        <v>97</v>
      </c>
      <c r="L256" s="603">
        <f t="shared" si="515"/>
        <v>121.2</v>
      </c>
      <c r="M256" s="603">
        <f t="shared" si="515"/>
        <v>809.75</v>
      </c>
      <c r="N256" s="603">
        <f t="shared" si="515"/>
        <v>79.5</v>
      </c>
      <c r="O256" s="603">
        <f t="shared" si="515"/>
        <v>157.75</v>
      </c>
      <c r="P256" s="603">
        <f t="shared" si="515"/>
        <v>104.5</v>
      </c>
      <c r="Q256" s="603">
        <f t="shared" si="515"/>
        <v>108.35</v>
      </c>
      <c r="R256" s="603">
        <f t="shared" si="515"/>
        <v>525.2</v>
      </c>
      <c r="S256" s="603">
        <f t="shared" si="515"/>
        <v>155.15</v>
      </c>
      <c r="T256" s="603">
        <f t="shared" si="515"/>
        <v>712.1</v>
      </c>
      <c r="U256" s="603">
        <f t="shared" si="515"/>
        <v>49.2</v>
      </c>
      <c r="V256" s="603">
        <f t="shared" si="515"/>
        <v>184.25</v>
      </c>
      <c r="W256" s="603">
        <f t="shared" si="515"/>
        <v>12</v>
      </c>
      <c r="X256" s="603">
        <f t="shared" si="515"/>
        <v>131.5</v>
      </c>
      <c r="Y256" s="603">
        <f t="shared" si="515"/>
        <v>86.75</v>
      </c>
      <c r="Z256" s="603">
        <f t="shared" si="515"/>
        <v>0</v>
      </c>
      <c r="AA256" s="603">
        <f t="shared" si="515"/>
        <v>0</v>
      </c>
      <c r="AB256" s="603">
        <f t="shared" si="515"/>
        <v>0</v>
      </c>
      <c r="AC256" s="603">
        <f>SUM(G256:AB256)</f>
        <v>7690.85</v>
      </c>
      <c r="BQ256" s="601">
        <f>SUM($BQ$251:$BW$251)-$AF$251</f>
        <v>-71314</v>
      </c>
    </row>
  </sheetData>
  <autoFilter xmlns:etc="http://www.wps.cn/officeDocument/2017/etCustomData" ref="B3:AI256" etc:filterBottomFollowUsedRange="0">
    <extLst/>
  </autoFilter>
  <mergeCells count="2">
    <mergeCell ref="AC2:AD2"/>
    <mergeCell ref="AI102:AI103"/>
  </mergeCells>
  <conditionalFormatting sqref="D8">
    <cfRule type="cellIs" dxfId="76" priority="16" operator="equal">
      <formula>0</formula>
    </cfRule>
  </conditionalFormatting>
  <conditionalFormatting sqref="D16">
    <cfRule type="cellIs" dxfId="76" priority="1" operator="equal">
      <formula>0</formula>
    </cfRule>
  </conditionalFormatting>
  <conditionalFormatting sqref="D101">
    <cfRule type="cellIs" dxfId="76" priority="41" operator="equal">
      <formula>0</formula>
    </cfRule>
  </conditionalFormatting>
  <conditionalFormatting sqref="D117">
    <cfRule type="cellIs" dxfId="76" priority="30" operator="equal">
      <formula>0</formula>
    </cfRule>
  </conditionalFormatting>
  <conditionalFormatting sqref="D124">
    <cfRule type="cellIs" dxfId="76" priority="10" operator="equal">
      <formula>0</formula>
    </cfRule>
  </conditionalFormatting>
  <conditionalFormatting sqref="D125">
    <cfRule type="cellIs" dxfId="76" priority="8" operator="equal">
      <formula>0</formula>
    </cfRule>
  </conditionalFormatting>
  <conditionalFormatting sqref="D128">
    <cfRule type="cellIs" dxfId="76" priority="29" operator="equal">
      <formula>0</formula>
    </cfRule>
  </conditionalFormatting>
  <conditionalFormatting sqref="D129">
    <cfRule type="cellIs" dxfId="76" priority="9" operator="equal">
      <formula>0</formula>
    </cfRule>
  </conditionalFormatting>
  <conditionalFormatting sqref="D154">
    <cfRule type="cellIs" dxfId="76" priority="26" operator="equal">
      <formula>0</formula>
    </cfRule>
  </conditionalFormatting>
  <conditionalFormatting sqref="D155">
    <cfRule type="cellIs" dxfId="76" priority="25" operator="equal">
      <formula>0</formula>
    </cfRule>
  </conditionalFormatting>
  <conditionalFormatting sqref="D171">
    <cfRule type="cellIs" dxfId="76" priority="5" operator="equal">
      <formula>0</formula>
    </cfRule>
  </conditionalFormatting>
  <conditionalFormatting sqref="D172">
    <cfRule type="cellIs" dxfId="76" priority="4" operator="equal">
      <formula>0</formula>
    </cfRule>
  </conditionalFormatting>
  <conditionalFormatting sqref="D182">
    <cfRule type="cellIs" dxfId="76" priority="43" operator="equal">
      <formula>0</formula>
    </cfRule>
  </conditionalFormatting>
  <conditionalFormatting sqref="D186">
    <cfRule type="cellIs" dxfId="76" priority="13" operator="equal">
      <formula>0</formula>
    </cfRule>
  </conditionalFormatting>
  <conditionalFormatting sqref="D187">
    <cfRule type="cellIs" dxfId="76" priority="40" operator="equal">
      <formula>0</formula>
    </cfRule>
  </conditionalFormatting>
  <conditionalFormatting sqref="D223">
    <cfRule type="cellIs" dxfId="76" priority="19" operator="equal">
      <formula>0</formula>
    </cfRule>
  </conditionalFormatting>
  <conditionalFormatting sqref="D225">
    <cfRule type="cellIs" dxfId="76" priority="20" operator="equal">
      <formula>0</formula>
    </cfRule>
  </conditionalFormatting>
  <conditionalFormatting sqref="D226">
    <cfRule type="cellIs" dxfId="76" priority="21" operator="equal">
      <formula>0</formula>
    </cfRule>
  </conditionalFormatting>
  <conditionalFormatting sqref="D227">
    <cfRule type="cellIs" dxfId="76" priority="18" operator="equal">
      <formula>0</formula>
    </cfRule>
  </conditionalFormatting>
  <conditionalFormatting sqref="D133:D134">
    <cfRule type="cellIs" dxfId="76" priority="2" operator="equal">
      <formula>0</formula>
    </cfRule>
  </conditionalFormatting>
  <conditionalFormatting sqref="D188:D190">
    <cfRule type="cellIs" dxfId="76" priority="6" operator="equal">
      <formula>0</formula>
    </cfRule>
  </conditionalFormatting>
  <conditionalFormatting sqref="D1:D7 D9:D15 D17:D100 D102:D116 D118:D123 D126:D127 D130:D132 D135:D153 D156:D170 D173:D181 D183:D185 D191:D222 D224 D228:D1048576">
    <cfRule type="cellIs" dxfId="76" priority="45" operator="equal">
      <formula>0</formula>
    </cfRule>
  </conditionalFormatting>
  <conditionalFormatting sqref="CG140 CQ140 DA140 DK140 DU140 EE140 EO140 EY140 FI140 FS140 GC140 GM140 GW140 HG140 HQ140 IA140 IK140 IU140 JE140 JO140 JY140 KI140 KS140 LC140 LM140 LW140 MG140 MQ140 NA140 NK140 NU140 OE140 OO140 OY140 PI140 PS140 QC140 QM140 QW140 RG140 RQ140 SA140 SK140 SU140 TE140 TO140 TY140 UI140 US140 VC140 VM140 VW140 WG140 WQ140 XA140 XK140 XU140 YE140 YO140 YY140 ZI140 ZS140 AAC140 AAM140 AAW140 ABG140 ABQ140 ACA140 ACK140 ACU140 ADE140 ADO140 ADY140 AEI140 AES140 AFC140 AFM140 AFW140 AGG140 AGQ140 AHA140 AHK140 AHU140 AIE140 AIO140 AIY140 AJI140 AJS140 AKC140 AKM140 AKW140 ALG140 ALQ140 AMA140 AMK140 AMU140 ANE140 ANO140 ANY140 AOI140 AOS140 APC140 APM140 APW140 AQG140 AQQ140 ARA140 ARK140 ARU140 ASE140 ASO140 ASY140 ATI140 ATS140 AUC140 AUM140 AUW140 AVG140 AVQ140 AWA140 AWK140 AWU140 AXE140 AXO140 AXY140 AYI140 AYS140 AZC140 AZM140 AZW140 BAG140 BAQ140 BBA140 BBK140 BBU140 BCE140 BCO140 BCY140 BDI140 BDS140 BEC140 BEM140 BEW140 BFG140 BFQ140 BGA140 BGK140 BGU140 BHE140 BHO140 BHY140 BII140 BIS140 BJC140 BJM140 BJW140 BKG140 BKQ140 BLA140 BLK140 BLU140 BME140 BMO140 BMY140 BNI140 BNS140 BOC140 BOM140 BOW140 BPG140 BPQ140 BQA140 BQK140 BQU140 BRE140 BRO140 BRY140 BSI140 BSS140 BTC140 BTM140 BTW140 BUG140 BUQ140 BVA140 BVK140 BVU140 BWE140 BWO140 BWY140 BXI140 BXS140 BYC140 BYM140 BYW140 BZG140 BZQ140 CAA140 CAK140 CAU140 CBE140 CBO140 CBY140 CCI140 CCS140 CDC140 CDM140 CDW140 CEG140 CEQ140 CFA140 CFK140 CFU140 CGE140 CGO140 CGY140 CHI140 CHS140 CIC140 CIM140 CIW140 CJG140 CJQ140 CKA140 CKK140 CKU140 CLE140 CLO140 CLY140 CMI140 CMS140 CNC140 CNM140 CNW140 COG140 COQ140 CPA140 CPK140 CPU140 CQE140 CQO140 CQY140 CRI140 CRS140 CSC140 CSM140 CSW140 CTG140 CTQ140 CUA140 CUK140 CUU140 CVE140 CVO140 CVY140 CWI140 CWS140 CXC140 CXM140 CXW140 CYG140 CYQ140 CZA140 CZK140 CZU140 DAE140 DAO140 DAY140 DBI140 DBS140 DCC140 DCM140 DCW140 DDG140 DDQ140 DEA140 DEK140 DEU140 DFE140 DFO140 DFY140 DGI140 DGS140 DHC140 DHM140 DHW140 DIG140 DIQ140 DJA140 DJK140 DJU140 DKE140 DKO140 DKY140 DLI140 DLS140 DMC140 DMM140 DMW140 DNG140 DNQ140 DOA140 DOK140 DOU140 DPE140 DPO140 DPY140 DQI140 DQS140 DRC140 DRM140 DRW140 DSG140 DSQ140 DTA140 DTK140 DTU140 DUE140 DUO140 DUY140 DVI140 DVS140 DWC140 DWM140 DWW140 DXG140 DXQ140 DYA140 DYK140 DYU140 DZE140 DZO140 DZY140 EAI140 EAS140 EBC140 EBM140 EBW140 ECG140 ECQ140 EDA140 EDK140 EDU140 EEE140 EEO140 EEY140 EFI140 EFS140 EGC140 EGM140 EGW140 EHG140 EHQ140 EIA140 EIK140 EIU140 EJE140 EJO140 EJY140 EKI140 EKS140 ELC140 ELM140 ELW140 EMG140 EMQ140 ENA140 ENK140 ENU140 EOE140 EOO140 EOY140 EPI140 EPS140 EQC140 EQM140 EQW140 ERG140 ERQ140 ESA140 ESK140 ESU140 ETE140 ETO140 ETY140 EUI140 EUS140 EVC140 EVM140 EVW140 EWG140 EWQ140 EXA140 EXK140 EXU140 EYE140 EYO140 EYY140 EZI140 EZS140 FAC140 FAM140 FAW140 FBG140 FBQ140 FCA140 FCK140 FCU140 FDE140 FDO140 FDY140 FEI140 FES140 FFC140 FFM140 FFW140 FGG140 FGQ140 FHA140 FHK140 FHU140 FIE140 FIO140 FIY140 FJI140 FJS140 FKC140 FKM140 FKW140 FLG140 FLQ140 FMA140 FMK140 FMU140 FNE140 FNO140 FNY140 FOI140 FOS140 FPC140 FPM140 FPW140 FQG140 FQQ140 FRA140 FRK140 FRU140 FSE140 FSO140 FSY140 FTI140 FTS140 FUC140 FUM140 FUW140 FVG140 FVQ140 FWA140 FWK140 FWU140 FXE140 FXO140 FXY140 FYI140 FYS140 FZC140 FZM140 FZW140 GAG140 GAQ140 GBA140 GBK140 GBU140 GCE140 GCO140 GCY140 GDI140 GDS140 GEC140 GEM140 GEW140 GFG140 GFQ140 GGA140 GGK140 GGU140 GHE140 GHO140 GHY140 GII140 GIS140 GJC140 GJM140 GJW140 GKG140 GKQ140 GLA140 GLK140 GLU140 GME140 GMO140 GMY140 GNI140 GNS140 GOC140 GOM140 GOW140 GPG140 GPQ140 GQA140 GQK140 GQU140 GRE140 GRO140 GRY140 GSI140 GSS140 GTC140 GTM140 GTW140 GUG140 GUQ140 GVA140 GVK140 GVU140 GWE140 GWO140 GWY140 GXI140 GXS140 GYC140 GYM140 GYW140 GZG140 GZQ140 HAA140 HAK140 HAU140 HBE140 HBO140 HBY140 HCI140 HCS140 HDC140 HDM140 HDW140 HEG140 HEQ140 HFA140 HFK140 HFU140 HGE140 HGO140 HGY140 HHI140 HHS140 HIC140 HIM140 HIW140 HJG140 HJQ140 HKA140 HKK140 HKU140 HLE140 HLO140 HLY140 HMI140 HMS140 HNC140 HNM140 HNW140 HOG140 HOQ140 HPA140 HPK140 HPU140 HQE140 HQO140 HQY140 HRI140 HRS140 HSC140 HSM140 HSW140 HTG140 HTQ140 HUA140 HUK140 HUU140 HVE140 HVO140 HVY140 HWI140 HWS140 HXC140 HXM140 HXW140 HYG140 HYQ140 HZA140 HZK140 HZU140 IAE140 IAO140 IAY140 IBI140 IBS140 ICC140 ICM140 ICW140 IDG140 IDQ140 IEA140 IEK140 IEU140 IFE140 IFO140 IFY140 IGI140 IGS140 IHC140 IHM140 IHW140 IIG140 IIQ140 IJA140 IJK140 IJU140 IKE140 IKO140 IKY140 ILI140 ILS140 IMC140 IMM140 IMW140 ING140 INQ140 IOA140 IOK140 IOU140 IPE140 IPO140 IPY140 IQI140 IQS140 IRC140 IRM140 IRW140 ISG140 ISQ140 ITA140 ITK140 ITU140 IUE140 IUO140 IUY140 IVI140 IVS140 IWC140 IWM140 IWW140 IXG140 IXQ140 IYA140 IYK140 IYU140 IZE140 IZO140 IZY140 JAI140 JAS140 JBC140 JBM140 JBW140 JCG140 JCQ140 JDA140 JDK140 JDU140 JEE140 JEO140 JEY140 JFI140 JFS140 JGC140 JGM140 JGW140 JHG140 JHQ140 JIA140 JIK140 JIU140 JJE140 JJO140 JJY140 JKI140 JKS140 JLC140 JLM140 JLW140 JMG140 JMQ140 JNA140 JNK140 JNU140 JOE140 JOO140 JOY140 JPI140 JPS140 JQC140 JQM140 JQW140 JRG140 JRQ140 JSA140 JSK140 JSU140 JTE140 JTO140 JTY140 JUI140 JUS140 JVC140 JVM140 JVW140 JWG140 JWQ140 JXA140 JXK140 JXU140 JYE140 JYO140 JYY140 JZI140 JZS140 KAC140 KAM140 KAW140 KBG140 KBQ140 KCA140 KCK140 KCU140 KDE140 KDO140 KDY140 KEI140 KES140 KFC140 KFM140 KFW140 KGG140 KGQ140 KHA140 KHK140 KHU140 KIE140 KIO140 KIY140 KJI140 KJS140 KKC140 KKM140 KKW140 KLG140 KLQ140 KMA140 KMK140 KMU140 KNE140 KNO140 KNY140 KOI140 KOS140 KPC140 KPM140 KPW140 KQG140 KQQ140 KRA140 KRK140 KRU140 KSE140 KSO140 KSY140 KTI140 KTS140 KUC140 KUM140 KUW140 KVG140 KVQ140 KWA140 KWK140 KWU140 KXE140 KXO140 KXY140 KYI140 KYS140 KZC140 KZM140 KZW140 LAG140 LAQ140 LBA140 LBK140 LBU140 LCE140 LCO140 LCY140 LDI140 LDS140 LEC140 LEM140 LEW140 LFG140 LFQ140 LGA140 LGK140 LGU140 LHE140 LHO140 LHY140 LII140 LIS140 LJC140 LJM140 LJW140 LKG140 LKQ140 LLA140 LLK140 LLU140 LME140 LMO140 LMY140 LNI140 LNS140 LOC140 LOM140 LOW140 LPG140 LPQ140 LQA140 LQK140 LQU140 LRE140 LRO140 LRY140 LSI140 LSS140 LTC140 LTM140 LTW140 LUG140 LUQ140 LVA140 LVK140 LVU140 LWE140 LWO140 LWY140 LXI140 LXS140 LYC140 LYM140 LYW140 LZG140 LZQ140 MAA140 MAK140 MAU140 MBE140 MBO140 MBY140 MCI140 MCS140 MDC140 MDM140 MDW140 MEG140 MEQ140 MFA140 MFK140 MFU140 MGE140 MGO140 MGY140 MHI140 MHS140 MIC140 MIM140 MIW140 MJG140 MJQ140 MKA140 MKK140 MKU140 MLE140 MLO140 MLY140 MMI140 MMS140 MNC140 MNM140 MNW140 MOG140 MOQ140 MPA140 MPK140 MPU140 MQE140 MQO140 MQY140 MRI140 MRS140 MSC140 MSM140 MSW140 MTG140 MTQ140 MUA140 MUK140 MUU140 MVE140 MVO140 MVY140 MWI140 MWS140 MXC140 MXM140 MXW140 MYG140 MYQ140 MZA140 MZK140 MZU140 NAE140 NAO140 NAY140 NBI140 NBS140 NCC140 NCM140 NCW140 NDG140 NDQ140 NEA140 NEK140 NEU140 NFE140 NFO140 NFY140 NGI140 NGS140 NHC140 NHM140 NHW140 NIG140 NIQ140 NJA140 NJK140 NJU140 NKE140 NKO140 NKY140 NLI140 NLS140 NMC140 NMM140 NMW140 NNG140 NNQ140 NOA140 NOK140 NOU140 NPE140 NPO140 NPY140 NQI140 NQS140 NRC140 NRM140 NRW140 NSG140 NSQ140 NTA140 NTK140 NTU140 NUE140 NUO140 NUY140 NVI140 NVS140 NWC140 NWM140 NWW140 NXG140 NXQ140 NYA140 NYK140 NYU140 NZE140 NZO140 NZY140 OAI140 OAS140 OBC140 OBM140 OBW140 OCG140 OCQ140 ODA140 ODK140 ODU140 OEE140 OEO140 OEY140 OFI140 OFS140 OGC140 OGM140 OGW140 OHG140 OHQ140 OIA140 OIK140 OIU140 OJE140 OJO140 OJY140 OKI140 OKS140 OLC140 OLM140 OLW140 OMG140 OMQ140 ONA140 ONK140 ONU140 OOE140 OOO140 OOY140 OPI140 OPS140 OQC140 OQM140 OQW140 ORG140 ORQ140 OSA140 OSK140 OSU140 OTE140 OTO140 OTY140 OUI140 OUS140 OVC140 OVM140 OVW140 OWG140 OWQ140 OXA140 OXK140 OXU140 OYE140 OYO140 OYY140 OZI140 OZS140 PAC140 PAM140 PAW140 PBG140 PBQ140 PCA140 PCK140 PCU140 PDE140 PDO140 PDY140 PEI140 PES140 PFC140 PFM140 PFW140 PGG140 PGQ140 PHA140 PHK140 PHU140 PIE140 PIO140 PIY140 PJI140 PJS140 PKC140 PKM140 PKW140 PLG140 PLQ140 PMA140 PMK140 PMU140 PNE140 PNO140 PNY140 POI140 POS140 PPC140 PPM140 PPW140 PQG140 PQQ140 PRA140 PRK140 PRU140 PSE140 PSO140 PSY140 PTI140 PTS140 PUC140 PUM140 PUW140 PVG140 PVQ140 PWA140 PWK140 PWU140 PXE140 PXO140 PXY140 PYI140 PYS140 PZC140 PZM140 PZW140 QAG140 QAQ140 QBA140 QBK140 QBU140 QCE140 QCO140 QCY140 QDI140 QDS140 QEC140 QEM140 QEW140 QFG140 QFQ140 QGA140 QGK140 QGU140 QHE140 QHO140 QHY140 QII140 QIS140 QJC140 QJM140 QJW140 QKG140 QKQ140 QLA140 QLK140 QLU140 QME140 QMO140 QMY140 QNI140 QNS140 QOC140 QOM140 QOW140 QPG140 QPQ140 QQA140 QQK140 QQU140 QRE140 QRO140 QRY140 QSI140 QSS140 QTC140 QTM140 QTW140 QUG140 QUQ140 QVA140 QVK140 QVU140 QWE140 QWO140 QWY140 QXI140 QXS140 QYC140 QYM140 QYW140 QZG140 QZQ140 RAA140 RAK140 RAU140 RBE140 RBO140 RBY140 RCI140 RCS140 RDC140 RDM140 RDW140 REG140 REQ140 RFA140 RFK140 RFU140 RGE140 RGO140 RGY140 RHI140 RHS140 RIC140 RIM140 RIW140 RJG140 RJQ140 RKA140 RKK140 RKU140 RLE140 RLO140 RLY140 RMI140 RMS140 RNC140 RNM140 RNW140 ROG140 ROQ140 RPA140 RPK140 RPU140 RQE140 RQO140 RQY140 RRI140 RRS140 RSC140 RSM140 RSW140 RTG140 RTQ140 RUA140 RUK140 RUU140 RVE140 RVO140 RVY140 RWI140 RWS140 RXC140 RXM140 RXW140 RYG140 RYQ140 RZA140 RZK140 RZU140 SAE140 SAO140 SAY140 SBI140 SBS140 SCC140 SCM140 SCW140 SDG140 SDQ140 SEA140 SEK140 SEU140 SFE140 SFO140 SFY140 SGI140 SGS140 SHC140 SHM140 SHW140 SIG140 SIQ140 SJA140 SJK140 SJU140 SKE140 SKO140 SKY140 SLI140 SLS140 SMC140 SMM140 SMW140 SNG140 SNQ140 SOA140 SOK140 SOU140 SPE140 SPO140 SPY140 SQI140 SQS140 SRC140 SRM140 SRW140 SSG140 SSQ140 STA140 STK140 STU140 SUE140 SUO140 SUY140 SVI140 SVS140 SWC140 SWM140 SWW140 SXG140 SXQ140 SYA140 SYK140 SYU140 SZE140 SZO140 SZY140 TAI140 TAS140 TBC140 TBM140 TBW140 TCG140 TCQ140 TDA140 TDK140 TDU140 TEE140 TEO140 TEY140 TFI140 TFS140 TGC140 TGM140 TGW140 THG140 THQ140 TIA140 TIK140 TIU140 TJE140 TJO140 TJY140 TKI140 TKS140 TLC140 TLM140 TLW140 TMG140 TMQ140 TNA140 TNK140 TNU140 TOE140 TOO140 TOY140 TPI140 TPS140 TQC140 TQM140 TQW140 TRG140 TRQ140 TSA140 TSK140 TSU140 TTE140 TTO140 TTY140 TUI140 TUS140 TVC140 TVM140 TVW140 TWG140 TWQ140 TXA140 TXK140 TXU140 TYE140 TYO140 TYY140 TZI140 TZS140 UAC140 UAM140 UAW140 UBG140 UBQ140 UCA140 UCK140 UCU140 UDE140 UDO140 UDY140 UEI140 UES140 UFC140 UFM140 UFW140 UGG140 UGQ140 UHA140 UHK140 UHU140 UIE140 UIO140 UIY140 UJI140 UJS140 UKC140 UKM140 UKW140 ULG140 ULQ140 UMA140 UMK140 UMU140 UNE140 UNO140 UNY140 UOI140 UOS140 UPC140 UPM140 UPW140 UQG140 UQQ140 URA140 URK140 URU140 USE140 USO140 USY140 UTI140 UTS140 UUC140 UUM140 UUW140 UVG140 UVQ140 UWA140 UWK140 UWU140 UXE140 UXO140 UXY140 UYI140 UYS140 UZC140 UZM140 UZW140 VAG140 VAQ140 VBA140 VBK140 VBU140 VCE140 VCO140 VCY140 VDI140 VDS140 VEC140 VEM140 VEW140 VFG140 VFQ140 VGA140 VGK140 VGU140 VHE140 VHO140 VHY140 VII140 VIS140 VJC140 VJM140 VJW140 VKG140 VKQ140 VLA140 VLK140 VLU140 VME140 VMO140 VMY140 VNI140 VNS140 VOC140 VOM140 VOW140 VPG140 VPQ140 VQA140 VQK140 VQU140 VRE140 VRO140 VRY140 VSI140 VSS140 VTC140 VTM140 VTW140 VUG140 VUQ140 VVA140 VVK140 VVU140 VWE140 VWO140 VWY140 VXI140 VXS140 VYC140 VYM140 VYW140 VZG140 VZQ140 WAA140 WAK140 WAU140 WBE140 WBO140 WBY140 WCI140 WCS140 WDC140 WDM140 WDW140 WEG140 WEQ140 WFA140 WFK140 WFU140 WGE140 WGO140 WGY140 WHI140 WHS140 WIC140 WIM140 WIW140 WJG140 WJQ140 WKA140 WKK140 WKU140 WLE140 WLO140 WLY140 WMI140 WMS140 WNC140 WNM140 WNW140 WOG140 WOQ140 WPA140 WPK140 WPU140 WQE140 WQO140 WQY140 WRI140 WRS140 WSC140 WSM140 WSW140 WTG140 WTQ140 WUA140 WUK140 WUU140 WVE140 WVO140 WVY140 WWI140 WWS140 WXC140 WXM140 WXW140 WYG140 WYQ140 WZA140 WZK140 WZU140 XAE140 XAO140 XAY140 XBI140 XBS140 XCC140 XCM140 XCW140 XDG140 XDQ140 XEA140 XEK140 XEU140">
    <cfRule type="cellIs" dxfId="76" priority="59" operator="equal">
      <formula>0</formula>
    </cfRule>
  </conditionalFormatting>
  <dataValidations count="4">
    <dataValidation type="list" allowBlank="1" showInputMessage="1" showErrorMessage="1" sqref="AI40 AI43">
      <formula1>"线上,线下"</formula1>
    </dataValidation>
    <dataValidation type="list" allowBlank="1" showInputMessage="1" showErrorMessage="1" sqref="AI41 AI44:AI45">
      <formula1>"线下,线上"</formula1>
    </dataValidation>
    <dataValidation type="list" allowBlank="1" showInputMessage="1" showErrorMessage="1" sqref="D148 D5:D147 D149:D150 D151:D250">
      <formula1>"1,0"</formula1>
    </dataValidation>
    <dataValidation type="list" allowBlank="1" showInputMessage="1" showErrorMessage="1" sqref="A5:A253">
      <formula1>"Hide"</formula1>
    </dataValidation>
  </dataValidations>
  <pageMargins left="0.708661417322835" right="0.708661417322835" top="0.748031496062992" bottom="0.748031496062992" header="0.31496062992126" footer="0.31496062992126"/>
  <pageSetup paperSize="9" scale="47" fitToHeight="0" orientation="portrait" horizontalDpi="1200" verticalDpi="1200"/>
  <headerFooter>
    <oddFooter>&amp;C&amp;"微软雅黑,常规"&amp;9本文档中的所有内容为上海有临医药科技有限公司的机密和专属所有，未经明确书面许可， 任何组织或个人不得以任何目的、任何形式及任何手段复制或传播本文档部分或全部内容。</oddFooter>
  </headerFooter>
  <rowBreaks count="2" manualBreakCount="2">
    <brk id="142" max="34" man="1"/>
    <brk id="172" max="34" man="1"/>
  </rowBreaks>
  <colBreaks count="1" manualBreakCount="1">
    <brk id="37" max="251" man="1"/>
  </colBreaks>
  <ignoredErrors>
    <ignoredError sqref="AF112:AH142 AF144:AH253 AG143 AF52:AH109 E211 G246:AC246 G241:AB241 G229:AB229 G220:AB220 G204:AB204 G173:AB173 G143:AB143 G113:AB113 G97:AB97 G70:AB70 G46:AB46 G39:AB39 G34:AB34 G15:AB15 AF20:AH24 E167 E243 E146 D50 D60 E83 E39 E37 D38:E38 D28:E33 E27 D121 E34:E35 D137 E169 E119 AF27:AH50 AF15:AH15 E19 D43:E44 E42 D40:E41" formula="1"/>
  </ignoredError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7" tint="0.799798577837458"/>
  </sheetPr>
  <dimension ref="A1:AZ748"/>
  <sheetViews>
    <sheetView zoomScale="55" zoomScaleNormal="55" topLeftCell="N1" workbookViewId="0">
      <pane ySplit="2" topLeftCell="A730" activePane="bottomLeft" state="frozenSplit"/>
      <selection/>
      <selection pane="bottomLeft" activeCell="AJ741" sqref="AJ741:AJ743"/>
    </sheetView>
  </sheetViews>
  <sheetFormatPr defaultColWidth="8.88888888888889" defaultRowHeight="15.6"/>
  <cols>
    <col min="1" max="1" width="8.88888888888889" style="128" customWidth="1" outlineLevel="1"/>
    <col min="2" max="2" width="10.5555555555556" style="156" customWidth="1" outlineLevel="1"/>
    <col min="3" max="3" width="11.1111111111111" style="156" customWidth="1" outlineLevel="1"/>
    <col min="4" max="5" width="10.6666666666667" style="156" customWidth="1" outlineLevel="1"/>
    <col min="6" max="6" width="7.88888888888889" style="128" customWidth="1" outlineLevel="1"/>
    <col min="7" max="7" width="10.6666666666667" style="128" customWidth="1" outlineLevel="1"/>
    <col min="8" max="8" width="12.3333333333333" style="154" customWidth="1"/>
    <col min="9" max="9" width="8.66666666666667" style="128" customWidth="1" outlineLevel="1"/>
    <col min="10" max="10" width="19.3333333333333" style="128" customWidth="1" outlineLevel="1"/>
    <col min="11" max="11" width="8.77777777777778" style="128" customWidth="1"/>
    <col min="12" max="12" width="34.1296296296296" style="128" customWidth="1"/>
    <col min="13" max="13" width="8.33333333333333" style="128" customWidth="1" outlineLevel="1"/>
    <col min="14" max="14" width="31.7777777777778" style="128" customWidth="1"/>
    <col min="15" max="15" width="12.5555555555556" style="128" customWidth="1" outlineLevel="1"/>
    <col min="16" max="16" width="10.7777777777778" style="156" customWidth="1"/>
    <col min="17" max="17" width="9.22222222222222" style="128" customWidth="1"/>
    <col min="18" max="18" width="9.88888888888889" style="501" customWidth="1"/>
    <col min="19" max="19" width="13.5555555555556" style="128" customWidth="1"/>
    <col min="20" max="20" width="9.77777777777778" style="128" customWidth="1"/>
    <col min="21" max="21" width="13.5555555555556" style="128" hidden="1" customWidth="1" outlineLevel="1"/>
    <col min="22" max="24" width="14.1111111111111" style="156" hidden="1" customWidth="1" outlineLevel="1"/>
    <col min="25" max="25" width="13.2222222222222" style="156" customWidth="1" collapsed="1"/>
    <col min="26" max="26" width="13.2222222222222" style="156" customWidth="1"/>
    <col min="27" max="27" width="13.7777777777778" style="313" customWidth="1"/>
    <col min="28" max="28" width="10.3333333333333" style="314" customWidth="1" outlineLevel="1"/>
    <col min="29" max="29" width="11.7777777777778" style="128" customWidth="1" outlineLevel="1"/>
    <col min="30" max="30" width="15.5555555555556" style="128" customWidth="1" outlineLevel="1"/>
    <col min="31" max="31" width="16.1111111111111" style="128" customWidth="1" outlineLevel="1"/>
    <col min="32" max="32" width="14.2222222222222" style="128" customWidth="1" outlineLevel="1"/>
    <col min="33" max="33" width="16.2222222222222" style="128" customWidth="1" outlineLevel="1"/>
    <col min="34" max="34" width="6.01851851851852" style="128" customWidth="1"/>
    <col min="35" max="35" width="7.33333333333333" style="128" customWidth="1" outlineLevel="1"/>
    <col min="36" max="36" width="13.6481481481481" style="156" customWidth="1" outlineLevel="1"/>
    <col min="37" max="37" width="12.6944444444444" style="156" customWidth="1" outlineLevel="1"/>
    <col min="38" max="39" width="13.1111111111111" style="156" customWidth="1" outlineLevel="1"/>
    <col min="40" max="40" width="11.5833333333333" style="156" customWidth="1" outlineLevel="1"/>
    <col min="41" max="41" width="11.2685185185185" style="156" customWidth="1" outlineLevel="1"/>
    <col min="42" max="42" width="13.6666666666667" style="156" customWidth="1" outlineLevel="1"/>
    <col min="43" max="43" width="12.212962962963" style="156" customWidth="1" outlineLevel="1"/>
    <col min="44" max="44" width="36.6666666666667" style="128" customWidth="1" outlineLevel="1"/>
    <col min="45" max="45" width="13.1666666666667" style="156" customWidth="1" outlineLevel="1"/>
    <col min="46" max="46" width="12.5277777777778" style="156" customWidth="1" outlineLevel="1"/>
    <col min="47" max="47" width="12.8425925925926" style="156" customWidth="1" outlineLevel="1"/>
    <col min="48" max="49" width="8.88888888888889" style="128" customWidth="1" outlineLevel="1"/>
    <col min="50" max="50" width="13.7777777777778" style="313" customWidth="1" outlineLevel="1"/>
    <col min="51" max="51" width="8.88888888888889" style="128" customWidth="1" outlineLevel="1"/>
    <col min="52" max="52" width="8.88888888888889" style="128" outlineLevel="1"/>
    <col min="53" max="16384" width="8.88888888888889" style="128"/>
  </cols>
  <sheetData>
    <row r="1" s="154" customFormat="1" spans="1:52">
      <c r="B1" s="158"/>
      <c r="C1" s="158"/>
      <c r="D1" s="158"/>
      <c r="E1" s="158"/>
      <c r="P1" s="158"/>
      <c r="R1" s="501"/>
      <c r="T1" s="157"/>
      <c r="V1" s="158" t="s">
        <v>1147</v>
      </c>
      <c r="W1" s="502">
        <v>0</v>
      </c>
      <c r="X1" s="158">
        <v>1</v>
      </c>
      <c r="Y1" s="158"/>
      <c r="Z1" s="158"/>
      <c r="AA1" s="315"/>
      <c r="AB1" s="316"/>
      <c r="AC1" s="316">
        <f>SUBTOTAL(9,AC3:AC963)</f>
        <v>7698.85</v>
      </c>
      <c r="AD1" s="316">
        <f>SUBTOTAL(9,AD3:AD963)</f>
        <v>3348842</v>
      </c>
      <c r="AE1" s="316"/>
      <c r="AF1" s="316">
        <f>SUBTOTAL(9,AF3:AF963)</f>
        <v>0</v>
      </c>
      <c r="AG1" s="316">
        <f>SUBTOTAL(9,AG3:AG963)</f>
        <v>3348842</v>
      </c>
      <c r="AI1" s="157"/>
      <c r="AJ1" s="158"/>
      <c r="AK1" s="158"/>
      <c r="AL1" s="158"/>
      <c r="AM1" s="158"/>
      <c r="AN1" s="158"/>
      <c r="AO1" s="158"/>
      <c r="AP1" s="158"/>
      <c r="AQ1" s="501">
        <v>1.5</v>
      </c>
      <c r="AS1" s="503">
        <f>SUBTOTAL(9,AS3:AS963)</f>
        <v>7577.85</v>
      </c>
      <c r="AT1" s="503">
        <f>SUBTOTAL(9,AT3:AT963)</f>
        <v>7577.85</v>
      </c>
      <c r="AU1" s="503">
        <f>SUBTOTAL(9,AU3:AU963)</f>
        <v>4414.01</v>
      </c>
      <c r="AX1" s="315"/>
    </row>
    <row r="2" s="155" customFormat="1" ht="36.6" customHeight="1" spans="1:52">
      <c r="A2" s="504" t="s">
        <v>1148</v>
      </c>
      <c r="B2" s="504" t="s">
        <v>1149</v>
      </c>
      <c r="C2" s="504" t="s">
        <v>1150</v>
      </c>
      <c r="D2" s="504" t="s">
        <v>1151</v>
      </c>
      <c r="E2" s="504" t="s">
        <v>1152</v>
      </c>
      <c r="F2" s="504" t="s">
        <v>1153</v>
      </c>
      <c r="G2" s="505" t="s">
        <v>679</v>
      </c>
      <c r="H2" s="506" t="s">
        <v>1154</v>
      </c>
      <c r="I2" s="507" t="s">
        <v>1155</v>
      </c>
      <c r="J2" s="507" t="s">
        <v>1156</v>
      </c>
      <c r="K2" s="507" t="s">
        <v>88</v>
      </c>
      <c r="L2" s="507" t="s">
        <v>1157</v>
      </c>
      <c r="M2" s="507" t="s">
        <v>1158</v>
      </c>
      <c r="N2" s="507" t="s">
        <v>1159</v>
      </c>
      <c r="O2" s="508" t="s">
        <v>747</v>
      </c>
      <c r="P2" s="509" t="s">
        <v>1160</v>
      </c>
      <c r="Q2" s="509" t="s">
        <v>970</v>
      </c>
      <c r="R2" s="510" t="s">
        <v>740</v>
      </c>
      <c r="S2" s="511" t="s">
        <v>589</v>
      </c>
      <c r="T2" s="509" t="s">
        <v>1161</v>
      </c>
      <c r="U2" s="512" t="s">
        <v>1162</v>
      </c>
      <c r="V2" s="512" t="s">
        <v>1163</v>
      </c>
      <c r="W2" s="512"/>
      <c r="X2" s="512"/>
      <c r="Y2" s="513" t="s">
        <v>1164</v>
      </c>
      <c r="Z2" s="508" t="s">
        <v>1165</v>
      </c>
      <c r="AA2" s="514" t="s">
        <v>1166</v>
      </c>
      <c r="AB2" s="515" t="s">
        <v>1167</v>
      </c>
      <c r="AC2" s="509" t="s">
        <v>1168</v>
      </c>
      <c r="AD2" s="515" t="s">
        <v>563</v>
      </c>
      <c r="AE2" s="515" t="s">
        <v>1169</v>
      </c>
      <c r="AF2" s="516" t="s">
        <v>1170</v>
      </c>
      <c r="AG2" s="515" t="s">
        <v>564</v>
      </c>
      <c r="AH2" s="517"/>
      <c r="AI2" s="518" t="s">
        <v>1161</v>
      </c>
      <c r="AJ2" s="519" t="s">
        <v>738</v>
      </c>
      <c r="AK2" s="519" t="s">
        <v>839</v>
      </c>
      <c r="AL2" s="519" t="s">
        <v>840</v>
      </c>
      <c r="AM2" s="519" t="s">
        <v>841</v>
      </c>
      <c r="AN2" s="519" t="s">
        <v>842</v>
      </c>
      <c r="AO2" s="519" t="s">
        <v>845</v>
      </c>
      <c r="AP2" s="519" t="s">
        <v>843</v>
      </c>
      <c r="AQ2" s="519" t="s">
        <v>844</v>
      </c>
      <c r="AR2" s="508" t="s">
        <v>1171</v>
      </c>
      <c r="AS2" s="519" t="s">
        <v>1172</v>
      </c>
      <c r="AT2" s="519" t="s">
        <v>1164</v>
      </c>
      <c r="AU2" s="519" t="s">
        <v>1173</v>
      </c>
      <c r="AV2" s="517"/>
      <c r="AW2" s="517"/>
      <c r="AX2" s="514" t="s">
        <v>1166</v>
      </c>
      <c r="AY2" s="517"/>
      <c r="AZ2" s="518" t="s">
        <v>1174</v>
      </c>
    </row>
    <row r="3" ht="27" customHeight="1" spans="1:52">
      <c r="A3" s="326" t="str">
        <f>INDEX('Rate Card'!$A:$A,MATCH(服务费底表!$T3,'Rate Card'!$F:$F,0))</f>
        <v>医学</v>
      </c>
      <c r="B3" s="327" t="str">
        <f>INDEX(二三级标准!$G:$G,MATCH(服务费底表!$K3,二三级标准!B:B,0))</f>
        <v>份</v>
      </c>
      <c r="C3" s="327">
        <f>INDEX(服务费明细!$E:$E,MATCH(服务费底表!$K3,服务费明细!$B:$B,0))</f>
        <v>1</v>
      </c>
      <c r="D3" s="327" t="str">
        <f>K3&amp;T3</f>
        <v>A001MM</v>
      </c>
      <c r="E3" s="327" t="str">
        <f>M3&amp;T3</f>
        <v>T0001MM</v>
      </c>
      <c r="F3" s="328"/>
      <c r="G3" s="328" t="s">
        <v>684</v>
      </c>
      <c r="H3" s="326" t="str">
        <f>INDEX('Rate Card'!$B:$B,MATCH(服务费底表!$T3,'Rate Card'!$F:$F,0))</f>
        <v>医学</v>
      </c>
      <c r="I3" s="328" t="s">
        <v>916</v>
      </c>
      <c r="J3" s="328" t="str">
        <f>INDEX(二三级标准!$Q:$Q,MATCH(服务费底表!I3,二三级标准!$O:$O,0))</f>
        <v>研究文件撰写和审核</v>
      </c>
      <c r="K3" s="328" t="s">
        <v>91</v>
      </c>
      <c r="L3" s="328" t="str">
        <f>INDEX(二三级标准!C:C,MATCH(服务费底表!K3,二三级标准!$B:$B,0))</f>
        <v>方案撰写</v>
      </c>
      <c r="M3" s="328" t="s">
        <v>1175</v>
      </c>
      <c r="N3" s="328" t="str">
        <f>INDEX(二三级标准!$M:$M,MATCH(服务费底表!$M3,二三级标准!$L:$L,0))</f>
        <v>方案摘要撰写</v>
      </c>
      <c r="O3" s="328"/>
      <c r="P3" s="327">
        <f>IF(R3=1,INDEX(服务费明细!$E:$E,MATCH(服务费底表!$K3,服务费明细!$B:$B,0)),0)</f>
        <v>1</v>
      </c>
      <c r="Q3" s="328" t="s">
        <v>1176</v>
      </c>
      <c r="R3" s="520">
        <f>IF(AND(方案撰写YN=1,医学撰写YN=1),1,0)</f>
        <v>1</v>
      </c>
      <c r="S3" s="521" t="str">
        <f>IF(AND(H3="医学",OR(I3=二三级标准!$A$4,I3=二三级标准!$A$153)),"医学撰写","医学监查")</f>
        <v>医学撰写</v>
      </c>
      <c r="T3" s="328" t="s">
        <v>615</v>
      </c>
      <c r="U3" s="522" t="str">
        <f>INDEX('Rate Card'!$E:$E,MATCH(服务费底表!$T3,'Rate Card'!$F:$F,0))</f>
        <v>医学经理</v>
      </c>
      <c r="V3" s="523">
        <f>INDEX('Rate Card'!$J:$J,MATCH($T3,'Rate Card'!$F:$F,0))</f>
        <v>650</v>
      </c>
      <c r="W3" s="523">
        <f t="shared" ref="W3:W8" si="0">V3*(1-$W$1)</f>
        <v>650</v>
      </c>
      <c r="X3" s="523">
        <f t="shared" ref="X3:X8" si="1">Y3*$X$1</f>
        <v>16</v>
      </c>
      <c r="Y3" s="327" cm="1">
        <f t="array" ref="Y3">_xlfn.IFS(报价场景=服务费底表!$AJ$2,服务费底表!$AJ3,报价场景=服务费底表!$AP$2,服务费底表!$AP3,报价场景=服务费底表!$AK$2,服务费底表!$AK3,报价场景=服务费底表!$AL$2,服务费底表!$AL3,报价场景=服务费底表!$AM$2,服务费底表!$AM3,报价场景=服务费底表!$AN$2,服务费底表!$AN3,报价场景=服务费底表!$AQ$2,服务费底表!$AQ3,报价场景=服务费底表!$AO$2,服务费底表!$AO3)</f>
        <v>16</v>
      </c>
      <c r="Z3" s="327"/>
      <c r="AA3" s="332">
        <f>IF(ISBLANK($Z3),$Y3,$Z3)</f>
        <v>16</v>
      </c>
      <c r="AB3" s="333">
        <f>IFERROR(AD3/P3,0)</f>
        <v>10400</v>
      </c>
      <c r="AC3" s="328">
        <f>AA3*P3*R3</f>
        <v>16</v>
      </c>
      <c r="AD3" s="334">
        <f>AC3*V3</f>
        <v>10400</v>
      </c>
      <c r="AE3" s="334">
        <f>$AB3*(1-INDEX(项目参数!$D$5:$D$14,MATCH(服务费底表!$S3,项目参数!$B$5:$B$14,0)))</f>
        <v>10400</v>
      </c>
      <c r="AF3" s="334">
        <f>$AD3*INDEX(项目参数!$D$5:$D$14,MATCH(服务费底表!$S3,项目参数!$B$5:$B$14,0))</f>
        <v>0</v>
      </c>
      <c r="AG3" s="334">
        <f>AD3-AF3</f>
        <v>10400</v>
      </c>
      <c r="AH3" s="328"/>
      <c r="AI3" s="328" t="s">
        <v>615</v>
      </c>
      <c r="AJ3" s="327">
        <v>16</v>
      </c>
      <c r="AK3" s="327">
        <f>AJ3*1.5</f>
        <v>24</v>
      </c>
      <c r="AL3" s="327">
        <v>24</v>
      </c>
      <c r="AM3" s="327">
        <v>16</v>
      </c>
      <c r="AN3" s="327">
        <v>24</v>
      </c>
      <c r="AO3" s="327">
        <v>13</v>
      </c>
      <c r="AP3" s="327">
        <v>20</v>
      </c>
      <c r="AQ3" s="327">
        <f t="shared" ref="AQ3:AQ8" si="2">AJ3*$AQ$1</f>
        <v>24</v>
      </c>
      <c r="AR3" s="338"/>
      <c r="AS3" s="327">
        <f>AC3</f>
        <v>16</v>
      </c>
      <c r="AT3" s="327">
        <f>Y3*P3</f>
        <v>16</v>
      </c>
      <c r="AU3" s="523">
        <v>16</v>
      </c>
      <c r="AV3" s="328"/>
      <c r="AW3" s="328"/>
      <c r="AX3" s="332">
        <v>16</v>
      </c>
      <c r="AY3" s="328" t="b">
        <f>IF(AX3=AJ3,TRUE,FALSE)</f>
        <v>1</v>
      </c>
      <c r="AZ3" s="328" t="b">
        <f>IF(K3&lt;&gt;K2,IF(AZ2=TRUE,FALSE,TRUE),AZ2)</f>
        <v>1</v>
      </c>
    </row>
    <row r="4" ht="27" customHeight="1" spans="1:52">
      <c r="A4" s="326" t="str">
        <f>INDEX('Rate Card'!$A:$A,MATCH(服务费底表!$T4,'Rate Card'!$F:$F,0))</f>
        <v>临床药理</v>
      </c>
      <c r="B4" s="327" t="str">
        <f>INDEX(二三级标准!$G:$G,MATCH(服务费底表!$K4,二三级标准!B:B,0))</f>
        <v>份</v>
      </c>
      <c r="C4" s="327">
        <f>INDEX(服务费明细!$E:$E,MATCH(服务费底表!$K4,服务费明细!$B:$B,0))</f>
        <v>1</v>
      </c>
      <c r="D4" s="327" t="str">
        <f>K4&amp;T4</f>
        <v>A001CPS</v>
      </c>
      <c r="E4" s="327" t="str">
        <f>M4&amp;T4</f>
        <v>T0001CPS</v>
      </c>
      <c r="F4" s="328"/>
      <c r="G4" s="328" t="s">
        <v>684</v>
      </c>
      <c r="H4" s="326" t="str">
        <f>INDEX('Rate Card'!$B:$B,MATCH(服务费底表!$T4,'Rate Card'!$F:$F,0))</f>
        <v>临床药理</v>
      </c>
      <c r="I4" s="328" t="s">
        <v>916</v>
      </c>
      <c r="J4" s="328" t="str">
        <f>INDEX(二三级标准!$Q:$Q,MATCH(服务费底表!I4,二三级标准!$O:$O,0))</f>
        <v>研究文件撰写和审核</v>
      </c>
      <c r="K4" s="328" t="s">
        <v>91</v>
      </c>
      <c r="L4" s="328" t="str">
        <f>INDEX(二三级标准!C:C,MATCH(服务费底表!K4,二三级标准!$B:$B,0))</f>
        <v>方案撰写</v>
      </c>
      <c r="M4" s="328" t="s">
        <v>1175</v>
      </c>
      <c r="N4" s="328" t="str">
        <f>INDEX(二三级标准!$M:$M,MATCH(服务费底表!$M4,二三级标准!$L:$L,0))</f>
        <v>方案摘要撰写</v>
      </c>
      <c r="O4" s="328"/>
      <c r="P4" s="327">
        <f>IF(R4=1,INDEX(服务费明细!$E:$E,MATCH(服务费底表!$K4,服务费明细!$B:$B,0)),0)</f>
        <v>0</v>
      </c>
      <c r="Q4" s="328" t="s">
        <v>1176</v>
      </c>
      <c r="R4" s="520">
        <v>0</v>
      </c>
      <c r="S4" s="328" t="str">
        <f>INDEX('Rate Card'!$D:$D,MATCH(服务费底表!$T4,'Rate Card'!F:F,0))</f>
        <v>临床药理</v>
      </c>
      <c r="T4" s="328" t="s">
        <v>652</v>
      </c>
      <c r="U4" s="522" t="str">
        <f>INDEX('Rate Card'!$E:$E,MATCH(服务费底表!$T4,'Rate Card'!$F:$F,0))</f>
        <v>临床药理专员</v>
      </c>
      <c r="V4" s="331">
        <f>INDEX('Rate Card'!$J:$J,MATCH($T4,'Rate Card'!$F:$F,0))</f>
        <v>580</v>
      </c>
      <c r="W4" s="523">
        <f t="shared" si="0"/>
        <v>580</v>
      </c>
      <c r="X4" s="523">
        <f t="shared" si="1"/>
        <v>6</v>
      </c>
      <c r="Y4" s="327" cm="1">
        <f t="array" ref="Y4">_xlfn.IFS(报价场景=服务费底表!$AJ$2,服务费底表!$AJ4,报价场景=服务费底表!$AP$2,服务费底表!$AP4,报价场景=服务费底表!$AK$2,服务费底表!$AK4,报价场景=服务费底表!$AL$2,服务费底表!$AL4,报价场景=服务费底表!$AM$2,服务费底表!$AM4,报价场景=服务费底表!$AN$2,服务费底表!$AN4,报价场景=服务费底表!$AQ$2,服务费底表!$AQ4,报价场景=服务费底表!$AO$2,服务费底表!$AO4)</f>
        <v>6</v>
      </c>
      <c r="Z4" s="327"/>
      <c r="AA4" s="332">
        <f>IF(ISBLANK($Z4),$Y4,$Z4)</f>
        <v>6</v>
      </c>
      <c r="AB4" s="333">
        <f>IFERROR(AD4/P4,0)</f>
        <v>0</v>
      </c>
      <c r="AC4" s="328">
        <f>AA4*P4*R4</f>
        <v>0</v>
      </c>
      <c r="AD4" s="334">
        <f>AC4*V4</f>
        <v>0</v>
      </c>
      <c r="AE4" s="334">
        <f>$AB4*(1-INDEX(项目参数!$D$5:$D$14,MATCH(服务费底表!$S4,项目参数!$B$5:$B$14,0)))</f>
        <v>0</v>
      </c>
      <c r="AF4" s="334">
        <f>$AD4*INDEX(项目参数!$D$5:$D$14,MATCH(服务费底表!$S4,项目参数!$B$5:$B$14,0))</f>
        <v>0</v>
      </c>
      <c r="AG4" s="334">
        <f>AD4-AF4</f>
        <v>0</v>
      </c>
      <c r="AH4" s="328"/>
      <c r="AI4" s="328" t="s">
        <v>652</v>
      </c>
      <c r="AJ4" s="327">
        <v>6</v>
      </c>
      <c r="AK4" s="327">
        <v>2</v>
      </c>
      <c r="AL4" s="336">
        <v>8</v>
      </c>
      <c r="AM4" s="327">
        <v>2</v>
      </c>
      <c r="AN4" s="327">
        <v>8</v>
      </c>
      <c r="AO4" s="327">
        <v>0</v>
      </c>
      <c r="AP4" s="327">
        <v>6</v>
      </c>
      <c r="AQ4" s="327">
        <f t="shared" si="2"/>
        <v>9</v>
      </c>
      <c r="AR4" s="338"/>
      <c r="AS4" s="327">
        <f>AC4</f>
        <v>0</v>
      </c>
      <c r="AT4" s="327">
        <f>Y4*P4</f>
        <v>0</v>
      </c>
      <c r="AU4" s="523">
        <v>6</v>
      </c>
      <c r="AV4" s="328"/>
      <c r="AW4" s="328"/>
      <c r="AX4" s="332">
        <v>6</v>
      </c>
      <c r="AY4" s="328" t="b">
        <f t="shared" ref="AY4:AY23" si="3">IF(AX4=AJ4,TRUE,FALSE)</f>
        <v>1</v>
      </c>
      <c r="AZ4" s="328" t="b">
        <f t="shared" ref="AZ4:AZ67" si="4">IF(K4&lt;&gt;K3,IF(AZ3=TRUE,FALSE,TRUE),AZ3)</f>
        <v>1</v>
      </c>
    </row>
    <row r="5" s="128" customFormat="1" ht="27" customHeight="1" spans="1:52">
      <c r="A5" s="326" t="str">
        <f>INDEX('Rate Card'!$A:$A,MATCH(服务费底表!$T5,'Rate Card'!$F:$F,0))</f>
        <v>数统</v>
      </c>
      <c r="B5" s="327" t="str">
        <f>INDEX(二三级标准!$G:$G,MATCH(服务费底表!$K5,二三级标准!B:B,0))</f>
        <v>份</v>
      </c>
      <c r="C5" s="327">
        <f>INDEX(服务费明细!$E:$E,MATCH(服务费底表!$K5,服务费明细!$B:$B,0))</f>
        <v>1</v>
      </c>
      <c r="D5" s="327" t="str">
        <f t="shared" ref="D5:D10" si="5">K5&amp;T5</f>
        <v>A001STM</v>
      </c>
      <c r="E5" s="327" t="str">
        <f t="shared" ref="E5:E10" si="6">M5&amp;T5</f>
        <v>T0001STM</v>
      </c>
      <c r="F5" s="328"/>
      <c r="G5" s="328" t="s">
        <v>684</v>
      </c>
      <c r="H5" s="326" t="str">
        <f>INDEX('Rate Card'!$B:$B,MATCH(服务费底表!$T5,'Rate Card'!$F:$F,0))</f>
        <v>生物统计及分析</v>
      </c>
      <c r="I5" s="328" t="s">
        <v>916</v>
      </c>
      <c r="J5" s="328" t="str">
        <f>INDEX(二三级标准!$Q:$Q,MATCH(服务费底表!I5,二三级标准!$O:$O,0))</f>
        <v>研究文件撰写和审核</v>
      </c>
      <c r="K5" s="328" t="s">
        <v>91</v>
      </c>
      <c r="L5" s="328" t="str">
        <f>INDEX(二三级标准!C:C,MATCH(服务费底表!K5,二三级标准!$B:$B,0))</f>
        <v>方案撰写</v>
      </c>
      <c r="M5" s="328" t="s">
        <v>1175</v>
      </c>
      <c r="N5" s="328" t="str">
        <f>INDEX(二三级标准!$M:$M,MATCH(服务费底表!$M5,二三级标准!$L:$L,0))</f>
        <v>方案摘要撰写</v>
      </c>
      <c r="O5" s="328"/>
      <c r="P5" s="327">
        <f>IF(R5=1,INDEX(服务费明细!$E:$E,MATCH(服务费底表!$K5,服务费明细!$B:$B,0)),0)</f>
        <v>0</v>
      </c>
      <c r="Q5" s="328" t="s">
        <v>1176</v>
      </c>
      <c r="R5" s="520">
        <v>0</v>
      </c>
      <c r="S5" s="524" t="str">
        <f>INDEX('Rate Card'!$D:$D,MATCH(服务费底表!$T5,'Rate Card'!F:F,0))</f>
        <v>生物统计</v>
      </c>
      <c r="T5" s="328" t="s">
        <v>642</v>
      </c>
      <c r="U5" s="522" t="str">
        <f>INDEX('Rate Card'!$E:$E,MATCH(服务费底表!$T5,'Rate Card'!$F:$F,0))</f>
        <v>生物统计经理</v>
      </c>
      <c r="V5" s="331">
        <f>INDEX('Rate Card'!$J:$J,MATCH($T5,'Rate Card'!$F:$F,0))</f>
        <v>700</v>
      </c>
      <c r="W5" s="523">
        <f t="shared" si="0"/>
        <v>700</v>
      </c>
      <c r="X5" s="523">
        <f t="shared" si="1"/>
        <v>3</v>
      </c>
      <c r="Y5" s="327" cm="1">
        <f t="array" ref="Y5">_xlfn.IFS(报价场景=服务费底表!$AJ$2,服务费底表!$AJ5,报价场景=服务费底表!$AP$2,服务费底表!$AP5,报价场景=服务费底表!$AK$2,服务费底表!$AK5,报价场景=服务费底表!$AL$2,服务费底表!$AL5,报价场景=服务费底表!$AM$2,服务费底表!$AM5,报价场景=服务费底表!$AN$2,服务费底表!$AN5,报价场景=服务费底表!$AQ$2,服务费底表!$AQ5,报价场景=服务费底表!$AO$2,服务费底表!$AO5)</f>
        <v>3</v>
      </c>
      <c r="Z5" s="327"/>
      <c r="AA5" s="332">
        <f t="shared" ref="AA5:AA10" si="7">IF(ISBLANK($Z5),$Y5,$Z5)</f>
        <v>3</v>
      </c>
      <c r="AB5" s="333">
        <f t="shared" ref="AB5:AB10" si="8">IFERROR(AD5/P5,0)</f>
        <v>0</v>
      </c>
      <c r="AC5" s="328">
        <f t="shared" ref="AC5:AC10" si="9">AA5*P5*R5</f>
        <v>0</v>
      </c>
      <c r="AD5" s="334">
        <f t="shared" ref="AD5:AD10" si="10">AC5*V5</f>
        <v>0</v>
      </c>
      <c r="AE5" s="334">
        <f>$AB5*(1-INDEX(项目参数!$D$5:$D$14,MATCH(服务费底表!$S5,项目参数!$B$5:$B$14,0)))</f>
        <v>0</v>
      </c>
      <c r="AF5" s="334">
        <f>$AD5*INDEX(项目参数!$D$5:$D$14,MATCH(服务费底表!$S5,项目参数!$B$5:$B$14,0))</f>
        <v>0</v>
      </c>
      <c r="AG5" s="334">
        <f t="shared" ref="AG5:AG10" si="11">AD5-AF5</f>
        <v>0</v>
      </c>
      <c r="AH5" s="328"/>
      <c r="AI5" s="328" t="s">
        <v>642</v>
      </c>
      <c r="AJ5" s="327">
        <v>3</v>
      </c>
      <c r="AK5" s="327">
        <f>AJ5*4</f>
        <v>12</v>
      </c>
      <c r="AL5" s="336">
        <v>3</v>
      </c>
      <c r="AM5" s="327">
        <v>12</v>
      </c>
      <c r="AN5" s="327">
        <v>3</v>
      </c>
      <c r="AO5" s="327">
        <v>3</v>
      </c>
      <c r="AP5" s="327">
        <v>3</v>
      </c>
      <c r="AQ5" s="327">
        <f t="shared" si="2"/>
        <v>4.5</v>
      </c>
      <c r="AR5" s="338"/>
      <c r="AS5" s="327">
        <f t="shared" ref="AS5:AS10" si="12">AC5</f>
        <v>0</v>
      </c>
      <c r="AT5" s="327">
        <f t="shared" ref="AT5:AT10" si="13">Y5*P5</f>
        <v>0</v>
      </c>
      <c r="AU5" s="523">
        <v>3</v>
      </c>
      <c r="AV5" s="328"/>
      <c r="AW5" s="328"/>
      <c r="AX5" s="332">
        <v>3</v>
      </c>
      <c r="AY5" s="328" t="b">
        <f t="shared" si="3"/>
        <v>1</v>
      </c>
      <c r="AZ5" s="328" t="b">
        <f t="shared" si="4"/>
        <v>1</v>
      </c>
    </row>
    <row r="6" ht="27" customHeight="1" spans="1:52">
      <c r="A6" s="326" t="str">
        <f>INDEX('Rate Card'!$A:$A,MATCH(服务费底表!$T6,'Rate Card'!$F:$F,0))</f>
        <v>医学</v>
      </c>
      <c r="B6" s="327" t="str">
        <f>INDEX(二三级标准!$G:$G,MATCH(服务费底表!$K6,二三级标准!B:B,0))</f>
        <v>份</v>
      </c>
      <c r="C6" s="327">
        <f>INDEX(服务费明细!$E:$E,MATCH(服务费底表!$K6,服务费明细!$B:$B,0))</f>
        <v>1</v>
      </c>
      <c r="D6" s="327" t="str">
        <f t="shared" si="5"/>
        <v>A001MD</v>
      </c>
      <c r="E6" s="327" t="str">
        <f t="shared" si="6"/>
        <v>T0002MD</v>
      </c>
      <c r="F6" s="328"/>
      <c r="G6" s="328" t="s">
        <v>684</v>
      </c>
      <c r="H6" s="326" t="str">
        <f>INDEX('Rate Card'!$B:$B,MATCH(服务费底表!$T6,'Rate Card'!$F:$F,0))</f>
        <v>医学</v>
      </c>
      <c r="I6" s="328" t="s">
        <v>916</v>
      </c>
      <c r="J6" s="328" t="str">
        <f>INDEX(二三级标准!$Q:$Q,MATCH(服务费底表!I6,二三级标准!$O:$O,0))</f>
        <v>研究文件撰写和审核</v>
      </c>
      <c r="K6" s="328" t="s">
        <v>91</v>
      </c>
      <c r="L6" s="328" t="str">
        <f>INDEX(二三级标准!C:C,MATCH(服务费底表!K6,二三级标准!$B:$B,0))</f>
        <v>方案撰写</v>
      </c>
      <c r="M6" s="328" t="s">
        <v>1177</v>
      </c>
      <c r="N6" s="328" t="str">
        <f>INDEX(二三级标准!$M:$M,MATCH(服务费底表!$M6,二三级标准!$L:$L,0))</f>
        <v>方案摘要审核</v>
      </c>
      <c r="O6" s="328"/>
      <c r="P6" s="327">
        <f>IF(R6=1,INDEX(服务费明细!$E:$E,MATCH(服务费底表!$K6,服务费明细!$B:$B,0)),0)</f>
        <v>1</v>
      </c>
      <c r="Q6" s="328" t="s">
        <v>1178</v>
      </c>
      <c r="R6" s="520">
        <f>IF(AND(方案撰写YN=1,医学撰写YN=1),1,0)</f>
        <v>1</v>
      </c>
      <c r="S6" s="521" t="str">
        <f>IF(AND(H6="医学",OR(I6=二三级标准!$A$4,I6=二三级标准!$A$153)),"医学撰写","医学监查")</f>
        <v>医学撰写</v>
      </c>
      <c r="T6" s="328" t="s">
        <v>613</v>
      </c>
      <c r="U6" s="522" t="str">
        <f>INDEX('Rate Card'!$E:$E,MATCH(服务费底表!$T6,'Rate Card'!$F:$F,0))</f>
        <v>医学总监</v>
      </c>
      <c r="V6" s="331">
        <f>INDEX('Rate Card'!$J:$J,MATCH($T6,'Rate Card'!$F:$F,0))</f>
        <v>990</v>
      </c>
      <c r="W6" s="523">
        <f t="shared" si="0"/>
        <v>990</v>
      </c>
      <c r="X6" s="523">
        <f t="shared" si="1"/>
        <v>8</v>
      </c>
      <c r="Y6" s="327" cm="1">
        <f t="array" ref="Y6">_xlfn.IFS(报价场景=服务费底表!$AJ$2,服务费底表!$AJ6,报价场景=服务费底表!$AP$2,服务费底表!$AP6,报价场景=服务费底表!$AK$2,服务费底表!$AK6,报价场景=服务费底表!$AL$2,服务费底表!$AL6,报价场景=服务费底表!$AM$2,服务费底表!$AM6,报价场景=服务费底表!$AN$2,服务费底表!$AN6,报价场景=服务费底表!$AQ$2,服务费底表!$AQ6,报价场景=服务费底表!$AO$2,服务费底表!$AO6)</f>
        <v>8</v>
      </c>
      <c r="Z6" s="327"/>
      <c r="AA6" s="332">
        <f t="shared" si="7"/>
        <v>8</v>
      </c>
      <c r="AB6" s="333">
        <f t="shared" si="8"/>
        <v>7920</v>
      </c>
      <c r="AC6" s="328">
        <f t="shared" si="9"/>
        <v>8</v>
      </c>
      <c r="AD6" s="334">
        <f t="shared" si="10"/>
        <v>7920</v>
      </c>
      <c r="AE6" s="334">
        <f>$AB6*(1-INDEX(项目参数!$D$5:$D$14,MATCH(服务费底表!$S6,项目参数!$B$5:$B$14,0)))</f>
        <v>7920</v>
      </c>
      <c r="AF6" s="334">
        <f>$AD6*INDEX(项目参数!$D$5:$D$14,MATCH(服务费底表!$S6,项目参数!$B$5:$B$14,0))</f>
        <v>0</v>
      </c>
      <c r="AG6" s="334">
        <f t="shared" si="11"/>
        <v>7920</v>
      </c>
      <c r="AH6" s="328"/>
      <c r="AI6" s="328" t="s">
        <v>613</v>
      </c>
      <c r="AJ6" s="327">
        <v>8</v>
      </c>
      <c r="AK6" s="327">
        <f t="shared" ref="AK6:AK11" si="14">AJ6*1.5</f>
        <v>12</v>
      </c>
      <c r="AL6" s="327">
        <v>8</v>
      </c>
      <c r="AM6" s="327">
        <v>8</v>
      </c>
      <c r="AN6" s="327">
        <f t="shared" ref="AN6:AN11" si="15">AL6</f>
        <v>8</v>
      </c>
      <c r="AO6" s="327">
        <v>1</v>
      </c>
      <c r="AP6" s="327">
        <v>4</v>
      </c>
      <c r="AQ6" s="327">
        <f t="shared" si="2"/>
        <v>12</v>
      </c>
      <c r="AR6" s="338"/>
      <c r="AS6" s="327">
        <f t="shared" si="12"/>
        <v>8</v>
      </c>
      <c r="AT6" s="327">
        <f t="shared" si="13"/>
        <v>8</v>
      </c>
      <c r="AU6" s="523">
        <v>8</v>
      </c>
      <c r="AV6" s="328"/>
      <c r="AW6" s="328"/>
      <c r="AX6" s="332">
        <v>8</v>
      </c>
      <c r="AY6" s="328" t="b">
        <f t="shared" si="3"/>
        <v>1</v>
      </c>
      <c r="AZ6" s="328" t="b">
        <f t="shared" si="4"/>
        <v>1</v>
      </c>
    </row>
    <row r="7" ht="27" customHeight="1" spans="1:52">
      <c r="A7" s="326" t="str">
        <f>INDEX('Rate Card'!$A:$A,MATCH(服务费底表!$T7,'Rate Card'!$F:$F,0))</f>
        <v>临床药理</v>
      </c>
      <c r="B7" s="327" t="str">
        <f>INDEX(二三级标准!$G:$G,MATCH(服务费底表!$K7,二三级标准!B:B,0))</f>
        <v>份</v>
      </c>
      <c r="C7" s="327">
        <f>INDEX(服务费明细!$E:$E,MATCH(服务费底表!$K7,服务费明细!$B:$B,0))</f>
        <v>1</v>
      </c>
      <c r="D7" s="327" t="str">
        <f t="shared" si="5"/>
        <v>A001CPSS</v>
      </c>
      <c r="E7" s="327" t="str">
        <f t="shared" si="6"/>
        <v>T0002CPSS</v>
      </c>
      <c r="F7" s="328"/>
      <c r="G7" s="328" t="s">
        <v>684</v>
      </c>
      <c r="H7" s="326" t="str">
        <f>INDEX('Rate Card'!$B:$B,MATCH(服务费底表!$T7,'Rate Card'!$F:$F,0))</f>
        <v>临床药理</v>
      </c>
      <c r="I7" s="328" t="s">
        <v>916</v>
      </c>
      <c r="J7" s="328" t="str">
        <f>INDEX(二三级标准!$Q:$Q,MATCH(服务费底表!I7,二三级标准!$O:$O,0))</f>
        <v>研究文件撰写和审核</v>
      </c>
      <c r="K7" s="328" t="s">
        <v>91</v>
      </c>
      <c r="L7" s="328" t="str">
        <f>INDEX(二三级标准!C:C,MATCH(服务费底表!K7,二三级标准!$B:$B,0))</f>
        <v>方案撰写</v>
      </c>
      <c r="M7" s="328" t="s">
        <v>1177</v>
      </c>
      <c r="N7" s="328" t="str">
        <f>INDEX(二三级标准!$M:$M,MATCH(服务费底表!$M7,二三级标准!$L:$L,0))</f>
        <v>方案摘要审核</v>
      </c>
      <c r="O7" s="328"/>
      <c r="P7" s="327">
        <f>IF(R7=1,INDEX(服务费明细!$E:$E,MATCH(服务费底表!$K7,服务费明细!$B:$B,0)),0)</f>
        <v>0</v>
      </c>
      <c r="Q7" s="328" t="s">
        <v>1178</v>
      </c>
      <c r="R7" s="520">
        <v>0</v>
      </c>
      <c r="S7" s="328" t="str">
        <f>INDEX('Rate Card'!$D:$D,MATCH(服务费底表!$T7,'Rate Card'!F:F,0))</f>
        <v>临床药理</v>
      </c>
      <c r="T7" s="328" t="s">
        <v>654</v>
      </c>
      <c r="U7" s="522" t="str">
        <f>INDEX('Rate Card'!$E:$E,MATCH(服务费底表!$T7,'Rate Card'!$F:$F,0))</f>
        <v>临床药理高级专员</v>
      </c>
      <c r="V7" s="331">
        <f>INDEX('Rate Card'!$J:$J,MATCH($T7,'Rate Card'!$F:$F,0))</f>
        <v>700</v>
      </c>
      <c r="W7" s="523">
        <f t="shared" si="0"/>
        <v>700</v>
      </c>
      <c r="X7" s="523">
        <f t="shared" si="1"/>
        <v>1</v>
      </c>
      <c r="Y7" s="327" cm="1">
        <f t="array" ref="Y7">_xlfn.IFS(报价场景=服务费底表!$AJ$2,服务费底表!$AJ7,报价场景=服务费底表!$AP$2,服务费底表!$AP7,报价场景=服务费底表!$AK$2,服务费底表!$AK7,报价场景=服务费底表!$AL$2,服务费底表!$AL7,报价场景=服务费底表!$AM$2,服务费底表!$AM7,报价场景=服务费底表!$AN$2,服务费底表!$AN7,报价场景=服务费底表!$AQ$2,服务费底表!$AQ7,报价场景=服务费底表!$AO$2,服务费底表!$AO7)</f>
        <v>1</v>
      </c>
      <c r="Z7" s="327"/>
      <c r="AA7" s="332">
        <f t="shared" si="7"/>
        <v>1</v>
      </c>
      <c r="AB7" s="333">
        <f t="shared" si="8"/>
        <v>0</v>
      </c>
      <c r="AC7" s="328">
        <f t="shared" si="9"/>
        <v>0</v>
      </c>
      <c r="AD7" s="334">
        <f t="shared" si="10"/>
        <v>0</v>
      </c>
      <c r="AE7" s="334">
        <f>$AB7*(1-INDEX(项目参数!$D$5:$D$14,MATCH(服务费底表!$S7,项目参数!$B$5:$B$14,0)))</f>
        <v>0</v>
      </c>
      <c r="AF7" s="334">
        <f>$AD7*INDEX(项目参数!$D$5:$D$14,MATCH(服务费底表!$S7,项目参数!$B$5:$B$14,0))</f>
        <v>0</v>
      </c>
      <c r="AG7" s="334">
        <f t="shared" si="11"/>
        <v>0</v>
      </c>
      <c r="AH7" s="328"/>
      <c r="AI7" s="328" t="s">
        <v>654</v>
      </c>
      <c r="AJ7" s="327">
        <v>1</v>
      </c>
      <c r="AK7" s="327">
        <v>1</v>
      </c>
      <c r="AL7" s="336">
        <v>6</v>
      </c>
      <c r="AM7" s="327">
        <v>1</v>
      </c>
      <c r="AN7" s="327">
        <v>6</v>
      </c>
      <c r="AO7" s="327">
        <v>8</v>
      </c>
      <c r="AP7" s="327">
        <v>1</v>
      </c>
      <c r="AQ7" s="327">
        <f t="shared" si="2"/>
        <v>1.5</v>
      </c>
      <c r="AR7" s="338"/>
      <c r="AS7" s="327">
        <f t="shared" si="12"/>
        <v>0</v>
      </c>
      <c r="AT7" s="327">
        <f t="shared" si="13"/>
        <v>0</v>
      </c>
      <c r="AU7" s="523">
        <v>1</v>
      </c>
      <c r="AV7" s="328"/>
      <c r="AW7" s="328"/>
      <c r="AX7" s="332">
        <v>1</v>
      </c>
      <c r="AY7" s="328" t="b">
        <f t="shared" si="3"/>
        <v>1</v>
      </c>
      <c r="AZ7" s="328" t="b">
        <f t="shared" si="4"/>
        <v>1</v>
      </c>
    </row>
    <row r="8" s="128" customFormat="1" ht="27" customHeight="1" spans="1:52">
      <c r="A8" s="326" t="str">
        <f>INDEX('Rate Card'!$A:$A,MATCH(服务费底表!$T8,'Rate Card'!$F:$F,0))</f>
        <v>数统</v>
      </c>
      <c r="B8" s="327" t="str">
        <f>INDEX(二三级标准!$G:$G,MATCH(服务费底表!$K8,二三级标准!B:B,0))</f>
        <v>份</v>
      </c>
      <c r="C8" s="327">
        <f>INDEX(服务费明细!$E:$E,MATCH(服务费底表!$K8,服务费明细!$B:$B,0))</f>
        <v>1</v>
      </c>
      <c r="D8" s="327" t="str">
        <f t="shared" si="5"/>
        <v>A001STM</v>
      </c>
      <c r="E8" s="327" t="str">
        <f t="shared" si="6"/>
        <v>T0002STM</v>
      </c>
      <c r="F8" s="328"/>
      <c r="G8" s="328" t="s">
        <v>684</v>
      </c>
      <c r="H8" s="326" t="str">
        <f>INDEX('Rate Card'!$B:$B,MATCH(服务费底表!$T8,'Rate Card'!$F:$F,0))</f>
        <v>生物统计及分析</v>
      </c>
      <c r="I8" s="328" t="s">
        <v>916</v>
      </c>
      <c r="J8" s="328" t="str">
        <f>INDEX(二三级标准!$Q:$Q,MATCH(服务费底表!I8,二三级标准!$O:$O,0))</f>
        <v>研究文件撰写和审核</v>
      </c>
      <c r="K8" s="328" t="s">
        <v>91</v>
      </c>
      <c r="L8" s="328" t="str">
        <f>INDEX(二三级标准!C:C,MATCH(服务费底表!K8,二三级标准!$B:$B,0))</f>
        <v>方案撰写</v>
      </c>
      <c r="M8" s="328" t="s">
        <v>1177</v>
      </c>
      <c r="N8" s="328" t="str">
        <f>INDEX(二三级标准!$M:$M,MATCH(服务费底表!$M8,二三级标准!$L:$L,0))</f>
        <v>方案摘要审核</v>
      </c>
      <c r="O8" s="328"/>
      <c r="P8" s="327">
        <f>IF(R8=1,INDEX(服务费明细!$E:$E,MATCH(服务费底表!$K8,服务费明细!$B:$B,0)),0)</f>
        <v>1</v>
      </c>
      <c r="Q8" s="328" t="s">
        <v>1178</v>
      </c>
      <c r="R8" s="520">
        <f>IF(AND(方案撰写YN=1,生物统计YN=1),1,0)</f>
        <v>1</v>
      </c>
      <c r="S8" s="524" t="str">
        <f>INDEX('Rate Card'!$D:$D,MATCH(服务费底表!$T8,'Rate Card'!F:F,0))</f>
        <v>生物统计</v>
      </c>
      <c r="T8" s="328" t="s">
        <v>642</v>
      </c>
      <c r="U8" s="522" t="str">
        <f>INDEX('Rate Card'!$E:$E,MATCH(服务费底表!$T8,'Rate Card'!$F:$F,0))</f>
        <v>生物统计经理</v>
      </c>
      <c r="V8" s="331">
        <f>INDEX('Rate Card'!$J:$J,MATCH($T8,'Rate Card'!$F:$F,0))</f>
        <v>700</v>
      </c>
      <c r="W8" s="523">
        <f t="shared" si="0"/>
        <v>700</v>
      </c>
      <c r="X8" s="523">
        <f t="shared" si="1"/>
        <v>4</v>
      </c>
      <c r="Y8" s="327" cm="1">
        <f t="array" ref="Y8">_xlfn.IFS(报价场景=服务费底表!$AJ$2,服务费底表!$AJ8,报价场景=服务费底表!$AP$2,服务费底表!$AP8,报价场景=服务费底表!$AK$2,服务费底表!$AK8,报价场景=服务费底表!$AL$2,服务费底表!$AL8,报价场景=服务费底表!$AM$2,服务费底表!$AM8,报价场景=服务费底表!$AN$2,服务费底表!$AN8,报价场景=服务费底表!$AQ$2,服务费底表!$AQ8,报价场景=服务费底表!$AO$2,服务费底表!$AO8)</f>
        <v>4</v>
      </c>
      <c r="Z8" s="327"/>
      <c r="AA8" s="332">
        <f t="shared" si="7"/>
        <v>4</v>
      </c>
      <c r="AB8" s="333">
        <f t="shared" si="8"/>
        <v>2800</v>
      </c>
      <c r="AC8" s="328">
        <f t="shared" si="9"/>
        <v>4</v>
      </c>
      <c r="AD8" s="334">
        <f t="shared" si="10"/>
        <v>2800</v>
      </c>
      <c r="AE8" s="334">
        <f>$AB8*(1-INDEX(项目参数!$D$5:$D$14,MATCH(服务费底表!$S8,项目参数!$B$5:$B$14,0)))</f>
        <v>2800</v>
      </c>
      <c r="AF8" s="334">
        <f>$AD8*INDEX(项目参数!$D$5:$D$14,MATCH(服务费底表!$S8,项目参数!$B$5:$B$14,0))</f>
        <v>0</v>
      </c>
      <c r="AG8" s="334">
        <f t="shared" si="11"/>
        <v>2800</v>
      </c>
      <c r="AH8" s="328"/>
      <c r="AI8" s="328" t="s">
        <v>642</v>
      </c>
      <c r="AJ8" s="327">
        <v>4</v>
      </c>
      <c r="AK8" s="327">
        <f>AJ8*4</f>
        <v>16</v>
      </c>
      <c r="AL8" s="336">
        <v>0.5</v>
      </c>
      <c r="AM8" s="327">
        <v>2</v>
      </c>
      <c r="AN8" s="327">
        <v>0.5</v>
      </c>
      <c r="AO8" s="327">
        <v>0.5</v>
      </c>
      <c r="AP8" s="327">
        <v>1</v>
      </c>
      <c r="AQ8" s="327">
        <f t="shared" si="2"/>
        <v>6</v>
      </c>
      <c r="AR8" s="338"/>
      <c r="AS8" s="327">
        <f t="shared" si="12"/>
        <v>4</v>
      </c>
      <c r="AT8" s="327">
        <f t="shared" si="13"/>
        <v>4</v>
      </c>
      <c r="AU8" s="523">
        <v>1</v>
      </c>
      <c r="AV8" s="328"/>
      <c r="AW8" s="328"/>
      <c r="AX8" s="332">
        <v>1</v>
      </c>
      <c r="AY8" s="328" t="b">
        <f t="shared" si="3"/>
        <v>0</v>
      </c>
      <c r="AZ8" s="328" t="b">
        <f t="shared" si="4"/>
        <v>1</v>
      </c>
    </row>
    <row r="9" ht="27" customHeight="1" spans="1:52">
      <c r="A9" s="326" t="str">
        <f>INDEX('Rate Card'!$A:$A,MATCH(服务费底表!$T9,'Rate Card'!$F:$F,0))</f>
        <v>医学</v>
      </c>
      <c r="B9" s="327" t="str">
        <f>INDEX(二三级标准!$G:$G,MATCH(服务费底表!$K9,二三级标准!B:B,0))</f>
        <v>份</v>
      </c>
      <c r="C9" s="327">
        <f>INDEX(服务费明细!$E:$E,MATCH(服务费底表!$K9,服务费明细!$B:$B,0))</f>
        <v>1</v>
      </c>
      <c r="D9" s="327" t="str">
        <f t="shared" si="5"/>
        <v>A001MM</v>
      </c>
      <c r="E9" s="327" t="str">
        <f t="shared" si="6"/>
        <v>T0003MM</v>
      </c>
      <c r="F9" s="328"/>
      <c r="G9" s="328" t="s">
        <v>684</v>
      </c>
      <c r="H9" s="326" t="str">
        <f>INDEX('Rate Card'!$B:$B,MATCH(服务费底表!$T9,'Rate Card'!$F:$F,0))</f>
        <v>医学</v>
      </c>
      <c r="I9" s="328" t="s">
        <v>916</v>
      </c>
      <c r="J9" s="328" t="str">
        <f>INDEX(二三级标准!$Q:$Q,MATCH(服务费底表!I9,二三级标准!$O:$O,0))</f>
        <v>研究文件撰写和审核</v>
      </c>
      <c r="K9" s="328" t="s">
        <v>91</v>
      </c>
      <c r="L9" s="328" t="str">
        <f>INDEX(二三级标准!C:C,MATCH(服务费底表!K9,二三级标准!$B:$B,0))</f>
        <v>方案撰写</v>
      </c>
      <c r="M9" s="328" t="s">
        <v>1179</v>
      </c>
      <c r="N9" s="328" t="str">
        <f>INDEX(二三级标准!$M:$M,MATCH(服务费底表!$M9,二三级标准!$L:$L,0))</f>
        <v>方案全文撰写</v>
      </c>
      <c r="O9" s="328"/>
      <c r="P9" s="327">
        <f>IF(R9=1,INDEX(服务费明细!$E:$E,MATCH(服务费底表!$K9,服务费明细!$B:$B,0)),0)</f>
        <v>1</v>
      </c>
      <c r="Q9" s="328" t="s">
        <v>1176</v>
      </c>
      <c r="R9" s="520">
        <f>IF(AND(方案撰写YN=1,医学撰写YN=1),1,0)</f>
        <v>1</v>
      </c>
      <c r="S9" s="521" t="str">
        <f>IF(AND(H9="医学",OR(I9=二三级标准!$A$4,I9=二三级标准!$A$153)),"医学撰写","医学监查")</f>
        <v>医学撰写</v>
      </c>
      <c r="T9" s="328" t="s">
        <v>615</v>
      </c>
      <c r="U9" s="522" t="str">
        <f>INDEX('Rate Card'!$E:$E,MATCH(服务费底表!$T9,'Rate Card'!$F:$F,0))</f>
        <v>医学经理</v>
      </c>
      <c r="V9" s="331">
        <f>INDEX('Rate Card'!$J:$J,MATCH($T9,'Rate Card'!$F:$F,0))</f>
        <v>650</v>
      </c>
      <c r="W9" s="523">
        <f t="shared" ref="W9:W15" si="16">V9*(1-$W$1)</f>
        <v>650</v>
      </c>
      <c r="X9" s="523">
        <f t="shared" ref="X9:X15" si="17">Y9*$X$1</f>
        <v>48</v>
      </c>
      <c r="Y9" s="327" cm="1">
        <f t="array" ref="Y9">_xlfn.IFS(报价场景=服务费底表!$AJ$2,服务费底表!$AJ9,报价场景=服务费底表!$AP$2,服务费底表!$AP9,报价场景=服务费底表!$AK$2,服务费底表!$AK9,报价场景=服务费底表!$AL$2,服务费底表!$AL9,报价场景=服务费底表!$AM$2,服务费底表!$AM9,报价场景=服务费底表!$AN$2,服务费底表!$AN9,报价场景=服务费底表!$AQ$2,服务费底表!$AQ9,报价场景=服务费底表!$AO$2,服务费底表!$AO9)</f>
        <v>48</v>
      </c>
      <c r="Z9" s="327"/>
      <c r="AA9" s="332">
        <f t="shared" si="7"/>
        <v>48</v>
      </c>
      <c r="AB9" s="333">
        <f t="shared" si="8"/>
        <v>31200</v>
      </c>
      <c r="AC9" s="328">
        <f t="shared" si="9"/>
        <v>48</v>
      </c>
      <c r="AD9" s="334">
        <f t="shared" si="10"/>
        <v>31200</v>
      </c>
      <c r="AE9" s="334">
        <f>$AB9*(1-INDEX(项目参数!$D$5:$D$14,MATCH(服务费底表!$S9,项目参数!$B$5:$B$14,0)))</f>
        <v>31200</v>
      </c>
      <c r="AF9" s="334">
        <f>$AD9*INDEX(项目参数!$D$5:$D$14,MATCH(服务费底表!$S9,项目参数!$B$5:$B$14,0))</f>
        <v>0</v>
      </c>
      <c r="AG9" s="334">
        <f t="shared" si="11"/>
        <v>31200</v>
      </c>
      <c r="AH9" s="328"/>
      <c r="AI9" s="328" t="s">
        <v>615</v>
      </c>
      <c r="AJ9" s="327">
        <v>48</v>
      </c>
      <c r="AK9" s="327">
        <f t="shared" si="14"/>
        <v>72</v>
      </c>
      <c r="AL9" s="327">
        <v>40</v>
      </c>
      <c r="AM9" s="327">
        <v>40</v>
      </c>
      <c r="AN9" s="327">
        <v>40</v>
      </c>
      <c r="AO9" s="327">
        <v>40</v>
      </c>
      <c r="AP9" s="327">
        <v>60</v>
      </c>
      <c r="AQ9" s="327">
        <f t="shared" ref="AQ9:AQ15" si="18">AJ9*$AQ$1</f>
        <v>72</v>
      </c>
      <c r="AR9" s="338"/>
      <c r="AS9" s="327">
        <f t="shared" si="12"/>
        <v>48</v>
      </c>
      <c r="AT9" s="327">
        <f t="shared" si="13"/>
        <v>48</v>
      </c>
      <c r="AU9" s="523">
        <v>40</v>
      </c>
      <c r="AV9" s="328"/>
      <c r="AW9" s="328"/>
      <c r="AX9" s="332">
        <v>40</v>
      </c>
      <c r="AY9" s="328" t="b">
        <f t="shared" si="3"/>
        <v>0</v>
      </c>
      <c r="AZ9" s="328" t="b">
        <f t="shared" si="4"/>
        <v>1</v>
      </c>
    </row>
    <row r="10" ht="27" customHeight="1" spans="1:52">
      <c r="A10" s="326" t="str">
        <f>INDEX('Rate Card'!$A:$A,MATCH(服务费底表!$T10,'Rate Card'!$F:$F,0))</f>
        <v>临床药理</v>
      </c>
      <c r="B10" s="327" t="str">
        <f>INDEX(二三级标准!$G:$G,MATCH(服务费底表!$K10,二三级标准!B:B,0))</f>
        <v>份</v>
      </c>
      <c r="C10" s="327">
        <f>INDEX(服务费明细!$E:$E,MATCH(服务费底表!$K10,服务费明细!$B:$B,0))</f>
        <v>1</v>
      </c>
      <c r="D10" s="327" t="str">
        <f t="shared" si="5"/>
        <v>A001CPS</v>
      </c>
      <c r="E10" s="327" t="str">
        <f t="shared" si="6"/>
        <v>T0003CPS</v>
      </c>
      <c r="F10" s="328"/>
      <c r="G10" s="328" t="s">
        <v>684</v>
      </c>
      <c r="H10" s="326" t="str">
        <f>INDEX('Rate Card'!$B:$B,MATCH(服务费底表!$T10,'Rate Card'!$F:$F,0))</f>
        <v>临床药理</v>
      </c>
      <c r="I10" s="328" t="s">
        <v>916</v>
      </c>
      <c r="J10" s="328" t="str">
        <f>INDEX(二三级标准!$Q:$Q,MATCH(服务费底表!I10,二三级标准!$O:$O,0))</f>
        <v>研究文件撰写和审核</v>
      </c>
      <c r="K10" s="328" t="s">
        <v>91</v>
      </c>
      <c r="L10" s="328" t="str">
        <f>INDEX(二三级标准!C:C,MATCH(服务费底表!K10,二三级标准!$B:$B,0))</f>
        <v>方案撰写</v>
      </c>
      <c r="M10" s="328" t="s">
        <v>1179</v>
      </c>
      <c r="N10" s="328" t="str">
        <f>INDEX(二三级标准!$M:$M,MATCH(服务费底表!$M10,二三级标准!$L:$L,0))</f>
        <v>方案全文撰写</v>
      </c>
      <c r="O10" s="328"/>
      <c r="P10" s="327">
        <f>IF(R10=1,INDEX(服务费明细!$E:$E,MATCH(服务费底表!$K10,服务费明细!$B:$B,0)),0)</f>
        <v>0</v>
      </c>
      <c r="Q10" s="328" t="s">
        <v>1176</v>
      </c>
      <c r="R10" s="520">
        <v>0</v>
      </c>
      <c r="S10" s="330" t="s">
        <v>568</v>
      </c>
      <c r="T10" s="328" t="s">
        <v>652</v>
      </c>
      <c r="U10" s="522" t="str">
        <f>INDEX('Rate Card'!$E:$E,MATCH(服务费底表!$T10,'Rate Card'!$F:$F,0))</f>
        <v>临床药理专员</v>
      </c>
      <c r="V10" s="331">
        <f>INDEX('Rate Card'!$J:$J,MATCH($T10,'Rate Card'!$F:$F,0))</f>
        <v>580</v>
      </c>
      <c r="W10" s="523">
        <f t="shared" si="16"/>
        <v>580</v>
      </c>
      <c r="X10" s="523">
        <f t="shared" si="17"/>
        <v>10</v>
      </c>
      <c r="Y10" s="327" cm="1">
        <f t="array" ref="Y10">_xlfn.IFS(报价场景=服务费底表!$AJ$2,服务费底表!$AJ10,报价场景=服务费底表!$AP$2,服务费底表!$AP10,报价场景=服务费底表!$AK$2,服务费底表!$AK10,报价场景=服务费底表!$AL$2,服务费底表!$AL10,报价场景=服务费底表!$AM$2,服务费底表!$AM10,报价场景=服务费底表!$AN$2,服务费底表!$AN10,报价场景=服务费底表!$AQ$2,服务费底表!$AQ10,报价场景=服务费底表!$AO$2,服务费底表!$AO10)</f>
        <v>10</v>
      </c>
      <c r="Z10" s="327"/>
      <c r="AA10" s="332">
        <f t="shared" si="7"/>
        <v>10</v>
      </c>
      <c r="AB10" s="333">
        <f t="shared" si="8"/>
        <v>0</v>
      </c>
      <c r="AC10" s="328">
        <f t="shared" si="9"/>
        <v>0</v>
      </c>
      <c r="AD10" s="334">
        <f t="shared" si="10"/>
        <v>0</v>
      </c>
      <c r="AE10" s="334">
        <f>$AB10*(1-INDEX(项目参数!$D$5:$D$14,MATCH(服务费底表!$S10,项目参数!$B$5:$B$14,0)))</f>
        <v>0</v>
      </c>
      <c r="AF10" s="334">
        <f>$AD10*INDEX(项目参数!$D$5:$D$14,MATCH(服务费底表!$S10,项目参数!$B$5:$B$14,0))</f>
        <v>0</v>
      </c>
      <c r="AG10" s="334">
        <f t="shared" si="11"/>
        <v>0</v>
      </c>
      <c r="AH10" s="328"/>
      <c r="AI10" s="328" t="s">
        <v>652</v>
      </c>
      <c r="AJ10" s="327">
        <v>10</v>
      </c>
      <c r="AK10" s="327">
        <f t="shared" si="14"/>
        <v>15</v>
      </c>
      <c r="AL10" s="336">
        <v>40</v>
      </c>
      <c r="AM10" s="327">
        <f>AJ10*0.9</f>
        <v>9</v>
      </c>
      <c r="AN10" s="327">
        <f t="shared" si="15"/>
        <v>40</v>
      </c>
      <c r="AO10" s="327">
        <v>0</v>
      </c>
      <c r="AP10" s="327">
        <v>10</v>
      </c>
      <c r="AQ10" s="327">
        <f t="shared" si="18"/>
        <v>15</v>
      </c>
      <c r="AR10" s="338"/>
      <c r="AS10" s="327">
        <f t="shared" si="12"/>
        <v>0</v>
      </c>
      <c r="AT10" s="327">
        <f t="shared" si="13"/>
        <v>0</v>
      </c>
      <c r="AU10" s="523">
        <v>10</v>
      </c>
      <c r="AV10" s="328"/>
      <c r="AW10" s="328"/>
      <c r="AX10" s="332">
        <v>10</v>
      </c>
      <c r="AY10" s="328" t="b">
        <f t="shared" si="3"/>
        <v>1</v>
      </c>
      <c r="AZ10" s="328" t="b">
        <f t="shared" si="4"/>
        <v>1</v>
      </c>
    </row>
    <row r="11" ht="27" customHeight="1" spans="1:52">
      <c r="A11" s="326" t="str">
        <f>INDEX('Rate Card'!$A:$A,MATCH(服务费底表!$T11,'Rate Card'!$F:$F,0))</f>
        <v>医学</v>
      </c>
      <c r="B11" s="327" t="str">
        <f>INDEX(二三级标准!$G:$G,MATCH(服务费底表!$K11,二三级标准!B:B,0))</f>
        <v>份</v>
      </c>
      <c r="C11" s="327">
        <f>INDEX(服务费明细!$E:$E,MATCH(服务费底表!$K11,服务费明细!$B:$B,0))</f>
        <v>1</v>
      </c>
      <c r="D11" s="327" t="str">
        <f t="shared" ref="D11:D16" si="19">K11&amp;T11</f>
        <v>A001MD</v>
      </c>
      <c r="E11" s="327" t="str">
        <f t="shared" ref="E11:E16" si="20">M11&amp;T11</f>
        <v>T0005MD</v>
      </c>
      <c r="F11" s="328"/>
      <c r="G11" s="328" t="s">
        <v>684</v>
      </c>
      <c r="H11" s="326" t="str">
        <f>INDEX('Rate Card'!$B:$B,MATCH(服务费底表!$T11,'Rate Card'!$F:$F,0))</f>
        <v>医学</v>
      </c>
      <c r="I11" s="328" t="s">
        <v>916</v>
      </c>
      <c r="J11" s="328" t="str">
        <f>INDEX(二三级标准!$Q:$Q,MATCH(服务费底表!I11,二三级标准!$O:$O,0))</f>
        <v>研究文件撰写和审核</v>
      </c>
      <c r="K11" s="328" t="s">
        <v>91</v>
      </c>
      <c r="L11" s="328" t="str">
        <f>INDEX(二三级标准!C:C,MATCH(服务费底表!K11,二三级标准!$B:$B,0))</f>
        <v>方案撰写</v>
      </c>
      <c r="M11" s="328" t="s">
        <v>1180</v>
      </c>
      <c r="N11" s="328" t="str">
        <f>INDEX(二三级标准!$M:$M,MATCH(服务费底表!$M11,二三级标准!$L:$L,0))</f>
        <v>方案全文审核</v>
      </c>
      <c r="O11" s="328"/>
      <c r="P11" s="327">
        <f>IF(R11=1,INDEX(服务费明细!$E:$E,MATCH(服务费底表!$K11,服务费明细!$B:$B,0)),0)</f>
        <v>1</v>
      </c>
      <c r="Q11" s="328" t="s">
        <v>1178</v>
      </c>
      <c r="R11" s="520">
        <f>IF(AND(方案撰写YN=1,医学撰写YN=1),1,0)</f>
        <v>1</v>
      </c>
      <c r="S11" s="521" t="str">
        <f>IF(AND(H11="医学",OR(I11=二三级标准!$A$4,I11=二三级标准!$A$153)),"医学撰写","医学监查")</f>
        <v>医学撰写</v>
      </c>
      <c r="T11" s="328" t="s">
        <v>613</v>
      </c>
      <c r="U11" s="522" t="str">
        <f>INDEX('Rate Card'!$E:$E,MATCH(服务费底表!$T11,'Rate Card'!$F:$F,0))</f>
        <v>医学总监</v>
      </c>
      <c r="V11" s="331">
        <f>INDEX('Rate Card'!$J:$J,MATCH($T11,'Rate Card'!$F:$F,0))</f>
        <v>990</v>
      </c>
      <c r="W11" s="523">
        <f t="shared" si="16"/>
        <v>990</v>
      </c>
      <c r="X11" s="523">
        <f t="shared" si="17"/>
        <v>10</v>
      </c>
      <c r="Y11" s="327" cm="1">
        <f t="array" ref="Y11">_xlfn.IFS(报价场景=服务费底表!$AJ$2,服务费底表!$AJ11,报价场景=服务费底表!$AP$2,服务费底表!$AP11,报价场景=服务费底表!$AK$2,服务费底表!$AK11,报价场景=服务费底表!$AL$2,服务费底表!$AL11,报价场景=服务费底表!$AM$2,服务费底表!$AM11,报价场景=服务费底表!$AN$2,服务费底表!$AN11,报价场景=服务费底表!$AQ$2,服务费底表!$AQ11,报价场景=服务费底表!$AO$2,服务费底表!$AO11)</f>
        <v>10</v>
      </c>
      <c r="Z11" s="327"/>
      <c r="AA11" s="332">
        <f t="shared" ref="AA11:AA16" si="21">IF(ISBLANK($Z11),$Y11,$Z11)</f>
        <v>10</v>
      </c>
      <c r="AB11" s="333">
        <f t="shared" ref="AB11:AB16" si="22">IFERROR(AD11/P11,0)</f>
        <v>9900</v>
      </c>
      <c r="AC11" s="328">
        <f t="shared" ref="AC11:AC16" si="23">AA11*P11*R11</f>
        <v>10</v>
      </c>
      <c r="AD11" s="334">
        <f t="shared" ref="AD11:AD14" si="24">AC11*V11</f>
        <v>9900</v>
      </c>
      <c r="AE11" s="334">
        <f>$AB11*(1-INDEX(项目参数!$D$5:$D$14,MATCH(服务费底表!$S11,项目参数!$B$5:$B$14,0)))</f>
        <v>9900</v>
      </c>
      <c r="AF11" s="334">
        <f>$AD11*INDEX(项目参数!$D$5:$D$14,MATCH(服务费底表!$S11,项目参数!$B$5:$B$14,0))</f>
        <v>0</v>
      </c>
      <c r="AG11" s="334">
        <f t="shared" ref="AG11:AG14" si="25">AD11-AF11</f>
        <v>9900</v>
      </c>
      <c r="AH11" s="328"/>
      <c r="AI11" s="328" t="s">
        <v>613</v>
      </c>
      <c r="AJ11" s="327">
        <v>10</v>
      </c>
      <c r="AK11" s="327">
        <f t="shared" si="14"/>
        <v>15</v>
      </c>
      <c r="AL11" s="327">
        <v>1</v>
      </c>
      <c r="AM11" s="327">
        <v>12</v>
      </c>
      <c r="AN11" s="327">
        <f t="shared" si="15"/>
        <v>1</v>
      </c>
      <c r="AO11" s="327">
        <v>12</v>
      </c>
      <c r="AP11" s="327">
        <v>12</v>
      </c>
      <c r="AQ11" s="327">
        <f t="shared" si="18"/>
        <v>15</v>
      </c>
      <c r="AR11" s="338"/>
      <c r="AS11" s="327">
        <f t="shared" ref="AS11:AS16" si="26">AC11</f>
        <v>10</v>
      </c>
      <c r="AT11" s="327">
        <f t="shared" ref="AT11:AT16" si="27">Y11*P11</f>
        <v>10</v>
      </c>
      <c r="AU11" s="523">
        <v>12</v>
      </c>
      <c r="AV11" s="328"/>
      <c r="AW11" s="328"/>
      <c r="AX11" s="332">
        <v>12</v>
      </c>
      <c r="AY11" s="328" t="b">
        <f t="shared" si="3"/>
        <v>0</v>
      </c>
      <c r="AZ11" s="328" t="b">
        <f t="shared" si="4"/>
        <v>1</v>
      </c>
    </row>
    <row r="12" ht="27" customHeight="1" spans="1:52">
      <c r="A12" s="326" t="str">
        <f>INDEX('Rate Card'!$A:$A,MATCH(服务费底表!$T12,'Rate Card'!$F:$F,0))</f>
        <v>临床药理</v>
      </c>
      <c r="B12" s="327" t="str">
        <f>INDEX(二三级标准!$G:$G,MATCH(服务费底表!$K12,二三级标准!B:B,0))</f>
        <v>份</v>
      </c>
      <c r="C12" s="327">
        <f>INDEX(服务费明细!$E:$E,MATCH(服务费底表!$K12,服务费明细!$B:$B,0))</f>
        <v>1</v>
      </c>
      <c r="D12" s="327" t="str">
        <f t="shared" si="19"/>
        <v>A001CPSS</v>
      </c>
      <c r="E12" s="327" t="str">
        <f t="shared" si="20"/>
        <v>T0005CPSS</v>
      </c>
      <c r="F12" s="328"/>
      <c r="G12" s="328" t="s">
        <v>684</v>
      </c>
      <c r="H12" s="326" t="str">
        <f>INDEX('Rate Card'!$B:$B,MATCH(服务费底表!$T12,'Rate Card'!$F:$F,0))</f>
        <v>临床药理</v>
      </c>
      <c r="I12" s="328" t="s">
        <v>916</v>
      </c>
      <c r="J12" s="328" t="str">
        <f>INDEX(二三级标准!$Q:$Q,MATCH(服务费底表!I12,二三级标准!$O:$O,0))</f>
        <v>研究文件撰写和审核</v>
      </c>
      <c r="K12" s="328" t="s">
        <v>91</v>
      </c>
      <c r="L12" s="328" t="str">
        <f>INDEX(二三级标准!C:C,MATCH(服务费底表!K12,二三级标准!$B:$B,0))</f>
        <v>方案撰写</v>
      </c>
      <c r="M12" s="328" t="s">
        <v>1180</v>
      </c>
      <c r="N12" s="328" t="str">
        <f>INDEX(二三级标准!$M:$M,MATCH(服务费底表!$M12,二三级标准!$L:$L,0))</f>
        <v>方案全文审核</v>
      </c>
      <c r="O12" s="328"/>
      <c r="P12" s="327">
        <f>IF(R12=1,INDEX(服务费明细!$E:$E,MATCH(服务费底表!$K12,服务费明细!$B:$B,0)),0)</f>
        <v>0</v>
      </c>
      <c r="Q12" s="328" t="s">
        <v>1178</v>
      </c>
      <c r="R12" s="520">
        <v>0</v>
      </c>
      <c r="S12" s="328" t="str">
        <f>INDEX('Rate Card'!$D:$D,MATCH(服务费底表!$T12,'Rate Card'!F:F,0))</f>
        <v>临床药理</v>
      </c>
      <c r="T12" s="328" t="s">
        <v>654</v>
      </c>
      <c r="U12" s="522" t="str">
        <f>INDEX('Rate Card'!$E:$E,MATCH(服务费底表!$T12,'Rate Card'!$F:$F,0))</f>
        <v>临床药理高级专员</v>
      </c>
      <c r="V12" s="331">
        <f>INDEX('Rate Card'!$J:$J,MATCH($T12,'Rate Card'!$F:$F,0))</f>
        <v>700</v>
      </c>
      <c r="W12" s="523">
        <f t="shared" si="16"/>
        <v>700</v>
      </c>
      <c r="X12" s="523">
        <f t="shared" si="17"/>
        <v>1</v>
      </c>
      <c r="Y12" s="327" cm="1">
        <f t="array" ref="Y12">_xlfn.IFS(报价场景=服务费底表!$AJ$2,服务费底表!$AJ12,报价场景=服务费底表!$AP$2,服务费底表!$AP12,报价场景=服务费底表!$AK$2,服务费底表!$AK12,报价场景=服务费底表!$AL$2,服务费底表!$AL12,报价场景=服务费底表!$AM$2,服务费底表!$AM12,报价场景=服务费底表!$AN$2,服务费底表!$AN12,报价场景=服务费底表!$AQ$2,服务费底表!$AQ12,报价场景=服务费底表!$AO$2,服务费底表!$AO12)</f>
        <v>1</v>
      </c>
      <c r="Z12" s="327"/>
      <c r="AA12" s="332">
        <f t="shared" si="21"/>
        <v>1</v>
      </c>
      <c r="AB12" s="333">
        <f t="shared" si="22"/>
        <v>0</v>
      </c>
      <c r="AC12" s="328">
        <f t="shared" si="23"/>
        <v>0</v>
      </c>
      <c r="AD12" s="334">
        <f t="shared" si="24"/>
        <v>0</v>
      </c>
      <c r="AE12" s="334">
        <f>$AB12*(1-INDEX(项目参数!$D$5:$D$14,MATCH(服务费底表!$S12,项目参数!$B$5:$B$14,0)))</f>
        <v>0</v>
      </c>
      <c r="AF12" s="334">
        <f>$AD12*INDEX(项目参数!$D$5:$D$14,MATCH(服务费底表!$S12,项目参数!$B$5:$B$14,0))</f>
        <v>0</v>
      </c>
      <c r="AG12" s="334">
        <f t="shared" si="25"/>
        <v>0</v>
      </c>
      <c r="AH12" s="328"/>
      <c r="AI12" s="328" t="s">
        <v>654</v>
      </c>
      <c r="AJ12" s="327">
        <v>1</v>
      </c>
      <c r="AK12" s="327">
        <v>1</v>
      </c>
      <c r="AL12" s="336">
        <v>2</v>
      </c>
      <c r="AM12" s="327">
        <v>1</v>
      </c>
      <c r="AN12" s="327">
        <v>2</v>
      </c>
      <c r="AO12" s="327">
        <v>1</v>
      </c>
      <c r="AP12" s="327">
        <v>1</v>
      </c>
      <c r="AQ12" s="327">
        <f t="shared" si="18"/>
        <v>1.5</v>
      </c>
      <c r="AR12" s="338"/>
      <c r="AS12" s="327">
        <f t="shared" si="26"/>
        <v>0</v>
      </c>
      <c r="AT12" s="327">
        <f t="shared" si="27"/>
        <v>0</v>
      </c>
      <c r="AU12" s="523">
        <v>1</v>
      </c>
      <c r="AV12" s="328"/>
      <c r="AW12" s="328"/>
      <c r="AX12" s="332">
        <v>1</v>
      </c>
      <c r="AY12" s="328" t="b">
        <f t="shared" si="3"/>
        <v>1</v>
      </c>
      <c r="AZ12" s="328" t="b">
        <f t="shared" si="4"/>
        <v>1</v>
      </c>
    </row>
    <row r="13" ht="27" customHeight="1" spans="1:52">
      <c r="A13" s="326" t="str">
        <f>INDEX('Rate Card'!$A:$A,MATCH(服务费底表!$T13,'Rate Card'!$F:$F,0))</f>
        <v>数统</v>
      </c>
      <c r="B13" s="327" t="str">
        <f>INDEX(二三级标准!$G:$G,MATCH(服务费底表!$K13,二三级标准!B:B,0))</f>
        <v>份</v>
      </c>
      <c r="C13" s="327">
        <f>INDEX(服务费明细!$E:$E,MATCH(服务费底表!$K13,服务费明细!$B:$B,0))</f>
        <v>1</v>
      </c>
      <c r="D13" s="327" t="str">
        <f t="shared" si="19"/>
        <v>A001STM</v>
      </c>
      <c r="E13" s="327" t="str">
        <f t="shared" si="20"/>
        <v>T0005STM</v>
      </c>
      <c r="F13" s="328"/>
      <c r="G13" s="328" t="s">
        <v>684</v>
      </c>
      <c r="H13" s="326" t="str">
        <f>INDEX('Rate Card'!$B:$B,MATCH(服务费底表!$T13,'Rate Card'!$F:$F,0))</f>
        <v>生物统计及分析</v>
      </c>
      <c r="I13" s="328" t="s">
        <v>916</v>
      </c>
      <c r="J13" s="328" t="str">
        <f>INDEX(二三级标准!$Q:$Q,MATCH(服务费底表!I13,二三级标准!$O:$O,0))</f>
        <v>研究文件撰写和审核</v>
      </c>
      <c r="K13" s="328" t="s">
        <v>91</v>
      </c>
      <c r="L13" s="328" t="str">
        <f>INDEX(二三级标准!C:C,MATCH(服务费底表!K13,二三级标准!$B:$B,0))</f>
        <v>方案撰写</v>
      </c>
      <c r="M13" s="328" t="s">
        <v>1180</v>
      </c>
      <c r="N13" s="328" t="str">
        <f>INDEX(二三级标准!$M:$M,MATCH(服务费底表!$M13,二三级标准!$L:$L,0))</f>
        <v>方案全文审核</v>
      </c>
      <c r="O13" s="328"/>
      <c r="P13" s="327">
        <f>IF(R13=1,INDEX(服务费明细!$E:$E,MATCH(服务费底表!$K13,服务费明细!$B:$B,0)),0)</f>
        <v>1</v>
      </c>
      <c r="Q13" s="328" t="s">
        <v>1178</v>
      </c>
      <c r="R13" s="520">
        <f>IF(AND(方案撰写YN=1,生物统计YN=1),1,0)</f>
        <v>1</v>
      </c>
      <c r="S13" s="524" t="str">
        <f>INDEX('Rate Card'!$D:$D,MATCH(服务费底表!$T13,'Rate Card'!F:F,0))</f>
        <v>生物统计</v>
      </c>
      <c r="T13" s="328" t="s">
        <v>642</v>
      </c>
      <c r="U13" s="522" t="str">
        <f>INDEX('Rate Card'!$E:$E,MATCH(服务费底表!$T13,'Rate Card'!$F:$F,0))</f>
        <v>生物统计经理</v>
      </c>
      <c r="V13" s="331">
        <f>INDEX('Rate Card'!$J:$J,MATCH($T13,'Rate Card'!$F:$F,0))</f>
        <v>700</v>
      </c>
      <c r="W13" s="523">
        <f t="shared" si="16"/>
        <v>700</v>
      </c>
      <c r="X13" s="523">
        <f t="shared" si="17"/>
        <v>2</v>
      </c>
      <c r="Y13" s="327" cm="1">
        <f t="array" ref="Y13">_xlfn.IFS(报价场景=服务费底表!$AJ$2,服务费底表!$AJ13,报价场景=服务费底表!$AP$2,服务费底表!$AP13,报价场景=服务费底表!$AK$2,服务费底表!$AK13,报价场景=服务费底表!$AL$2,服务费底表!$AL13,报价场景=服务费底表!$AM$2,服务费底表!$AM13,报价场景=服务费底表!$AN$2,服务费底表!$AN13,报价场景=服务费底表!$AQ$2,服务费底表!$AQ13,报价场景=服务费底表!$AO$2,服务费底表!$AO13)</f>
        <v>2</v>
      </c>
      <c r="Z13" s="327"/>
      <c r="AA13" s="332">
        <f t="shared" si="21"/>
        <v>2</v>
      </c>
      <c r="AB13" s="333">
        <f t="shared" si="22"/>
        <v>1400</v>
      </c>
      <c r="AC13" s="328">
        <f t="shared" si="23"/>
        <v>2</v>
      </c>
      <c r="AD13" s="334">
        <f t="shared" si="24"/>
        <v>1400</v>
      </c>
      <c r="AE13" s="334">
        <f>$AB13*(1-INDEX(项目参数!$D$5:$D$14,MATCH(服务费底表!$S13,项目参数!$B$5:$B$14,0)))</f>
        <v>1400</v>
      </c>
      <c r="AF13" s="334">
        <f>$AD13*INDEX(项目参数!$D$5:$D$14,MATCH(服务费底表!$S13,项目参数!$B$5:$B$14,0))</f>
        <v>0</v>
      </c>
      <c r="AG13" s="334">
        <f t="shared" si="25"/>
        <v>1400</v>
      </c>
      <c r="AH13" s="328"/>
      <c r="AI13" s="328" t="s">
        <v>642</v>
      </c>
      <c r="AJ13" s="327">
        <v>2</v>
      </c>
      <c r="AK13" s="327">
        <f>AJ13*4</f>
        <v>8</v>
      </c>
      <c r="AL13" s="336">
        <v>1</v>
      </c>
      <c r="AM13" s="327">
        <v>2</v>
      </c>
      <c r="AN13" s="327">
        <v>1</v>
      </c>
      <c r="AO13" s="327">
        <v>0.5</v>
      </c>
      <c r="AP13" s="327">
        <v>1</v>
      </c>
      <c r="AQ13" s="327">
        <f t="shared" si="18"/>
        <v>3</v>
      </c>
      <c r="AR13" s="338"/>
      <c r="AS13" s="327">
        <f t="shared" si="26"/>
        <v>2</v>
      </c>
      <c r="AT13" s="327">
        <f t="shared" si="27"/>
        <v>2</v>
      </c>
      <c r="AU13" s="523">
        <v>1</v>
      </c>
      <c r="AV13" s="328"/>
      <c r="AW13" s="328"/>
      <c r="AX13" s="332">
        <v>1</v>
      </c>
      <c r="AY13" s="328" t="b">
        <f t="shared" si="3"/>
        <v>0</v>
      </c>
      <c r="AZ13" s="328" t="b">
        <f t="shared" si="4"/>
        <v>1</v>
      </c>
    </row>
    <row r="14" ht="27" customHeight="1" spans="1:52">
      <c r="A14" s="326" t="str">
        <f>INDEX('Rate Card'!$A:$A,MATCH(服务费底表!$T14,'Rate Card'!$F:$F,0))</f>
        <v>数统</v>
      </c>
      <c r="B14" s="327" t="str">
        <f>INDEX(二三级标准!$G:$G,MATCH(服务费底表!$K14,二三级标准!B:B,0))</f>
        <v>份</v>
      </c>
      <c r="C14" s="327">
        <f>INDEX(服务费明细!$E:$E,MATCH(服务费底表!$K14,服务费明细!$B:$B,0))</f>
        <v>1</v>
      </c>
      <c r="D14" s="327" t="str">
        <f t="shared" si="19"/>
        <v>A001LDM</v>
      </c>
      <c r="E14" s="327" t="str">
        <f t="shared" si="20"/>
        <v>T0005LDM</v>
      </c>
      <c r="F14" s="328"/>
      <c r="G14" s="328" t="s">
        <v>684</v>
      </c>
      <c r="H14" s="326" t="str">
        <f>INDEX('Rate Card'!$B:$B,MATCH(服务费底表!$T14,'Rate Card'!$F:$F,0))</f>
        <v>数据管理</v>
      </c>
      <c r="I14" s="328" t="s">
        <v>916</v>
      </c>
      <c r="J14" s="328" t="str">
        <f>INDEX(二三级标准!$Q:$Q,MATCH(服务费底表!I14,二三级标准!$O:$O,0))</f>
        <v>研究文件撰写和审核</v>
      </c>
      <c r="K14" s="328" t="s">
        <v>91</v>
      </c>
      <c r="L14" s="328" t="str">
        <f>INDEX(二三级标准!C:C,MATCH(服务费底表!K14,二三级标准!$B:$B,0))</f>
        <v>方案撰写</v>
      </c>
      <c r="M14" s="328" t="s">
        <v>1180</v>
      </c>
      <c r="N14" s="328" t="str">
        <f>INDEX(二三级标准!$M:$M,MATCH(服务费底表!$M14,二三级标准!$L:$L,0))</f>
        <v>方案全文审核</v>
      </c>
      <c r="O14" s="328"/>
      <c r="P14" s="327">
        <f>IF(R14=1,INDEX(服务费明细!$E:$E,MATCH(服务费底表!$K14,服务费明细!$B:$B,0)),0)</f>
        <v>0</v>
      </c>
      <c r="Q14" s="328" t="s">
        <v>1178</v>
      </c>
      <c r="R14" s="520">
        <v>0</v>
      </c>
      <c r="S14" s="524" t="str">
        <f>INDEX('Rate Card'!$D:$D,MATCH(服务费底表!$T14,'Rate Card'!F:F,0))</f>
        <v>数据管理</v>
      </c>
      <c r="T14" s="328" t="s">
        <v>633</v>
      </c>
      <c r="U14" s="522" t="str">
        <f>INDEX('Rate Card'!$E:$E,MATCH(服务费底表!$T14,'Rate Card'!$F:$F,0))</f>
        <v>数据管理经理</v>
      </c>
      <c r="V14" s="331">
        <f>INDEX('Rate Card'!$J:$J,MATCH($T14,'Rate Card'!$F:$F,0))</f>
        <v>360</v>
      </c>
      <c r="W14" s="523">
        <f t="shared" si="16"/>
        <v>360</v>
      </c>
      <c r="X14" s="523">
        <f t="shared" si="17"/>
        <v>1</v>
      </c>
      <c r="Y14" s="327" cm="1">
        <f t="array" ref="Y14">_xlfn.IFS(报价场景=服务费底表!$AJ$2,服务费底表!$AJ14,报价场景=服务费底表!$AP$2,服务费底表!$AP14,报价场景=服务费底表!$AK$2,服务费底表!$AK14,报价场景=服务费底表!$AL$2,服务费底表!$AL14,报价场景=服务费底表!$AM$2,服务费底表!$AM14,报价场景=服务费底表!$AN$2,服务费底表!$AN14,报价场景=服务费底表!$AQ$2,服务费底表!$AQ14,报价场景=服务费底表!$AO$2,服务费底表!$AO14)</f>
        <v>1</v>
      </c>
      <c r="Z14" s="327"/>
      <c r="AA14" s="332">
        <f t="shared" si="21"/>
        <v>1</v>
      </c>
      <c r="AB14" s="333">
        <f t="shared" si="22"/>
        <v>0</v>
      </c>
      <c r="AC14" s="328">
        <f t="shared" si="23"/>
        <v>0</v>
      </c>
      <c r="AD14" s="334">
        <f t="shared" si="24"/>
        <v>0</v>
      </c>
      <c r="AE14" s="334">
        <f>$AB14*(1-INDEX(项目参数!$D$5:$D$14,MATCH(服务费底表!$S14,项目参数!$B$5:$B$14,0)))</f>
        <v>0</v>
      </c>
      <c r="AF14" s="334">
        <f>$AD14*INDEX(项目参数!$D$5:$D$14,MATCH(服务费底表!$S14,项目参数!$B$5:$B$14,0))</f>
        <v>0</v>
      </c>
      <c r="AG14" s="334">
        <f t="shared" si="25"/>
        <v>0</v>
      </c>
      <c r="AH14" s="328"/>
      <c r="AI14" s="328" t="s">
        <v>633</v>
      </c>
      <c r="AJ14" s="327">
        <v>1</v>
      </c>
      <c r="AK14" s="327">
        <v>1.5</v>
      </c>
      <c r="AL14" s="336">
        <v>1</v>
      </c>
      <c r="AM14" s="327">
        <v>2</v>
      </c>
      <c r="AN14" s="327">
        <v>1</v>
      </c>
      <c r="AO14" s="327">
        <v>0.5</v>
      </c>
      <c r="AP14" s="327">
        <v>1</v>
      </c>
      <c r="AQ14" s="327">
        <f t="shared" si="18"/>
        <v>1.5</v>
      </c>
      <c r="AR14" s="338"/>
      <c r="AS14" s="327">
        <f t="shared" si="26"/>
        <v>0</v>
      </c>
      <c r="AT14" s="327">
        <f t="shared" si="27"/>
        <v>0</v>
      </c>
      <c r="AU14" s="523">
        <v>1</v>
      </c>
      <c r="AV14" s="328"/>
      <c r="AW14" s="328"/>
      <c r="AX14" s="332">
        <v>1</v>
      </c>
      <c r="AY14" s="328" t="b">
        <f t="shared" si="3"/>
        <v>1</v>
      </c>
      <c r="AZ14" s="328" t="b">
        <f t="shared" si="4"/>
        <v>1</v>
      </c>
    </row>
    <row r="15" ht="27" customHeight="1" spans="1:52">
      <c r="A15" s="326" t="str">
        <f>INDEX('Rate Card'!$A:$A,MATCH(服务费底表!$T15,'Rate Card'!$F:$F,0))</f>
        <v>临床药理</v>
      </c>
      <c r="B15" s="327" t="str">
        <f>INDEX(二三级标准!$G:$G,MATCH(服务费底表!$K15,二三级标准!B:B,0))</f>
        <v>份</v>
      </c>
      <c r="C15" s="327">
        <f>INDEX(服务费明细!$E:$E,MATCH(服务费底表!$K15,服务费明细!$B:$B,0))</f>
        <v>1</v>
      </c>
      <c r="D15" s="327" t="str">
        <f t="shared" si="19"/>
        <v>A001CPSS</v>
      </c>
      <c r="E15" s="327" t="str">
        <f t="shared" si="20"/>
        <v>T0006CPSS</v>
      </c>
      <c r="F15" s="328"/>
      <c r="G15" s="328" t="s">
        <v>684</v>
      </c>
      <c r="H15" s="326" t="str">
        <f>INDEX('Rate Card'!$B:$B,MATCH(服务费底表!$T15,'Rate Card'!$F:$F,0))</f>
        <v>临床药理</v>
      </c>
      <c r="I15" s="328" t="s">
        <v>916</v>
      </c>
      <c r="J15" s="328" t="str">
        <f>INDEX(二三级标准!$Q:$Q,MATCH(服务费底表!I15,二三级标准!$O:$O,0))</f>
        <v>研究文件撰写和审核</v>
      </c>
      <c r="K15" s="328" t="s">
        <v>91</v>
      </c>
      <c r="L15" s="328" t="str">
        <f>INDEX(二三级标准!C:C,MATCH(服务费底表!K15,二三级标准!$B:$B,0))</f>
        <v>方案撰写</v>
      </c>
      <c r="M15" s="328" t="s">
        <v>1181</v>
      </c>
      <c r="N15" s="328" t="str">
        <f>INDEX(二三级标准!$M:$M,MATCH(服务费底表!$M15,二三级标准!$L:$L,0))</f>
        <v>方案讨论后方案修订</v>
      </c>
      <c r="O15" s="328"/>
      <c r="P15" s="327">
        <f>IF(R15=1,INDEX(服务费明细!$E:$E,MATCH(服务费底表!$K15,服务费明细!$B:$B,0)),0)</f>
        <v>0</v>
      </c>
      <c r="Q15" s="328" t="s">
        <v>1178</v>
      </c>
      <c r="R15" s="520">
        <v>0</v>
      </c>
      <c r="S15" s="330" t="s">
        <v>568</v>
      </c>
      <c r="T15" s="328" t="s">
        <v>654</v>
      </c>
      <c r="U15" s="522" t="str">
        <f>INDEX('Rate Card'!$E:$E,MATCH(服务费底表!$T15,'Rate Card'!$F:$F,0))</f>
        <v>临床药理高级专员</v>
      </c>
      <c r="V15" s="331">
        <f>INDEX('Rate Card'!$J:$J,MATCH($T15,'Rate Card'!$F:$F,0))</f>
        <v>700</v>
      </c>
      <c r="W15" s="523">
        <f t="shared" si="16"/>
        <v>700</v>
      </c>
      <c r="X15" s="523">
        <f t="shared" si="17"/>
        <v>0</v>
      </c>
      <c r="Y15" s="327" cm="1">
        <f t="array" ref="Y15">_xlfn.IFS(报价场景=服务费底表!$AJ$2,服务费底表!$AJ15,报价场景=服务费底表!$AP$2,服务费底表!$AP15,报价场景=服务费底表!$AK$2,服务费底表!$AK15,报价场景=服务费底表!$AL$2,服务费底表!$AL15,报价场景=服务费底表!$AM$2,服务费底表!$AM15,报价场景=服务费底表!$AN$2,服务费底表!$AN15,报价场景=服务费底表!$AQ$2,服务费底表!$AQ15,报价场景=服务费底表!$AO$2,服务费底表!$AO15)</f>
        <v>0</v>
      </c>
      <c r="Z15" s="327"/>
      <c r="AA15" s="332">
        <f t="shared" si="21"/>
        <v>0</v>
      </c>
      <c r="AB15" s="333">
        <f t="shared" si="22"/>
        <v>0</v>
      </c>
      <c r="AC15" s="328">
        <f t="shared" si="23"/>
        <v>0</v>
      </c>
      <c r="AD15" s="334">
        <f t="shared" ref="AD15:AD27" si="28">AC15*V15</f>
        <v>0</v>
      </c>
      <c r="AE15" s="334">
        <f>$AB15*(1-INDEX(项目参数!$D$5:$D$14,MATCH(服务费底表!$S15,项目参数!$B$5:$B$14,0)))</f>
        <v>0</v>
      </c>
      <c r="AF15" s="334">
        <f>$AD15*INDEX(项目参数!$D$5:$D$14,MATCH(服务费底表!$S15,项目参数!$B$5:$B$14,0))</f>
        <v>0</v>
      </c>
      <c r="AG15" s="334">
        <f t="shared" ref="AG15:AG27" si="29">AD15-AF15</f>
        <v>0</v>
      </c>
      <c r="AH15" s="328"/>
      <c r="AI15" s="328" t="s">
        <v>654</v>
      </c>
      <c r="AJ15" s="327">
        <v>0</v>
      </c>
      <c r="AK15" s="327">
        <f t="shared" ref="AK15:AK17" si="30">AJ15*1.5</f>
        <v>0</v>
      </c>
      <c r="AL15" s="327">
        <v>4</v>
      </c>
      <c r="AM15" s="327">
        <v>0</v>
      </c>
      <c r="AN15" s="327">
        <v>0</v>
      </c>
      <c r="AO15" s="327">
        <v>0</v>
      </c>
      <c r="AP15" s="327">
        <v>0</v>
      </c>
      <c r="AQ15" s="327">
        <f t="shared" si="18"/>
        <v>0</v>
      </c>
      <c r="AR15" s="338"/>
      <c r="AS15" s="327">
        <f t="shared" si="26"/>
        <v>0</v>
      </c>
      <c r="AT15" s="327">
        <f t="shared" si="27"/>
        <v>0</v>
      </c>
      <c r="AU15" s="523">
        <v>0</v>
      </c>
      <c r="AV15" s="328"/>
      <c r="AW15" s="328"/>
      <c r="AX15" s="332">
        <v>0</v>
      </c>
      <c r="AY15" s="328" t="b">
        <f t="shared" si="3"/>
        <v>1</v>
      </c>
      <c r="AZ15" s="328" t="b">
        <f t="shared" si="4"/>
        <v>1</v>
      </c>
    </row>
    <row r="16" ht="27" customHeight="1" spans="1:52">
      <c r="A16" s="326" t="str">
        <f>INDEX('Rate Card'!$A:$A,MATCH(服务费底表!$T16,'Rate Card'!$F:$F,0))</f>
        <v>医学</v>
      </c>
      <c r="B16" s="327" t="str">
        <f>INDEX(二三级标准!$G:$G,MATCH(服务费底表!$K16,二三级标准!B:B,0))</f>
        <v>份</v>
      </c>
      <c r="C16" s="327">
        <f>INDEX(服务费明细!$E:$E,MATCH(服务费底表!$K16,服务费明细!$B:$B,0))</f>
        <v>1</v>
      </c>
      <c r="D16" s="327" t="str">
        <f t="shared" si="19"/>
        <v>A001MM</v>
      </c>
      <c r="E16" s="327" t="str">
        <f t="shared" si="20"/>
        <v>T0006MM</v>
      </c>
      <c r="F16" s="328"/>
      <c r="G16" s="328" t="s">
        <v>684</v>
      </c>
      <c r="H16" s="326" t="str">
        <f>INDEX('Rate Card'!$B:$B,MATCH(服务费底表!$T16,'Rate Card'!$F:$F,0))</f>
        <v>医学</v>
      </c>
      <c r="I16" s="328" t="s">
        <v>916</v>
      </c>
      <c r="J16" s="328" t="str">
        <f>INDEX(二三级标准!$Q:$Q,MATCH(服务费底表!I16,二三级标准!$O:$O,0))</f>
        <v>研究文件撰写和审核</v>
      </c>
      <c r="K16" s="328" t="s">
        <v>91</v>
      </c>
      <c r="L16" s="328" t="str">
        <f>INDEX(二三级标准!C:C,MATCH(服务费底表!K16,二三级标准!$B:$B,0))</f>
        <v>方案撰写</v>
      </c>
      <c r="M16" s="328" t="s">
        <v>1181</v>
      </c>
      <c r="N16" s="328" t="str">
        <f>INDEX(二三级标准!$M:$M,MATCH(服务费底表!$M16,二三级标准!$L:$L,0))</f>
        <v>方案讨论后方案修订</v>
      </c>
      <c r="O16" s="328"/>
      <c r="P16" s="327">
        <f>IF(R16=1,INDEX(服务费明细!$E:$E,MATCH(服务费底表!$K16,服务费明细!$B:$B,0)),0)</f>
        <v>1</v>
      </c>
      <c r="Q16" s="328" t="s">
        <v>1178</v>
      </c>
      <c r="R16" s="520">
        <f>IF(AND(方案撰写YN=1,医学撰写YN=1),1,0)</f>
        <v>1</v>
      </c>
      <c r="S16" s="521" t="str">
        <f>IF(AND(H16="医学",OR(I16=二三级标准!$A$4,I16=二三级标准!$A$153)),"医学撰写","医学监查")</f>
        <v>医学撰写</v>
      </c>
      <c r="T16" s="328" t="s">
        <v>615</v>
      </c>
      <c r="U16" s="522" t="str">
        <f>INDEX('Rate Card'!$E:$E,MATCH(服务费底表!$T16,'Rate Card'!$F:$F,0))</f>
        <v>医学经理</v>
      </c>
      <c r="V16" s="331">
        <f>INDEX('Rate Card'!$J:$J,MATCH($T16,'Rate Card'!$F:$F,0))</f>
        <v>650</v>
      </c>
      <c r="W16" s="523">
        <f t="shared" ref="W16:W22" si="31">V16*(1-$W$1)</f>
        <v>650</v>
      </c>
      <c r="X16" s="523">
        <f t="shared" ref="X16:X22" si="32">Y16*$X$1</f>
        <v>16</v>
      </c>
      <c r="Y16" s="327" cm="1">
        <f t="array" ref="Y16">_xlfn.IFS(报价场景=服务费底表!$AJ$2,服务费底表!$AJ16,报价场景=服务费底表!$AP$2,服务费底表!$AP16,报价场景=服务费底表!$AK$2,服务费底表!$AK16,报价场景=服务费底表!$AL$2,服务费底表!$AL16,报价场景=服务费底表!$AM$2,服务费底表!$AM16,报价场景=服务费底表!$AN$2,服务费底表!$AN16,报价场景=服务费底表!$AQ$2,服务费底表!$AQ16,报价场景=服务费底表!$AO$2,服务费底表!$AO16)</f>
        <v>16</v>
      </c>
      <c r="Z16" s="327"/>
      <c r="AA16" s="332">
        <f t="shared" si="21"/>
        <v>16</v>
      </c>
      <c r="AB16" s="333">
        <f t="shared" si="22"/>
        <v>10400</v>
      </c>
      <c r="AC16" s="328">
        <f t="shared" si="23"/>
        <v>16</v>
      </c>
      <c r="AD16" s="334">
        <f t="shared" si="28"/>
        <v>10400</v>
      </c>
      <c r="AE16" s="334">
        <f>$AB16*(1-INDEX(项目参数!$D$5:$D$14,MATCH(服务费底表!$S16,项目参数!$B$5:$B$14,0)))</f>
        <v>10400</v>
      </c>
      <c r="AF16" s="334">
        <f>$AD16*INDEX(项目参数!$D$5:$D$14,MATCH(服务费底表!$S16,项目参数!$B$5:$B$14,0))</f>
        <v>0</v>
      </c>
      <c r="AG16" s="334">
        <f t="shared" si="29"/>
        <v>10400</v>
      </c>
      <c r="AH16" s="328"/>
      <c r="AI16" s="328" t="s">
        <v>615</v>
      </c>
      <c r="AJ16" s="327">
        <v>16</v>
      </c>
      <c r="AK16" s="327">
        <f t="shared" si="30"/>
        <v>24</v>
      </c>
      <c r="AL16" s="327">
        <v>12</v>
      </c>
      <c r="AM16" s="327">
        <v>16</v>
      </c>
      <c r="AN16" s="327">
        <v>12</v>
      </c>
      <c r="AO16" s="327">
        <v>16</v>
      </c>
      <c r="AP16" s="327">
        <v>16</v>
      </c>
      <c r="AQ16" s="327">
        <f t="shared" ref="AQ16:AQ22" si="33">AJ16*$AQ$1</f>
        <v>24</v>
      </c>
      <c r="AR16" s="338"/>
      <c r="AS16" s="327">
        <f t="shared" si="26"/>
        <v>16</v>
      </c>
      <c r="AT16" s="327">
        <f t="shared" si="27"/>
        <v>16</v>
      </c>
      <c r="AU16" s="523">
        <v>16</v>
      </c>
      <c r="AV16" s="328"/>
      <c r="AW16" s="328"/>
      <c r="AX16" s="332">
        <v>16</v>
      </c>
      <c r="AY16" s="328" t="b">
        <f t="shared" si="3"/>
        <v>1</v>
      </c>
      <c r="AZ16" s="328" t="b">
        <f t="shared" si="4"/>
        <v>1</v>
      </c>
    </row>
    <row r="17" ht="27" customHeight="1" spans="1:52">
      <c r="A17" s="326" t="str">
        <f>INDEX('Rate Card'!$A:$A,MATCH(服务费底表!$T17,'Rate Card'!$F:$F,0))</f>
        <v>医学</v>
      </c>
      <c r="B17" s="327" t="str">
        <f>INDEX(二三级标准!$G:$G,MATCH(服务费底表!$K17,二三级标准!B:B,0))</f>
        <v>份</v>
      </c>
      <c r="C17" s="327">
        <f>INDEX(服务费明细!$E:$E,MATCH(服务费底表!$K17,服务费明细!$B:$B,0))</f>
        <v>1</v>
      </c>
      <c r="D17" s="327" t="str">
        <f t="shared" ref="D17:D22" si="34">K17&amp;T17</f>
        <v>A001MD</v>
      </c>
      <c r="E17" s="327" t="str">
        <f t="shared" ref="E17:E22" si="35">M17&amp;T17</f>
        <v>T0007MD</v>
      </c>
      <c r="F17" s="328"/>
      <c r="G17" s="328" t="s">
        <v>684</v>
      </c>
      <c r="H17" s="326" t="str">
        <f>INDEX('Rate Card'!$B:$B,MATCH(服务费底表!$T17,'Rate Card'!$F:$F,0))</f>
        <v>医学</v>
      </c>
      <c r="I17" s="328" t="s">
        <v>916</v>
      </c>
      <c r="J17" s="328" t="str">
        <f>INDEX(二三级标准!$Q:$Q,MATCH(服务费底表!I17,二三级标准!$O:$O,0))</f>
        <v>研究文件撰写和审核</v>
      </c>
      <c r="K17" s="328" t="s">
        <v>91</v>
      </c>
      <c r="L17" s="328" t="str">
        <f>INDEX(二三级标准!C:C,MATCH(服务费底表!K17,二三级标准!$B:$B,0))</f>
        <v>方案撰写</v>
      </c>
      <c r="M17" s="328" t="s">
        <v>1182</v>
      </c>
      <c r="N17" s="328" t="str">
        <f>INDEX(二三级标准!$M:$M,MATCH(服务费底表!$M17,二三级标准!$L:$L,0))</f>
        <v>方案讨论后方案审阅</v>
      </c>
      <c r="O17" s="328"/>
      <c r="P17" s="327">
        <f>IF(R17=1,INDEX(服务费明细!$E:$E,MATCH(服务费底表!$K17,服务费明细!$B:$B,0)),0)</f>
        <v>1</v>
      </c>
      <c r="Q17" s="328" t="s">
        <v>1178</v>
      </c>
      <c r="R17" s="520">
        <f>IF(AND(方案撰写YN=1,医学撰写YN=1),1,0)</f>
        <v>1</v>
      </c>
      <c r="S17" s="521" t="str">
        <f>IF(AND(H17="医学",OR(I17=二三级标准!$A$4,I17=二三级标准!$A$153)),"医学撰写","医学监查")</f>
        <v>医学撰写</v>
      </c>
      <c r="T17" s="328" t="s">
        <v>613</v>
      </c>
      <c r="U17" s="522" t="str">
        <f>INDEX('Rate Card'!$E:$E,MATCH(服务费底表!$T17,'Rate Card'!$F:$F,0))</f>
        <v>医学总监</v>
      </c>
      <c r="V17" s="331">
        <f>INDEX('Rate Card'!$J:$J,MATCH($T17,'Rate Card'!$F:$F,0))</f>
        <v>990</v>
      </c>
      <c r="W17" s="523">
        <f t="shared" si="31"/>
        <v>990</v>
      </c>
      <c r="X17" s="523">
        <f t="shared" si="32"/>
        <v>8</v>
      </c>
      <c r="Y17" s="327" cm="1">
        <f t="array" ref="Y17">_xlfn.IFS(报价场景=服务费底表!$AJ$2,服务费底表!$AJ17,报价场景=服务费底表!$AP$2,服务费底表!$AP17,报价场景=服务费底表!$AK$2,服务费底表!$AK17,报价场景=服务费底表!$AL$2,服务费底表!$AL17,报价场景=服务费底表!$AM$2,服务费底表!$AM17,报价场景=服务费底表!$AN$2,服务费底表!$AN17,报价场景=服务费底表!$AQ$2,服务费底表!$AQ17,报价场景=服务费底表!$AO$2,服务费底表!$AO17)</f>
        <v>8</v>
      </c>
      <c r="Z17" s="327"/>
      <c r="AA17" s="332">
        <f t="shared" ref="AA17:AA22" si="36">IF(ISBLANK($Z17),$Y17,$Z17)</f>
        <v>8</v>
      </c>
      <c r="AB17" s="333">
        <f t="shared" ref="AB17:AB22" si="37">IFERROR(AD17/P17,0)</f>
        <v>7920</v>
      </c>
      <c r="AC17" s="328">
        <f t="shared" ref="AC17:AC22" si="38">AA17*P17*R17</f>
        <v>8</v>
      </c>
      <c r="AD17" s="334">
        <f t="shared" si="28"/>
        <v>7920</v>
      </c>
      <c r="AE17" s="334">
        <f>$AB17*(1-INDEX(项目参数!$D$5:$D$14,MATCH(服务费底表!$S17,项目参数!$B$5:$B$14,0)))</f>
        <v>7920</v>
      </c>
      <c r="AF17" s="334">
        <f>$AD17*INDEX(项目参数!$D$5:$D$14,MATCH(服务费底表!$S17,项目参数!$B$5:$B$14,0))</f>
        <v>0</v>
      </c>
      <c r="AG17" s="334">
        <f t="shared" si="29"/>
        <v>7920</v>
      </c>
      <c r="AH17" s="328"/>
      <c r="AI17" s="328" t="s">
        <v>613</v>
      </c>
      <c r="AJ17" s="327">
        <v>8</v>
      </c>
      <c r="AK17" s="327">
        <f t="shared" si="30"/>
        <v>12</v>
      </c>
      <c r="AL17" s="327">
        <v>8</v>
      </c>
      <c r="AM17" s="327">
        <v>8</v>
      </c>
      <c r="AN17" s="327">
        <v>8</v>
      </c>
      <c r="AO17" s="327">
        <v>6</v>
      </c>
      <c r="AP17" s="327">
        <v>8</v>
      </c>
      <c r="AQ17" s="327">
        <f t="shared" si="33"/>
        <v>12</v>
      </c>
      <c r="AR17" s="338"/>
      <c r="AS17" s="327">
        <f t="shared" ref="AS17:AS22" si="39">AC17</f>
        <v>8</v>
      </c>
      <c r="AT17" s="327">
        <f t="shared" ref="AT17:AT22" si="40">Y17*P17</f>
        <v>8</v>
      </c>
      <c r="AU17" s="523">
        <v>8</v>
      </c>
      <c r="AV17" s="328"/>
      <c r="AW17" s="328"/>
      <c r="AX17" s="332">
        <v>8</v>
      </c>
      <c r="AY17" s="328" t="b">
        <f t="shared" si="3"/>
        <v>1</v>
      </c>
      <c r="AZ17" s="328" t="b">
        <f t="shared" si="4"/>
        <v>1</v>
      </c>
    </row>
    <row r="18" ht="27" customHeight="1" spans="1:52">
      <c r="A18" s="326" t="str">
        <f>INDEX('Rate Card'!$A:$A,MATCH(服务费底表!$T18,'Rate Card'!$F:$F,0))</f>
        <v>临床药理</v>
      </c>
      <c r="B18" s="327" t="str">
        <f>INDEX(二三级标准!$G:$G,MATCH(服务费底表!$K18,二三级标准!B:B,0))</f>
        <v>份</v>
      </c>
      <c r="C18" s="327">
        <f>INDEX(服务费明细!$E:$E,MATCH(服务费底表!$K18,服务费明细!$B:$B,0))</f>
        <v>1</v>
      </c>
      <c r="D18" s="327" t="str">
        <f t="shared" si="34"/>
        <v>A001CPSS</v>
      </c>
      <c r="E18" s="327" t="str">
        <f t="shared" si="35"/>
        <v>T0007CPSS</v>
      </c>
      <c r="F18" s="328"/>
      <c r="G18" s="328" t="s">
        <v>684</v>
      </c>
      <c r="H18" s="326" t="str">
        <f>INDEX('Rate Card'!$B:$B,MATCH(服务费底表!$T18,'Rate Card'!$F:$F,0))</f>
        <v>临床药理</v>
      </c>
      <c r="I18" s="328" t="s">
        <v>916</v>
      </c>
      <c r="J18" s="328" t="str">
        <f>INDEX(二三级标准!$Q:$Q,MATCH(服务费底表!I18,二三级标准!$O:$O,0))</f>
        <v>研究文件撰写和审核</v>
      </c>
      <c r="K18" s="328" t="s">
        <v>91</v>
      </c>
      <c r="L18" s="328" t="str">
        <f>INDEX(二三级标准!C:C,MATCH(服务费底表!K18,二三级标准!$B:$B,0))</f>
        <v>方案撰写</v>
      </c>
      <c r="M18" s="328" t="s">
        <v>1182</v>
      </c>
      <c r="N18" s="328" t="str">
        <f>INDEX(二三级标准!$M:$M,MATCH(服务费底表!$M18,二三级标准!$L:$L,0))</f>
        <v>方案讨论后方案审阅</v>
      </c>
      <c r="O18" s="328"/>
      <c r="P18" s="327">
        <f>IF(R18=1,INDEX(服务费明细!$E:$E,MATCH(服务费底表!$K18,服务费明细!$B:$B,0)),0)</f>
        <v>0</v>
      </c>
      <c r="Q18" s="328" t="s">
        <v>1178</v>
      </c>
      <c r="R18" s="520">
        <v>0</v>
      </c>
      <c r="S18" s="328" t="str">
        <f>INDEX('Rate Card'!$D:$D,MATCH(服务费底表!$T18,'Rate Card'!F:F,0))</f>
        <v>临床药理</v>
      </c>
      <c r="T18" s="328" t="s">
        <v>654</v>
      </c>
      <c r="U18" s="522" t="str">
        <f>INDEX('Rate Card'!$E:$E,MATCH(服务费底表!$T18,'Rate Card'!$F:$F,0))</f>
        <v>临床药理高级专员</v>
      </c>
      <c r="V18" s="331">
        <f>INDEX('Rate Card'!$J:$J,MATCH($T18,'Rate Card'!$F:$F,0))</f>
        <v>700</v>
      </c>
      <c r="W18" s="523">
        <f t="shared" si="31"/>
        <v>700</v>
      </c>
      <c r="X18" s="523">
        <f t="shared" si="32"/>
        <v>1</v>
      </c>
      <c r="Y18" s="327" cm="1">
        <f t="array" ref="Y18">_xlfn.IFS(报价场景=服务费底表!$AJ$2,服务费底表!$AJ18,报价场景=服务费底表!$AP$2,服务费底表!$AP18,报价场景=服务费底表!$AK$2,服务费底表!$AK18,报价场景=服务费底表!$AL$2,服务费底表!$AL18,报价场景=服务费底表!$AM$2,服务费底表!$AM18,报价场景=服务费底表!$AN$2,服务费底表!$AN18,报价场景=服务费底表!$AQ$2,服务费底表!$AQ18,报价场景=服务费底表!$AO$2,服务费底表!$AO18)</f>
        <v>1</v>
      </c>
      <c r="Z18" s="327"/>
      <c r="AA18" s="332">
        <f t="shared" si="36"/>
        <v>1</v>
      </c>
      <c r="AB18" s="333">
        <f t="shared" si="37"/>
        <v>0</v>
      </c>
      <c r="AC18" s="328">
        <f t="shared" si="38"/>
        <v>0</v>
      </c>
      <c r="AD18" s="334">
        <f t="shared" si="28"/>
        <v>0</v>
      </c>
      <c r="AE18" s="334">
        <f>$AB18*(1-INDEX(项目参数!$D$5:$D$14,MATCH(服务费底表!$S18,项目参数!$B$5:$B$14,0)))</f>
        <v>0</v>
      </c>
      <c r="AF18" s="334">
        <f>$AD18*INDEX(项目参数!$D$5:$D$14,MATCH(服务费底表!$S18,项目参数!$B$5:$B$14,0))</f>
        <v>0</v>
      </c>
      <c r="AG18" s="334">
        <f t="shared" si="29"/>
        <v>0</v>
      </c>
      <c r="AH18" s="328"/>
      <c r="AI18" s="328" t="s">
        <v>654</v>
      </c>
      <c r="AJ18" s="327">
        <v>1</v>
      </c>
      <c r="AK18" s="327">
        <v>1</v>
      </c>
      <c r="AL18" s="327">
        <v>2</v>
      </c>
      <c r="AM18" s="327">
        <v>1</v>
      </c>
      <c r="AN18" s="327">
        <v>2</v>
      </c>
      <c r="AO18" s="327">
        <v>1</v>
      </c>
      <c r="AP18" s="327">
        <v>1</v>
      </c>
      <c r="AQ18" s="327">
        <f t="shared" si="33"/>
        <v>1.5</v>
      </c>
      <c r="AR18" s="338"/>
      <c r="AS18" s="327">
        <f t="shared" si="39"/>
        <v>0</v>
      </c>
      <c r="AT18" s="327">
        <f t="shared" si="40"/>
        <v>0</v>
      </c>
      <c r="AU18" s="523">
        <v>1</v>
      </c>
      <c r="AV18" s="328"/>
      <c r="AW18" s="328"/>
      <c r="AX18" s="332">
        <v>1</v>
      </c>
      <c r="AY18" s="328" t="b">
        <f t="shared" si="3"/>
        <v>1</v>
      </c>
      <c r="AZ18" s="328" t="b">
        <f t="shared" si="4"/>
        <v>1</v>
      </c>
    </row>
    <row r="19" ht="27" customHeight="1" spans="1:52">
      <c r="A19" s="326" t="str">
        <f>INDEX('Rate Card'!$A:$A,MATCH(服务费底表!$T19,'Rate Card'!$F:$F,0))</f>
        <v>临床运营</v>
      </c>
      <c r="B19" s="327" t="str">
        <f>INDEX(二三级标准!$G:$G,MATCH(服务费底表!$K19,二三级标准!B:B,0))</f>
        <v>份</v>
      </c>
      <c r="C19" s="327">
        <f>INDEX(服务费明细!$E:$E,MATCH(服务费底表!$K19,服务费明细!$B:$B,0))</f>
        <v>1</v>
      </c>
      <c r="D19" s="327" t="str">
        <f t="shared" si="34"/>
        <v>A001PM</v>
      </c>
      <c r="E19" s="327" t="str">
        <f t="shared" si="35"/>
        <v>T0007PM</v>
      </c>
      <c r="F19" s="328"/>
      <c r="G19" s="328" t="s">
        <v>684</v>
      </c>
      <c r="H19" s="326" t="str">
        <f>INDEX('Rate Card'!$B:$B,MATCH(服务费底表!$T19,'Rate Card'!$F:$F,0))</f>
        <v>临床运营</v>
      </c>
      <c r="I19" s="328" t="s">
        <v>916</v>
      </c>
      <c r="J19" s="328" t="str">
        <f>INDEX(二三级标准!$Q:$Q,MATCH(服务费底表!I19,二三级标准!$O:$O,0))</f>
        <v>研究文件撰写和审核</v>
      </c>
      <c r="K19" s="328" t="s">
        <v>91</v>
      </c>
      <c r="L19" s="328" t="str">
        <f>INDEX(二三级标准!C:C,MATCH(服务费底表!K19,二三级标准!$B:$B,0))</f>
        <v>方案撰写</v>
      </c>
      <c r="M19" s="328" t="s">
        <v>1182</v>
      </c>
      <c r="N19" s="328" t="str">
        <f>INDEX(二三级标准!$M:$M,MATCH(服务费底表!$M19,二三级标准!$L:$L,0))</f>
        <v>方案讨论后方案审阅</v>
      </c>
      <c r="O19" s="328"/>
      <c r="P19" s="327">
        <f>IF(R19=1,INDEX(服务费明细!$E:$E,MATCH(服务费底表!$K19,服务费明细!$B:$B,0)),0)</f>
        <v>0</v>
      </c>
      <c r="Q19" s="328" t="s">
        <v>1178</v>
      </c>
      <c r="R19" s="520">
        <v>0</v>
      </c>
      <c r="S19" s="525" t="str">
        <f>INDEX('Rate Card'!$D:$D,MATCH(服务费底表!$T19,'Rate Card'!F:F,0))</f>
        <v>项目管理</v>
      </c>
      <c r="T19" s="328" t="s">
        <v>599</v>
      </c>
      <c r="U19" s="522" t="str">
        <f>INDEX('Rate Card'!$E:$E,MATCH(服务费底表!$T19,'Rate Card'!$F:$F,0))</f>
        <v>临床项目经理</v>
      </c>
      <c r="V19" s="331">
        <f>INDEX('Rate Card'!$J:$J,MATCH($T19,'Rate Card'!$F:$F,0))</f>
        <v>650</v>
      </c>
      <c r="W19" s="523">
        <f t="shared" si="31"/>
        <v>650</v>
      </c>
      <c r="X19" s="523">
        <f t="shared" si="32"/>
        <v>2</v>
      </c>
      <c r="Y19" s="327" cm="1">
        <f t="array" ref="Y19">_xlfn.IFS(报价场景=服务费底表!$AJ$2,服务费底表!$AJ19,报价场景=服务费底表!$AP$2,服务费底表!$AP19,报价场景=服务费底表!$AK$2,服务费底表!$AK19,报价场景=服务费底表!$AL$2,服务费底表!$AL19,报价场景=服务费底表!$AM$2,服务费底表!$AM19,报价场景=服务费底表!$AN$2,服务费底表!$AN19,报价场景=服务费底表!$AQ$2,服务费底表!$AQ19,报价场景=服务费底表!$AO$2,服务费底表!$AO19)</f>
        <v>2</v>
      </c>
      <c r="Z19" s="327"/>
      <c r="AA19" s="332">
        <f t="shared" si="36"/>
        <v>2</v>
      </c>
      <c r="AB19" s="333">
        <f t="shared" si="37"/>
        <v>0</v>
      </c>
      <c r="AC19" s="328">
        <f t="shared" si="38"/>
        <v>0</v>
      </c>
      <c r="AD19" s="334">
        <f t="shared" si="28"/>
        <v>0</v>
      </c>
      <c r="AE19" s="334">
        <f>$AB19*(1-INDEX(项目参数!$D$5:$D$14,MATCH(服务费底表!$S19,项目参数!$B$5:$B$14,0)))</f>
        <v>0</v>
      </c>
      <c r="AF19" s="334">
        <f>$AD19*INDEX(项目参数!$D$5:$D$14,MATCH(服务费底表!$S19,项目参数!$B$5:$B$14,0))</f>
        <v>0</v>
      </c>
      <c r="AG19" s="334">
        <f t="shared" si="29"/>
        <v>0</v>
      </c>
      <c r="AH19" s="328"/>
      <c r="AI19" s="328" t="s">
        <v>599</v>
      </c>
      <c r="AJ19" s="327">
        <v>2</v>
      </c>
      <c r="AK19" s="327">
        <v>2</v>
      </c>
      <c r="AL19" s="327">
        <v>2</v>
      </c>
      <c r="AM19" s="327">
        <v>1.5</v>
      </c>
      <c r="AN19" s="327">
        <v>2</v>
      </c>
      <c r="AO19" s="327">
        <v>1.5</v>
      </c>
      <c r="AP19" s="327">
        <v>2</v>
      </c>
      <c r="AQ19" s="327">
        <f t="shared" si="33"/>
        <v>3</v>
      </c>
      <c r="AR19" s="338"/>
      <c r="AS19" s="327">
        <f t="shared" si="39"/>
        <v>0</v>
      </c>
      <c r="AT19" s="327">
        <f t="shared" si="40"/>
        <v>0</v>
      </c>
      <c r="AU19" s="523">
        <v>2</v>
      </c>
      <c r="AV19" s="328"/>
      <c r="AW19" s="328"/>
      <c r="AX19" s="332">
        <v>2</v>
      </c>
      <c r="AY19" s="328" t="b">
        <f t="shared" si="3"/>
        <v>1</v>
      </c>
      <c r="AZ19" s="328" t="b">
        <f t="shared" si="4"/>
        <v>1</v>
      </c>
    </row>
    <row r="20" s="128" customFormat="1" ht="27" customHeight="1" spans="1:52">
      <c r="A20" s="326" t="str">
        <f>INDEX('Rate Card'!$A:$A,MATCH(服务费底表!$T20,'Rate Card'!$F:$F,0))</f>
        <v>数统</v>
      </c>
      <c r="B20" s="327" t="str">
        <f>INDEX(二三级标准!$G:$G,MATCH(服务费底表!$K20,二三级标准!B:B,0))</f>
        <v>份</v>
      </c>
      <c r="C20" s="327">
        <f>INDEX(服务费明细!$E:$E,MATCH(服务费底表!$K20,服务费明细!$B:$B,0))</f>
        <v>1</v>
      </c>
      <c r="D20" s="327" t="str">
        <f t="shared" si="34"/>
        <v>A001STM</v>
      </c>
      <c r="E20" s="327" t="str">
        <f t="shared" si="35"/>
        <v>T0007STM</v>
      </c>
      <c r="F20" s="328"/>
      <c r="G20" s="328" t="s">
        <v>684</v>
      </c>
      <c r="H20" s="326" t="str">
        <f>INDEX('Rate Card'!$B:$B,MATCH(服务费底表!$T20,'Rate Card'!$F:$F,0))</f>
        <v>生物统计及分析</v>
      </c>
      <c r="I20" s="328" t="s">
        <v>916</v>
      </c>
      <c r="J20" s="328" t="str">
        <f>INDEX(二三级标准!$Q:$Q,MATCH(服务费底表!I20,二三级标准!$O:$O,0))</f>
        <v>研究文件撰写和审核</v>
      </c>
      <c r="K20" s="328" t="s">
        <v>91</v>
      </c>
      <c r="L20" s="328" t="str">
        <f>INDEX(二三级标准!C:C,MATCH(服务费底表!K20,二三级标准!$B:$B,0))</f>
        <v>方案撰写</v>
      </c>
      <c r="M20" s="328" t="s">
        <v>1182</v>
      </c>
      <c r="N20" s="328" t="str">
        <f>INDEX(二三级标准!$M:$M,MATCH(服务费底表!$M20,二三级标准!$L:$L,0))</f>
        <v>方案讨论后方案审阅</v>
      </c>
      <c r="O20" s="328"/>
      <c r="P20" s="327">
        <f>IF(R20=1,INDEX(服务费明细!$E:$E,MATCH(服务费底表!$K20,服务费明细!$B:$B,0)),0)</f>
        <v>0</v>
      </c>
      <c r="Q20" s="328" t="s">
        <v>1178</v>
      </c>
      <c r="R20" s="520">
        <v>0</v>
      </c>
      <c r="S20" s="524" t="str">
        <f>INDEX('Rate Card'!$D:$D,MATCH(服务费底表!$T20,'Rate Card'!F:F,0))</f>
        <v>生物统计</v>
      </c>
      <c r="T20" s="328" t="s">
        <v>642</v>
      </c>
      <c r="U20" s="522" t="str">
        <f>INDEX('Rate Card'!$E:$E,MATCH(服务费底表!$T20,'Rate Card'!$F:$F,0))</f>
        <v>生物统计经理</v>
      </c>
      <c r="V20" s="331">
        <f>INDEX('Rate Card'!$J:$J,MATCH($T20,'Rate Card'!$F:$F,0))</f>
        <v>700</v>
      </c>
      <c r="W20" s="523">
        <f t="shared" si="31"/>
        <v>700</v>
      </c>
      <c r="X20" s="523">
        <f t="shared" si="32"/>
        <v>2</v>
      </c>
      <c r="Y20" s="327" cm="1">
        <f t="array" ref="Y20">_xlfn.IFS(报价场景=服务费底表!$AJ$2,服务费底表!$AJ20,报价场景=服务费底表!$AP$2,服务费底表!$AP20,报价场景=服务费底表!$AK$2,服务费底表!$AK20,报价场景=服务费底表!$AL$2,服务费底表!$AL20,报价场景=服务费底表!$AM$2,服务费底表!$AM20,报价场景=服务费底表!$AN$2,服务费底表!$AN20,报价场景=服务费底表!$AQ$2,服务费底表!$AQ20,报价场景=服务费底表!$AO$2,服务费底表!$AO20)</f>
        <v>2</v>
      </c>
      <c r="Z20" s="327"/>
      <c r="AA20" s="332">
        <f t="shared" si="36"/>
        <v>2</v>
      </c>
      <c r="AB20" s="333">
        <f t="shared" si="37"/>
        <v>0</v>
      </c>
      <c r="AC20" s="328">
        <f t="shared" si="38"/>
        <v>0</v>
      </c>
      <c r="AD20" s="334">
        <f t="shared" si="28"/>
        <v>0</v>
      </c>
      <c r="AE20" s="334">
        <f>$AB20*(1-INDEX(项目参数!$D$5:$D$14,MATCH(服务费底表!$S20,项目参数!$B$5:$B$14,0)))</f>
        <v>0</v>
      </c>
      <c r="AF20" s="334">
        <f>$AD20*INDEX(项目参数!$D$5:$D$14,MATCH(服务费底表!$S20,项目参数!$B$5:$B$14,0))</f>
        <v>0</v>
      </c>
      <c r="AG20" s="334">
        <f t="shared" si="29"/>
        <v>0</v>
      </c>
      <c r="AH20" s="328"/>
      <c r="AI20" s="328" t="s">
        <v>642</v>
      </c>
      <c r="AJ20" s="327">
        <v>2</v>
      </c>
      <c r="AK20" s="327">
        <f>AJ20*4</f>
        <v>8</v>
      </c>
      <c r="AL20" s="327">
        <v>0.5</v>
      </c>
      <c r="AM20" s="327">
        <v>2</v>
      </c>
      <c r="AN20" s="327">
        <v>0.5</v>
      </c>
      <c r="AO20" s="327">
        <v>0.5</v>
      </c>
      <c r="AP20" s="327">
        <v>2</v>
      </c>
      <c r="AQ20" s="327">
        <f t="shared" si="33"/>
        <v>3</v>
      </c>
      <c r="AR20" s="338"/>
      <c r="AS20" s="327">
        <f t="shared" si="39"/>
        <v>0</v>
      </c>
      <c r="AT20" s="327">
        <f t="shared" si="40"/>
        <v>0</v>
      </c>
      <c r="AU20" s="523">
        <v>2</v>
      </c>
      <c r="AV20" s="328"/>
      <c r="AW20" s="328"/>
      <c r="AX20" s="332">
        <v>2</v>
      </c>
      <c r="AY20" s="328" t="b">
        <f t="shared" si="3"/>
        <v>1</v>
      </c>
      <c r="AZ20" s="328" t="b">
        <f t="shared" si="4"/>
        <v>1</v>
      </c>
    </row>
    <row r="21" s="128" customFormat="1" ht="27" customHeight="1" spans="1:52">
      <c r="A21" s="326" t="str">
        <f>INDEX('Rate Card'!$A:$A,MATCH(服务费底表!$T21,'Rate Card'!$F:$F,0))</f>
        <v>医学</v>
      </c>
      <c r="B21" s="327" t="str">
        <f>INDEX(二三级标准!$G:$G,MATCH(服务费底表!$K21,二三级标准!B:B,0))</f>
        <v>项目</v>
      </c>
      <c r="C21" s="327">
        <f>INDEX(服务费明细!$E:$E,MATCH(服务费底表!$K21,服务费明细!$B:$B,0))</f>
        <v>0</v>
      </c>
      <c r="D21" s="327" t="str">
        <f t="shared" si="34"/>
        <v>A284MM</v>
      </c>
      <c r="E21" s="327" t="str">
        <f t="shared" si="35"/>
        <v>T0806MM</v>
      </c>
      <c r="F21" s="328"/>
      <c r="G21" s="328" t="s">
        <v>684</v>
      </c>
      <c r="H21" s="326" t="str">
        <f>INDEX('Rate Card'!$B:$B,MATCH(服务费底表!$T21,'Rate Card'!$F:$F,0))</f>
        <v>医学</v>
      </c>
      <c r="I21" s="328" t="s">
        <v>916</v>
      </c>
      <c r="J21" s="328" t="str">
        <f>INDEX(二三级标准!$Q:$Q,MATCH(服务费底表!I21,二三级标准!$O:$O,0))</f>
        <v>研究文件撰写和审核</v>
      </c>
      <c r="K21" s="328" t="s">
        <v>980</v>
      </c>
      <c r="L21" s="328" t="str">
        <f>INDEX(二三级标准!C:C,MATCH(服务费底表!K21,二三级标准!$B:$B,0))</f>
        <v>熟悉与研究相关的资料及文献检索</v>
      </c>
      <c r="M21" s="328" t="s">
        <v>1183</v>
      </c>
      <c r="N21" s="328" t="str">
        <f>INDEX(二三级标准!$M:$M,MATCH(服务费底表!$M21,二三级标准!$L:$L,0))</f>
        <v>熟悉与研究相关的资料</v>
      </c>
      <c r="O21" s="328"/>
      <c r="P21" s="327">
        <f>IF(R21=1,INDEX(服务费明细!$E:$E,MATCH(服务费底表!$K21,服务费明细!$B:$B,0)),0)</f>
        <v>0</v>
      </c>
      <c r="Q21" s="328" t="s">
        <v>1176</v>
      </c>
      <c r="R21" s="520">
        <f>IF(AND(YN熟悉方案=1,医学撰写YN=1),1,0)</f>
        <v>0</v>
      </c>
      <c r="S21" s="521" t="str">
        <f>IF(AND(H21="医学",OR(I21=二三级标准!$A$4,I21=二三级标准!$A$153)),"医学撰写","医学监查")</f>
        <v>医学撰写</v>
      </c>
      <c r="T21" s="328" t="s">
        <v>615</v>
      </c>
      <c r="U21" s="522" t="str">
        <f>INDEX('Rate Card'!$E:$E,MATCH(服务费底表!$T21,'Rate Card'!$F:$F,0))</f>
        <v>医学经理</v>
      </c>
      <c r="V21" s="331">
        <f>INDEX('Rate Card'!$J:$J,MATCH($T21,'Rate Card'!$F:$F,0))</f>
        <v>650</v>
      </c>
      <c r="W21" s="523">
        <f t="shared" si="31"/>
        <v>650</v>
      </c>
      <c r="X21" s="523">
        <f t="shared" si="32"/>
        <v>8</v>
      </c>
      <c r="Y21" s="327" cm="1">
        <f t="array" ref="Y21">_xlfn.IFS(报价场景=服务费底表!$AJ$2,服务费底表!$AJ21,报价场景=服务费底表!$AP$2,服务费底表!$AP21,报价场景=服务费底表!$AK$2,服务费底表!$AK21,报价场景=服务费底表!$AL$2,服务费底表!$AL21,报价场景=服务费底表!$AM$2,服务费底表!$AM21,报价场景=服务费底表!$AN$2,服务费底表!$AN21,报价场景=服务费底表!$AQ$2,服务费底表!$AQ21,报价场景=服务费底表!$AO$2,服务费底表!$AO21)</f>
        <v>8</v>
      </c>
      <c r="Z21" s="327"/>
      <c r="AA21" s="332">
        <f t="shared" si="36"/>
        <v>8</v>
      </c>
      <c r="AB21" s="333">
        <f t="shared" si="37"/>
        <v>0</v>
      </c>
      <c r="AC21" s="328">
        <f t="shared" si="38"/>
        <v>0</v>
      </c>
      <c r="AD21" s="334">
        <f t="shared" si="28"/>
        <v>0</v>
      </c>
      <c r="AE21" s="334">
        <f>$AB21*(1-INDEX(项目参数!$D$5:$D$14,MATCH(服务费底表!$S21,项目参数!$B$5:$B$14,0)))</f>
        <v>0</v>
      </c>
      <c r="AF21" s="334">
        <f>$AD21*INDEX(项目参数!$D$5:$D$14,MATCH(服务费底表!$S21,项目参数!$B$5:$B$14,0))</f>
        <v>0</v>
      </c>
      <c r="AG21" s="334">
        <f t="shared" si="29"/>
        <v>0</v>
      </c>
      <c r="AH21" s="328"/>
      <c r="AI21" s="328" t="s">
        <v>615</v>
      </c>
      <c r="AJ21" s="327">
        <v>8</v>
      </c>
      <c r="AK21" s="327">
        <v>8</v>
      </c>
      <c r="AL21" s="327">
        <v>4</v>
      </c>
      <c r="AM21" s="327">
        <v>8</v>
      </c>
      <c r="AN21" s="327">
        <v>4</v>
      </c>
      <c r="AO21" s="327">
        <v>8</v>
      </c>
      <c r="AP21" s="327">
        <v>8</v>
      </c>
      <c r="AQ21" s="327">
        <f t="shared" si="33"/>
        <v>12</v>
      </c>
      <c r="AR21" s="338"/>
      <c r="AS21" s="327">
        <f t="shared" si="39"/>
        <v>0</v>
      </c>
      <c r="AT21" s="327">
        <f t="shared" si="40"/>
        <v>0</v>
      </c>
      <c r="AU21" s="523">
        <v>8</v>
      </c>
      <c r="AV21" s="328"/>
      <c r="AW21" s="328"/>
      <c r="AX21" s="332">
        <v>8</v>
      </c>
      <c r="AY21" s="328" t="b">
        <f t="shared" si="3"/>
        <v>1</v>
      </c>
      <c r="AZ21" s="328" t="b">
        <f t="shared" si="4"/>
        <v>0</v>
      </c>
    </row>
    <row r="22" s="128" customFormat="1" ht="27" customHeight="1" spans="1:52">
      <c r="A22" s="326" t="str">
        <f>INDEX('Rate Card'!$A:$A,MATCH(服务费底表!$T22,'Rate Card'!$F:$F,0))</f>
        <v>医学</v>
      </c>
      <c r="B22" s="327" t="str">
        <f>INDEX(二三级标准!$G:$G,MATCH(服务费底表!$K22,二三级标准!B:B,0))</f>
        <v>项目</v>
      </c>
      <c r="C22" s="327">
        <f>INDEX(服务费明细!$E:$E,MATCH(服务费底表!$K22,服务费明细!$B:$B,0))</f>
        <v>0</v>
      </c>
      <c r="D22" s="327" t="str">
        <f t="shared" si="34"/>
        <v>A284MM</v>
      </c>
      <c r="E22" s="327" t="str">
        <f t="shared" si="35"/>
        <v>T0807MM</v>
      </c>
      <c r="F22" s="328"/>
      <c r="G22" s="328" t="s">
        <v>684</v>
      </c>
      <c r="H22" s="326" t="str">
        <f>INDEX('Rate Card'!$B:$B,MATCH(服务费底表!$T22,'Rate Card'!$F:$F,0))</f>
        <v>医学</v>
      </c>
      <c r="I22" s="328" t="s">
        <v>916</v>
      </c>
      <c r="J22" s="328" t="str">
        <f>INDEX(二三级标准!$Q:$Q,MATCH(服务费底表!I22,二三级标准!$O:$O,0))</f>
        <v>研究文件撰写和审核</v>
      </c>
      <c r="K22" s="328" t="s">
        <v>980</v>
      </c>
      <c r="L22" s="328" t="str">
        <f>INDEX(二三级标准!C:C,MATCH(服务费底表!K22,二三级标准!$B:$B,0))</f>
        <v>熟悉与研究相关的资料及文献检索</v>
      </c>
      <c r="M22" s="328" t="s">
        <v>1184</v>
      </c>
      <c r="N22" s="328" t="str">
        <f>INDEX(二三级标准!$M:$M,MATCH(服务费底表!$M22,二三级标准!$L:$L,0))</f>
        <v>文献检索</v>
      </c>
      <c r="O22" s="328"/>
      <c r="P22" s="327">
        <f>IF(R22=1,INDEX(服务费明细!$E:$E,MATCH(服务费底表!$K22,服务费明细!$B:$B,0)),0)</f>
        <v>0</v>
      </c>
      <c r="Q22" s="328" t="s">
        <v>1176</v>
      </c>
      <c r="R22" s="520">
        <f>IF(AND(YN熟悉方案=1,医学撰写YN=1),1,0)</f>
        <v>0</v>
      </c>
      <c r="S22" s="521" t="str">
        <f>IF(AND(H22="医学",OR(I22=二三级标准!$A$4,I22=二三级标准!$A$153)),"医学撰写","医学监查")</f>
        <v>医学撰写</v>
      </c>
      <c r="T22" s="328" t="s">
        <v>615</v>
      </c>
      <c r="U22" s="522" t="str">
        <f>INDEX('Rate Card'!$E:$E,MATCH(服务费底表!$T22,'Rate Card'!$F:$F,0))</f>
        <v>医学经理</v>
      </c>
      <c r="V22" s="331">
        <f>INDEX('Rate Card'!$J:$J,MATCH($T22,'Rate Card'!$F:$F,0))</f>
        <v>650</v>
      </c>
      <c r="W22" s="523">
        <f t="shared" si="31"/>
        <v>650</v>
      </c>
      <c r="X22" s="523">
        <f t="shared" si="32"/>
        <v>16</v>
      </c>
      <c r="Y22" s="327" cm="1">
        <f t="array" ref="Y22">_xlfn.IFS(报价场景=服务费底表!$AJ$2,服务费底表!$AJ22,报价场景=服务费底表!$AP$2,服务费底表!$AP22,报价场景=服务费底表!$AK$2,服务费底表!$AK22,报价场景=服务费底表!$AL$2,服务费底表!$AL22,报价场景=服务费底表!$AM$2,服务费底表!$AM22,报价场景=服务费底表!$AN$2,服务费底表!$AN22,报价场景=服务费底表!$AQ$2,服务费底表!$AQ22,报价场景=服务费底表!$AO$2,服务费底表!$AO22)</f>
        <v>16</v>
      </c>
      <c r="Z22" s="327"/>
      <c r="AA22" s="332">
        <f t="shared" si="36"/>
        <v>16</v>
      </c>
      <c r="AB22" s="333">
        <f t="shared" si="37"/>
        <v>0</v>
      </c>
      <c r="AC22" s="328">
        <f t="shared" si="38"/>
        <v>0</v>
      </c>
      <c r="AD22" s="334">
        <f t="shared" si="28"/>
        <v>0</v>
      </c>
      <c r="AE22" s="334">
        <f>$AB22*(1-INDEX(项目参数!$D$5:$D$14,MATCH(服务费底表!$S22,项目参数!$B$5:$B$14,0)))</f>
        <v>0</v>
      </c>
      <c r="AF22" s="334">
        <f>$AD22*INDEX(项目参数!$D$5:$D$14,MATCH(服务费底表!$S22,项目参数!$B$5:$B$14,0))</f>
        <v>0</v>
      </c>
      <c r="AG22" s="334">
        <f t="shared" si="29"/>
        <v>0</v>
      </c>
      <c r="AH22" s="328"/>
      <c r="AI22" s="328" t="s">
        <v>615</v>
      </c>
      <c r="AJ22" s="327">
        <v>16</v>
      </c>
      <c r="AK22" s="327">
        <v>16</v>
      </c>
      <c r="AL22" s="327">
        <v>8</v>
      </c>
      <c r="AM22" s="327">
        <v>16</v>
      </c>
      <c r="AN22" s="327">
        <v>8</v>
      </c>
      <c r="AO22" s="327">
        <v>16</v>
      </c>
      <c r="AP22" s="327">
        <v>16</v>
      </c>
      <c r="AQ22" s="327">
        <f t="shared" si="33"/>
        <v>24</v>
      </c>
      <c r="AR22" s="338"/>
      <c r="AS22" s="327">
        <f t="shared" si="39"/>
        <v>0</v>
      </c>
      <c r="AT22" s="327">
        <f t="shared" si="40"/>
        <v>0</v>
      </c>
      <c r="AU22" s="523">
        <v>16</v>
      </c>
      <c r="AV22" s="328"/>
      <c r="AW22" s="328"/>
      <c r="AX22" s="332">
        <v>16</v>
      </c>
      <c r="AY22" s="328" t="b">
        <f t="shared" si="3"/>
        <v>1</v>
      </c>
      <c r="AZ22" s="328" t="b">
        <f t="shared" si="4"/>
        <v>0</v>
      </c>
    </row>
    <row r="23" s="128" customFormat="1" ht="27" customHeight="1" spans="1:52">
      <c r="A23" s="326" t="str">
        <f>INDEX('Rate Card'!$A:$A,MATCH(服务费底表!$T23,'Rate Card'!$F:$F,0))</f>
        <v>医学</v>
      </c>
      <c r="B23" s="327" t="str">
        <f>INDEX(二三级标准!$G:$G,MATCH(服务费底表!$K23,二三级标准!B:B,0))</f>
        <v>份</v>
      </c>
      <c r="C23" s="327">
        <f>INDEX(服务费明细!$E:$E,MATCH(服务费底表!$K23,服务费明细!$B:$B,0))</f>
        <v>0</v>
      </c>
      <c r="D23" s="327" t="str">
        <f t="shared" ref="D23:D49" si="41">K23&amp;T23</f>
        <v>A001aMM</v>
      </c>
      <c r="E23" s="327" t="str">
        <f t="shared" ref="E23:E49" si="42">M23&amp;T23</f>
        <v>T0780MM</v>
      </c>
      <c r="F23" s="328"/>
      <c r="G23" s="328" t="s">
        <v>684</v>
      </c>
      <c r="H23" s="326" t="str">
        <f>INDEX('Rate Card'!$B:$B,MATCH(服务费底表!$T23,'Rate Card'!$F:$F,0))</f>
        <v>医学</v>
      </c>
      <c r="I23" s="328" t="s">
        <v>916</v>
      </c>
      <c r="J23" s="328" t="str">
        <f>INDEX(二三级标准!$Q:$Q,MATCH(服务费底表!I23,二三级标准!$O:$O,0))</f>
        <v>研究文件撰写和审核</v>
      </c>
      <c r="K23" s="328" t="s">
        <v>981</v>
      </c>
      <c r="L23" s="328" t="str">
        <f>INDEX(二三级标准!C:C,MATCH(服务费底表!K23,二三级标准!$B:$B,0))</f>
        <v>方案（中译英）</v>
      </c>
      <c r="M23" s="328" t="s">
        <v>1185</v>
      </c>
      <c r="N23" s="328" t="str">
        <f>INDEX(二三级标准!$M:$M,MATCH(服务费底表!$M23,二三级标准!$L:$L,0))</f>
        <v>方案中译英审阅</v>
      </c>
      <c r="O23" s="328"/>
      <c r="P23" s="327">
        <f>IF(R23=1,INDEX(服务费明细!$E:$E,MATCH(服务费底表!$K23,服务费明细!$B:$B,0)),0)</f>
        <v>0</v>
      </c>
      <c r="Q23" s="328" t="s">
        <v>1176</v>
      </c>
      <c r="R23" s="520">
        <f>IF(AND(方案中译英YN=1,医学撰写YN=1),1,0)</f>
        <v>0</v>
      </c>
      <c r="S23" s="521" t="str">
        <f>IF(AND(H23="医学",OR(I23=二三级标准!$A$4,I23=二三级标准!$A$153)),"医学撰写","医学监查")</f>
        <v>医学撰写</v>
      </c>
      <c r="T23" s="328" t="s">
        <v>615</v>
      </c>
      <c r="U23" s="522" t="str">
        <f>INDEX('Rate Card'!$E:$E,MATCH(服务费底表!$T23,'Rate Card'!$F:$F,0))</f>
        <v>医学经理</v>
      </c>
      <c r="V23" s="523">
        <f>INDEX('Rate Card'!$J:$J,MATCH($T23,'Rate Card'!$F:$F,0))</f>
        <v>650</v>
      </c>
      <c r="W23" s="523">
        <f t="shared" ref="W23:W29" si="43">V23*(1-$W$1)</f>
        <v>650</v>
      </c>
      <c r="X23" s="523">
        <f t="shared" ref="X23:X29" si="44">Y23*$X$1</f>
        <v>12</v>
      </c>
      <c r="Y23" s="327" cm="1">
        <f t="array" ref="Y23">_xlfn.IFS(报价场景=服务费底表!$AJ$2,服务费底表!$AJ23,报价场景=服务费底表!$AP$2,服务费底表!$AP23,报价场景=服务费底表!$AK$2,服务费底表!$AK23,报价场景=服务费底表!$AL$2,服务费底表!$AL23,报价场景=服务费底表!$AM$2,服务费底表!$AM23,报价场景=服务费底表!$AN$2,服务费底表!$AN23,报价场景=服务费底表!$AQ$2,服务费底表!$AQ23,报价场景=服务费底表!$AO$2,服务费底表!$AO23)</f>
        <v>12</v>
      </c>
      <c r="Z23" s="327"/>
      <c r="AA23" s="332">
        <f t="shared" ref="AA23:AA49" si="45">IF(ISBLANK($Z23),$Y23,$Z23)</f>
        <v>12</v>
      </c>
      <c r="AB23" s="333">
        <f t="shared" ref="AB23:AB49" si="46">IFERROR(AD23/P23,0)</f>
        <v>0</v>
      </c>
      <c r="AC23" s="328">
        <f t="shared" ref="AC23:AC49" si="47">AA23*P23*R23</f>
        <v>0</v>
      </c>
      <c r="AD23" s="334">
        <f t="shared" si="28"/>
        <v>0</v>
      </c>
      <c r="AE23" s="334">
        <f>$AB23*(1-INDEX(项目参数!$D$5:$D$14,MATCH(服务费底表!$S23,项目参数!$B$5:$B$14,0)))</f>
        <v>0</v>
      </c>
      <c r="AF23" s="334">
        <f>$AD23*INDEX(项目参数!$D$5:$D$14,MATCH(服务费底表!$S23,项目参数!$B$5:$B$14,0))</f>
        <v>0</v>
      </c>
      <c r="AG23" s="334">
        <f t="shared" si="29"/>
        <v>0</v>
      </c>
      <c r="AH23" s="328"/>
      <c r="AI23" s="328" t="s">
        <v>615</v>
      </c>
      <c r="AJ23" s="327">
        <v>12</v>
      </c>
      <c r="AK23" s="327">
        <f>AJ23*1.5</f>
        <v>18</v>
      </c>
      <c r="AL23" s="327">
        <v>12</v>
      </c>
      <c r="AM23" s="327">
        <v>12</v>
      </c>
      <c r="AN23" s="327">
        <f>AL23</f>
        <v>12</v>
      </c>
      <c r="AO23" s="327">
        <v>12</v>
      </c>
      <c r="AP23" s="327">
        <v>12</v>
      </c>
      <c r="AQ23" s="327">
        <f t="shared" ref="AQ23:AQ29" si="48">AJ23*$AQ$1</f>
        <v>18</v>
      </c>
      <c r="AR23" s="338"/>
      <c r="AS23" s="327">
        <f t="shared" ref="AS23:AS49" si="49">AC23</f>
        <v>0</v>
      </c>
      <c r="AT23" s="327">
        <f t="shared" ref="AT23:AT49" si="50">Y23*P23</f>
        <v>0</v>
      </c>
      <c r="AU23" s="523">
        <v>12</v>
      </c>
      <c r="AV23" s="328"/>
      <c r="AW23" s="328"/>
      <c r="AX23" s="332">
        <v>12</v>
      </c>
      <c r="AY23" s="328" t="b">
        <f t="shared" si="3"/>
        <v>1</v>
      </c>
      <c r="AZ23" s="328" t="b">
        <f t="shared" si="4"/>
        <v>1</v>
      </c>
    </row>
    <row r="24" ht="27" customHeight="1" spans="1:52">
      <c r="A24" s="326" t="str">
        <f>INDEX('Rate Card'!$A:$A,MATCH(服务费底表!$T24,'Rate Card'!$F:$F,0))</f>
        <v>数统</v>
      </c>
      <c r="B24" s="327" t="str">
        <f>INDEX(二三级标准!$G:$G,MATCH(服务费底表!$K24,二三级标准!B:B,0))</f>
        <v>份</v>
      </c>
      <c r="C24" s="327">
        <f>INDEX(服务费明细!$E:$E,MATCH(服务费底表!$K24,服务费明细!$B:$B,0))</f>
        <v>1</v>
      </c>
      <c r="D24" s="327" t="str">
        <f t="shared" si="41"/>
        <v>A002DM</v>
      </c>
      <c r="E24" s="327" t="str">
        <f t="shared" si="42"/>
        <v>T0009DM</v>
      </c>
      <c r="F24" s="328"/>
      <c r="G24" s="328" t="s">
        <v>684</v>
      </c>
      <c r="H24" s="326" t="str">
        <f>INDEX('Rate Card'!$B:$B,MATCH(服务费底表!$T24,'Rate Card'!$F:$F,0))</f>
        <v>数据管理</v>
      </c>
      <c r="I24" s="328" t="s">
        <v>916</v>
      </c>
      <c r="J24" s="328" t="str">
        <f>INDEX(二三级标准!$Q:$Q,MATCH(服务费底表!I24,二三级标准!$O:$O,0))</f>
        <v>研究文件撰写和审核</v>
      </c>
      <c r="K24" s="328" t="s">
        <v>94</v>
      </c>
      <c r="L24" s="328" t="str">
        <f>INDEX(二三级标准!C:C,MATCH(服务费底表!K24,二三级标准!$B:$B,0))</f>
        <v>撰写CRF</v>
      </c>
      <c r="M24" s="328" t="s">
        <v>1186</v>
      </c>
      <c r="N24" s="328" t="str">
        <f>INDEX(二三级标准!$M:$M,MATCH(服务费底表!$M24,二三级标准!$L:$L,0))</f>
        <v>起草CRF唯一页页面</v>
      </c>
      <c r="O24" s="328"/>
      <c r="P24" s="327">
        <f>IF(R24=1,CRF唯一页面数,0)</f>
        <v>50</v>
      </c>
      <c r="Q24" s="328" t="s">
        <v>1187</v>
      </c>
      <c r="R24" s="520">
        <f>IF(AND(撰写CRF_YN=1,数据管理YN=1),1,0)</f>
        <v>1</v>
      </c>
      <c r="S24" s="524" t="str">
        <f>INDEX('Rate Card'!$D:$D,MATCH(服务费底表!$T24,'Rate Card'!F:F,0))</f>
        <v>数据管理</v>
      </c>
      <c r="T24" s="328" t="s">
        <v>631</v>
      </c>
      <c r="U24" s="522" t="str">
        <f>INDEX('Rate Card'!$E:$E,MATCH(服务费底表!$T24,'Rate Card'!$F:$F,0))</f>
        <v>数据管理专员</v>
      </c>
      <c r="V24" s="331">
        <f>INDEX('Rate Card'!$J:$J,MATCH($T24,'Rate Card'!$F:$F,0))</f>
        <v>200</v>
      </c>
      <c r="W24" s="523">
        <f t="shared" si="43"/>
        <v>200</v>
      </c>
      <c r="X24" s="523">
        <f t="shared" si="44"/>
        <v>0.3</v>
      </c>
      <c r="Y24" s="327" cm="1">
        <f t="array" ref="Y24">_xlfn.IFS(报价场景=服务费底表!$AJ$2,服务费底表!$AJ24,报价场景=服务费底表!$AP$2,服务费底表!$AP24,报价场景=服务费底表!$AK$2,服务费底表!$AK24,报价场景=服务费底表!$AL$2,服务费底表!$AL24,报价场景=服务费底表!$AM$2,服务费底表!$AM24,报价场景=服务费底表!$AN$2,服务费底表!$AN24,报价场景=服务费底表!$AQ$2,服务费底表!$AQ24,报价场景=服务费底表!$AO$2,服务费底表!$AO24)</f>
        <v>0.3</v>
      </c>
      <c r="Z24" s="327"/>
      <c r="AA24" s="332">
        <f t="shared" si="45"/>
        <v>0.3</v>
      </c>
      <c r="AB24" s="333">
        <f t="shared" si="46"/>
        <v>60</v>
      </c>
      <c r="AC24" s="328">
        <f t="shared" si="47"/>
        <v>15</v>
      </c>
      <c r="AD24" s="334">
        <f t="shared" si="28"/>
        <v>3000</v>
      </c>
      <c r="AE24" s="334">
        <f>$AB24*(1-INDEX(项目参数!$D$5:$D$14,MATCH(服务费底表!$S24,项目参数!$B$5:$B$14,0)))</f>
        <v>60</v>
      </c>
      <c r="AF24" s="334">
        <f>$AD24*INDEX(项目参数!$D$5:$D$14,MATCH(服务费底表!$S24,项目参数!$B$5:$B$14,0))</f>
        <v>0</v>
      </c>
      <c r="AG24" s="334">
        <f t="shared" si="29"/>
        <v>3000</v>
      </c>
      <c r="AH24" s="328"/>
      <c r="AI24" s="328" t="s">
        <v>631</v>
      </c>
      <c r="AJ24" s="327">
        <v>0.3</v>
      </c>
      <c r="AK24" s="327">
        <v>0.5</v>
      </c>
      <c r="AL24" s="327">
        <v>0.3</v>
      </c>
      <c r="AM24" s="327">
        <v>0.3</v>
      </c>
      <c r="AN24" s="327">
        <v>0.3</v>
      </c>
      <c r="AO24" s="327">
        <v>0.3</v>
      </c>
      <c r="AP24" s="327">
        <v>0.2</v>
      </c>
      <c r="AQ24" s="327">
        <f t="shared" si="48"/>
        <v>0.45</v>
      </c>
      <c r="AR24" s="338"/>
      <c r="AS24" s="327">
        <f t="shared" si="49"/>
        <v>15</v>
      </c>
      <c r="AT24" s="327">
        <f t="shared" si="50"/>
        <v>15</v>
      </c>
      <c r="AU24" s="523">
        <v>0.3</v>
      </c>
      <c r="AV24" s="328"/>
      <c r="AW24" s="328"/>
      <c r="AX24" s="332">
        <v>0.3</v>
      </c>
      <c r="AY24" s="328" t="b">
        <f t="shared" ref="AY4:AY67" si="51">IF(AX24=AJ24,TRUE,FALSE)</f>
        <v>1</v>
      </c>
      <c r="AZ24" s="328" t="b">
        <f t="shared" si="4"/>
        <v>0</v>
      </c>
    </row>
    <row r="25" ht="27" customHeight="1" spans="1:52">
      <c r="A25" s="326" t="str">
        <f>INDEX('Rate Card'!$A:$A,MATCH(服务费底表!$T25,'Rate Card'!$F:$F,0))</f>
        <v>数统</v>
      </c>
      <c r="B25" s="327" t="str">
        <f>INDEX(二三级标准!$G:$G,MATCH(服务费底表!$K25,二三级标准!B:B,0))</f>
        <v>份</v>
      </c>
      <c r="C25" s="327">
        <f>INDEX(服务费明细!$E:$E,MATCH(服务费底表!$K25,服务费明细!$B:$B,0))</f>
        <v>1</v>
      </c>
      <c r="D25" s="327" t="str">
        <f t="shared" si="41"/>
        <v>A002DM</v>
      </c>
      <c r="E25" s="327" t="str">
        <f t="shared" si="42"/>
        <v>T0010DM</v>
      </c>
      <c r="F25" s="328"/>
      <c r="G25" s="328" t="s">
        <v>684</v>
      </c>
      <c r="H25" s="326" t="str">
        <f>INDEX('Rate Card'!$B:$B,MATCH(服务费底表!$T25,'Rate Card'!$F:$F,0))</f>
        <v>数据管理</v>
      </c>
      <c r="I25" s="328" t="s">
        <v>916</v>
      </c>
      <c r="J25" s="328" t="str">
        <f>INDEX(二三级标准!$Q:$Q,MATCH(服务费底表!I25,二三级标准!$O:$O,0))</f>
        <v>研究文件撰写和审核</v>
      </c>
      <c r="K25" s="328" t="s">
        <v>94</v>
      </c>
      <c r="L25" s="328" t="str">
        <f>INDEX(二三级标准!C:C,MATCH(服务费底表!K25,二三级标准!$B:$B,0))</f>
        <v>撰写CRF</v>
      </c>
      <c r="M25" s="328" t="s">
        <v>1188</v>
      </c>
      <c r="N25" s="328" t="str">
        <f>INDEX(二三级标准!$M:$M,MATCH(服务费底表!$M25,二三级标准!$L:$L,0))</f>
        <v>起草CRF设计说明</v>
      </c>
      <c r="O25" s="328"/>
      <c r="P25" s="327">
        <f>IF(R25=1,INDEX(服务费明细!$E:$E,MATCH(服务费底表!$K25,服务费明细!$B:$B,0)),0)</f>
        <v>1</v>
      </c>
      <c r="Q25" s="328" t="s">
        <v>1176</v>
      </c>
      <c r="R25" s="520">
        <f>IF(AND(撰写CRF_YN=1,数据管理YN=1),1,0)</f>
        <v>1</v>
      </c>
      <c r="S25" s="524" t="str">
        <f>INDEX('Rate Card'!$D:$D,MATCH(服务费底表!$T25,'Rate Card'!F:F,0))</f>
        <v>数据管理</v>
      </c>
      <c r="T25" s="328" t="s">
        <v>631</v>
      </c>
      <c r="U25" s="522" t="str">
        <f>INDEX('Rate Card'!$E:$E,MATCH(服务费底表!$T25,'Rate Card'!$F:$F,0))</f>
        <v>数据管理专员</v>
      </c>
      <c r="V25" s="331">
        <f>INDEX('Rate Card'!$J:$J,MATCH($T25,'Rate Card'!$F:$F,0))</f>
        <v>200</v>
      </c>
      <c r="W25" s="523">
        <f t="shared" si="43"/>
        <v>200</v>
      </c>
      <c r="X25" s="523">
        <f t="shared" si="44"/>
        <v>4</v>
      </c>
      <c r="Y25" s="327" cm="1">
        <f t="array" ref="Y25">_xlfn.IFS(报价场景=服务费底表!$AJ$2,服务费底表!$AJ25,报价场景=服务费底表!$AP$2,服务费底表!$AP25,报价场景=服务费底表!$AK$2,服务费底表!$AK25,报价场景=服务费底表!$AL$2,服务费底表!$AL25,报价场景=服务费底表!$AM$2,服务费底表!$AM25,报价场景=服务费底表!$AN$2,服务费底表!$AN25,报价场景=服务费底表!$AQ$2,服务费底表!$AQ25,报价场景=服务费底表!$AO$2,服务费底表!$AO25)</f>
        <v>4</v>
      </c>
      <c r="Z25" s="327"/>
      <c r="AA25" s="332">
        <f t="shared" si="45"/>
        <v>4</v>
      </c>
      <c r="AB25" s="333">
        <f t="shared" si="46"/>
        <v>800</v>
      </c>
      <c r="AC25" s="328">
        <f t="shared" si="47"/>
        <v>4</v>
      </c>
      <c r="AD25" s="334">
        <f t="shared" si="28"/>
        <v>800</v>
      </c>
      <c r="AE25" s="334">
        <f>$AB25*(1-INDEX(项目参数!$D$5:$D$14,MATCH(服务费底表!$S25,项目参数!$B$5:$B$14,0)))</f>
        <v>800</v>
      </c>
      <c r="AF25" s="334">
        <f>$AD25*INDEX(项目参数!$D$5:$D$14,MATCH(服务费底表!$S25,项目参数!$B$5:$B$14,0))</f>
        <v>0</v>
      </c>
      <c r="AG25" s="334">
        <f t="shared" si="29"/>
        <v>800</v>
      </c>
      <c r="AH25" s="328"/>
      <c r="AI25" s="328" t="s">
        <v>631</v>
      </c>
      <c r="AJ25" s="327">
        <v>4</v>
      </c>
      <c r="AK25" s="327">
        <v>8</v>
      </c>
      <c r="AL25" s="327">
        <v>4</v>
      </c>
      <c r="AM25" s="327">
        <v>8</v>
      </c>
      <c r="AN25" s="327">
        <v>4</v>
      </c>
      <c r="AO25" s="327">
        <v>4</v>
      </c>
      <c r="AP25" s="327">
        <v>4</v>
      </c>
      <c r="AQ25" s="327">
        <f t="shared" si="48"/>
        <v>6</v>
      </c>
      <c r="AR25" s="338"/>
      <c r="AS25" s="327">
        <f t="shared" si="49"/>
        <v>4</v>
      </c>
      <c r="AT25" s="327">
        <f t="shared" si="50"/>
        <v>4</v>
      </c>
      <c r="AU25" s="523">
        <v>4</v>
      </c>
      <c r="AV25" s="328"/>
      <c r="AW25" s="328"/>
      <c r="AX25" s="332">
        <v>4</v>
      </c>
      <c r="AY25" s="328" t="b">
        <f t="shared" si="51"/>
        <v>1</v>
      </c>
      <c r="AZ25" s="328" t="b">
        <f t="shared" si="4"/>
        <v>0</v>
      </c>
    </row>
    <row r="26" ht="27" customHeight="1" spans="1:52">
      <c r="A26" s="326" t="str">
        <f>INDEX('Rate Card'!$A:$A,MATCH(服务费底表!$T26,'Rate Card'!$F:$F,0))</f>
        <v>数统</v>
      </c>
      <c r="B26" s="327" t="str">
        <f>INDEX(二三级标准!$G:$G,MATCH(服务费底表!$K26,二三级标准!B:B,0))</f>
        <v>份</v>
      </c>
      <c r="C26" s="327">
        <f>INDEX(服务费明细!$E:$E,MATCH(服务费底表!$K26,服务费明细!$B:$B,0))</f>
        <v>1</v>
      </c>
      <c r="D26" s="327" t="str">
        <f t="shared" si="41"/>
        <v>A002LDM</v>
      </c>
      <c r="E26" s="327" t="str">
        <f t="shared" si="42"/>
        <v>T0011LDM</v>
      </c>
      <c r="F26" s="328"/>
      <c r="G26" s="328" t="s">
        <v>684</v>
      </c>
      <c r="H26" s="326" t="str">
        <f>INDEX('Rate Card'!$B:$B,MATCH(服务费底表!$T26,'Rate Card'!$F:$F,0))</f>
        <v>数据管理</v>
      </c>
      <c r="I26" s="328" t="s">
        <v>916</v>
      </c>
      <c r="J26" s="328" t="str">
        <f>INDEX(二三级标准!$Q:$Q,MATCH(服务费底表!I26,二三级标准!$O:$O,0))</f>
        <v>研究文件撰写和审核</v>
      </c>
      <c r="K26" s="328" t="s">
        <v>94</v>
      </c>
      <c r="L26" s="328" t="str">
        <f>INDEX(二三级标准!C:C,MATCH(服务费底表!K26,二三级标准!$B:$B,0))</f>
        <v>撰写CRF</v>
      </c>
      <c r="M26" s="328" t="s">
        <v>1189</v>
      </c>
      <c r="N26" s="328" t="str">
        <f>INDEX(二三级标准!$M:$M,MATCH(服务费底表!$M26,二三级标准!$L:$L,0))</f>
        <v>CRF审阅</v>
      </c>
      <c r="O26" s="328"/>
      <c r="P26" s="327">
        <f>IF(R26=1,INDEX(服务费明细!$E:$E,MATCH(服务费底表!$K26,服务费明细!$B:$B,0)),0)</f>
        <v>1</v>
      </c>
      <c r="Q26" s="328" t="s">
        <v>1178</v>
      </c>
      <c r="R26" s="520">
        <f>IF(AND(撰写CRF_YN=1,数据管理YN=1),1,0)</f>
        <v>1</v>
      </c>
      <c r="S26" s="524" t="str">
        <f>INDEX('Rate Card'!$D:$D,MATCH(服务费底表!$T26,'Rate Card'!F:F,0))</f>
        <v>数据管理</v>
      </c>
      <c r="T26" s="328" t="s">
        <v>633</v>
      </c>
      <c r="U26" s="522" t="str">
        <f>INDEX('Rate Card'!$E:$E,MATCH(服务费底表!$T26,'Rate Card'!$F:$F,0))</f>
        <v>数据管理经理</v>
      </c>
      <c r="V26" s="331">
        <f>INDEX('Rate Card'!$J:$J,MATCH($T26,'Rate Card'!$F:$F,0))</f>
        <v>360</v>
      </c>
      <c r="W26" s="523">
        <f t="shared" si="43"/>
        <v>360</v>
      </c>
      <c r="X26" s="523">
        <f t="shared" si="44"/>
        <v>6</v>
      </c>
      <c r="Y26" s="327" cm="1">
        <f t="array" ref="Y26">_xlfn.IFS(报价场景=服务费底表!$AJ$2,服务费底表!$AJ26,报价场景=服务费底表!$AP$2,服务费底表!$AP26,报价场景=服务费底表!$AK$2,服务费底表!$AK26,报价场景=服务费底表!$AL$2,服务费底表!$AL26,报价场景=服务费底表!$AM$2,服务费底表!$AM26,报价场景=服务费底表!$AN$2,服务费底表!$AN26,报价场景=服务费底表!$AQ$2,服务费底表!$AQ26,报价场景=服务费底表!$AO$2,服务费底表!$AO26)</f>
        <v>6</v>
      </c>
      <c r="Z26" s="327"/>
      <c r="AA26" s="332">
        <f t="shared" si="45"/>
        <v>6</v>
      </c>
      <c r="AB26" s="333">
        <f t="shared" si="46"/>
        <v>2160</v>
      </c>
      <c r="AC26" s="328">
        <f t="shared" si="47"/>
        <v>6</v>
      </c>
      <c r="AD26" s="334">
        <f t="shared" si="28"/>
        <v>2160</v>
      </c>
      <c r="AE26" s="334">
        <f>$AB26*(1-INDEX(项目参数!$D$5:$D$14,MATCH(服务费底表!$S26,项目参数!$B$5:$B$14,0)))</f>
        <v>2160</v>
      </c>
      <c r="AF26" s="334">
        <f>$AD26*INDEX(项目参数!$D$5:$D$14,MATCH(服务费底表!$S26,项目参数!$B$5:$B$14,0))</f>
        <v>0</v>
      </c>
      <c r="AG26" s="334">
        <f t="shared" si="29"/>
        <v>2160</v>
      </c>
      <c r="AH26" s="328"/>
      <c r="AI26" s="328" t="s">
        <v>633</v>
      </c>
      <c r="AJ26" s="327">
        <v>6</v>
      </c>
      <c r="AK26" s="327">
        <v>8</v>
      </c>
      <c r="AL26" s="327">
        <v>4</v>
      </c>
      <c r="AM26" s="327">
        <v>6</v>
      </c>
      <c r="AN26" s="327">
        <v>4</v>
      </c>
      <c r="AO26" s="327">
        <v>4</v>
      </c>
      <c r="AP26" s="327">
        <v>6</v>
      </c>
      <c r="AQ26" s="327">
        <f t="shared" si="48"/>
        <v>9</v>
      </c>
      <c r="AR26" s="338"/>
      <c r="AS26" s="327">
        <f t="shared" si="49"/>
        <v>6</v>
      </c>
      <c r="AT26" s="327">
        <f t="shared" si="50"/>
        <v>6</v>
      </c>
      <c r="AU26" s="523">
        <v>6</v>
      </c>
      <c r="AV26" s="328"/>
      <c r="AW26" s="328"/>
      <c r="AX26" s="332">
        <v>6</v>
      </c>
      <c r="AY26" s="328" t="b">
        <f t="shared" si="51"/>
        <v>1</v>
      </c>
      <c r="AZ26" s="328" t="b">
        <f t="shared" si="4"/>
        <v>0</v>
      </c>
    </row>
    <row r="27" ht="27" customHeight="1" spans="1:52">
      <c r="A27" s="326" t="str">
        <f>INDEX('Rate Card'!$A:$A,MATCH(服务费底表!$T27,'Rate Card'!$F:$F,0))</f>
        <v>数统</v>
      </c>
      <c r="B27" s="327" t="str">
        <f>INDEX(二三级标准!$G:$G,MATCH(服务费底表!$K27,二三级标准!B:B,0))</f>
        <v>份</v>
      </c>
      <c r="C27" s="327">
        <f>INDEX(服务费明细!$E:$E,MATCH(服务费底表!$K27,服务费明细!$B:$B,0))</f>
        <v>1</v>
      </c>
      <c r="D27" s="327" t="str">
        <f t="shared" si="41"/>
        <v>A002ST</v>
      </c>
      <c r="E27" s="327" t="str">
        <f t="shared" si="42"/>
        <v>T0011ST</v>
      </c>
      <c r="F27" s="328"/>
      <c r="G27" s="328" t="s">
        <v>684</v>
      </c>
      <c r="H27" s="326" t="str">
        <f>INDEX('Rate Card'!$B:$B,MATCH(服务费底表!$T27,'Rate Card'!$F:$F,0))</f>
        <v>生物统计及分析</v>
      </c>
      <c r="I27" s="328" t="s">
        <v>916</v>
      </c>
      <c r="J27" s="328" t="str">
        <f>INDEX(二三级标准!$Q:$Q,MATCH(服务费底表!I27,二三级标准!$O:$O,0))</f>
        <v>研究文件撰写和审核</v>
      </c>
      <c r="K27" s="328" t="s">
        <v>94</v>
      </c>
      <c r="L27" s="328" t="str">
        <f>INDEX(二三级标准!C:C,MATCH(服务费底表!K27,二三级标准!$B:$B,0))</f>
        <v>撰写CRF</v>
      </c>
      <c r="M27" s="328" t="s">
        <v>1189</v>
      </c>
      <c r="N27" s="328" t="str">
        <f>INDEX(二三级标准!$M:$M,MATCH(服务费底表!$M27,二三级标准!$L:$L,0))</f>
        <v>CRF审阅</v>
      </c>
      <c r="O27" s="328"/>
      <c r="P27" s="327">
        <f>IF(R27=1,INDEX(服务费明细!$E:$E,MATCH(服务费底表!$K27,服务费明细!$B:$B,0)),0)</f>
        <v>1</v>
      </c>
      <c r="Q27" s="328" t="s">
        <v>1178</v>
      </c>
      <c r="R27" s="520">
        <f>IF(AND(撰写CRF_YN=1,生物统计YN=1),1,0)</f>
        <v>1</v>
      </c>
      <c r="S27" s="524" t="str">
        <f>INDEX('Rate Card'!$D:$D,MATCH(服务费底表!$T27,'Rate Card'!F:F,0))</f>
        <v>生物统计</v>
      </c>
      <c r="T27" s="328" t="s">
        <v>639</v>
      </c>
      <c r="U27" s="522" t="str">
        <f>INDEX('Rate Card'!$E:$E,MATCH(服务费底表!$T27,'Rate Card'!$F:$F,0))</f>
        <v>生物统计师</v>
      </c>
      <c r="V27" s="331">
        <f>INDEX('Rate Card'!$J:$J,MATCH($T27,'Rate Card'!$F:$F,0))</f>
        <v>400</v>
      </c>
      <c r="W27" s="523">
        <f t="shared" si="43"/>
        <v>400</v>
      </c>
      <c r="X27" s="523">
        <f t="shared" si="44"/>
        <v>2</v>
      </c>
      <c r="Y27" s="327" cm="1">
        <f t="array" ref="Y27">_xlfn.IFS(报价场景=服务费底表!$AJ$2,服务费底表!$AJ27,报价场景=服务费底表!$AP$2,服务费底表!$AP27,报价场景=服务费底表!$AK$2,服务费底表!$AK27,报价场景=服务费底表!$AL$2,服务费底表!$AL27,报价场景=服务费底表!$AM$2,服务费底表!$AM27,报价场景=服务费底表!$AN$2,服务费底表!$AN27,报价场景=服务费底表!$AQ$2,服务费底表!$AQ27,报价场景=服务费底表!$AO$2,服务费底表!$AO27)</f>
        <v>2</v>
      </c>
      <c r="Z27" s="327"/>
      <c r="AA27" s="332">
        <f t="shared" si="45"/>
        <v>2</v>
      </c>
      <c r="AB27" s="333">
        <f t="shared" si="46"/>
        <v>800</v>
      </c>
      <c r="AC27" s="328">
        <f t="shared" si="47"/>
        <v>2</v>
      </c>
      <c r="AD27" s="334">
        <f t="shared" si="28"/>
        <v>800</v>
      </c>
      <c r="AE27" s="334">
        <f>$AB27*(1-INDEX(项目参数!$D$5:$D$14,MATCH(服务费底表!$S27,项目参数!$B$5:$B$14,0)))</f>
        <v>800</v>
      </c>
      <c r="AF27" s="334">
        <f>$AD27*INDEX(项目参数!$D$5:$D$14,MATCH(服务费底表!$S27,项目参数!$B$5:$B$14,0))</f>
        <v>0</v>
      </c>
      <c r="AG27" s="334">
        <f t="shared" si="29"/>
        <v>800</v>
      </c>
      <c r="AH27" s="328"/>
      <c r="AI27" s="328" t="s">
        <v>639</v>
      </c>
      <c r="AJ27" s="327">
        <v>2</v>
      </c>
      <c r="AK27" s="327">
        <v>6</v>
      </c>
      <c r="AL27" s="327">
        <v>2</v>
      </c>
      <c r="AM27" s="327">
        <v>4</v>
      </c>
      <c r="AN27" s="327">
        <v>2</v>
      </c>
      <c r="AO27" s="327">
        <v>2</v>
      </c>
      <c r="AP27" s="327">
        <v>2</v>
      </c>
      <c r="AQ27" s="327">
        <f t="shared" si="48"/>
        <v>3</v>
      </c>
      <c r="AR27" s="338"/>
      <c r="AS27" s="327">
        <f t="shared" si="49"/>
        <v>2</v>
      </c>
      <c r="AT27" s="327">
        <f t="shared" si="50"/>
        <v>2</v>
      </c>
      <c r="AU27" s="523">
        <v>2</v>
      </c>
      <c r="AV27" s="328"/>
      <c r="AW27" s="328"/>
      <c r="AX27" s="332">
        <v>2</v>
      </c>
      <c r="AY27" s="328" t="b">
        <f t="shared" si="51"/>
        <v>1</v>
      </c>
      <c r="AZ27" s="328" t="b">
        <f t="shared" si="4"/>
        <v>0</v>
      </c>
    </row>
    <row r="28" ht="27" customHeight="1" spans="1:52">
      <c r="A28" s="326" t="str">
        <f>INDEX('Rate Card'!$A:$A,MATCH(服务费底表!$T28,'Rate Card'!$F:$F,0))</f>
        <v>医学</v>
      </c>
      <c r="B28" s="327" t="str">
        <f>INDEX(二三级标准!$G:$G,MATCH(服务费底表!$K28,二三级标准!B:B,0))</f>
        <v>份</v>
      </c>
      <c r="C28" s="327">
        <f>INDEX(服务费明细!$E:$E,MATCH(服务费底表!$K28,服务费明细!$B:$B,0))</f>
        <v>1</v>
      </c>
      <c r="D28" s="327" t="str">
        <f t="shared" si="41"/>
        <v>A002MM</v>
      </c>
      <c r="E28" s="327" t="str">
        <f t="shared" si="42"/>
        <v>T0011MM</v>
      </c>
      <c r="F28" s="328"/>
      <c r="G28" s="328" t="s">
        <v>684</v>
      </c>
      <c r="H28" s="326" t="str">
        <f>INDEX('Rate Card'!$B:$B,MATCH(服务费底表!$T28,'Rate Card'!$F:$F,0))</f>
        <v>医学</v>
      </c>
      <c r="I28" s="328" t="s">
        <v>916</v>
      </c>
      <c r="J28" s="328" t="str">
        <f>INDEX(二三级标准!$Q:$Q,MATCH(服务费底表!I28,二三级标准!$O:$O,0))</f>
        <v>研究文件撰写和审核</v>
      </c>
      <c r="K28" s="328" t="s">
        <v>94</v>
      </c>
      <c r="L28" s="328" t="str">
        <f>INDEX(二三级标准!C:C,MATCH(服务费底表!K28,二三级标准!$B:$B,0))</f>
        <v>撰写CRF</v>
      </c>
      <c r="M28" s="328" t="s">
        <v>1189</v>
      </c>
      <c r="N28" s="328" t="str">
        <f>INDEX(二三级标准!$M:$M,MATCH(服务费底表!$M28,二三级标准!$L:$L,0))</f>
        <v>CRF审阅</v>
      </c>
      <c r="O28" s="328"/>
      <c r="P28" s="327">
        <f>IF(R28=1,INDEX(服务费明细!$E:$E,MATCH(服务费底表!$K28,服务费明细!$B:$B,0)),0)</f>
        <v>1</v>
      </c>
      <c r="Q28" s="328" t="s">
        <v>1178</v>
      </c>
      <c r="R28" s="520">
        <f>IF(AND(撰写CRF_YN=1,医学撰写YN=1),1,0)</f>
        <v>1</v>
      </c>
      <c r="S28" s="521" t="str">
        <f>IF(AND(H28="医学",OR(I28=二三级标准!$A$4,I28=二三级标准!$A$153)),"医学撰写","医学监查")</f>
        <v>医学撰写</v>
      </c>
      <c r="T28" s="328" t="s">
        <v>615</v>
      </c>
      <c r="U28" s="522" t="str">
        <f>INDEX('Rate Card'!$E:$E,MATCH(服务费底表!$T28,'Rate Card'!$F:$F,0))</f>
        <v>医学经理</v>
      </c>
      <c r="V28" s="331">
        <f>INDEX('Rate Card'!$J:$J,MATCH($T28,'Rate Card'!$F:$F,0))</f>
        <v>650</v>
      </c>
      <c r="W28" s="523">
        <f t="shared" si="43"/>
        <v>650</v>
      </c>
      <c r="X28" s="523">
        <f t="shared" si="44"/>
        <v>8</v>
      </c>
      <c r="Y28" s="327" cm="1">
        <f t="array" ref="Y28">_xlfn.IFS(报价场景=服务费底表!$AJ$2,服务费底表!$AJ28,报价场景=服务费底表!$AP$2,服务费底表!$AP28,报价场景=服务费底表!$AK$2,服务费底表!$AK28,报价场景=服务费底表!$AL$2,服务费底表!$AL28,报价场景=服务费底表!$AM$2,服务费底表!$AM28,报价场景=服务费底表!$AN$2,服务费底表!$AN28,报价场景=服务费底表!$AQ$2,服务费底表!$AQ28,报价场景=服务费底表!$AO$2,服务费底表!$AO28)</f>
        <v>8</v>
      </c>
      <c r="Z28" s="327"/>
      <c r="AA28" s="332">
        <f t="shared" si="45"/>
        <v>8</v>
      </c>
      <c r="AB28" s="333">
        <f t="shared" si="46"/>
        <v>5200</v>
      </c>
      <c r="AC28" s="328">
        <f t="shared" si="47"/>
        <v>8</v>
      </c>
      <c r="AD28" s="334">
        <f t="shared" ref="AD28:AD33" si="52">AC28*V28</f>
        <v>5200</v>
      </c>
      <c r="AE28" s="334">
        <f>$AB28*(1-INDEX(项目参数!$D$5:$D$14,MATCH(服务费底表!$S28,项目参数!$B$5:$B$14,0)))</f>
        <v>5200</v>
      </c>
      <c r="AF28" s="334">
        <f>$AD28*INDEX(项目参数!$D$5:$D$14,MATCH(服务费底表!$S28,项目参数!$B$5:$B$14,0))</f>
        <v>0</v>
      </c>
      <c r="AG28" s="334">
        <f t="shared" ref="AG28:AG33" si="53">AD28-AF28</f>
        <v>5200</v>
      </c>
      <c r="AH28" s="328"/>
      <c r="AI28" s="328" t="s">
        <v>615</v>
      </c>
      <c r="AJ28" s="327">
        <v>8</v>
      </c>
      <c r="AK28" s="327">
        <f>AJ28*1.5</f>
        <v>12</v>
      </c>
      <c r="AL28" s="327">
        <v>8</v>
      </c>
      <c r="AM28" s="327">
        <v>8</v>
      </c>
      <c r="AN28" s="327">
        <f>AL28</f>
        <v>8</v>
      </c>
      <c r="AO28" s="327">
        <v>8</v>
      </c>
      <c r="AP28" s="327">
        <v>12</v>
      </c>
      <c r="AQ28" s="327">
        <f t="shared" si="48"/>
        <v>12</v>
      </c>
      <c r="AR28" s="338"/>
      <c r="AS28" s="327">
        <f t="shared" si="49"/>
        <v>8</v>
      </c>
      <c r="AT28" s="327">
        <f t="shared" si="50"/>
        <v>8</v>
      </c>
      <c r="AU28" s="523">
        <v>8</v>
      </c>
      <c r="AV28" s="328"/>
      <c r="AW28" s="328"/>
      <c r="AX28" s="332">
        <v>8</v>
      </c>
      <c r="AY28" s="328" t="b">
        <f t="shared" si="51"/>
        <v>1</v>
      </c>
      <c r="AZ28" s="328" t="b">
        <f t="shared" si="4"/>
        <v>0</v>
      </c>
    </row>
    <row r="29" ht="27" customHeight="1" spans="1:52">
      <c r="A29" s="326" t="str">
        <f>INDEX('Rate Card'!$A:$A,MATCH(服务费底表!$T29,'Rate Card'!$F:$F,0))</f>
        <v>临床运营</v>
      </c>
      <c r="B29" s="327" t="str">
        <f>INDEX(二三级标准!$G:$G,MATCH(服务费底表!$K29,二三级标准!B:B,0))</f>
        <v>份</v>
      </c>
      <c r="C29" s="327">
        <f>INDEX(服务费明细!$E:$E,MATCH(服务费底表!$K29,服务费明细!$B:$B,0))</f>
        <v>1</v>
      </c>
      <c r="D29" s="327" t="str">
        <f t="shared" si="41"/>
        <v>A002PM</v>
      </c>
      <c r="E29" s="327" t="str">
        <f t="shared" si="42"/>
        <v>T0011PM</v>
      </c>
      <c r="F29" s="328"/>
      <c r="G29" s="328" t="s">
        <v>684</v>
      </c>
      <c r="H29" s="326" t="str">
        <f>INDEX('Rate Card'!$B:$B,MATCH(服务费底表!$T29,'Rate Card'!$F:$F,0))</f>
        <v>临床运营</v>
      </c>
      <c r="I29" s="328" t="s">
        <v>916</v>
      </c>
      <c r="J29" s="328" t="str">
        <f>INDEX(二三级标准!$Q:$Q,MATCH(服务费底表!I29,二三级标准!$O:$O,0))</f>
        <v>研究文件撰写和审核</v>
      </c>
      <c r="K29" s="328" t="s">
        <v>94</v>
      </c>
      <c r="L29" s="328" t="str">
        <f>INDEX(二三级标准!C:C,MATCH(服务费底表!K29,二三级标准!$B:$B,0))</f>
        <v>撰写CRF</v>
      </c>
      <c r="M29" s="328" t="s">
        <v>1189</v>
      </c>
      <c r="N29" s="328" t="str">
        <f>INDEX(二三级标准!$M:$M,MATCH(服务费底表!$M29,二三级标准!$L:$L,0))</f>
        <v>CRF审阅</v>
      </c>
      <c r="O29" s="328"/>
      <c r="P29" s="327">
        <f>IF(R29=1,INDEX(服务费明细!$E:$E,MATCH(服务费底表!$K29,服务费明细!$B:$B,0)),0)</f>
        <v>1</v>
      </c>
      <c r="Q29" s="328" t="s">
        <v>1178</v>
      </c>
      <c r="R29" s="520">
        <f>IF(AND(撰写CRF_YN=1,项目管理YN=1),1,0)</f>
        <v>1</v>
      </c>
      <c r="S29" s="525" t="str">
        <f>INDEX('Rate Card'!$D:$D,MATCH(服务费底表!$T29,'Rate Card'!F:F,0))</f>
        <v>项目管理</v>
      </c>
      <c r="T29" s="328" t="s">
        <v>599</v>
      </c>
      <c r="U29" s="522" t="str">
        <f>INDEX('Rate Card'!$E:$E,MATCH(服务费底表!$T29,'Rate Card'!$F:$F,0))</f>
        <v>临床项目经理</v>
      </c>
      <c r="V29" s="331">
        <f>INDEX('Rate Card'!$J:$J,MATCH($T29,'Rate Card'!$F:$F,0))</f>
        <v>650</v>
      </c>
      <c r="W29" s="523">
        <f t="shared" si="43"/>
        <v>650</v>
      </c>
      <c r="X29" s="523">
        <f t="shared" si="44"/>
        <v>2</v>
      </c>
      <c r="Y29" s="327" cm="1">
        <f t="array" ref="Y29">_xlfn.IFS(报价场景=服务费底表!$AJ$2,服务费底表!$AJ29,报价场景=服务费底表!$AP$2,服务费底表!$AP29,报价场景=服务费底表!$AK$2,服务费底表!$AK29,报价场景=服务费底表!$AL$2,服务费底表!$AL29,报价场景=服务费底表!$AM$2,服务费底表!$AM29,报价场景=服务费底表!$AN$2,服务费底表!$AN29,报价场景=服务费底表!$AQ$2,服务费底表!$AQ29,报价场景=服务费底表!$AO$2,服务费底表!$AO29)</f>
        <v>2</v>
      </c>
      <c r="Z29" s="327"/>
      <c r="AA29" s="332">
        <f t="shared" si="45"/>
        <v>2</v>
      </c>
      <c r="AB29" s="333">
        <f t="shared" si="46"/>
        <v>1300</v>
      </c>
      <c r="AC29" s="328">
        <f t="shared" si="47"/>
        <v>2</v>
      </c>
      <c r="AD29" s="334">
        <f t="shared" si="52"/>
        <v>1300</v>
      </c>
      <c r="AE29" s="334">
        <f>$AB29*(1-INDEX(项目参数!$D$5:$D$14,MATCH(服务费底表!$S29,项目参数!$B$5:$B$14,0)))</f>
        <v>1300</v>
      </c>
      <c r="AF29" s="334">
        <f>$AD29*INDEX(项目参数!$D$5:$D$14,MATCH(服务费底表!$S29,项目参数!$B$5:$B$14,0))</f>
        <v>0</v>
      </c>
      <c r="AG29" s="334">
        <f t="shared" si="53"/>
        <v>1300</v>
      </c>
      <c r="AH29" s="328"/>
      <c r="AI29" s="328" t="s">
        <v>599</v>
      </c>
      <c r="AJ29" s="327">
        <v>2</v>
      </c>
      <c r="AK29" s="327">
        <f>AJ29*1.5</f>
        <v>3</v>
      </c>
      <c r="AL29" s="327">
        <f>AM29</f>
        <v>1.5</v>
      </c>
      <c r="AM29" s="327">
        <v>1.5</v>
      </c>
      <c r="AN29" s="327">
        <f>AJ29</f>
        <v>2</v>
      </c>
      <c r="AO29" s="327">
        <f>AP29</f>
        <v>2</v>
      </c>
      <c r="AP29" s="327">
        <v>2</v>
      </c>
      <c r="AQ29" s="327">
        <f t="shared" si="48"/>
        <v>3</v>
      </c>
      <c r="AR29" s="338"/>
      <c r="AS29" s="327">
        <f t="shared" si="49"/>
        <v>2</v>
      </c>
      <c r="AT29" s="327">
        <f t="shared" si="50"/>
        <v>2</v>
      </c>
      <c r="AU29" s="523">
        <v>2</v>
      </c>
      <c r="AV29" s="328"/>
      <c r="AW29" s="328"/>
      <c r="AX29" s="332">
        <v>2</v>
      </c>
      <c r="AY29" s="328" t="b">
        <f t="shared" si="51"/>
        <v>1</v>
      </c>
      <c r="AZ29" s="328" t="b">
        <f t="shared" si="4"/>
        <v>0</v>
      </c>
    </row>
    <row r="30" ht="27" customHeight="1" spans="1:52">
      <c r="A30" s="326" t="str">
        <f>INDEX('Rate Card'!$A:$A,MATCH(服务费底表!$T30,'Rate Card'!$F:$F,0))</f>
        <v>医学</v>
      </c>
      <c r="B30" s="327" t="str">
        <f>INDEX(二三级标准!$G:$G,MATCH(服务费底表!$K30,二三级标准!B:B,0))</f>
        <v>次</v>
      </c>
      <c r="C30" s="327">
        <f>INDEX(服务费明细!$E:$E,MATCH(服务费底表!$K30,服务费明细!$B:$B,0))</f>
        <v>1</v>
      </c>
      <c r="D30" s="327" t="str">
        <f t="shared" si="41"/>
        <v>A003MM</v>
      </c>
      <c r="E30" s="327" t="str">
        <f t="shared" si="42"/>
        <v>T0013MM</v>
      </c>
      <c r="F30" s="328"/>
      <c r="G30" s="328" t="s">
        <v>684</v>
      </c>
      <c r="H30" s="326" t="str">
        <f>INDEX('Rate Card'!$B:$B,MATCH(服务费底表!$T30,'Rate Card'!$F:$F,0))</f>
        <v>医学</v>
      </c>
      <c r="I30" s="328" t="s">
        <v>916</v>
      </c>
      <c r="J30" s="328" t="str">
        <f>INDEX(二三级标准!$Q:$Q,MATCH(服务费底表!I30,二三级标准!$O:$O,0))</f>
        <v>研究文件撰写和审核</v>
      </c>
      <c r="K30" s="328" t="s">
        <v>96</v>
      </c>
      <c r="L30" s="328" t="str">
        <f>INDEX(二三级标准!C:C,MATCH(服务费底表!K30,二三级标准!$B:$B,0))</f>
        <v>方案版本更新</v>
      </c>
      <c r="M30" s="328" t="s">
        <v>1190</v>
      </c>
      <c r="N30" s="328" t="str">
        <f>INDEX(二三级标准!$M:$M,MATCH(服务费底表!$M30,二三级标准!$L:$L,0))</f>
        <v>执行期方案修订撰写</v>
      </c>
      <c r="O30" s="328"/>
      <c r="P30" s="327">
        <f>IF(R30=1,INDEX(服务费明细!$E:$E,MATCH(服务费底表!$K30,服务费明细!$B:$B,0)),0)</f>
        <v>1</v>
      </c>
      <c r="Q30" s="328" t="s">
        <v>1178</v>
      </c>
      <c r="R30" s="520">
        <f>IF(AND(方案版本更新YN=1,医学撰写YN=1),1,0)</f>
        <v>1</v>
      </c>
      <c r="S30" s="521" t="str">
        <f>IF(AND(H30="医学",OR(I30=二三级标准!$A$4,I30=二三级标准!$A$153)),"医学撰写","医学监查")</f>
        <v>医学撰写</v>
      </c>
      <c r="T30" s="328" t="s">
        <v>615</v>
      </c>
      <c r="U30" s="522" t="str">
        <f>INDEX('Rate Card'!$E:$E,MATCH(服务费底表!$T30,'Rate Card'!$F:$F,0))</f>
        <v>医学经理</v>
      </c>
      <c r="V30" s="331">
        <f>INDEX('Rate Card'!$J:$J,MATCH($T30,'Rate Card'!$F:$F,0))</f>
        <v>650</v>
      </c>
      <c r="W30" s="523">
        <f t="shared" ref="W30:W49" si="54">V30*(1-$W$1)</f>
        <v>650</v>
      </c>
      <c r="X30" s="523">
        <f t="shared" ref="X30:X49" si="55">Y30*$X$1</f>
        <v>42</v>
      </c>
      <c r="Y30" s="327" cm="1">
        <f t="array" ref="Y30">_xlfn.IFS(报价场景=服务费底表!$AJ$2,服务费底表!$AJ30,报价场景=服务费底表!$AP$2,服务费底表!$AP30,报价场景=服务费底表!$AK$2,服务费底表!$AK30,报价场景=服务费底表!$AL$2,服务费底表!$AL30,报价场景=服务费底表!$AM$2,服务费底表!$AM30,报价场景=服务费底表!$AN$2,服务费底表!$AN30,报价场景=服务费底表!$AQ$2,服务费底表!$AQ30,报价场景=服务费底表!$AO$2,服务费底表!$AO30)</f>
        <v>42</v>
      </c>
      <c r="Z30" s="327"/>
      <c r="AA30" s="332">
        <f t="shared" si="45"/>
        <v>42</v>
      </c>
      <c r="AB30" s="333">
        <f t="shared" si="46"/>
        <v>27300</v>
      </c>
      <c r="AC30" s="328">
        <f t="shared" si="47"/>
        <v>42</v>
      </c>
      <c r="AD30" s="334">
        <f t="shared" si="52"/>
        <v>27300</v>
      </c>
      <c r="AE30" s="334">
        <f>$AB30*(1-INDEX(项目参数!$D$5:$D$14,MATCH(服务费底表!$S30,项目参数!$B$5:$B$14,0)))</f>
        <v>27300</v>
      </c>
      <c r="AF30" s="334">
        <f>$AD30*INDEX(项目参数!$D$5:$D$14,MATCH(服务费底表!$S30,项目参数!$B$5:$B$14,0))</f>
        <v>0</v>
      </c>
      <c r="AG30" s="334">
        <f t="shared" si="53"/>
        <v>27300</v>
      </c>
      <c r="AH30" s="328"/>
      <c r="AI30" s="328" t="s">
        <v>615</v>
      </c>
      <c r="AJ30" s="327">
        <v>42</v>
      </c>
      <c r="AK30" s="327">
        <f>AJ30*1.5</f>
        <v>63</v>
      </c>
      <c r="AL30" s="327">
        <v>16</v>
      </c>
      <c r="AM30" s="327">
        <f>AL30*1.5</f>
        <v>24</v>
      </c>
      <c r="AN30" s="327">
        <f>AL30</f>
        <v>16</v>
      </c>
      <c r="AO30" s="327">
        <v>16</v>
      </c>
      <c r="AP30" s="327">
        <v>24</v>
      </c>
      <c r="AQ30" s="327">
        <f t="shared" ref="AQ30:AQ49" si="56">AJ30*$AQ$1</f>
        <v>63</v>
      </c>
      <c r="AR30" s="338"/>
      <c r="AS30" s="327">
        <f t="shared" si="49"/>
        <v>42</v>
      </c>
      <c r="AT30" s="327">
        <f t="shared" si="50"/>
        <v>42</v>
      </c>
      <c r="AU30" s="523">
        <v>24</v>
      </c>
      <c r="AV30" s="328"/>
      <c r="AW30" s="328"/>
      <c r="AX30" s="332">
        <v>24</v>
      </c>
      <c r="AY30" s="328" t="b">
        <f t="shared" si="51"/>
        <v>0</v>
      </c>
      <c r="AZ30" s="328" t="b">
        <f t="shared" si="4"/>
        <v>1</v>
      </c>
    </row>
    <row r="31" ht="27" customHeight="1" spans="1:52">
      <c r="A31" s="326" t="str">
        <f>INDEX('Rate Card'!$A:$A,MATCH(服务费底表!$T31,'Rate Card'!$F:$F,0))</f>
        <v>医学</v>
      </c>
      <c r="B31" s="327" t="str">
        <f>INDEX(二三级标准!$G:$G,MATCH(服务费底表!$K31,二三级标准!B:B,0))</f>
        <v>次</v>
      </c>
      <c r="C31" s="327">
        <f>INDEX(服务费明细!$E:$E,MATCH(服务费底表!$K31,服务费明细!$B:$B,0))</f>
        <v>1</v>
      </c>
      <c r="D31" s="327" t="str">
        <f t="shared" si="41"/>
        <v>A003MD</v>
      </c>
      <c r="E31" s="327" t="str">
        <f t="shared" si="42"/>
        <v>T0015MD</v>
      </c>
      <c r="F31" s="328"/>
      <c r="G31" s="328" t="s">
        <v>684</v>
      </c>
      <c r="H31" s="326" t="str">
        <f>INDEX('Rate Card'!$B:$B,MATCH(服务费底表!$T31,'Rate Card'!$F:$F,0))</f>
        <v>医学</v>
      </c>
      <c r="I31" s="328" t="s">
        <v>916</v>
      </c>
      <c r="J31" s="328" t="str">
        <f>INDEX(二三级标准!$Q:$Q,MATCH(服务费底表!I31,二三级标准!$O:$O,0))</f>
        <v>研究文件撰写和审核</v>
      </c>
      <c r="K31" s="328" t="s">
        <v>96</v>
      </c>
      <c r="L31" s="328" t="str">
        <f>INDEX(二三级标准!C:C,MATCH(服务费底表!K31,二三级标准!$B:$B,0))</f>
        <v>方案版本更新</v>
      </c>
      <c r="M31" s="328" t="s">
        <v>1191</v>
      </c>
      <c r="N31" s="328" t="str">
        <f>INDEX(二三级标准!$M:$M,MATCH(服务费底表!$M31,二三级标准!$L:$L,0))</f>
        <v>执行期方案修订审阅</v>
      </c>
      <c r="O31" s="328"/>
      <c r="P31" s="327">
        <f>IF(R31=1,INDEX(服务费明细!$E:$E,MATCH(服务费底表!$K31,服务费明细!$B:$B,0)),0)</f>
        <v>1</v>
      </c>
      <c r="Q31" s="328" t="s">
        <v>1178</v>
      </c>
      <c r="R31" s="520">
        <f>IF(AND(方案版本更新YN=1,医学撰写YN=1),1,0)</f>
        <v>1</v>
      </c>
      <c r="S31" s="521" t="str">
        <f>IF(AND(H31="医学",OR(I31=二三级标准!$A$4,I31=二三级标准!$A$153)),"医学撰写","医学监查")</f>
        <v>医学撰写</v>
      </c>
      <c r="T31" s="328" t="s">
        <v>613</v>
      </c>
      <c r="U31" s="522" t="str">
        <f>INDEX('Rate Card'!$E:$E,MATCH(服务费底表!$T31,'Rate Card'!$F:$F,0))</f>
        <v>医学总监</v>
      </c>
      <c r="V31" s="331">
        <f>INDEX('Rate Card'!$J:$J,MATCH($T31,'Rate Card'!$F:$F,0))</f>
        <v>990</v>
      </c>
      <c r="W31" s="523">
        <f t="shared" si="54"/>
        <v>990</v>
      </c>
      <c r="X31" s="523">
        <f t="shared" si="55"/>
        <v>10</v>
      </c>
      <c r="Y31" s="327" cm="1">
        <f t="array" ref="Y31">_xlfn.IFS(报价场景=服务费底表!$AJ$2,服务费底表!$AJ31,报价场景=服务费底表!$AP$2,服务费底表!$AP31,报价场景=服务费底表!$AK$2,服务费底表!$AK31,报价场景=服务费底表!$AL$2,服务费底表!$AL31,报价场景=服务费底表!$AM$2,服务费底表!$AM31,报价场景=服务费底表!$AN$2,服务费底表!$AN31,报价场景=服务费底表!$AQ$2,服务费底表!$AQ31,报价场景=服务费底表!$AO$2,服务费底表!$AO31)</f>
        <v>10</v>
      </c>
      <c r="Z31" s="327"/>
      <c r="AA31" s="332">
        <f t="shared" si="45"/>
        <v>10</v>
      </c>
      <c r="AB31" s="333">
        <f t="shared" si="46"/>
        <v>9900</v>
      </c>
      <c r="AC31" s="328">
        <f t="shared" si="47"/>
        <v>10</v>
      </c>
      <c r="AD31" s="334">
        <f t="shared" si="52"/>
        <v>9900</v>
      </c>
      <c r="AE31" s="334">
        <f>$AB31*(1-INDEX(项目参数!$D$5:$D$14,MATCH(服务费底表!$S31,项目参数!$B$5:$B$14,0)))</f>
        <v>9900</v>
      </c>
      <c r="AF31" s="334">
        <f>$AD31*INDEX(项目参数!$D$5:$D$14,MATCH(服务费底表!$S31,项目参数!$B$5:$B$14,0))</f>
        <v>0</v>
      </c>
      <c r="AG31" s="334">
        <f t="shared" si="53"/>
        <v>9900</v>
      </c>
      <c r="AH31" s="328"/>
      <c r="AI31" s="328" t="s">
        <v>613</v>
      </c>
      <c r="AJ31" s="327">
        <v>10</v>
      </c>
      <c r="AK31" s="327">
        <f>AJ31*1.5</f>
        <v>15</v>
      </c>
      <c r="AL31" s="327">
        <v>8</v>
      </c>
      <c r="AM31" s="327">
        <f>AL31*1.5</f>
        <v>12</v>
      </c>
      <c r="AN31" s="327">
        <f>AL31</f>
        <v>8</v>
      </c>
      <c r="AO31" s="327">
        <v>8</v>
      </c>
      <c r="AP31" s="327">
        <v>12</v>
      </c>
      <c r="AQ31" s="327">
        <f t="shared" si="56"/>
        <v>15</v>
      </c>
      <c r="AR31" s="338"/>
      <c r="AS31" s="327">
        <f t="shared" si="49"/>
        <v>10</v>
      </c>
      <c r="AT31" s="327">
        <f t="shared" si="50"/>
        <v>10</v>
      </c>
      <c r="AU31" s="523">
        <v>12</v>
      </c>
      <c r="AV31" s="328"/>
      <c r="AW31" s="328"/>
      <c r="AX31" s="332">
        <v>12</v>
      </c>
      <c r="AY31" s="328" t="b">
        <f t="shared" si="51"/>
        <v>0</v>
      </c>
      <c r="AZ31" s="328" t="b">
        <f t="shared" si="4"/>
        <v>1</v>
      </c>
    </row>
    <row r="32" s="128" customFormat="1" ht="27" customHeight="1" spans="1:52">
      <c r="A32" s="326" t="str">
        <f>INDEX('Rate Card'!$A:$A,MATCH(服务费底表!$T32,'Rate Card'!$F:$F,0))</f>
        <v>数统</v>
      </c>
      <c r="B32" s="327" t="str">
        <f>INDEX(二三级标准!$G:$G,MATCH(服务费底表!$K32,二三级标准!B:B,0))</f>
        <v>次</v>
      </c>
      <c r="C32" s="327">
        <f>INDEX(服务费明细!$E:$E,MATCH(服务费底表!$K32,服务费明细!$B:$B,0))</f>
        <v>1</v>
      </c>
      <c r="D32" s="327" t="str">
        <f t="shared" si="41"/>
        <v>A003ST</v>
      </c>
      <c r="E32" s="327" t="str">
        <f t="shared" si="42"/>
        <v>T0015ST</v>
      </c>
      <c r="F32" s="328"/>
      <c r="G32" s="328" t="s">
        <v>684</v>
      </c>
      <c r="H32" s="326" t="str">
        <f>INDEX('Rate Card'!$B:$B,MATCH(服务费底表!$T32,'Rate Card'!$F:$F,0))</f>
        <v>生物统计及分析</v>
      </c>
      <c r="I32" s="328" t="s">
        <v>916</v>
      </c>
      <c r="J32" s="328" t="str">
        <f>INDEX(二三级标准!$Q:$Q,MATCH(服务费底表!I32,二三级标准!$O:$O,0))</f>
        <v>研究文件撰写和审核</v>
      </c>
      <c r="K32" s="328" t="s">
        <v>96</v>
      </c>
      <c r="L32" s="328" t="str">
        <f>INDEX(二三级标准!C:C,MATCH(服务费底表!K32,二三级标准!$B:$B,0))</f>
        <v>方案版本更新</v>
      </c>
      <c r="M32" s="328" t="s">
        <v>1191</v>
      </c>
      <c r="N32" s="328" t="str">
        <f>INDEX(二三级标准!$M:$M,MATCH(服务费底表!$M32,二三级标准!$L:$L,0))</f>
        <v>执行期方案修订审阅</v>
      </c>
      <c r="O32" s="328"/>
      <c r="P32" s="327">
        <f>IF(R32=1,INDEX(服务费明细!$E:$E,MATCH(服务费底表!$K32,服务费明细!$B:$B,0)),0)</f>
        <v>1</v>
      </c>
      <c r="Q32" s="328" t="s">
        <v>1178</v>
      </c>
      <c r="R32" s="520">
        <f>IF(AND(方案版本更新YN=1,生物统计YN=1),1,0)</f>
        <v>1</v>
      </c>
      <c r="S32" s="524" t="str">
        <f>INDEX('Rate Card'!$D:$D,MATCH(服务费底表!$T32,'Rate Card'!F:F,0))</f>
        <v>生物统计</v>
      </c>
      <c r="T32" s="328" t="s">
        <v>639</v>
      </c>
      <c r="U32" s="522" t="str">
        <f>INDEX('Rate Card'!$E:$E,MATCH(服务费底表!$T32,'Rate Card'!$F:$F,0))</f>
        <v>生物统计师</v>
      </c>
      <c r="V32" s="331">
        <f>INDEX('Rate Card'!$J:$J,MATCH($T32,'Rate Card'!$F:$F,0))</f>
        <v>400</v>
      </c>
      <c r="W32" s="523">
        <f t="shared" si="54"/>
        <v>400</v>
      </c>
      <c r="X32" s="523">
        <f t="shared" si="55"/>
        <v>4</v>
      </c>
      <c r="Y32" s="327" cm="1">
        <f t="array" ref="Y32">_xlfn.IFS(报价场景=服务费底表!$AJ$2,服务费底表!$AJ32,报价场景=服务费底表!$AP$2,服务费底表!$AP32,报价场景=服务费底表!$AK$2,服务费底表!$AK32,报价场景=服务费底表!$AL$2,服务费底表!$AL32,报价场景=服务费底表!$AM$2,服务费底表!$AM32,报价场景=服务费底表!$AN$2,服务费底表!$AN32,报价场景=服务费底表!$AQ$2,服务费底表!$AQ32,报价场景=服务费底表!$AO$2,服务费底表!$AO32)</f>
        <v>4</v>
      </c>
      <c r="Z32" s="327"/>
      <c r="AA32" s="332">
        <f t="shared" si="45"/>
        <v>4</v>
      </c>
      <c r="AB32" s="333">
        <f t="shared" si="46"/>
        <v>1600</v>
      </c>
      <c r="AC32" s="328">
        <f t="shared" si="47"/>
        <v>4</v>
      </c>
      <c r="AD32" s="334">
        <f t="shared" si="52"/>
        <v>1600</v>
      </c>
      <c r="AE32" s="334">
        <f>$AB32*(1-INDEX(项目参数!$D$5:$D$14,MATCH(服务费底表!$S32,项目参数!$B$5:$B$14,0)))</f>
        <v>1600</v>
      </c>
      <c r="AF32" s="334">
        <f>$AD32*INDEX(项目参数!$D$5:$D$14,MATCH(服务费底表!$S32,项目参数!$B$5:$B$14,0))</f>
        <v>0</v>
      </c>
      <c r="AG32" s="334">
        <f t="shared" si="53"/>
        <v>1600</v>
      </c>
      <c r="AH32" s="328"/>
      <c r="AI32" s="328" t="s">
        <v>639</v>
      </c>
      <c r="AJ32" s="327">
        <v>4</v>
      </c>
      <c r="AK32" s="327">
        <v>8</v>
      </c>
      <c r="AL32" s="327">
        <v>0.5</v>
      </c>
      <c r="AM32" s="327">
        <v>2</v>
      </c>
      <c r="AN32" s="327">
        <v>0.5</v>
      </c>
      <c r="AO32" s="327">
        <v>0.5</v>
      </c>
      <c r="AP32" s="327">
        <v>2</v>
      </c>
      <c r="AQ32" s="327">
        <f t="shared" si="56"/>
        <v>6</v>
      </c>
      <c r="AR32" s="338"/>
      <c r="AS32" s="327">
        <f t="shared" si="49"/>
        <v>4</v>
      </c>
      <c r="AT32" s="327">
        <f t="shared" si="50"/>
        <v>4</v>
      </c>
      <c r="AU32" s="523">
        <v>2</v>
      </c>
      <c r="AV32" s="328"/>
      <c r="AW32" s="328"/>
      <c r="AX32" s="332">
        <v>2</v>
      </c>
      <c r="AY32" s="328" t="b">
        <f t="shared" si="51"/>
        <v>0</v>
      </c>
      <c r="AZ32" s="328" t="b">
        <f t="shared" si="4"/>
        <v>1</v>
      </c>
    </row>
    <row r="33" s="128" customFormat="1" ht="27" customHeight="1" spans="1:52">
      <c r="A33" s="326" t="str">
        <f>INDEX('Rate Card'!$A:$A,MATCH(服务费底表!$T33,'Rate Card'!$F:$F,0))</f>
        <v>临床药理</v>
      </c>
      <c r="B33" s="327" t="str">
        <f>INDEX(二三级标准!$G:$G,MATCH(服务费底表!$K33,二三级标准!B:B,0))</f>
        <v>次</v>
      </c>
      <c r="C33" s="327">
        <f>INDEX(服务费明细!$E:$E,MATCH(服务费底表!$K33,服务费明细!$B:$B,0))</f>
        <v>1</v>
      </c>
      <c r="D33" s="327" t="str">
        <f t="shared" si="41"/>
        <v>A003CPSS</v>
      </c>
      <c r="E33" s="327" t="str">
        <f t="shared" si="42"/>
        <v>T0015CPSS</v>
      </c>
      <c r="F33" s="328"/>
      <c r="G33" s="328" t="s">
        <v>684</v>
      </c>
      <c r="H33" s="326" t="str">
        <f>INDEX('Rate Card'!$B:$B,MATCH(服务费底表!$T33,'Rate Card'!$F:$F,0))</f>
        <v>临床药理</v>
      </c>
      <c r="I33" s="328" t="s">
        <v>916</v>
      </c>
      <c r="J33" s="328" t="str">
        <f>INDEX(二三级标准!$Q:$Q,MATCH(服务费底表!I33,二三级标准!$O:$O,0))</f>
        <v>研究文件撰写和审核</v>
      </c>
      <c r="K33" s="328" t="s">
        <v>96</v>
      </c>
      <c r="L33" s="328" t="str">
        <f>INDEX(二三级标准!C:C,MATCH(服务费底表!K33,二三级标准!$B:$B,0))</f>
        <v>方案版本更新</v>
      </c>
      <c r="M33" s="328" t="s">
        <v>1191</v>
      </c>
      <c r="N33" s="328" t="str">
        <f>INDEX(二三级标准!$M:$M,MATCH(服务费底表!$M33,二三级标准!$L:$L,0))</f>
        <v>执行期方案修订审阅</v>
      </c>
      <c r="O33" s="328"/>
      <c r="P33" s="327">
        <f>IF(R33=1,INDEX(服务费明细!$E:$E,MATCH(服务费底表!$K33,服务费明细!$B:$B,0)),0)</f>
        <v>1</v>
      </c>
      <c r="Q33" s="328" t="s">
        <v>1178</v>
      </c>
      <c r="R33" s="520">
        <f>IF(AND(方案版本更新YN=1,临床药理YN=1),1,0)</f>
        <v>1</v>
      </c>
      <c r="S33" s="524" t="s">
        <v>568</v>
      </c>
      <c r="T33" s="328" t="s">
        <v>654</v>
      </c>
      <c r="U33" s="522" t="str">
        <f>INDEX('Rate Card'!$E:$E,MATCH(服务费底表!$T33,'Rate Card'!$F:$F,0))</f>
        <v>临床药理高级专员</v>
      </c>
      <c r="V33" s="331">
        <f>INDEX('Rate Card'!$J:$J,MATCH($T33,'Rate Card'!$F:$F,0))</f>
        <v>700</v>
      </c>
      <c r="W33" s="523">
        <f t="shared" si="54"/>
        <v>700</v>
      </c>
      <c r="X33" s="523">
        <f t="shared" si="55"/>
        <v>4</v>
      </c>
      <c r="Y33" s="327" cm="1">
        <f t="array" ref="Y33">_xlfn.IFS(报价场景=服务费底表!$AJ$2,服务费底表!$AJ33,报价场景=服务费底表!$AP$2,服务费底表!$AP33,报价场景=服务费底表!$AK$2,服务费底表!$AK33,报价场景=服务费底表!$AL$2,服务费底表!$AL33,报价场景=服务费底表!$AM$2,服务费底表!$AM33,报价场景=服务费底表!$AN$2,服务费底表!$AN33,报价场景=服务费底表!$AQ$2,服务费底表!$AQ33,报价场景=服务费底表!$AO$2,服务费底表!$AO33)</f>
        <v>4</v>
      </c>
      <c r="Z33" s="327"/>
      <c r="AA33" s="332">
        <f t="shared" si="45"/>
        <v>4</v>
      </c>
      <c r="AB33" s="333">
        <f t="shared" si="46"/>
        <v>2800</v>
      </c>
      <c r="AC33" s="328">
        <f t="shared" si="47"/>
        <v>4</v>
      </c>
      <c r="AD33" s="334">
        <f t="shared" si="52"/>
        <v>2800</v>
      </c>
      <c r="AE33" s="334">
        <f>$AB33*(1-INDEX(项目参数!$D$5:$D$14,MATCH(服务费底表!$S33,项目参数!$B$5:$B$14,0)))</f>
        <v>2800</v>
      </c>
      <c r="AF33" s="334">
        <f>$AD33*INDEX(项目参数!$D$5:$D$14,MATCH(服务费底表!$S33,项目参数!$B$5:$B$14,0))</f>
        <v>0</v>
      </c>
      <c r="AG33" s="334">
        <f t="shared" si="53"/>
        <v>2800</v>
      </c>
      <c r="AH33" s="328"/>
      <c r="AI33" s="328" t="s">
        <v>639</v>
      </c>
      <c r="AJ33" s="327">
        <v>4</v>
      </c>
      <c r="AK33" s="327">
        <v>0</v>
      </c>
      <c r="AL33" s="327">
        <v>4</v>
      </c>
      <c r="AM33" s="327">
        <v>0</v>
      </c>
      <c r="AN33" s="327">
        <v>0</v>
      </c>
      <c r="AO33" s="327">
        <v>4</v>
      </c>
      <c r="AP33" s="327">
        <v>4</v>
      </c>
      <c r="AQ33" s="327">
        <f t="shared" si="56"/>
        <v>6</v>
      </c>
      <c r="AR33" s="338"/>
      <c r="AS33" s="327">
        <f t="shared" si="49"/>
        <v>4</v>
      </c>
      <c r="AT33" s="327">
        <f t="shared" si="50"/>
        <v>4</v>
      </c>
      <c r="AU33" s="523">
        <v>4</v>
      </c>
      <c r="AV33" s="328"/>
      <c r="AW33" s="328"/>
      <c r="AX33" s="332">
        <v>4</v>
      </c>
      <c r="AY33" s="328" t="b">
        <f t="shared" si="51"/>
        <v>1</v>
      </c>
      <c r="AZ33" s="328" t="b">
        <f t="shared" si="4"/>
        <v>1</v>
      </c>
    </row>
    <row r="34" ht="27" customHeight="1" spans="1:52">
      <c r="A34" s="326" t="str">
        <f>INDEX('Rate Card'!$A:$A,MATCH(服务费底表!$T34,'Rate Card'!$F:$F,0))</f>
        <v>医学</v>
      </c>
      <c r="B34" s="327" t="str">
        <f>INDEX(二三级标准!$G:$G,MATCH(服务费底表!$K34,二三级标准!B:B,0))</f>
        <v>次</v>
      </c>
      <c r="C34" s="327">
        <f>INDEX(服务费明细!$E:$E,MATCH(服务费底表!$K34,服务费明细!$B:$B,0))</f>
        <v>1</v>
      </c>
      <c r="D34" s="327" t="str">
        <f t="shared" si="41"/>
        <v>A004MM</v>
      </c>
      <c r="E34" s="327" t="str">
        <f t="shared" si="42"/>
        <v>T0016MM</v>
      </c>
      <c r="F34" s="328"/>
      <c r="G34" s="328" t="s">
        <v>684</v>
      </c>
      <c r="H34" s="326" t="str">
        <f>INDEX('Rate Card'!$B:$B,MATCH(服务费底表!$T34,'Rate Card'!$F:$F,0))</f>
        <v>医学</v>
      </c>
      <c r="I34" s="328" t="s">
        <v>916</v>
      </c>
      <c r="J34" s="328" t="str">
        <f>INDEX(二三级标准!$Q:$Q,MATCH(服务费底表!I34,二三级标准!$O:$O,0))</f>
        <v>研究文件撰写和审核</v>
      </c>
      <c r="K34" s="328" t="s">
        <v>99</v>
      </c>
      <c r="L34" s="328" t="str">
        <f>INDEX(二三级标准!C:C,MATCH(服务费底表!K34,二三级标准!$B:$B,0))</f>
        <v>主知情同意撰写</v>
      </c>
      <c r="M34" s="328" t="s">
        <v>1192</v>
      </c>
      <c r="N34" s="328" t="str">
        <f>INDEX(二三级标准!$M:$M,MATCH(服务费底表!$M34,二三级标准!$L:$L,0))</f>
        <v>主知情同意书初稿撰写</v>
      </c>
      <c r="O34" s="328"/>
      <c r="P34" s="327">
        <f>IF(R34=1,INDEX(服务费明细!$E:$E,MATCH(服务费底表!$K34,服务费明细!$B:$B,0)),0)</f>
        <v>1</v>
      </c>
      <c r="Q34" s="328" t="s">
        <v>1176</v>
      </c>
      <c r="R34" s="520">
        <f>IF(AND(主知情同意撰写YN=1,医学撰写YN=1),1,0)</f>
        <v>1</v>
      </c>
      <c r="S34" s="521" t="str">
        <f>IF(AND(H34="医学",OR(I34=二三级标准!$A$4,I34=二三级标准!$A$153)),"医学撰写","医学监查")</f>
        <v>医学撰写</v>
      </c>
      <c r="T34" s="328" t="s">
        <v>615</v>
      </c>
      <c r="U34" s="522" t="str">
        <f>INDEX('Rate Card'!$E:$E,MATCH(服务费底表!$T34,'Rate Card'!$F:$F,0))</f>
        <v>医学经理</v>
      </c>
      <c r="V34" s="331">
        <f>INDEX('Rate Card'!$J:$J,MATCH($T34,'Rate Card'!$F:$F,0))</f>
        <v>650</v>
      </c>
      <c r="W34" s="523">
        <f t="shared" si="54"/>
        <v>650</v>
      </c>
      <c r="X34" s="523">
        <f t="shared" si="55"/>
        <v>10</v>
      </c>
      <c r="Y34" s="327" cm="1">
        <f t="array" ref="Y34">_xlfn.IFS(报价场景=服务费底表!$AJ$2,服务费底表!$AJ34,报价场景=服务费底表!$AP$2,服务费底表!$AP34,报价场景=服务费底表!$AK$2,服务费底表!$AK34,报价场景=服务费底表!$AL$2,服务费底表!$AL34,报价场景=服务费底表!$AM$2,服务费底表!$AM34,报价场景=服务费底表!$AN$2,服务费底表!$AN34,报价场景=服务费底表!$AQ$2,服务费底表!$AQ34,报价场景=服务费底表!$AO$2,服务费底表!$AO34)</f>
        <v>10</v>
      </c>
      <c r="Z34" s="327"/>
      <c r="AA34" s="332">
        <f t="shared" si="45"/>
        <v>10</v>
      </c>
      <c r="AB34" s="333">
        <f t="shared" si="46"/>
        <v>6500</v>
      </c>
      <c r="AC34" s="328">
        <f t="shared" si="47"/>
        <v>10</v>
      </c>
      <c r="AD34" s="334">
        <f t="shared" ref="AD34:AD49" si="57">AC34*V34</f>
        <v>6500</v>
      </c>
      <c r="AE34" s="334">
        <f>$AB34*(1-INDEX(项目参数!$D$5:$D$14,MATCH(服务费底表!$S34,项目参数!$B$5:$B$14,0)))</f>
        <v>6500</v>
      </c>
      <c r="AF34" s="334">
        <f>$AD34*INDEX(项目参数!$D$5:$D$14,MATCH(服务费底表!$S34,项目参数!$B$5:$B$14,0))</f>
        <v>0</v>
      </c>
      <c r="AG34" s="334">
        <f t="shared" ref="AG34:AG50" si="58">AD34-AF34</f>
        <v>6500</v>
      </c>
      <c r="AH34" s="328"/>
      <c r="AI34" s="328" t="s">
        <v>615</v>
      </c>
      <c r="AJ34" s="327">
        <v>10</v>
      </c>
      <c r="AK34" s="327">
        <v>10</v>
      </c>
      <c r="AL34" s="327">
        <v>10</v>
      </c>
      <c r="AM34" s="327">
        <v>10</v>
      </c>
      <c r="AN34" s="327">
        <v>10</v>
      </c>
      <c r="AO34" s="327">
        <v>10</v>
      </c>
      <c r="AP34" s="327">
        <v>10</v>
      </c>
      <c r="AQ34" s="327">
        <f t="shared" si="56"/>
        <v>15</v>
      </c>
      <c r="AR34" s="338"/>
      <c r="AS34" s="327">
        <f t="shared" si="49"/>
        <v>10</v>
      </c>
      <c r="AT34" s="327">
        <f t="shared" si="50"/>
        <v>10</v>
      </c>
      <c r="AU34" s="523">
        <v>6</v>
      </c>
      <c r="AV34" s="328"/>
      <c r="AW34" s="328"/>
      <c r="AX34" s="332">
        <v>6</v>
      </c>
      <c r="AY34" s="328" t="b">
        <f t="shared" si="51"/>
        <v>0</v>
      </c>
      <c r="AZ34" s="328" t="b">
        <f t="shared" si="4"/>
        <v>0</v>
      </c>
    </row>
    <row r="35" ht="27" customHeight="1" spans="1:52">
      <c r="A35" s="326" t="str">
        <f>INDEX('Rate Card'!$A:$A,MATCH(服务费底表!$T35,'Rate Card'!$F:$F,0))</f>
        <v>医学</v>
      </c>
      <c r="B35" s="327" t="str">
        <f>INDEX(二三级标准!$G:$G,MATCH(服务费底表!$K35,二三级标准!B:B,0))</f>
        <v>次</v>
      </c>
      <c r="C35" s="327">
        <f>INDEX(服务费明细!$E:$E,MATCH(服务费底表!$K35,服务费明细!$B:$B,0))</f>
        <v>1</v>
      </c>
      <c r="D35" s="327" t="str">
        <f t="shared" si="41"/>
        <v>A004MD</v>
      </c>
      <c r="E35" s="327" t="str">
        <f t="shared" si="42"/>
        <v>T0018MD</v>
      </c>
      <c r="F35" s="328"/>
      <c r="G35" s="328" t="s">
        <v>684</v>
      </c>
      <c r="H35" s="326" t="str">
        <f>INDEX('Rate Card'!$B:$B,MATCH(服务费底表!$T35,'Rate Card'!$F:$F,0))</f>
        <v>医学</v>
      </c>
      <c r="I35" s="328" t="s">
        <v>916</v>
      </c>
      <c r="J35" s="328" t="str">
        <f>INDEX(二三级标准!$Q:$Q,MATCH(服务费底表!I35,二三级标准!$O:$O,0))</f>
        <v>研究文件撰写和审核</v>
      </c>
      <c r="K35" s="328" t="s">
        <v>99</v>
      </c>
      <c r="L35" s="328" t="str">
        <f>INDEX(二三级标准!C:C,MATCH(服务费底表!K35,二三级标准!$B:$B,0))</f>
        <v>主知情同意撰写</v>
      </c>
      <c r="M35" s="328" t="s">
        <v>1193</v>
      </c>
      <c r="N35" s="328" t="str">
        <f>INDEX(二三级标准!$M:$M,MATCH(服务费底表!$M35,二三级标准!$L:$L,0))</f>
        <v>主知情同意书审阅</v>
      </c>
      <c r="O35" s="328"/>
      <c r="P35" s="327">
        <f>IF(R35=1,INDEX(服务费明细!$E:$E,MATCH(服务费底表!$K35,服务费明细!$B:$B,0)),0)</f>
        <v>1</v>
      </c>
      <c r="Q35" s="328" t="s">
        <v>1178</v>
      </c>
      <c r="R35" s="520">
        <f>IF(AND(主知情同意撰写YN=1,医学撰写YN=1),1,0)</f>
        <v>1</v>
      </c>
      <c r="S35" s="521" t="str">
        <f>IF(AND(H35="医学",OR(I35=二三级标准!$A$4,I35=二三级标准!$A$153)),"医学撰写","医学监查")</f>
        <v>医学撰写</v>
      </c>
      <c r="T35" s="328" t="s">
        <v>613</v>
      </c>
      <c r="U35" s="522" t="str">
        <f>INDEX('Rate Card'!$E:$E,MATCH(服务费底表!$T35,'Rate Card'!$F:$F,0))</f>
        <v>医学总监</v>
      </c>
      <c r="V35" s="331">
        <f>INDEX('Rate Card'!$J:$J,MATCH($T35,'Rate Card'!$F:$F,0))</f>
        <v>990</v>
      </c>
      <c r="W35" s="523">
        <f t="shared" si="54"/>
        <v>990</v>
      </c>
      <c r="X35" s="523">
        <f t="shared" si="55"/>
        <v>4</v>
      </c>
      <c r="Y35" s="327" cm="1">
        <f t="array" ref="Y35">_xlfn.IFS(报价场景=服务费底表!$AJ$2,服务费底表!$AJ35,报价场景=服务费底表!$AP$2,服务费底表!$AP35,报价场景=服务费底表!$AK$2,服务费底表!$AK35,报价场景=服务费底表!$AL$2,服务费底表!$AL35,报价场景=服务费底表!$AM$2,服务费底表!$AM35,报价场景=服务费底表!$AN$2,服务费底表!$AN35,报价场景=服务费底表!$AQ$2,服务费底表!$AQ35,报价场景=服务费底表!$AO$2,服务费底表!$AO35)</f>
        <v>4</v>
      </c>
      <c r="Z35" s="327"/>
      <c r="AA35" s="332">
        <f t="shared" si="45"/>
        <v>4</v>
      </c>
      <c r="AB35" s="333">
        <f t="shared" si="46"/>
        <v>3960</v>
      </c>
      <c r="AC35" s="328">
        <f t="shared" si="47"/>
        <v>4</v>
      </c>
      <c r="AD35" s="334">
        <f t="shared" si="57"/>
        <v>3960</v>
      </c>
      <c r="AE35" s="334">
        <f>$AB35*(1-INDEX(项目参数!$D$5:$D$14,MATCH(服务费底表!$S35,项目参数!$B$5:$B$14,0)))</f>
        <v>3960</v>
      </c>
      <c r="AF35" s="334">
        <f>$AD35*INDEX(项目参数!$D$5:$D$14,MATCH(服务费底表!$S35,项目参数!$B$5:$B$14,0))</f>
        <v>0</v>
      </c>
      <c r="AG35" s="334">
        <f t="shared" si="58"/>
        <v>3960</v>
      </c>
      <c r="AH35" s="328"/>
      <c r="AI35" s="328" t="s">
        <v>613</v>
      </c>
      <c r="AJ35" s="327">
        <v>4</v>
      </c>
      <c r="AK35" s="327">
        <v>4</v>
      </c>
      <c r="AL35" s="327">
        <v>4</v>
      </c>
      <c r="AM35" s="327">
        <v>4</v>
      </c>
      <c r="AN35" s="327">
        <v>4</v>
      </c>
      <c r="AO35" s="327">
        <v>4</v>
      </c>
      <c r="AP35" s="327">
        <v>4</v>
      </c>
      <c r="AQ35" s="327">
        <f t="shared" si="56"/>
        <v>6</v>
      </c>
      <c r="AR35" s="338"/>
      <c r="AS35" s="327">
        <f t="shared" si="49"/>
        <v>4</v>
      </c>
      <c r="AT35" s="327">
        <f t="shared" si="50"/>
        <v>4</v>
      </c>
      <c r="AU35" s="523">
        <v>2</v>
      </c>
      <c r="AV35" s="328"/>
      <c r="AW35" s="328"/>
      <c r="AX35" s="332">
        <v>2</v>
      </c>
      <c r="AY35" s="328" t="b">
        <f t="shared" si="51"/>
        <v>0</v>
      </c>
      <c r="AZ35" s="328" t="b">
        <f t="shared" si="4"/>
        <v>0</v>
      </c>
    </row>
    <row r="36" ht="27" customHeight="1" spans="1:52">
      <c r="A36" s="326" t="str">
        <f>INDEX('Rate Card'!$A:$A,MATCH(服务费底表!$T36,'Rate Card'!$F:$F,0))</f>
        <v>临床药理</v>
      </c>
      <c r="B36" s="327" t="str">
        <f>INDEX(二三级标准!$G:$G,MATCH(服务费底表!$K36,二三级标准!B:B,0))</f>
        <v>次</v>
      </c>
      <c r="C36" s="327">
        <f>INDEX(服务费明细!$E:$E,MATCH(服务费底表!$K36,服务费明细!$B:$B,0))</f>
        <v>1</v>
      </c>
      <c r="D36" s="327" t="str">
        <f t="shared" si="41"/>
        <v>A004CPS</v>
      </c>
      <c r="E36" s="327" t="str">
        <f t="shared" si="42"/>
        <v>T0016CPS</v>
      </c>
      <c r="F36" s="328"/>
      <c r="G36" s="328" t="s">
        <v>684</v>
      </c>
      <c r="H36" s="326" t="str">
        <f>INDEX('Rate Card'!$B:$B,MATCH(服务费底表!$T36,'Rate Card'!$F:$F,0))</f>
        <v>临床药理</v>
      </c>
      <c r="I36" s="328" t="s">
        <v>916</v>
      </c>
      <c r="J36" s="328" t="str">
        <f>INDEX(二三级标准!$Q:$Q,MATCH(服务费底表!I36,二三级标准!$O:$O,0))</f>
        <v>研究文件撰写和审核</v>
      </c>
      <c r="K36" s="328" t="s">
        <v>99</v>
      </c>
      <c r="L36" s="328" t="str">
        <f>INDEX(二三级标准!C:C,MATCH(服务费底表!K36,二三级标准!$B:$B,0))</f>
        <v>主知情同意撰写</v>
      </c>
      <c r="M36" s="328" t="s">
        <v>1192</v>
      </c>
      <c r="N36" s="328" t="str">
        <f>INDEX(二三级标准!$M:$M,MATCH(服务费底表!$M36,二三级标准!$L:$L,0))</f>
        <v>主知情同意书初稿撰写</v>
      </c>
      <c r="O36" s="328"/>
      <c r="P36" s="327">
        <f>IF(R36=1,INDEX(服务费明细!$E:$E,MATCH(服务费底表!$K36,服务费明细!$B:$B,0)),0)</f>
        <v>0</v>
      </c>
      <c r="Q36" s="328" t="s">
        <v>1176</v>
      </c>
      <c r="R36" s="520">
        <v>0</v>
      </c>
      <c r="S36" s="330" t="s">
        <v>568</v>
      </c>
      <c r="T36" s="328" t="s">
        <v>652</v>
      </c>
      <c r="U36" s="522" t="str">
        <f>INDEX('Rate Card'!$E:$E,MATCH(服务费底表!$T36,'Rate Card'!$F:$F,0))</f>
        <v>临床药理专员</v>
      </c>
      <c r="V36" s="331">
        <f>INDEX('Rate Card'!$J:$J,MATCH($T36,'Rate Card'!$F:$F,0))</f>
        <v>580</v>
      </c>
      <c r="W36" s="523">
        <f t="shared" si="54"/>
        <v>580</v>
      </c>
      <c r="X36" s="523">
        <f t="shared" si="55"/>
        <v>0</v>
      </c>
      <c r="Y36" s="327" cm="1">
        <f t="array" ref="Y36">_xlfn.IFS(报价场景=服务费底表!$AJ$2,服务费底表!$AJ36,报价场景=服务费底表!$AP$2,服务费底表!$AP36,报价场景=服务费底表!$AK$2,服务费底表!$AK36,报价场景=服务费底表!$AL$2,服务费底表!$AL36,报价场景=服务费底表!$AM$2,服务费底表!$AM36,报价场景=服务费底表!$AN$2,服务费底表!$AN36,报价场景=服务费底表!$AQ$2,服务费底表!$AQ36,报价场景=服务费底表!$AO$2,服务费底表!$AO36)</f>
        <v>0</v>
      </c>
      <c r="Z36" s="327"/>
      <c r="AA36" s="332">
        <f t="shared" si="45"/>
        <v>0</v>
      </c>
      <c r="AB36" s="333">
        <f t="shared" si="46"/>
        <v>0</v>
      </c>
      <c r="AC36" s="328">
        <f t="shared" si="47"/>
        <v>0</v>
      </c>
      <c r="AD36" s="334">
        <f t="shared" si="57"/>
        <v>0</v>
      </c>
      <c r="AE36" s="334">
        <f>$AB36*(1-INDEX(项目参数!$D$5:$D$14,MATCH(服务费底表!$S36,项目参数!$B$5:$B$14,0)))</f>
        <v>0</v>
      </c>
      <c r="AF36" s="334">
        <f>$AD36*INDEX(项目参数!$D$5:$D$14,MATCH(服务费底表!$S36,项目参数!$B$5:$B$14,0))</f>
        <v>0</v>
      </c>
      <c r="AG36" s="334">
        <f t="shared" si="58"/>
        <v>0</v>
      </c>
      <c r="AH36" s="328"/>
      <c r="AI36" s="328" t="s">
        <v>652</v>
      </c>
      <c r="AJ36" s="327">
        <v>0</v>
      </c>
      <c r="AK36" s="327">
        <f>AJ36*1.5</f>
        <v>0</v>
      </c>
      <c r="AL36" s="336">
        <v>0</v>
      </c>
      <c r="AM36" s="327">
        <v>0</v>
      </c>
      <c r="AN36" s="327">
        <v>0</v>
      </c>
      <c r="AO36" s="327">
        <v>0</v>
      </c>
      <c r="AP36" s="327">
        <v>0</v>
      </c>
      <c r="AQ36" s="327">
        <f t="shared" si="56"/>
        <v>0</v>
      </c>
      <c r="AR36" s="338"/>
      <c r="AS36" s="327">
        <f t="shared" si="49"/>
        <v>0</v>
      </c>
      <c r="AT36" s="327">
        <f t="shared" si="50"/>
        <v>0</v>
      </c>
      <c r="AU36" s="523">
        <v>0</v>
      </c>
      <c r="AV36" s="328"/>
      <c r="AW36" s="328"/>
      <c r="AX36" s="332">
        <v>0</v>
      </c>
      <c r="AY36" s="328" t="b">
        <f t="shared" si="51"/>
        <v>1</v>
      </c>
      <c r="AZ36" s="328" t="b">
        <f t="shared" si="4"/>
        <v>0</v>
      </c>
    </row>
    <row r="37" ht="27" customHeight="1" spans="1:52">
      <c r="A37" s="326" t="str">
        <f>INDEX('Rate Card'!$A:$A,MATCH(服务费底表!$T37,'Rate Card'!$F:$F,0))</f>
        <v>临床药理</v>
      </c>
      <c r="B37" s="327" t="str">
        <f>INDEX(二三级标准!$G:$G,MATCH(服务费底表!$K37,二三级标准!B:B,0))</f>
        <v>次</v>
      </c>
      <c r="C37" s="327">
        <f>INDEX(服务费明细!$E:$E,MATCH(服务费底表!$K37,服务费明细!$B:$B,0))</f>
        <v>1</v>
      </c>
      <c r="D37" s="327" t="str">
        <f t="shared" si="41"/>
        <v>A004CPSS</v>
      </c>
      <c r="E37" s="327" t="str">
        <f t="shared" si="42"/>
        <v>T0018CPSS</v>
      </c>
      <c r="F37" s="328"/>
      <c r="G37" s="328" t="s">
        <v>684</v>
      </c>
      <c r="H37" s="326" t="str">
        <f>INDEX('Rate Card'!$B:$B,MATCH(服务费底表!$T37,'Rate Card'!$F:$F,0))</f>
        <v>临床药理</v>
      </c>
      <c r="I37" s="328" t="s">
        <v>916</v>
      </c>
      <c r="J37" s="328" t="str">
        <f>INDEX(二三级标准!$Q:$Q,MATCH(服务费底表!I37,二三级标准!$O:$O,0))</f>
        <v>研究文件撰写和审核</v>
      </c>
      <c r="K37" s="328" t="s">
        <v>99</v>
      </c>
      <c r="L37" s="328" t="str">
        <f>INDEX(二三级标准!C:C,MATCH(服务费底表!K37,二三级标准!$B:$B,0))</f>
        <v>主知情同意撰写</v>
      </c>
      <c r="M37" s="328" t="s">
        <v>1193</v>
      </c>
      <c r="N37" s="328" t="str">
        <f>INDEX(二三级标准!$M:$M,MATCH(服务费底表!$M37,二三级标准!$L:$L,0))</f>
        <v>主知情同意书审阅</v>
      </c>
      <c r="O37" s="328"/>
      <c r="P37" s="327">
        <f>IF(R37=1,INDEX(服务费明细!$E:$E,MATCH(服务费底表!$K37,服务费明细!$B:$B,0)),0)</f>
        <v>0</v>
      </c>
      <c r="Q37" s="328" t="s">
        <v>1178</v>
      </c>
      <c r="R37" s="520">
        <v>0</v>
      </c>
      <c r="S37" s="330" t="s">
        <v>568</v>
      </c>
      <c r="T37" s="328" t="s">
        <v>654</v>
      </c>
      <c r="U37" s="522" t="str">
        <f>INDEX('Rate Card'!$E:$E,MATCH(服务费底表!$T37,'Rate Card'!$F:$F,0))</f>
        <v>临床药理高级专员</v>
      </c>
      <c r="V37" s="331">
        <f>INDEX('Rate Card'!$J:$J,MATCH($T37,'Rate Card'!$F:$F,0))</f>
        <v>700</v>
      </c>
      <c r="W37" s="523">
        <f t="shared" si="54"/>
        <v>700</v>
      </c>
      <c r="X37" s="523">
        <f t="shared" si="55"/>
        <v>0</v>
      </c>
      <c r="Y37" s="327" cm="1">
        <f t="array" ref="Y37">_xlfn.IFS(报价场景=服务费底表!$AJ$2,服务费底表!$AJ37,报价场景=服务费底表!$AP$2,服务费底表!$AP37,报价场景=服务费底表!$AK$2,服务费底表!$AK37,报价场景=服务费底表!$AL$2,服务费底表!$AL37,报价场景=服务费底表!$AM$2,服务费底表!$AM37,报价场景=服务费底表!$AN$2,服务费底表!$AN37,报价场景=服务费底表!$AQ$2,服务费底表!$AQ37,报价场景=服务费底表!$AO$2,服务费底表!$AO37)</f>
        <v>0</v>
      </c>
      <c r="Z37" s="327"/>
      <c r="AA37" s="332">
        <f t="shared" si="45"/>
        <v>0</v>
      </c>
      <c r="AB37" s="333">
        <f t="shared" si="46"/>
        <v>0</v>
      </c>
      <c r="AC37" s="328">
        <f t="shared" si="47"/>
        <v>0</v>
      </c>
      <c r="AD37" s="334">
        <f t="shared" si="57"/>
        <v>0</v>
      </c>
      <c r="AE37" s="334">
        <f>$AB37*(1-INDEX(项目参数!$D$5:$D$14,MATCH(服务费底表!$S37,项目参数!$B$5:$B$14,0)))</f>
        <v>0</v>
      </c>
      <c r="AF37" s="334">
        <f>$AD37*INDEX(项目参数!$D$5:$D$14,MATCH(服务费底表!$S37,项目参数!$B$5:$B$14,0))</f>
        <v>0</v>
      </c>
      <c r="AG37" s="334">
        <f t="shared" si="58"/>
        <v>0</v>
      </c>
      <c r="AH37" s="328"/>
      <c r="AI37" s="328" t="s">
        <v>654</v>
      </c>
      <c r="AJ37" s="327">
        <v>0</v>
      </c>
      <c r="AK37" s="327">
        <f>AJ37*1.5</f>
        <v>0</v>
      </c>
      <c r="AL37" s="336">
        <v>0</v>
      </c>
      <c r="AM37" s="327">
        <v>0</v>
      </c>
      <c r="AN37" s="327">
        <v>0</v>
      </c>
      <c r="AO37" s="327">
        <v>0</v>
      </c>
      <c r="AP37" s="327">
        <v>0</v>
      </c>
      <c r="AQ37" s="327">
        <f t="shared" si="56"/>
        <v>0</v>
      </c>
      <c r="AR37" s="338"/>
      <c r="AS37" s="327">
        <f t="shared" si="49"/>
        <v>0</v>
      </c>
      <c r="AT37" s="327">
        <f t="shared" si="50"/>
        <v>0</v>
      </c>
      <c r="AU37" s="523">
        <v>0</v>
      </c>
      <c r="AV37" s="328"/>
      <c r="AW37" s="328"/>
      <c r="AX37" s="332">
        <v>0</v>
      </c>
      <c r="AY37" s="328" t="b">
        <f t="shared" si="51"/>
        <v>1</v>
      </c>
      <c r="AZ37" s="328" t="b">
        <f t="shared" si="4"/>
        <v>0</v>
      </c>
    </row>
    <row r="38" ht="27" customHeight="1" spans="1:52">
      <c r="A38" s="326" t="str">
        <f>INDEX('Rate Card'!$A:$A,MATCH(服务费底表!$T38,'Rate Card'!$F:$F,0))</f>
        <v>临床运营</v>
      </c>
      <c r="B38" s="327" t="str">
        <f>INDEX(二三级标准!$G:$G,MATCH(服务费底表!$K38,二三级标准!B:B,0))</f>
        <v>次</v>
      </c>
      <c r="C38" s="327">
        <f>INDEX(服务费明细!$E:$E,MATCH(服务费底表!$K38,服务费明细!$B:$B,0))</f>
        <v>1</v>
      </c>
      <c r="D38" s="327" t="str">
        <f t="shared" si="41"/>
        <v>A004PM</v>
      </c>
      <c r="E38" s="327" t="str">
        <f t="shared" si="42"/>
        <v>T0018PM</v>
      </c>
      <c r="F38" s="328"/>
      <c r="G38" s="328" t="s">
        <v>684</v>
      </c>
      <c r="H38" s="326" t="str">
        <f>INDEX('Rate Card'!$B:$B,MATCH(服务费底表!$T38,'Rate Card'!$F:$F,0))</f>
        <v>临床运营</v>
      </c>
      <c r="I38" s="328" t="s">
        <v>916</v>
      </c>
      <c r="J38" s="328" t="str">
        <f>INDEX(二三级标准!$Q:$Q,MATCH(服务费底表!I38,二三级标准!$O:$O,0))</f>
        <v>研究文件撰写和审核</v>
      </c>
      <c r="K38" s="328" t="s">
        <v>99</v>
      </c>
      <c r="L38" s="328" t="str">
        <f>INDEX(二三级标准!C:C,MATCH(服务费底表!K38,二三级标准!$B:$B,0))</f>
        <v>主知情同意撰写</v>
      </c>
      <c r="M38" s="328" t="s">
        <v>1193</v>
      </c>
      <c r="N38" s="328" t="str">
        <f>INDEX(二三级标准!$M:$M,MATCH(服务费底表!$M38,二三级标准!$L:$L,0))</f>
        <v>主知情同意书审阅</v>
      </c>
      <c r="O38" s="328"/>
      <c r="P38" s="327">
        <f>IF(R38=1,INDEX(服务费明细!$E:$E,MATCH(服务费底表!$K38,服务费明细!$B:$B,0)),0)</f>
        <v>1</v>
      </c>
      <c r="Q38" s="328" t="s">
        <v>1178</v>
      </c>
      <c r="R38" s="520">
        <f>IF(AND(主知情同意撰写YN=1,项目管理YN=1),1,0)</f>
        <v>1</v>
      </c>
      <c r="S38" s="525" t="str">
        <f>INDEX('Rate Card'!$D:$D,MATCH(服务费底表!$T38,'Rate Card'!F:F,0))</f>
        <v>项目管理</v>
      </c>
      <c r="T38" s="328" t="s">
        <v>599</v>
      </c>
      <c r="U38" s="522" t="str">
        <f>INDEX('Rate Card'!$E:$E,MATCH(服务费底表!$T38,'Rate Card'!$F:$F,0))</f>
        <v>临床项目经理</v>
      </c>
      <c r="V38" s="331">
        <f>INDEX('Rate Card'!$J:$J,MATCH($T38,'Rate Card'!$F:$F,0))</f>
        <v>650</v>
      </c>
      <c r="W38" s="523">
        <f t="shared" si="54"/>
        <v>650</v>
      </c>
      <c r="X38" s="523">
        <f t="shared" si="55"/>
        <v>2</v>
      </c>
      <c r="Y38" s="327" cm="1">
        <f t="array" ref="Y38">_xlfn.IFS(报价场景=服务费底表!$AJ$2,服务费底表!$AJ38,报价场景=服务费底表!$AP$2,服务费底表!$AP38,报价场景=服务费底表!$AK$2,服务费底表!$AK38,报价场景=服务费底表!$AL$2,服务费底表!$AL38,报价场景=服务费底表!$AM$2,服务费底表!$AM38,报价场景=服务费底表!$AN$2,服务费底表!$AN38,报价场景=服务费底表!$AQ$2,服务费底表!$AQ38,报价场景=服务费底表!$AO$2,服务费底表!$AO38)</f>
        <v>2</v>
      </c>
      <c r="Z38" s="327"/>
      <c r="AA38" s="332">
        <f t="shared" si="45"/>
        <v>2</v>
      </c>
      <c r="AB38" s="333">
        <f t="shared" si="46"/>
        <v>1300</v>
      </c>
      <c r="AC38" s="328">
        <f t="shared" si="47"/>
        <v>2</v>
      </c>
      <c r="AD38" s="334">
        <f t="shared" si="57"/>
        <v>1300</v>
      </c>
      <c r="AE38" s="334">
        <f>$AB38*(1-INDEX(项目参数!$D$5:$D$14,MATCH(服务费底表!$S38,项目参数!$B$5:$B$14,0)))</f>
        <v>1300</v>
      </c>
      <c r="AF38" s="334">
        <f>$AD38*INDEX(项目参数!$D$5:$D$14,MATCH(服务费底表!$S38,项目参数!$B$5:$B$14,0))</f>
        <v>0</v>
      </c>
      <c r="AG38" s="334">
        <f t="shared" si="58"/>
        <v>1300</v>
      </c>
      <c r="AH38" s="328"/>
      <c r="AI38" s="328" t="s">
        <v>599</v>
      </c>
      <c r="AJ38" s="327">
        <v>2</v>
      </c>
      <c r="AK38" s="327">
        <v>2</v>
      </c>
      <c r="AL38" s="327">
        <v>2</v>
      </c>
      <c r="AM38" s="327">
        <v>2</v>
      </c>
      <c r="AN38" s="327">
        <v>2</v>
      </c>
      <c r="AO38" s="327">
        <v>2</v>
      </c>
      <c r="AP38" s="327">
        <v>2</v>
      </c>
      <c r="AQ38" s="327">
        <f t="shared" si="56"/>
        <v>3</v>
      </c>
      <c r="AR38" s="338"/>
      <c r="AS38" s="327">
        <f t="shared" si="49"/>
        <v>2</v>
      </c>
      <c r="AT38" s="327">
        <f t="shared" si="50"/>
        <v>2</v>
      </c>
      <c r="AU38" s="523">
        <v>2</v>
      </c>
      <c r="AV38" s="328"/>
      <c r="AW38" s="328"/>
      <c r="AX38" s="332">
        <v>2</v>
      </c>
      <c r="AY38" s="328" t="b">
        <f t="shared" si="51"/>
        <v>1</v>
      </c>
      <c r="AZ38" s="328" t="b">
        <f t="shared" si="4"/>
        <v>0</v>
      </c>
    </row>
    <row r="39" ht="27" customHeight="1" spans="1:52">
      <c r="A39" s="326" t="str">
        <f>INDEX('Rate Card'!$A:$A,MATCH(服务费底表!$T39,'Rate Card'!$F:$F,0))</f>
        <v>医学</v>
      </c>
      <c r="B39" s="327" t="str">
        <f>INDEX(二三级标准!$G:$G,MATCH(服务费底表!$K39,二三级标准!B:B,0))</f>
        <v>份</v>
      </c>
      <c r="C39" s="327">
        <f>INDEX(服务费明细!$E:$E,MATCH(服务费底表!$K39,服务费明细!$B:$B,0))</f>
        <v>1</v>
      </c>
      <c r="D39" s="327" t="str">
        <f t="shared" si="41"/>
        <v>A005MM</v>
      </c>
      <c r="E39" s="327" t="str">
        <f t="shared" si="42"/>
        <v>T0019MM</v>
      </c>
      <c r="F39" s="328"/>
      <c r="G39" s="328" t="s">
        <v>684</v>
      </c>
      <c r="H39" s="326" t="str">
        <f>INDEX('Rate Card'!$B:$B,MATCH(服务费底表!$T39,'Rate Card'!$F:$F,0))</f>
        <v>医学</v>
      </c>
      <c r="I39" s="328" t="s">
        <v>916</v>
      </c>
      <c r="J39" s="328" t="str">
        <f>INDEX(二三级标准!$Q:$Q,MATCH(服务费底表!I39,二三级标准!$O:$O,0))</f>
        <v>研究文件撰写和审核</v>
      </c>
      <c r="K39" s="328" t="s">
        <v>101</v>
      </c>
      <c r="L39" s="328" t="str">
        <f>INDEX(二三级标准!C:C,MATCH(服务费底表!K39,二三级标准!$B:$B,0))</f>
        <v>主知情同意版本更新</v>
      </c>
      <c r="M39" s="328" t="s">
        <v>1194</v>
      </c>
      <c r="N39" s="328" t="str">
        <f>INDEX(二三级标准!$M:$M,MATCH(服务费底表!$M39,二三级标准!$L:$L,0))</f>
        <v>主知情同意书修订撰写</v>
      </c>
      <c r="O39" s="328"/>
      <c r="P39" s="327">
        <f>IF(R39=1,INDEX(服务费明细!$E:$E,MATCH(服务费底表!$K39,服务费明细!$B:$B,0)),0)</f>
        <v>1</v>
      </c>
      <c r="Q39" s="328" t="s">
        <v>1178</v>
      </c>
      <c r="R39" s="520">
        <f>IF(AND(主知情同意版本更新YN=1,医学撰写YN=1),1,0)</f>
        <v>1</v>
      </c>
      <c r="S39" s="521" t="str">
        <f>IF(AND(H39="医学",OR(I39=二三级标准!$A$4,I39=二三级标准!$A$153)),"医学撰写","医学监查")</f>
        <v>医学撰写</v>
      </c>
      <c r="T39" s="328" t="s">
        <v>615</v>
      </c>
      <c r="U39" s="522" t="str">
        <f>INDEX('Rate Card'!$E:$E,MATCH(服务费底表!$T39,'Rate Card'!$F:$F,0))</f>
        <v>医学经理</v>
      </c>
      <c r="V39" s="331">
        <f>INDEX('Rate Card'!$J:$J,MATCH($T39,'Rate Card'!$F:$F,0))</f>
        <v>650</v>
      </c>
      <c r="W39" s="523">
        <f t="shared" si="54"/>
        <v>650</v>
      </c>
      <c r="X39" s="523">
        <f t="shared" si="55"/>
        <v>6</v>
      </c>
      <c r="Y39" s="327" cm="1">
        <f t="array" ref="Y39">_xlfn.IFS(报价场景=服务费底表!$AJ$2,服务费底表!$AJ39,报价场景=服务费底表!$AP$2,服务费底表!$AP39,报价场景=服务费底表!$AK$2,服务费底表!$AK39,报价场景=服务费底表!$AL$2,服务费底表!$AL39,报价场景=服务费底表!$AM$2,服务费底表!$AM39,报价场景=服务费底表!$AN$2,服务费底表!$AN39,报价场景=服务费底表!$AQ$2,服务费底表!$AQ39,报价场景=服务费底表!$AO$2,服务费底表!$AO39)</f>
        <v>6</v>
      </c>
      <c r="Z39" s="327"/>
      <c r="AA39" s="332">
        <f t="shared" si="45"/>
        <v>6</v>
      </c>
      <c r="AB39" s="333">
        <f t="shared" si="46"/>
        <v>3900</v>
      </c>
      <c r="AC39" s="328">
        <f t="shared" si="47"/>
        <v>6</v>
      </c>
      <c r="AD39" s="334">
        <f t="shared" si="57"/>
        <v>3900</v>
      </c>
      <c r="AE39" s="334">
        <f>$AB39*(1-INDEX(项目参数!$D$5:$D$14,MATCH(服务费底表!$S39,项目参数!$B$5:$B$14,0)))</f>
        <v>3900</v>
      </c>
      <c r="AF39" s="334">
        <f>$AD39*INDEX(项目参数!$D$5:$D$14,MATCH(服务费底表!$S39,项目参数!$B$5:$B$14,0))</f>
        <v>0</v>
      </c>
      <c r="AG39" s="334">
        <f t="shared" si="58"/>
        <v>3900</v>
      </c>
      <c r="AH39" s="328"/>
      <c r="AI39" s="328" t="s">
        <v>615</v>
      </c>
      <c r="AJ39" s="327">
        <v>6</v>
      </c>
      <c r="AK39" s="327">
        <v>6</v>
      </c>
      <c r="AL39" s="327">
        <v>6</v>
      </c>
      <c r="AM39" s="327">
        <v>6</v>
      </c>
      <c r="AN39" s="327">
        <v>6</v>
      </c>
      <c r="AO39" s="327">
        <v>6</v>
      </c>
      <c r="AP39" s="327">
        <v>6</v>
      </c>
      <c r="AQ39" s="327">
        <f t="shared" si="56"/>
        <v>9</v>
      </c>
      <c r="AR39" s="338"/>
      <c r="AS39" s="327">
        <f t="shared" si="49"/>
        <v>6</v>
      </c>
      <c r="AT39" s="327">
        <f t="shared" si="50"/>
        <v>6</v>
      </c>
      <c r="AU39" s="523">
        <v>4</v>
      </c>
      <c r="AV39" s="328"/>
      <c r="AW39" s="328"/>
      <c r="AX39" s="332">
        <v>4</v>
      </c>
      <c r="AY39" s="328" t="b">
        <f t="shared" si="51"/>
        <v>0</v>
      </c>
      <c r="AZ39" s="328" t="b">
        <f t="shared" si="4"/>
        <v>1</v>
      </c>
    </row>
    <row r="40" ht="27" customHeight="1" spans="1:52">
      <c r="A40" s="326" t="str">
        <f>INDEX('Rate Card'!$A:$A,MATCH(服务费底表!$T40,'Rate Card'!$F:$F,0))</f>
        <v>医学</v>
      </c>
      <c r="B40" s="327" t="str">
        <f>INDEX(二三级标准!$G:$G,MATCH(服务费底表!$K40,二三级标准!B:B,0))</f>
        <v>份</v>
      </c>
      <c r="C40" s="327">
        <f>INDEX(服务费明细!$E:$E,MATCH(服务费底表!$K40,服务费明细!$B:$B,0))</f>
        <v>1</v>
      </c>
      <c r="D40" s="327" t="str">
        <f t="shared" si="41"/>
        <v>A005MD</v>
      </c>
      <c r="E40" s="327" t="str">
        <f t="shared" si="42"/>
        <v>T0020MD</v>
      </c>
      <c r="F40" s="328"/>
      <c r="G40" s="328" t="s">
        <v>684</v>
      </c>
      <c r="H40" s="326" t="str">
        <f>INDEX('Rate Card'!$B:$B,MATCH(服务费底表!$T40,'Rate Card'!$F:$F,0))</f>
        <v>医学</v>
      </c>
      <c r="I40" s="328" t="s">
        <v>916</v>
      </c>
      <c r="J40" s="328" t="str">
        <f>INDEX(二三级标准!$Q:$Q,MATCH(服务费底表!I40,二三级标准!$O:$O,0))</f>
        <v>研究文件撰写和审核</v>
      </c>
      <c r="K40" s="328" t="s">
        <v>101</v>
      </c>
      <c r="L40" s="328" t="str">
        <f>INDEX(二三级标准!C:C,MATCH(服务费底表!K40,二三级标准!$B:$B,0))</f>
        <v>主知情同意版本更新</v>
      </c>
      <c r="M40" s="328" t="s">
        <v>1195</v>
      </c>
      <c r="N40" s="328" t="str">
        <f>INDEX(二三级标准!$M:$M,MATCH(服务费底表!$M40,二三级标准!$L:$L,0))</f>
        <v>主知情同意书修订审阅</v>
      </c>
      <c r="O40" s="328"/>
      <c r="P40" s="327">
        <f>IF(R40=1,INDEX(服务费明细!$E:$E,MATCH(服务费底表!$K40,服务费明细!$B:$B,0)),0)</f>
        <v>1</v>
      </c>
      <c r="Q40" s="328" t="s">
        <v>1178</v>
      </c>
      <c r="R40" s="520">
        <f>IF(AND(主知情同意版本更新YN=1,医学撰写YN=1),1,0)</f>
        <v>1</v>
      </c>
      <c r="S40" s="521" t="str">
        <f>IF(AND(H40="医学",OR(I40=二三级标准!$A$4,I40=二三级标准!$A$153)),"医学撰写","医学监查")</f>
        <v>医学撰写</v>
      </c>
      <c r="T40" s="328" t="s">
        <v>613</v>
      </c>
      <c r="U40" s="522" t="str">
        <f>INDEX('Rate Card'!$E:$E,MATCH(服务费底表!$T40,'Rate Card'!$F:$F,0))</f>
        <v>医学总监</v>
      </c>
      <c r="V40" s="331">
        <f>INDEX('Rate Card'!$J:$J,MATCH($T40,'Rate Card'!$F:$F,0))</f>
        <v>990</v>
      </c>
      <c r="W40" s="523">
        <f t="shared" si="54"/>
        <v>990</v>
      </c>
      <c r="X40" s="523">
        <f t="shared" si="55"/>
        <v>1.5</v>
      </c>
      <c r="Y40" s="327" cm="1">
        <f t="array" ref="Y40">_xlfn.IFS(报价场景=服务费底表!$AJ$2,服务费底表!$AJ40,报价场景=服务费底表!$AP$2,服务费底表!$AP40,报价场景=服务费底表!$AK$2,服务费底表!$AK40,报价场景=服务费底表!$AL$2,服务费底表!$AL40,报价场景=服务费底表!$AM$2,服务费底表!$AM40,报价场景=服务费底表!$AN$2,服务费底表!$AN40,报价场景=服务费底表!$AQ$2,服务费底表!$AQ40,报价场景=服务费底表!$AO$2,服务费底表!$AO40)</f>
        <v>1.5</v>
      </c>
      <c r="Z40" s="327"/>
      <c r="AA40" s="332">
        <f t="shared" si="45"/>
        <v>1.5</v>
      </c>
      <c r="AB40" s="333">
        <f t="shared" si="46"/>
        <v>1485</v>
      </c>
      <c r="AC40" s="328">
        <f t="shared" si="47"/>
        <v>1.5</v>
      </c>
      <c r="AD40" s="334">
        <f t="shared" si="57"/>
        <v>1485</v>
      </c>
      <c r="AE40" s="334">
        <f>$AB40*(1-INDEX(项目参数!$D$5:$D$14,MATCH(服务费底表!$S40,项目参数!$B$5:$B$14,0)))</f>
        <v>1485</v>
      </c>
      <c r="AF40" s="334">
        <f>$AD40*INDEX(项目参数!$D$5:$D$14,MATCH(服务费底表!$S40,项目参数!$B$5:$B$14,0))</f>
        <v>0</v>
      </c>
      <c r="AG40" s="334">
        <f t="shared" si="58"/>
        <v>1485</v>
      </c>
      <c r="AH40" s="328"/>
      <c r="AI40" s="328" t="s">
        <v>613</v>
      </c>
      <c r="AJ40" s="327">
        <v>1.5</v>
      </c>
      <c r="AK40" s="327">
        <v>1.5</v>
      </c>
      <c r="AL40" s="327">
        <v>1.5</v>
      </c>
      <c r="AM40" s="327">
        <v>1.5</v>
      </c>
      <c r="AN40" s="327">
        <v>1.5</v>
      </c>
      <c r="AO40" s="327">
        <v>1.5</v>
      </c>
      <c r="AP40" s="327">
        <v>1.5</v>
      </c>
      <c r="AQ40" s="327">
        <f t="shared" si="56"/>
        <v>2.25</v>
      </c>
      <c r="AR40" s="338"/>
      <c r="AS40" s="327">
        <f t="shared" si="49"/>
        <v>1.5</v>
      </c>
      <c r="AT40" s="327">
        <f t="shared" si="50"/>
        <v>1.5</v>
      </c>
      <c r="AU40" s="523">
        <v>1</v>
      </c>
      <c r="AV40" s="328"/>
      <c r="AW40" s="328"/>
      <c r="AX40" s="332">
        <v>1</v>
      </c>
      <c r="AY40" s="328" t="b">
        <f t="shared" si="51"/>
        <v>0</v>
      </c>
      <c r="AZ40" s="328" t="b">
        <f t="shared" si="4"/>
        <v>1</v>
      </c>
    </row>
    <row r="41" ht="27" customHeight="1" spans="1:52">
      <c r="A41" s="326" t="str">
        <f>INDEX('Rate Card'!$A:$A,MATCH(服务费底表!$T41,'Rate Card'!$F:$F,0))</f>
        <v>临床运营</v>
      </c>
      <c r="B41" s="327" t="str">
        <f>INDEX(二三级标准!$G:$G,MATCH(服务费底表!$K41,二三级标准!B:B,0))</f>
        <v>次</v>
      </c>
      <c r="C41" s="327">
        <f>INDEX(服务费明细!$E:$E,MATCH(服务费底表!$K41,服务费明细!$B:$B,0))</f>
        <v>1</v>
      </c>
      <c r="D41" s="327" t="str">
        <f t="shared" si="41"/>
        <v>A006PM</v>
      </c>
      <c r="E41" s="327" t="str">
        <f t="shared" si="42"/>
        <v>T0021PM</v>
      </c>
      <c r="F41" s="328"/>
      <c r="G41" s="328" t="s">
        <v>684</v>
      </c>
      <c r="H41" s="326" t="str">
        <f>INDEX('Rate Card'!$B:$B,MATCH(服务费底表!$T41,'Rate Card'!$F:$F,0))</f>
        <v>临床运营</v>
      </c>
      <c r="I41" s="328" t="s">
        <v>916</v>
      </c>
      <c r="J41" s="328" t="str">
        <f>INDEX(二三级标准!$Q:$Q,MATCH(服务费底表!I41,二三级标准!$O:$O,0))</f>
        <v>研究文件撰写和审核</v>
      </c>
      <c r="K41" s="328" t="s">
        <v>104</v>
      </c>
      <c r="L41" s="328" t="str">
        <f>INDEX(二三级标准!C:C,MATCH(服务费底表!K41,二三级标准!$B:$B,0))</f>
        <v>试验参与者日记卡撰写</v>
      </c>
      <c r="M41" s="328" t="s">
        <v>1196</v>
      </c>
      <c r="N41" s="328" t="str">
        <f>INDEX(二三级标准!$M:$M,MATCH(服务费底表!$M41,二三级标准!$L:$L,0))</f>
        <v>试验参与者日记卡撰写</v>
      </c>
      <c r="O41" s="328"/>
      <c r="P41" s="327">
        <f>IF(R41=1,INDEX(服务费明细!$E:$E,MATCH(服务费底表!$K41,服务费明细!$B:$B,0)),0)</f>
        <v>1</v>
      </c>
      <c r="Q41" s="328" t="s">
        <v>1178</v>
      </c>
      <c r="R41" s="520">
        <f>IF(AND(受试者日记卡撰写YN=1,项目管理YN=1),1,0)</f>
        <v>1</v>
      </c>
      <c r="S41" s="525" t="str">
        <f>INDEX('Rate Card'!$D:$D,MATCH(服务费底表!$T41,'Rate Card'!F:F,0))</f>
        <v>项目管理</v>
      </c>
      <c r="T41" s="328" t="s">
        <v>599</v>
      </c>
      <c r="U41" s="522" t="str">
        <f>INDEX('Rate Card'!$E:$E,MATCH(服务费底表!$T41,'Rate Card'!$F:$F,0))</f>
        <v>临床项目经理</v>
      </c>
      <c r="V41" s="331">
        <f>INDEX('Rate Card'!$J:$J,MATCH($T41,'Rate Card'!$F:$F,0))</f>
        <v>650</v>
      </c>
      <c r="W41" s="523">
        <f t="shared" si="54"/>
        <v>650</v>
      </c>
      <c r="X41" s="523">
        <f t="shared" si="55"/>
        <v>6</v>
      </c>
      <c r="Y41" s="327" cm="1">
        <f t="array" ref="Y41">_xlfn.IFS(报价场景=服务费底表!$AJ$2,服务费底表!$AJ41,报价场景=服务费底表!$AP$2,服务费底表!$AP41,报价场景=服务费底表!$AK$2,服务费底表!$AK41,报价场景=服务费底表!$AL$2,服务费底表!$AL41,报价场景=服务费底表!$AM$2,服务费底表!$AM41,报价场景=服务费底表!$AN$2,服务费底表!$AN41,报价场景=服务费底表!$AQ$2,服务费底表!$AQ41,报价场景=服务费底表!$AO$2,服务费底表!$AO41)</f>
        <v>6</v>
      </c>
      <c r="Z41" s="327"/>
      <c r="AA41" s="332">
        <f t="shared" si="45"/>
        <v>6</v>
      </c>
      <c r="AB41" s="333">
        <f t="shared" si="46"/>
        <v>3900</v>
      </c>
      <c r="AC41" s="328">
        <f t="shared" si="47"/>
        <v>6</v>
      </c>
      <c r="AD41" s="334">
        <f t="shared" si="57"/>
        <v>3900</v>
      </c>
      <c r="AE41" s="334">
        <f>$AB41*(1-INDEX(项目参数!$D$5:$D$14,MATCH(服务费底表!$S41,项目参数!$B$5:$B$14,0)))</f>
        <v>3900</v>
      </c>
      <c r="AF41" s="334">
        <f>$AD41*INDEX(项目参数!$D$5:$D$14,MATCH(服务费底表!$S41,项目参数!$B$5:$B$14,0))</f>
        <v>0</v>
      </c>
      <c r="AG41" s="334">
        <f t="shared" si="58"/>
        <v>3900</v>
      </c>
      <c r="AH41" s="328"/>
      <c r="AI41" s="328" t="s">
        <v>599</v>
      </c>
      <c r="AJ41" s="327">
        <v>6</v>
      </c>
      <c r="AK41" s="327">
        <f>AJ41*1.5</f>
        <v>9</v>
      </c>
      <c r="AL41" s="327">
        <f>AM41</f>
        <v>4</v>
      </c>
      <c r="AM41" s="327">
        <v>4</v>
      </c>
      <c r="AN41" s="327">
        <f>AJ41</f>
        <v>6</v>
      </c>
      <c r="AO41" s="327">
        <f>AP41</f>
        <v>6</v>
      </c>
      <c r="AP41" s="327">
        <v>6</v>
      </c>
      <c r="AQ41" s="327">
        <f t="shared" si="56"/>
        <v>9</v>
      </c>
      <c r="AR41" s="338"/>
      <c r="AS41" s="327">
        <f t="shared" si="49"/>
        <v>6</v>
      </c>
      <c r="AT41" s="327">
        <f t="shared" si="50"/>
        <v>6</v>
      </c>
      <c r="AU41" s="523">
        <v>6</v>
      </c>
      <c r="AV41" s="328"/>
      <c r="AW41" s="328"/>
      <c r="AX41" s="332">
        <v>6</v>
      </c>
      <c r="AY41" s="328" t="b">
        <f t="shared" si="51"/>
        <v>1</v>
      </c>
      <c r="AZ41" s="328" t="b">
        <f t="shared" si="4"/>
        <v>0</v>
      </c>
    </row>
    <row r="42" ht="27" customHeight="1" spans="1:52">
      <c r="A42" s="326" t="str">
        <f>INDEX('Rate Card'!$A:$A,MATCH(服务费底表!$T42,'Rate Card'!$F:$F,0))</f>
        <v>医学</v>
      </c>
      <c r="B42" s="327" t="str">
        <f>INDEX(二三级标准!$G:$G,MATCH(服务费底表!$K42,二三级标准!B:B,0))</f>
        <v>次</v>
      </c>
      <c r="C42" s="327">
        <f>INDEX(服务费明细!$E:$E,MATCH(服务费底表!$K42,服务费明细!$B:$B,0))</f>
        <v>1</v>
      </c>
      <c r="D42" s="327" t="str">
        <f t="shared" si="41"/>
        <v>A006MM</v>
      </c>
      <c r="E42" s="327" t="str">
        <f t="shared" si="42"/>
        <v>T0022MM</v>
      </c>
      <c r="F42" s="328"/>
      <c r="G42" s="328" t="s">
        <v>684</v>
      </c>
      <c r="H42" s="326" t="str">
        <f>INDEX('Rate Card'!$B:$B,MATCH(服务费底表!$T42,'Rate Card'!$F:$F,0))</f>
        <v>医学</v>
      </c>
      <c r="I42" s="328" t="s">
        <v>916</v>
      </c>
      <c r="J42" s="328" t="str">
        <f>INDEX(二三级标准!$Q:$Q,MATCH(服务费底表!I42,二三级标准!$O:$O,0))</f>
        <v>研究文件撰写和审核</v>
      </c>
      <c r="K42" s="328" t="s">
        <v>104</v>
      </c>
      <c r="L42" s="328" t="str">
        <f>INDEX(二三级标准!C:C,MATCH(服务费底表!K42,二三级标准!$B:$B,0))</f>
        <v>试验参与者日记卡撰写</v>
      </c>
      <c r="M42" s="328" t="s">
        <v>1197</v>
      </c>
      <c r="N42" s="328" t="str">
        <f>INDEX(二三级标准!$M:$M,MATCH(服务费底表!$M42,二三级标准!$L:$L,0))</f>
        <v>试验参与者日记卡医学审阅</v>
      </c>
      <c r="O42" s="328"/>
      <c r="P42" s="327">
        <f>IF(R42=1,INDEX(服务费明细!$E:$E,MATCH(服务费底表!$K42,服务费明细!$B:$B,0)),0)</f>
        <v>1</v>
      </c>
      <c r="Q42" s="328" t="s">
        <v>1178</v>
      </c>
      <c r="R42" s="520">
        <f>IF(AND(受试者日记卡撰写YN=1,医学撰写YN=1),1,0)</f>
        <v>1</v>
      </c>
      <c r="S42" s="521" t="str">
        <f>IF(AND(H42="医学",OR(I42=二三级标准!$A$4,I42=二三级标准!$A$153)),"医学撰写","医学监查")</f>
        <v>医学撰写</v>
      </c>
      <c r="T42" s="328" t="s">
        <v>615</v>
      </c>
      <c r="U42" s="522" t="str">
        <f>INDEX('Rate Card'!$E:$E,MATCH(服务费底表!$T42,'Rate Card'!$F:$F,0))</f>
        <v>医学经理</v>
      </c>
      <c r="V42" s="331">
        <f>INDEX('Rate Card'!$J:$J,MATCH($T42,'Rate Card'!$F:$F,0))</f>
        <v>650</v>
      </c>
      <c r="W42" s="523">
        <f t="shared" si="54"/>
        <v>650</v>
      </c>
      <c r="X42" s="523">
        <f t="shared" si="55"/>
        <v>2</v>
      </c>
      <c r="Y42" s="327" cm="1">
        <f t="array" ref="Y42">_xlfn.IFS(报价场景=服务费底表!$AJ$2,服务费底表!$AJ42,报价场景=服务费底表!$AP$2,服务费底表!$AP42,报价场景=服务费底表!$AK$2,服务费底表!$AK42,报价场景=服务费底表!$AL$2,服务费底表!$AL42,报价场景=服务费底表!$AM$2,服务费底表!$AM42,报价场景=服务费底表!$AN$2,服务费底表!$AN42,报价场景=服务费底表!$AQ$2,服务费底表!$AQ42,报价场景=服务费底表!$AO$2,服务费底表!$AO42)</f>
        <v>2</v>
      </c>
      <c r="Z42" s="327"/>
      <c r="AA42" s="332">
        <f t="shared" si="45"/>
        <v>2</v>
      </c>
      <c r="AB42" s="333">
        <f t="shared" si="46"/>
        <v>1300</v>
      </c>
      <c r="AC42" s="328">
        <f t="shared" si="47"/>
        <v>2</v>
      </c>
      <c r="AD42" s="334">
        <f t="shared" si="57"/>
        <v>1300</v>
      </c>
      <c r="AE42" s="334">
        <f>$AB42*(1-INDEX(项目参数!$D$5:$D$14,MATCH(服务费底表!$S42,项目参数!$B$5:$B$14,0)))</f>
        <v>1300</v>
      </c>
      <c r="AF42" s="334">
        <f>$AD42*INDEX(项目参数!$D$5:$D$14,MATCH(服务费底表!$S42,项目参数!$B$5:$B$14,0))</f>
        <v>0</v>
      </c>
      <c r="AG42" s="334">
        <f t="shared" si="58"/>
        <v>1300</v>
      </c>
      <c r="AH42" s="328"/>
      <c r="AI42" s="328" t="s">
        <v>615</v>
      </c>
      <c r="AJ42" s="327">
        <v>2</v>
      </c>
      <c r="AK42" s="327">
        <v>2</v>
      </c>
      <c r="AL42" s="327">
        <v>2</v>
      </c>
      <c r="AM42" s="327">
        <v>2</v>
      </c>
      <c r="AN42" s="327">
        <v>2</v>
      </c>
      <c r="AO42" s="327">
        <v>2</v>
      </c>
      <c r="AP42" s="327">
        <v>2</v>
      </c>
      <c r="AQ42" s="327">
        <f t="shared" si="56"/>
        <v>3</v>
      </c>
      <c r="AR42" s="338"/>
      <c r="AS42" s="327">
        <f t="shared" si="49"/>
        <v>2</v>
      </c>
      <c r="AT42" s="327">
        <f t="shared" si="50"/>
        <v>2</v>
      </c>
      <c r="AU42" s="523">
        <v>2</v>
      </c>
      <c r="AV42" s="328"/>
      <c r="AW42" s="328"/>
      <c r="AX42" s="332">
        <v>2</v>
      </c>
      <c r="AY42" s="328" t="b">
        <f t="shared" si="51"/>
        <v>1</v>
      </c>
      <c r="AZ42" s="328" t="b">
        <f t="shared" si="4"/>
        <v>0</v>
      </c>
    </row>
    <row r="43" ht="27" customHeight="1" spans="1:52">
      <c r="A43" s="326" t="str">
        <f>INDEX('Rate Card'!$A:$A,MATCH(服务费底表!$T43,'Rate Card'!$F:$F,0))</f>
        <v>临床运营</v>
      </c>
      <c r="B43" s="327" t="str">
        <f>INDEX(二三级标准!$G:$G,MATCH(服务费底表!$K43,二三级标准!B:B,0))</f>
        <v>份</v>
      </c>
      <c r="C43" s="327">
        <f>INDEX(服务费明细!$E:$E,MATCH(服务费底表!$K43,服务费明细!$B:$B,0))</f>
        <v>1</v>
      </c>
      <c r="D43" s="327" t="str">
        <f t="shared" si="41"/>
        <v>A007PM</v>
      </c>
      <c r="E43" s="327" t="str">
        <f t="shared" si="42"/>
        <v>T0023PM</v>
      </c>
      <c r="F43" s="328"/>
      <c r="G43" s="328" t="s">
        <v>684</v>
      </c>
      <c r="H43" s="326" t="str">
        <f>INDEX('Rate Card'!$B:$B,MATCH(服务费底表!$T43,'Rate Card'!$F:$F,0))</f>
        <v>临床运营</v>
      </c>
      <c r="I43" s="328" t="s">
        <v>916</v>
      </c>
      <c r="J43" s="328" t="str">
        <f>INDEX(二三级标准!$Q:$Q,MATCH(服务费底表!I43,二三级标准!$O:$O,0))</f>
        <v>研究文件撰写和审核</v>
      </c>
      <c r="K43" s="328" t="s">
        <v>107</v>
      </c>
      <c r="L43" s="328" t="str">
        <f>INDEX(二三级标准!C:C,MATCH(服务费底表!K43,二三级标准!$B:$B,0))</f>
        <v>试验参与者招募广告撰写</v>
      </c>
      <c r="M43" s="328" t="s">
        <v>1198</v>
      </c>
      <c r="N43" s="328" t="str">
        <f>INDEX(二三级标准!$M:$M,MATCH(服务费底表!$M43,二三级标准!$L:$L,0))</f>
        <v>试验参与者招募广告撰写</v>
      </c>
      <c r="O43" s="328"/>
      <c r="P43" s="327">
        <f>IF(R43=1,INDEX(服务费明细!$E:$E,MATCH(服务费底表!$K43,服务费明细!$B:$B,0)),0)</f>
        <v>1</v>
      </c>
      <c r="Q43" s="328" t="s">
        <v>1178</v>
      </c>
      <c r="R43" s="520">
        <f>IF(AND(受试者招募广告撰写YN=1,项目管理YN=1),1,0)</f>
        <v>1</v>
      </c>
      <c r="S43" s="525" t="str">
        <f>INDEX('Rate Card'!$D:$D,MATCH(服务费底表!$T43,'Rate Card'!F:F,0))</f>
        <v>项目管理</v>
      </c>
      <c r="T43" s="328" t="s">
        <v>599</v>
      </c>
      <c r="U43" s="522" t="str">
        <f>INDEX('Rate Card'!$E:$E,MATCH(服务费底表!$T43,'Rate Card'!$F:$F,0))</f>
        <v>临床项目经理</v>
      </c>
      <c r="V43" s="331">
        <f>INDEX('Rate Card'!$J:$J,MATCH($T43,'Rate Card'!$F:$F,0))</f>
        <v>650</v>
      </c>
      <c r="W43" s="523">
        <f t="shared" si="54"/>
        <v>650</v>
      </c>
      <c r="X43" s="523">
        <f t="shared" si="55"/>
        <v>6</v>
      </c>
      <c r="Y43" s="327" cm="1">
        <f t="array" ref="Y43">_xlfn.IFS(报价场景=服务费底表!$AJ$2,服务费底表!$AJ43,报价场景=服务费底表!$AP$2,服务费底表!$AP43,报价场景=服务费底表!$AK$2,服务费底表!$AK43,报价场景=服务费底表!$AL$2,服务费底表!$AL43,报价场景=服务费底表!$AM$2,服务费底表!$AM43,报价场景=服务费底表!$AN$2,服务费底表!$AN43,报价场景=服务费底表!$AQ$2,服务费底表!$AQ43,报价场景=服务费底表!$AO$2,服务费底表!$AO43)</f>
        <v>6</v>
      </c>
      <c r="Z43" s="327"/>
      <c r="AA43" s="332">
        <f t="shared" si="45"/>
        <v>6</v>
      </c>
      <c r="AB43" s="333">
        <f t="shared" si="46"/>
        <v>3900</v>
      </c>
      <c r="AC43" s="328">
        <f t="shared" si="47"/>
        <v>6</v>
      </c>
      <c r="AD43" s="334">
        <f t="shared" si="57"/>
        <v>3900</v>
      </c>
      <c r="AE43" s="334">
        <f>$AB43*(1-INDEX(项目参数!$D$5:$D$14,MATCH(服务费底表!$S43,项目参数!$B$5:$B$14,0)))</f>
        <v>3900</v>
      </c>
      <c r="AF43" s="334">
        <f>$AD43*INDEX(项目参数!$D$5:$D$14,MATCH(服务费底表!$S43,项目参数!$B$5:$B$14,0))</f>
        <v>0</v>
      </c>
      <c r="AG43" s="334">
        <f t="shared" si="58"/>
        <v>3900</v>
      </c>
      <c r="AH43" s="328"/>
      <c r="AI43" s="328" t="s">
        <v>599</v>
      </c>
      <c r="AJ43" s="327">
        <v>6</v>
      </c>
      <c r="AK43" s="327">
        <f>AJ43*1.5</f>
        <v>9</v>
      </c>
      <c r="AL43" s="327">
        <f>AM43</f>
        <v>4</v>
      </c>
      <c r="AM43" s="327">
        <v>4</v>
      </c>
      <c r="AN43" s="327">
        <f>AJ43</f>
        <v>6</v>
      </c>
      <c r="AO43" s="327">
        <f>AP43</f>
        <v>6</v>
      </c>
      <c r="AP43" s="327">
        <v>6</v>
      </c>
      <c r="AQ43" s="327">
        <f t="shared" si="56"/>
        <v>9</v>
      </c>
      <c r="AR43" s="338"/>
      <c r="AS43" s="327">
        <f t="shared" si="49"/>
        <v>6</v>
      </c>
      <c r="AT43" s="327">
        <f t="shared" si="50"/>
        <v>6</v>
      </c>
      <c r="AU43" s="523">
        <v>6</v>
      </c>
      <c r="AV43" s="328"/>
      <c r="AW43" s="328"/>
      <c r="AX43" s="332">
        <v>6</v>
      </c>
      <c r="AY43" s="328" t="b">
        <f t="shared" si="51"/>
        <v>1</v>
      </c>
      <c r="AZ43" s="328" t="b">
        <f t="shared" si="4"/>
        <v>1</v>
      </c>
    </row>
    <row r="44" ht="27" customHeight="1" spans="1:52">
      <c r="A44" s="326" t="str">
        <f>INDEX('Rate Card'!$A:$A,MATCH(服务费底表!$T44,'Rate Card'!$F:$F,0))</f>
        <v>医学</v>
      </c>
      <c r="B44" s="327" t="str">
        <f>INDEX(二三级标准!$G:$G,MATCH(服务费底表!$K44,二三级标准!B:B,0))</f>
        <v>份</v>
      </c>
      <c r="C44" s="327">
        <f>INDEX(服务费明细!$E:$E,MATCH(服务费底表!$K44,服务费明细!$B:$B,0))</f>
        <v>1</v>
      </c>
      <c r="D44" s="327" t="str">
        <f t="shared" si="41"/>
        <v>A007MM</v>
      </c>
      <c r="E44" s="327" t="str">
        <f t="shared" si="42"/>
        <v>T0024MM</v>
      </c>
      <c r="F44" s="328"/>
      <c r="G44" s="328" t="s">
        <v>684</v>
      </c>
      <c r="H44" s="326" t="str">
        <f>INDEX('Rate Card'!$B:$B,MATCH(服务费底表!$T44,'Rate Card'!$F:$F,0))</f>
        <v>医学</v>
      </c>
      <c r="I44" s="328" t="s">
        <v>916</v>
      </c>
      <c r="J44" s="328" t="str">
        <f>INDEX(二三级标准!$Q:$Q,MATCH(服务费底表!I44,二三级标准!$O:$O,0))</f>
        <v>研究文件撰写和审核</v>
      </c>
      <c r="K44" s="328" t="s">
        <v>107</v>
      </c>
      <c r="L44" s="328" t="str">
        <f>INDEX(二三级标准!C:C,MATCH(服务费底表!K44,二三级标准!$B:$B,0))</f>
        <v>试验参与者招募广告撰写</v>
      </c>
      <c r="M44" s="328" t="s">
        <v>1199</v>
      </c>
      <c r="N44" s="328" t="str">
        <f>INDEX(二三级标准!$M:$M,MATCH(服务费底表!$M44,二三级标准!$L:$L,0))</f>
        <v>试验参与者招募广告医学审阅</v>
      </c>
      <c r="O44" s="328"/>
      <c r="P44" s="327">
        <f>IF(R44=1,INDEX(服务费明细!$E:$E,MATCH(服务费底表!$K44,服务费明细!$B:$B,0)),0)</f>
        <v>1</v>
      </c>
      <c r="Q44" s="328" t="s">
        <v>1178</v>
      </c>
      <c r="R44" s="520">
        <f>IF(AND(受试者招募广告撰写YN=1,医学撰写YN=1),1,0)</f>
        <v>1</v>
      </c>
      <c r="S44" s="521" t="str">
        <f>IF(AND(H44="医学",OR(I44=二三级标准!$A$4,I44=二三级标准!$A$153)),"医学撰写","医学监查")</f>
        <v>医学撰写</v>
      </c>
      <c r="T44" s="328" t="s">
        <v>615</v>
      </c>
      <c r="U44" s="522" t="str">
        <f>INDEX('Rate Card'!$E:$E,MATCH(服务费底表!$T44,'Rate Card'!$F:$F,0))</f>
        <v>医学经理</v>
      </c>
      <c r="V44" s="331">
        <f>INDEX('Rate Card'!$J:$J,MATCH($T44,'Rate Card'!$F:$F,0))</f>
        <v>650</v>
      </c>
      <c r="W44" s="523">
        <f t="shared" si="54"/>
        <v>650</v>
      </c>
      <c r="X44" s="523">
        <f t="shared" si="55"/>
        <v>1</v>
      </c>
      <c r="Y44" s="327" cm="1">
        <f t="array" ref="Y44">_xlfn.IFS(报价场景=服务费底表!$AJ$2,服务费底表!$AJ44,报价场景=服务费底表!$AP$2,服务费底表!$AP44,报价场景=服务费底表!$AK$2,服务费底表!$AK44,报价场景=服务费底表!$AL$2,服务费底表!$AL44,报价场景=服务费底表!$AM$2,服务费底表!$AM44,报价场景=服务费底表!$AN$2,服务费底表!$AN44,报价场景=服务费底表!$AQ$2,服务费底表!$AQ44,报价场景=服务费底表!$AO$2,服务费底表!$AO44)</f>
        <v>1</v>
      </c>
      <c r="Z44" s="327"/>
      <c r="AA44" s="332">
        <f t="shared" si="45"/>
        <v>1</v>
      </c>
      <c r="AB44" s="333">
        <f t="shared" si="46"/>
        <v>650</v>
      </c>
      <c r="AC44" s="328">
        <f t="shared" si="47"/>
        <v>1</v>
      </c>
      <c r="AD44" s="334">
        <f t="shared" si="57"/>
        <v>650</v>
      </c>
      <c r="AE44" s="334">
        <f>$AB44*(1-INDEX(项目参数!$D$5:$D$14,MATCH(服务费底表!$S44,项目参数!$B$5:$B$14,0)))</f>
        <v>650</v>
      </c>
      <c r="AF44" s="334">
        <f>$AD44*INDEX(项目参数!$D$5:$D$14,MATCH(服务费底表!$S44,项目参数!$B$5:$B$14,0))</f>
        <v>0</v>
      </c>
      <c r="AG44" s="334">
        <f t="shared" si="58"/>
        <v>650</v>
      </c>
      <c r="AH44" s="328"/>
      <c r="AI44" s="328" t="s">
        <v>615</v>
      </c>
      <c r="AJ44" s="327">
        <v>1</v>
      </c>
      <c r="AK44" s="327">
        <v>1</v>
      </c>
      <c r="AL44" s="327">
        <v>1</v>
      </c>
      <c r="AM44" s="327">
        <v>1</v>
      </c>
      <c r="AN44" s="327">
        <v>1</v>
      </c>
      <c r="AO44" s="327">
        <v>1</v>
      </c>
      <c r="AP44" s="327">
        <v>1</v>
      </c>
      <c r="AQ44" s="327">
        <f t="shared" si="56"/>
        <v>1.5</v>
      </c>
      <c r="AR44" s="338"/>
      <c r="AS44" s="327">
        <f t="shared" si="49"/>
        <v>1</v>
      </c>
      <c r="AT44" s="327">
        <f t="shared" si="50"/>
        <v>1</v>
      </c>
      <c r="AU44" s="523">
        <v>1</v>
      </c>
      <c r="AV44" s="328"/>
      <c r="AW44" s="328"/>
      <c r="AX44" s="332">
        <v>1</v>
      </c>
      <c r="AY44" s="328" t="b">
        <f t="shared" si="51"/>
        <v>1</v>
      </c>
      <c r="AZ44" s="328" t="b">
        <f t="shared" si="4"/>
        <v>1</v>
      </c>
    </row>
    <row r="45" ht="27" customHeight="1" spans="1:52">
      <c r="A45" s="326" t="str">
        <f>INDEX('Rate Card'!$A:$A,MATCH(服务费底表!$T45,'Rate Card'!$F:$F,0))</f>
        <v>医学</v>
      </c>
      <c r="B45" s="327" t="str">
        <f>INDEX(二三级标准!$G:$G,MATCH(服务费底表!$K45,二三级标准!B:B,0))</f>
        <v>中心</v>
      </c>
      <c r="C45" s="327">
        <f>INDEX(服务费明细!$E:$E,MATCH(服务费底表!$K45,服务费明细!$B:$B,0))</f>
        <v>4</v>
      </c>
      <c r="D45" s="327" t="str">
        <f t="shared" si="41"/>
        <v>A286MM</v>
      </c>
      <c r="E45" s="327" t="str">
        <f t="shared" si="42"/>
        <v>T0810MM</v>
      </c>
      <c r="F45" s="328"/>
      <c r="G45" s="328" t="s">
        <v>684</v>
      </c>
      <c r="H45" s="326" t="str">
        <f>INDEX('Rate Card'!$B:$B,MATCH(服务费底表!$T45,'Rate Card'!$F:$F,0))</f>
        <v>医学</v>
      </c>
      <c r="I45" s="328" t="s">
        <v>917</v>
      </c>
      <c r="J45" s="328" t="str">
        <f>INDEX(二三级标准!$Q:$Q,MATCH(服务费底表!I45,二三级标准!$O:$O,0))</f>
        <v>试验准备</v>
      </c>
      <c r="K45" s="328" t="s">
        <v>987</v>
      </c>
      <c r="L45" s="328" t="str">
        <f>INDEX(二三级标准!C:C,MATCH(服务费底表!K45,二三级标准!$B:$B,0))</f>
        <v>研究中心启动会/立项会资料支持</v>
      </c>
      <c r="M45" s="328" t="s">
        <v>1200</v>
      </c>
      <c r="N45" s="328" t="str">
        <f>INDEX(二三级标准!$M:$M,MATCH(服务费底表!$M45,二三级标准!$L:$L,0))</f>
        <v>研究中心启动会/立项会文件审核</v>
      </c>
      <c r="O45" s="328"/>
      <c r="P45" s="327">
        <f>IF(R45=1,INDEX(服务费明细!$E:$E,MATCH(服务费底表!$K45,服务费明细!$B:$B,0)),0)</f>
        <v>4</v>
      </c>
      <c r="Q45" s="328" t="s">
        <v>1201</v>
      </c>
      <c r="R45" s="520">
        <f>IF(AND(启动会_立项会文件审核YN=1,医学撰写YN=1),1,0)</f>
        <v>1</v>
      </c>
      <c r="S45" s="521" t="str">
        <f>IF(AND(H45="医学",OR(I45=二三级标准!$A$4,I45=二三级标准!$A$153)),"医学撰写","医学监查")</f>
        <v>医学监查</v>
      </c>
      <c r="T45" s="328" t="s">
        <v>615</v>
      </c>
      <c r="U45" s="522" t="str">
        <f>INDEX('Rate Card'!$E:$E,MATCH(服务费底表!$T45,'Rate Card'!$F:$F,0))</f>
        <v>医学经理</v>
      </c>
      <c r="V45" s="331">
        <f>INDEX('Rate Card'!$J:$J,MATCH($T45,'Rate Card'!$F:$F,0))</f>
        <v>650</v>
      </c>
      <c r="W45" s="523">
        <f t="shared" si="54"/>
        <v>650</v>
      </c>
      <c r="X45" s="523">
        <f t="shared" si="55"/>
        <v>2</v>
      </c>
      <c r="Y45" s="327" cm="1">
        <f t="array" ref="Y45">_xlfn.IFS(报价场景=服务费底表!$AJ$2,服务费底表!$AJ45,报价场景=服务费底表!$AP$2,服务费底表!$AP45,报价场景=服务费底表!$AK$2,服务费底表!$AK45,报价场景=服务费底表!$AL$2,服务费底表!$AL45,报价场景=服务费底表!$AM$2,服务费底表!$AM45,报价场景=服务费底表!$AN$2,服务费底表!$AN45,报价场景=服务费底表!$AQ$2,服务费底表!$AQ45,报价场景=服务费底表!$AO$2,服务费底表!$AO45)</f>
        <v>2</v>
      </c>
      <c r="Z45" s="327"/>
      <c r="AA45" s="332">
        <f t="shared" si="45"/>
        <v>2</v>
      </c>
      <c r="AB45" s="333">
        <f t="shared" si="46"/>
        <v>1300</v>
      </c>
      <c r="AC45" s="328">
        <f t="shared" si="47"/>
        <v>8</v>
      </c>
      <c r="AD45" s="334">
        <f t="shared" si="57"/>
        <v>5200</v>
      </c>
      <c r="AE45" s="334">
        <f>$AB45*(1-INDEX(项目参数!$D$5:$D$14,MATCH(服务费底表!$S45,项目参数!$B$5:$B$14,0)))</f>
        <v>1300</v>
      </c>
      <c r="AF45" s="334">
        <f>$AD45*INDEX(项目参数!$D$5:$D$14,MATCH(服务费底表!$S45,项目参数!$B$5:$B$14,0))</f>
        <v>0</v>
      </c>
      <c r="AG45" s="334">
        <f t="shared" si="58"/>
        <v>5200</v>
      </c>
      <c r="AH45" s="328"/>
      <c r="AI45" s="328" t="s">
        <v>615</v>
      </c>
      <c r="AJ45" s="327">
        <v>2</v>
      </c>
      <c r="AK45" s="327">
        <v>2</v>
      </c>
      <c r="AL45" s="327">
        <v>2</v>
      </c>
      <c r="AM45" s="327">
        <v>2</v>
      </c>
      <c r="AN45" s="327">
        <v>2</v>
      </c>
      <c r="AO45" s="327">
        <v>2</v>
      </c>
      <c r="AP45" s="327">
        <v>2</v>
      </c>
      <c r="AQ45" s="327">
        <f t="shared" si="56"/>
        <v>3</v>
      </c>
      <c r="AR45" s="338"/>
      <c r="AS45" s="327">
        <f t="shared" si="49"/>
        <v>8</v>
      </c>
      <c r="AT45" s="327">
        <f t="shared" si="50"/>
        <v>8</v>
      </c>
      <c r="AU45" s="523">
        <v>2</v>
      </c>
      <c r="AV45" s="328"/>
      <c r="AW45" s="328"/>
      <c r="AX45" s="332">
        <v>2</v>
      </c>
      <c r="AY45" s="328" t="b">
        <f t="shared" si="51"/>
        <v>1</v>
      </c>
      <c r="AZ45" s="328" t="b">
        <f t="shared" si="4"/>
        <v>0</v>
      </c>
    </row>
    <row r="46" ht="27" customHeight="1" spans="1:52">
      <c r="A46" s="326" t="str">
        <f>INDEX('Rate Card'!$A:$A,MATCH(服务费底表!$T46,'Rate Card'!$F:$F,0))</f>
        <v>临床运营</v>
      </c>
      <c r="B46" s="327" t="str">
        <f>INDEX(二三级标准!$G:$G,MATCH(服务费底表!$K46,二三级标准!B:B,0))</f>
        <v>次</v>
      </c>
      <c r="C46" s="327">
        <f>INDEX(服务费明细!$E:$E,MATCH(服务费底表!$K46,服务费明细!$B:$B,0))</f>
        <v>1</v>
      </c>
      <c r="D46" s="327" t="str">
        <f t="shared" si="41"/>
        <v>A008PM</v>
      </c>
      <c r="E46" s="327" t="str">
        <f t="shared" si="42"/>
        <v>T0025PM</v>
      </c>
      <c r="F46" s="328"/>
      <c r="G46" s="328" t="s">
        <v>684</v>
      </c>
      <c r="H46" s="326" t="str">
        <f>INDEX('Rate Card'!$B:$B,MATCH(服务费底表!$T46,'Rate Card'!$F:$F,0))</f>
        <v>临床运营</v>
      </c>
      <c r="I46" s="328" t="s">
        <v>917</v>
      </c>
      <c r="J46" s="328" t="str">
        <f>INDEX(二三级标准!$Q:$Q,MATCH(服务费底表!I46,二三级标准!$O:$O,0))</f>
        <v>试验准备</v>
      </c>
      <c r="K46" s="328" t="s">
        <v>110</v>
      </c>
      <c r="L46" s="328" t="str">
        <f>INDEX(二三级标准!C:C,MATCH(服务费底表!K46,二三级标准!$B:$B,0))</f>
        <v>召开客户启动会</v>
      </c>
      <c r="M46" s="328" t="s">
        <v>1202</v>
      </c>
      <c r="N46" s="328" t="str">
        <f>INDEX(二三级标准!$M:$M,MATCH(服务费底表!$M46,二三级标准!$L:$L,0))</f>
        <v>准备客户启动会</v>
      </c>
      <c r="O46" s="328"/>
      <c r="P46" s="327">
        <f>IF(R46=1,INDEX(服务费明细!$E:$E,MATCH(服务费底表!$K46,服务费明细!$B:$B,0)),0)</f>
        <v>1</v>
      </c>
      <c r="Q46" s="328" t="s">
        <v>1178</v>
      </c>
      <c r="R46" s="520">
        <f>IF(AND(召开客户启动会YN=1,项目管理YN=1),1,0)</f>
        <v>1</v>
      </c>
      <c r="S46" s="525" t="str">
        <f>INDEX('Rate Card'!$D:$D,MATCH(服务费底表!$T46,'Rate Card'!F:F,0))</f>
        <v>项目管理</v>
      </c>
      <c r="T46" s="328" t="s">
        <v>599</v>
      </c>
      <c r="U46" s="522" t="str">
        <f>INDEX('Rate Card'!$E:$E,MATCH(服务费底表!$T46,'Rate Card'!$F:$F,0))</f>
        <v>临床项目经理</v>
      </c>
      <c r="V46" s="331">
        <f>INDEX('Rate Card'!$J:$J,MATCH($T46,'Rate Card'!$F:$F,0))</f>
        <v>650</v>
      </c>
      <c r="W46" s="523">
        <f t="shared" si="54"/>
        <v>650</v>
      </c>
      <c r="X46" s="523">
        <f t="shared" si="55"/>
        <v>4</v>
      </c>
      <c r="Y46" s="327" cm="1">
        <f t="array" ref="Y46">_xlfn.IFS(报价场景=服务费底表!$AJ$2,服务费底表!$AJ46,报价场景=服务费底表!$AP$2,服务费底表!$AP46,报价场景=服务费底表!$AK$2,服务费底表!$AK46,报价场景=服务费底表!$AL$2,服务费底表!$AL46,报价场景=服务费底表!$AM$2,服务费底表!$AM46,报价场景=服务费底表!$AN$2,服务费底表!$AN46,报价场景=服务费底表!$AQ$2,服务费底表!$AQ46,报价场景=服务费底表!$AO$2,服务费底表!$AO46)</f>
        <v>4</v>
      </c>
      <c r="Z46" s="327"/>
      <c r="AA46" s="332">
        <f t="shared" si="45"/>
        <v>4</v>
      </c>
      <c r="AB46" s="333">
        <f t="shared" si="46"/>
        <v>2600</v>
      </c>
      <c r="AC46" s="328">
        <f t="shared" si="47"/>
        <v>4</v>
      </c>
      <c r="AD46" s="334">
        <f t="shared" si="57"/>
        <v>2600</v>
      </c>
      <c r="AE46" s="334">
        <f>$AB46*(1-INDEX(项目参数!$D$5:$D$14,MATCH(服务费底表!$S46,项目参数!$B$5:$B$14,0)))</f>
        <v>2600</v>
      </c>
      <c r="AF46" s="334">
        <f>$AD46*INDEX(项目参数!$D$5:$D$14,MATCH(服务费底表!$S46,项目参数!$B$5:$B$14,0))</f>
        <v>0</v>
      </c>
      <c r="AG46" s="334">
        <f t="shared" si="58"/>
        <v>2600</v>
      </c>
      <c r="AH46" s="328"/>
      <c r="AI46" s="328" t="s">
        <v>599</v>
      </c>
      <c r="AJ46" s="327">
        <v>4</v>
      </c>
      <c r="AK46" s="327">
        <f>AJ46*1.5</f>
        <v>6</v>
      </c>
      <c r="AL46" s="327">
        <f>AM46</f>
        <v>3</v>
      </c>
      <c r="AM46" s="327">
        <v>3</v>
      </c>
      <c r="AN46" s="327">
        <f>AJ46</f>
        <v>4</v>
      </c>
      <c r="AO46" s="327">
        <f>AP46</f>
        <v>4</v>
      </c>
      <c r="AP46" s="327">
        <v>4</v>
      </c>
      <c r="AQ46" s="327">
        <f t="shared" si="56"/>
        <v>6</v>
      </c>
      <c r="AR46" s="338"/>
      <c r="AS46" s="327">
        <f t="shared" si="49"/>
        <v>4</v>
      </c>
      <c r="AT46" s="327">
        <f t="shared" si="50"/>
        <v>4</v>
      </c>
      <c r="AU46" s="523">
        <v>4</v>
      </c>
      <c r="AV46" s="328"/>
      <c r="AW46" s="328"/>
      <c r="AX46" s="332">
        <v>4</v>
      </c>
      <c r="AY46" s="328" t="b">
        <f t="shared" si="51"/>
        <v>1</v>
      </c>
      <c r="AZ46" s="328" t="b">
        <f t="shared" si="4"/>
        <v>1</v>
      </c>
    </row>
    <row r="47" ht="27" customHeight="1" spans="1:52">
      <c r="A47" s="326" t="str">
        <f>INDEX('Rate Card'!$A:$A,MATCH(服务费底表!$T47,'Rate Card'!$F:$F,0))</f>
        <v>临床运营</v>
      </c>
      <c r="B47" s="327" t="str">
        <f>INDEX(二三级标准!$G:$G,MATCH(服务费底表!$K47,二三级标准!B:B,0))</f>
        <v>次</v>
      </c>
      <c r="C47" s="327">
        <f>INDEX(服务费明细!$E:$E,MATCH(服务费底表!$K47,服务费明细!$B:$B,0))</f>
        <v>1</v>
      </c>
      <c r="D47" s="327" t="str">
        <f t="shared" si="41"/>
        <v>A008PM</v>
      </c>
      <c r="E47" s="327" t="str">
        <f t="shared" si="42"/>
        <v>T0026PM</v>
      </c>
      <c r="F47" s="328"/>
      <c r="G47" s="328" t="s">
        <v>684</v>
      </c>
      <c r="H47" s="326" t="str">
        <f>INDEX('Rate Card'!$B:$B,MATCH(服务费底表!$T47,'Rate Card'!$F:$F,0))</f>
        <v>临床运营</v>
      </c>
      <c r="I47" s="328" t="s">
        <v>917</v>
      </c>
      <c r="J47" s="328" t="str">
        <f>INDEX(二三级标准!$Q:$Q,MATCH(服务费底表!I47,二三级标准!$O:$O,0))</f>
        <v>试验准备</v>
      </c>
      <c r="K47" s="328" t="s">
        <v>110</v>
      </c>
      <c r="L47" s="328" t="str">
        <f>INDEX(二三级标准!C:C,MATCH(服务费底表!K47,二三级标准!$B:$B,0))</f>
        <v>召开客户启动会</v>
      </c>
      <c r="M47" s="328" t="s">
        <v>1203</v>
      </c>
      <c r="N47" s="328" t="str">
        <f>INDEX(二三级标准!$M:$M,MATCH(服务费底表!$M47,二三级标准!$L:$L,0))</f>
        <v>参加客户启动会</v>
      </c>
      <c r="O47" s="328"/>
      <c r="P47" s="327">
        <f>IF(R47=1,INDEX(服务费明细!$E:$E,MATCH(服务费底表!$K47,服务费明细!$B:$B,0)),0)</f>
        <v>1</v>
      </c>
      <c r="Q47" s="328" t="s">
        <v>1178</v>
      </c>
      <c r="R47" s="520">
        <f>IF(AND(召开客户启动会YN=1,项目管理YN=1),1,0)</f>
        <v>1</v>
      </c>
      <c r="S47" s="525" t="str">
        <f>INDEX('Rate Card'!$D:$D,MATCH(服务费底表!$T47,'Rate Card'!F:F,0))</f>
        <v>项目管理</v>
      </c>
      <c r="T47" s="328" t="s">
        <v>599</v>
      </c>
      <c r="U47" s="522" t="str">
        <f>INDEX('Rate Card'!$E:$E,MATCH(服务费底表!$T47,'Rate Card'!$F:$F,0))</f>
        <v>临床项目经理</v>
      </c>
      <c r="V47" s="331">
        <f>INDEX('Rate Card'!$J:$J,MATCH($T47,'Rate Card'!$F:$F,0))</f>
        <v>650</v>
      </c>
      <c r="W47" s="523">
        <f t="shared" si="54"/>
        <v>650</v>
      </c>
      <c r="X47" s="523">
        <f t="shared" si="55"/>
        <v>2</v>
      </c>
      <c r="Y47" s="327" cm="1">
        <f t="array" ref="Y47">_xlfn.IFS(报价场景=服务费底表!$AJ$2,服务费底表!$AJ47,报价场景=服务费底表!$AP$2,服务费底表!$AP47,报价场景=服务费底表!$AK$2,服务费底表!$AK47,报价场景=服务费底表!$AL$2,服务费底表!$AL47,报价场景=服务费底表!$AM$2,服务费底表!$AM47,报价场景=服务费底表!$AN$2,服务费底表!$AN47,报价场景=服务费底表!$AQ$2,服务费底表!$AQ47,报价场景=服务费底表!$AO$2,服务费底表!$AO47)</f>
        <v>2</v>
      </c>
      <c r="Z47" s="327"/>
      <c r="AA47" s="332">
        <f t="shared" si="45"/>
        <v>2</v>
      </c>
      <c r="AB47" s="333">
        <f t="shared" si="46"/>
        <v>1300</v>
      </c>
      <c r="AC47" s="328">
        <f t="shared" si="47"/>
        <v>2</v>
      </c>
      <c r="AD47" s="334">
        <f t="shared" si="57"/>
        <v>1300</v>
      </c>
      <c r="AE47" s="334">
        <f>$AB47*(1-INDEX(项目参数!$D$5:$D$14,MATCH(服务费底表!$S47,项目参数!$B$5:$B$14,0)))</f>
        <v>1300</v>
      </c>
      <c r="AF47" s="334">
        <f>$AD47*INDEX(项目参数!$D$5:$D$14,MATCH(服务费底表!$S47,项目参数!$B$5:$B$14,0))</f>
        <v>0</v>
      </c>
      <c r="AG47" s="334">
        <f t="shared" si="58"/>
        <v>1300</v>
      </c>
      <c r="AH47" s="328"/>
      <c r="AI47" s="328" t="s">
        <v>599</v>
      </c>
      <c r="AJ47" s="327">
        <v>2</v>
      </c>
      <c r="AK47" s="327">
        <v>2</v>
      </c>
      <c r="AL47" s="327">
        <v>2</v>
      </c>
      <c r="AM47" s="327">
        <v>2</v>
      </c>
      <c r="AN47" s="327">
        <v>2</v>
      </c>
      <c r="AO47" s="327">
        <v>2</v>
      </c>
      <c r="AP47" s="327">
        <v>2</v>
      </c>
      <c r="AQ47" s="327">
        <f t="shared" si="56"/>
        <v>3</v>
      </c>
      <c r="AR47" s="338"/>
      <c r="AS47" s="327">
        <f t="shared" si="49"/>
        <v>2</v>
      </c>
      <c r="AT47" s="327">
        <f t="shared" si="50"/>
        <v>2</v>
      </c>
      <c r="AU47" s="523">
        <v>2</v>
      </c>
      <c r="AV47" s="328"/>
      <c r="AW47" s="328"/>
      <c r="AX47" s="332">
        <v>2</v>
      </c>
      <c r="AY47" s="328" t="b">
        <f t="shared" si="51"/>
        <v>1</v>
      </c>
      <c r="AZ47" s="328" t="b">
        <f t="shared" si="4"/>
        <v>1</v>
      </c>
    </row>
    <row r="48" ht="27" customHeight="1" spans="1:52">
      <c r="A48" s="326" t="str">
        <f>INDEX('Rate Card'!$A:$A,MATCH(服务费底表!$T48,'Rate Card'!$F:$F,0))</f>
        <v>临床运营</v>
      </c>
      <c r="B48" s="327" t="str">
        <f>INDEX(二三级标准!$G:$G,MATCH(服务费底表!$K48,二三级标准!B:B,0))</f>
        <v>次</v>
      </c>
      <c r="C48" s="327">
        <f>INDEX(服务费明细!$E:$E,MATCH(服务费底表!$K48,服务费明细!$B:$B,0))</f>
        <v>1</v>
      </c>
      <c r="D48" s="327" t="str">
        <f t="shared" si="41"/>
        <v>A008CTA</v>
      </c>
      <c r="E48" s="327" t="str">
        <f t="shared" si="42"/>
        <v>T0026CTA</v>
      </c>
      <c r="F48" s="328"/>
      <c r="G48" s="328" t="s">
        <v>684</v>
      </c>
      <c r="H48" s="326" t="str">
        <f>INDEX('Rate Card'!$B:$B,MATCH(服务费底表!$T48,'Rate Card'!$F:$F,0))</f>
        <v>临床运营</v>
      </c>
      <c r="I48" s="328" t="s">
        <v>917</v>
      </c>
      <c r="J48" s="328" t="str">
        <f>INDEX(二三级标准!$Q:$Q,MATCH(服务费底表!I48,二三级标准!$O:$O,0))</f>
        <v>试验准备</v>
      </c>
      <c r="K48" s="328" t="s">
        <v>110</v>
      </c>
      <c r="L48" s="328" t="str">
        <f>INDEX(二三级标准!C:C,MATCH(服务费底表!K48,二三级标准!$B:$B,0))</f>
        <v>召开客户启动会</v>
      </c>
      <c r="M48" s="328" t="s">
        <v>1203</v>
      </c>
      <c r="N48" s="328" t="str">
        <f>INDEX(二三级标准!$M:$M,MATCH(服务费底表!$M48,二三级标准!$L:$L,0))</f>
        <v>参加客户启动会</v>
      </c>
      <c r="O48" s="328"/>
      <c r="P48" s="327">
        <f>IF(R48=1,INDEX(服务费明细!$E:$E,MATCH(服务费底表!$K48,服务费明细!$B:$B,0)),0)</f>
        <v>1</v>
      </c>
      <c r="Q48" s="328" t="s">
        <v>1178</v>
      </c>
      <c r="R48" s="520">
        <f>IF(AND(召开客户启动会YN=1,临床监查YN=1),1,0)</f>
        <v>1</v>
      </c>
      <c r="S48" s="525" t="str">
        <f>INDEX('Rate Card'!$D:$D,MATCH(服务费底表!$T48,'Rate Card'!F:F,0))</f>
        <v>临床监查</v>
      </c>
      <c r="T48" s="328" t="s">
        <v>597</v>
      </c>
      <c r="U48" s="522" t="str">
        <f>INDEX('Rate Card'!$E:$E,MATCH(服务费底表!$T48,'Rate Card'!$F:$F,0))</f>
        <v>临床试验助理</v>
      </c>
      <c r="V48" s="331">
        <f>INDEX('Rate Card'!$J:$J,MATCH($T48,'Rate Card'!$F:$F,0))</f>
        <v>220</v>
      </c>
      <c r="W48" s="523">
        <f t="shared" si="54"/>
        <v>220</v>
      </c>
      <c r="X48" s="523">
        <f t="shared" si="55"/>
        <v>2</v>
      </c>
      <c r="Y48" s="327" cm="1">
        <f t="array" ref="Y48">_xlfn.IFS(报价场景=服务费底表!$AJ$2,服务费底表!$AJ48,报价场景=服务费底表!$AP$2,服务费底表!$AP48,报价场景=服务费底表!$AK$2,服务费底表!$AK48,报价场景=服务费底表!$AL$2,服务费底表!$AL48,报价场景=服务费底表!$AM$2,服务费底表!$AM48,报价场景=服务费底表!$AN$2,服务费底表!$AN48,报价场景=服务费底表!$AQ$2,服务费底表!$AQ48,报价场景=服务费底表!$AO$2,服务费底表!$AO48)</f>
        <v>2</v>
      </c>
      <c r="Z48" s="327"/>
      <c r="AA48" s="332">
        <f t="shared" si="45"/>
        <v>2</v>
      </c>
      <c r="AB48" s="333">
        <f t="shared" si="46"/>
        <v>440</v>
      </c>
      <c r="AC48" s="328">
        <f t="shared" si="47"/>
        <v>2</v>
      </c>
      <c r="AD48" s="334">
        <f t="shared" si="57"/>
        <v>440</v>
      </c>
      <c r="AE48" s="334">
        <f>$AB48*(1-INDEX(项目参数!$D$5:$D$14,MATCH(服务费底表!$S48,项目参数!$B$5:$B$14,0)))</f>
        <v>440</v>
      </c>
      <c r="AF48" s="334">
        <f>$AD48*INDEX(项目参数!$D$5:$D$14,MATCH(服务费底表!$S48,项目参数!$B$5:$B$14,0))</f>
        <v>0</v>
      </c>
      <c r="AG48" s="334">
        <f t="shared" si="58"/>
        <v>440</v>
      </c>
      <c r="AH48" s="328"/>
      <c r="AI48" s="328" t="s">
        <v>597</v>
      </c>
      <c r="AJ48" s="327">
        <v>2</v>
      </c>
      <c r="AK48" s="327">
        <v>2</v>
      </c>
      <c r="AL48" s="327">
        <v>2</v>
      </c>
      <c r="AM48" s="327">
        <v>2</v>
      </c>
      <c r="AN48" s="327">
        <v>2</v>
      </c>
      <c r="AO48" s="327">
        <v>2</v>
      </c>
      <c r="AP48" s="327">
        <v>2</v>
      </c>
      <c r="AQ48" s="327">
        <f t="shared" si="56"/>
        <v>3</v>
      </c>
      <c r="AR48" s="338"/>
      <c r="AS48" s="327">
        <f t="shared" si="49"/>
        <v>2</v>
      </c>
      <c r="AT48" s="327">
        <f t="shared" si="50"/>
        <v>2</v>
      </c>
      <c r="AU48" s="523">
        <v>2</v>
      </c>
      <c r="AV48" s="328"/>
      <c r="AW48" s="328"/>
      <c r="AX48" s="332">
        <v>2</v>
      </c>
      <c r="AY48" s="328" t="b">
        <f t="shared" si="51"/>
        <v>1</v>
      </c>
      <c r="AZ48" s="328" t="b">
        <f t="shared" si="4"/>
        <v>1</v>
      </c>
    </row>
    <row r="49" ht="27" customHeight="1" spans="1:52">
      <c r="A49" s="326" t="str">
        <f>INDEX('Rate Card'!$A:$A,MATCH(服务费底表!$T49,'Rate Card'!$F:$F,0))</f>
        <v>临床运营</v>
      </c>
      <c r="B49" s="327" t="str">
        <f>INDEX(二三级标准!$G:$G,MATCH(服务费底表!$K49,二三级标准!B:B,0))</f>
        <v>次</v>
      </c>
      <c r="C49" s="327">
        <f>INDEX(服务费明细!$E:$E,MATCH(服务费底表!$K49,服务费明细!$B:$B,0))</f>
        <v>1</v>
      </c>
      <c r="D49" s="327" t="str">
        <f t="shared" si="41"/>
        <v>A008PMD</v>
      </c>
      <c r="E49" s="327" t="str">
        <f t="shared" si="42"/>
        <v>T0026PMD</v>
      </c>
      <c r="F49" s="328"/>
      <c r="G49" s="328" t="s">
        <v>684</v>
      </c>
      <c r="H49" s="326" t="str">
        <f>INDEX('Rate Card'!$B:$B,MATCH(服务费底表!$T49,'Rate Card'!$F:$F,0))</f>
        <v>临床运营</v>
      </c>
      <c r="I49" s="328" t="s">
        <v>917</v>
      </c>
      <c r="J49" s="328" t="str">
        <f>INDEX(二三级标准!$Q:$Q,MATCH(服务费底表!I49,二三级标准!$O:$O,0))</f>
        <v>试验准备</v>
      </c>
      <c r="K49" s="328" t="s">
        <v>110</v>
      </c>
      <c r="L49" s="328" t="str">
        <f>INDEX(二三级标准!C:C,MATCH(服务费底表!K49,二三级标准!$B:$B,0))</f>
        <v>召开客户启动会</v>
      </c>
      <c r="M49" s="328" t="s">
        <v>1203</v>
      </c>
      <c r="N49" s="328" t="str">
        <f>INDEX(二三级标准!$M:$M,MATCH(服务费底表!$M49,二三级标准!$L:$L,0))</f>
        <v>参加客户启动会</v>
      </c>
      <c r="O49" s="328"/>
      <c r="P49" s="327">
        <f>IF(R49=1,INDEX(服务费明细!$E:$E,MATCH(服务费底表!$K49,服务费明细!$B:$B,0)),0)</f>
        <v>1</v>
      </c>
      <c r="Q49" s="328" t="s">
        <v>1178</v>
      </c>
      <c r="R49" s="520">
        <f>IF(AND(召开客户启动会YN=1,项目管理YN=1),1,0)</f>
        <v>1</v>
      </c>
      <c r="S49" s="525" t="str">
        <f>INDEX('Rate Card'!$D:$D,MATCH(服务费底表!$T49,'Rate Card'!F:F,0))</f>
        <v>项目管理</v>
      </c>
      <c r="T49" s="328" t="s">
        <v>601</v>
      </c>
      <c r="U49" s="522" t="str">
        <f>INDEX('Rate Card'!$E:$E,MATCH(服务费底表!$T49,'Rate Card'!$F:$F,0))</f>
        <v>临床项目总监</v>
      </c>
      <c r="V49" s="331">
        <f>INDEX('Rate Card'!$J:$J,MATCH($T49,'Rate Card'!$F:$F,0))</f>
        <v>800</v>
      </c>
      <c r="W49" s="523">
        <f t="shared" si="54"/>
        <v>800</v>
      </c>
      <c r="X49" s="523">
        <f t="shared" si="55"/>
        <v>2</v>
      </c>
      <c r="Y49" s="327" cm="1">
        <f t="array" ref="Y49">_xlfn.IFS(报价场景=服务费底表!$AJ$2,服务费底表!$AJ49,报价场景=服务费底表!$AP$2,服务费底表!$AP49,报价场景=服务费底表!$AK$2,服务费底表!$AK49,报价场景=服务费底表!$AL$2,服务费底表!$AL49,报价场景=服务费底表!$AM$2,服务费底表!$AM49,报价场景=服务费底表!$AN$2,服务费底表!$AN49,报价场景=服务费底表!$AQ$2,服务费底表!$AQ49,报价场景=服务费底表!$AO$2,服务费底表!$AO49)</f>
        <v>2</v>
      </c>
      <c r="Z49" s="327"/>
      <c r="AA49" s="332">
        <f t="shared" si="45"/>
        <v>2</v>
      </c>
      <c r="AB49" s="333">
        <f t="shared" si="46"/>
        <v>1600</v>
      </c>
      <c r="AC49" s="328">
        <f t="shared" si="47"/>
        <v>2</v>
      </c>
      <c r="AD49" s="334">
        <f t="shared" si="57"/>
        <v>1600</v>
      </c>
      <c r="AE49" s="334">
        <f>$AB49*(1-INDEX(项目参数!$D$5:$D$14,MATCH(服务费底表!$S49,项目参数!$B$5:$B$14,0)))</f>
        <v>1600</v>
      </c>
      <c r="AF49" s="334">
        <f>$AD49*INDEX(项目参数!$D$5:$D$14,MATCH(服务费底表!$S49,项目参数!$B$5:$B$14,0))</f>
        <v>0</v>
      </c>
      <c r="AG49" s="334">
        <f t="shared" si="58"/>
        <v>1600</v>
      </c>
      <c r="AH49" s="328"/>
      <c r="AI49" s="328" t="s">
        <v>601</v>
      </c>
      <c r="AJ49" s="327">
        <v>2</v>
      </c>
      <c r="AK49" s="327">
        <v>2</v>
      </c>
      <c r="AL49" s="327">
        <v>2</v>
      </c>
      <c r="AM49" s="327">
        <v>2</v>
      </c>
      <c r="AN49" s="327">
        <v>2</v>
      </c>
      <c r="AO49" s="327">
        <v>2</v>
      </c>
      <c r="AP49" s="327">
        <v>2</v>
      </c>
      <c r="AQ49" s="327">
        <f t="shared" si="56"/>
        <v>3</v>
      </c>
      <c r="AR49" s="338"/>
      <c r="AS49" s="327">
        <f t="shared" si="49"/>
        <v>2</v>
      </c>
      <c r="AT49" s="327">
        <f t="shared" si="50"/>
        <v>2</v>
      </c>
      <c r="AU49" s="523">
        <v>2</v>
      </c>
      <c r="AV49" s="328"/>
      <c r="AW49" s="328"/>
      <c r="AX49" s="332">
        <v>2</v>
      </c>
      <c r="AY49" s="328" t="b">
        <f t="shared" si="51"/>
        <v>1</v>
      </c>
      <c r="AZ49" s="328" t="b">
        <f t="shared" si="4"/>
        <v>1</v>
      </c>
    </row>
    <row r="50" ht="27" customHeight="1" spans="1:52">
      <c r="A50" s="326" t="str">
        <f>INDEX('Rate Card'!$A:$A,MATCH(服务费底表!$T50,'Rate Card'!$F:$F,0))</f>
        <v>医学</v>
      </c>
      <c r="B50" s="327" t="str">
        <f>INDEX(二三级标准!$G:$G,MATCH(服务费底表!$K50,二三级标准!B:B,0))</f>
        <v>次</v>
      </c>
      <c r="C50" s="327">
        <f>INDEX(服务费明细!$E:$E,MATCH(服务费底表!$K50,服务费明细!$B:$B,0))</f>
        <v>1</v>
      </c>
      <c r="D50" s="327" t="str">
        <f t="shared" ref="D50:D57" si="59">K50&amp;T50</f>
        <v>A008MM</v>
      </c>
      <c r="E50" s="327" t="str">
        <f t="shared" ref="E50:E57" si="60">M50&amp;T50</f>
        <v>T0026MM</v>
      </c>
      <c r="F50" s="328"/>
      <c r="G50" s="328" t="s">
        <v>684</v>
      </c>
      <c r="H50" s="326" t="str">
        <f>INDEX('Rate Card'!$B:$B,MATCH(服务费底表!$T50,'Rate Card'!$F:$F,0))</f>
        <v>医学</v>
      </c>
      <c r="I50" s="328" t="s">
        <v>917</v>
      </c>
      <c r="J50" s="328" t="str">
        <f>INDEX(二三级标准!$Q:$Q,MATCH(服务费底表!I50,二三级标准!$O:$O,0))</f>
        <v>试验准备</v>
      </c>
      <c r="K50" s="328" t="s">
        <v>110</v>
      </c>
      <c r="L50" s="328" t="str">
        <f>INDEX(二三级标准!C:C,MATCH(服务费底表!K50,二三级标准!$B:$B,0))</f>
        <v>召开客户启动会</v>
      </c>
      <c r="M50" s="328" t="s">
        <v>1203</v>
      </c>
      <c r="N50" s="328" t="str">
        <f>INDEX(二三级标准!$M:$M,MATCH(服务费底表!$M50,二三级标准!$L:$L,0))</f>
        <v>参加客户启动会</v>
      </c>
      <c r="O50" s="328"/>
      <c r="P50" s="327">
        <f>IF(R50=1,INDEX(服务费明细!$E:$E,MATCH(服务费底表!$K50,服务费明细!$B:$B,0)),0)</f>
        <v>1</v>
      </c>
      <c r="Q50" s="328" t="s">
        <v>1178</v>
      </c>
      <c r="R50" s="520">
        <f>IF(AND(召开客户启动会YN=1,医学监查YN=1),1,0)</f>
        <v>1</v>
      </c>
      <c r="S50" s="521" t="str">
        <f>IF(AND(H50="医学",OR(I50=二三级标准!$A$4,I50=二三级标准!$A$153)),"医学撰写","医学监查")</f>
        <v>医学监查</v>
      </c>
      <c r="T50" s="328" t="s">
        <v>615</v>
      </c>
      <c r="U50" s="522" t="str">
        <f>INDEX('Rate Card'!$E:$E,MATCH(服务费底表!$T50,'Rate Card'!$F:$F,0))</f>
        <v>医学经理</v>
      </c>
      <c r="V50" s="331">
        <f>INDEX('Rate Card'!$J:$J,MATCH($T50,'Rate Card'!$F:$F,0))</f>
        <v>650</v>
      </c>
      <c r="W50" s="523">
        <f t="shared" ref="W50:W57" si="61">V50*(1-$W$1)</f>
        <v>650</v>
      </c>
      <c r="X50" s="523">
        <f t="shared" ref="X50:X57" si="62">Y50*$X$1</f>
        <v>2</v>
      </c>
      <c r="Y50" s="327" cm="1">
        <f t="array" ref="Y50">_xlfn.IFS(报价场景=服务费底表!$AJ$2,服务费底表!$AJ50,报价场景=服务费底表!$AP$2,服务费底表!$AP50,报价场景=服务费底表!$AK$2,服务费底表!$AK50,报价场景=服务费底表!$AL$2,服务费底表!$AL50,报价场景=服务费底表!$AM$2,服务费底表!$AM50,报价场景=服务费底表!$AN$2,服务费底表!$AN50,报价场景=服务费底表!$AQ$2,服务费底表!$AQ50,报价场景=服务费底表!$AO$2,服务费底表!$AO50)</f>
        <v>2</v>
      </c>
      <c r="Z50" s="327"/>
      <c r="AA50" s="332">
        <f t="shared" ref="AA50:AA57" si="63">IF(ISBLANK($Z50),$Y50,$Z50)</f>
        <v>2</v>
      </c>
      <c r="AB50" s="333">
        <f t="shared" ref="AB50:AB57" si="64">IFERROR(AD50/P50,0)</f>
        <v>1300</v>
      </c>
      <c r="AC50" s="328">
        <f t="shared" ref="AC50:AC57" si="65">AA50*P50*R50</f>
        <v>2</v>
      </c>
      <c r="AD50" s="334">
        <f t="shared" ref="AD50:AD57" si="66">AC50*V50</f>
        <v>1300</v>
      </c>
      <c r="AE50" s="334">
        <f>$AB50*(1-INDEX(项目参数!$D$5:$D$14,MATCH(服务费底表!$S50,项目参数!$B$5:$B$14,0)))</f>
        <v>1300</v>
      </c>
      <c r="AF50" s="334">
        <f>$AD50*INDEX(项目参数!$D$5:$D$14,MATCH(服务费底表!$S50,项目参数!$B$5:$B$14,0))</f>
        <v>0</v>
      </c>
      <c r="AG50" s="334">
        <f t="shared" si="58"/>
        <v>1300</v>
      </c>
      <c r="AH50" s="328"/>
      <c r="AI50" s="328" t="s">
        <v>615</v>
      </c>
      <c r="AJ50" s="327">
        <v>2</v>
      </c>
      <c r="AK50" s="327">
        <v>2</v>
      </c>
      <c r="AL50" s="327">
        <v>2</v>
      </c>
      <c r="AM50" s="327">
        <v>2</v>
      </c>
      <c r="AN50" s="327">
        <v>2</v>
      </c>
      <c r="AO50" s="327">
        <v>2</v>
      </c>
      <c r="AP50" s="327">
        <v>2</v>
      </c>
      <c r="AQ50" s="327">
        <f t="shared" ref="AQ50:AQ57" si="67">AJ50*$AQ$1</f>
        <v>3</v>
      </c>
      <c r="AR50" s="338"/>
      <c r="AS50" s="327">
        <f t="shared" ref="AS50:AS57" si="68">AC50</f>
        <v>2</v>
      </c>
      <c r="AT50" s="327">
        <f t="shared" ref="AT50:AT57" si="69">Y50*P50</f>
        <v>2</v>
      </c>
      <c r="AU50" s="523">
        <v>2</v>
      </c>
      <c r="AV50" s="328"/>
      <c r="AW50" s="328"/>
      <c r="AX50" s="332">
        <v>2</v>
      </c>
      <c r="AY50" s="328" t="b">
        <f t="shared" si="51"/>
        <v>1</v>
      </c>
      <c r="AZ50" s="328" t="b">
        <f t="shared" si="4"/>
        <v>1</v>
      </c>
    </row>
    <row r="51" ht="27" customHeight="1" spans="1:52">
      <c r="A51" s="326" t="str">
        <f>INDEX('Rate Card'!$A:$A,MATCH(服务费底表!$T51,'Rate Card'!$F:$F,0))</f>
        <v>数统</v>
      </c>
      <c r="B51" s="327" t="str">
        <f>INDEX(二三级标准!$G:$G,MATCH(服务费底表!$K51,二三级标准!B:B,0))</f>
        <v>次</v>
      </c>
      <c r="C51" s="327">
        <f>INDEX(服务费明细!$E:$E,MATCH(服务费底表!$K51,服务费明细!$B:$B,0))</f>
        <v>1</v>
      </c>
      <c r="D51" s="327" t="str">
        <f t="shared" si="59"/>
        <v>A008LDM</v>
      </c>
      <c r="E51" s="327" t="str">
        <f t="shared" si="60"/>
        <v>T0026LDM</v>
      </c>
      <c r="F51" s="328"/>
      <c r="G51" s="328" t="s">
        <v>684</v>
      </c>
      <c r="H51" s="326" t="str">
        <f>INDEX('Rate Card'!$B:$B,MATCH(服务费底表!$T51,'Rate Card'!$F:$F,0))</f>
        <v>数据管理</v>
      </c>
      <c r="I51" s="328" t="s">
        <v>917</v>
      </c>
      <c r="J51" s="328" t="str">
        <f>INDEX(二三级标准!$Q:$Q,MATCH(服务费底表!I51,二三级标准!$O:$O,0))</f>
        <v>试验准备</v>
      </c>
      <c r="K51" s="328" t="s">
        <v>110</v>
      </c>
      <c r="L51" s="328" t="str">
        <f>INDEX(二三级标准!C:C,MATCH(服务费底表!K51,二三级标准!$B:$B,0))</f>
        <v>召开客户启动会</v>
      </c>
      <c r="M51" s="328" t="s">
        <v>1203</v>
      </c>
      <c r="N51" s="328" t="str">
        <f>INDEX(二三级标准!$M:$M,MATCH(服务费底表!$M51,二三级标准!$L:$L,0))</f>
        <v>参加客户启动会</v>
      </c>
      <c r="O51" s="526"/>
      <c r="P51" s="327">
        <f>IF(R51=1,INDEX(服务费明细!$E:$E,MATCH(服务费底表!$K51,服务费明细!$B:$B,0)),0)</f>
        <v>1</v>
      </c>
      <c r="Q51" s="328" t="s">
        <v>1178</v>
      </c>
      <c r="R51" s="520">
        <f>IF(AND(召开客户启动会YN=1,数据管理YN=1),1,0)</f>
        <v>1</v>
      </c>
      <c r="S51" s="524" t="str">
        <f>INDEX('Rate Card'!$D:$D,MATCH(服务费底表!$T51,'Rate Card'!F:F,0))</f>
        <v>数据管理</v>
      </c>
      <c r="T51" s="328" t="s">
        <v>633</v>
      </c>
      <c r="U51" s="522" t="str">
        <f>INDEX('Rate Card'!$E:$E,MATCH(服务费底表!$T51,'Rate Card'!$F:$F,0))</f>
        <v>数据管理经理</v>
      </c>
      <c r="V51" s="331">
        <f>INDEX('Rate Card'!$J:$J,MATCH($T51,'Rate Card'!$F:$F,0))</f>
        <v>360</v>
      </c>
      <c r="W51" s="523">
        <f t="shared" si="61"/>
        <v>360</v>
      </c>
      <c r="X51" s="523">
        <f t="shared" si="62"/>
        <v>2</v>
      </c>
      <c r="Y51" s="327" cm="1">
        <f t="array" ref="Y51">_xlfn.IFS(报价场景=服务费底表!$AJ$2,服务费底表!$AJ51,报价场景=服务费底表!$AP$2,服务费底表!$AP51,报价场景=服务费底表!$AK$2,服务费底表!$AK51,报价场景=服务费底表!$AL$2,服务费底表!$AL51,报价场景=服务费底表!$AM$2,服务费底表!$AM51,报价场景=服务费底表!$AN$2,服务费底表!$AN51,报价场景=服务费底表!$AQ$2,服务费底表!$AQ51,报价场景=服务费底表!$AO$2,服务费底表!$AO51)</f>
        <v>2</v>
      </c>
      <c r="Z51" s="327"/>
      <c r="AA51" s="332">
        <f t="shared" si="63"/>
        <v>2</v>
      </c>
      <c r="AB51" s="333">
        <f t="shared" si="64"/>
        <v>720</v>
      </c>
      <c r="AC51" s="328">
        <f t="shared" si="65"/>
        <v>2</v>
      </c>
      <c r="AD51" s="334">
        <f t="shared" si="66"/>
        <v>720</v>
      </c>
      <c r="AE51" s="334">
        <f>$AB51*(1-INDEX(项目参数!$D$5:$D$14,MATCH(服务费底表!$S51,项目参数!$B$5:$B$14,0)))</f>
        <v>720</v>
      </c>
      <c r="AF51" s="334">
        <f>$AD51*INDEX(项目参数!$D$5:$D$14,MATCH(服务费底表!$S51,项目参数!$B$5:$B$14,0))</f>
        <v>0</v>
      </c>
      <c r="AG51" s="334">
        <f t="shared" ref="AG51:AG58" si="70">AD51-AF51</f>
        <v>720</v>
      </c>
      <c r="AH51" s="328"/>
      <c r="AI51" s="328" t="s">
        <v>633</v>
      </c>
      <c r="AJ51" s="327">
        <v>2</v>
      </c>
      <c r="AK51" s="327">
        <v>2</v>
      </c>
      <c r="AL51" s="327">
        <v>2</v>
      </c>
      <c r="AM51" s="327">
        <v>2</v>
      </c>
      <c r="AN51" s="327">
        <v>2</v>
      </c>
      <c r="AO51" s="327">
        <v>2</v>
      </c>
      <c r="AP51" s="327">
        <v>2</v>
      </c>
      <c r="AQ51" s="327">
        <f t="shared" si="67"/>
        <v>3</v>
      </c>
      <c r="AR51" s="338"/>
      <c r="AS51" s="327">
        <f t="shared" si="68"/>
        <v>2</v>
      </c>
      <c r="AT51" s="327">
        <f t="shared" si="69"/>
        <v>2</v>
      </c>
      <c r="AU51" s="523">
        <v>2</v>
      </c>
      <c r="AV51" s="328"/>
      <c r="AW51" s="328"/>
      <c r="AX51" s="332">
        <v>2</v>
      </c>
      <c r="AY51" s="328" t="b">
        <f t="shared" si="51"/>
        <v>1</v>
      </c>
      <c r="AZ51" s="328" t="b">
        <f t="shared" si="4"/>
        <v>1</v>
      </c>
    </row>
    <row r="52" ht="27" customHeight="1" spans="1:52">
      <c r="A52" s="326" t="str">
        <f>INDEX('Rate Card'!$A:$A,MATCH(服务费底表!$T52,'Rate Card'!$F:$F,0))</f>
        <v>数统</v>
      </c>
      <c r="B52" s="327" t="str">
        <f>INDEX(二三级标准!$G:$G,MATCH(服务费底表!$K52,二三级标准!B:B,0))</f>
        <v>次</v>
      </c>
      <c r="C52" s="327">
        <f>INDEX(服务费明细!$E:$E,MATCH(服务费底表!$K52,服务费明细!$B:$B,0))</f>
        <v>1</v>
      </c>
      <c r="D52" s="327" t="str">
        <f t="shared" si="59"/>
        <v>A008ST</v>
      </c>
      <c r="E52" s="327" t="str">
        <f t="shared" si="60"/>
        <v>T0026ST</v>
      </c>
      <c r="F52" s="328"/>
      <c r="G52" s="328" t="s">
        <v>684</v>
      </c>
      <c r="H52" s="326" t="str">
        <f>INDEX('Rate Card'!$B:$B,MATCH(服务费底表!$T52,'Rate Card'!$F:$F,0))</f>
        <v>生物统计及分析</v>
      </c>
      <c r="I52" s="328" t="s">
        <v>917</v>
      </c>
      <c r="J52" s="328" t="str">
        <f>INDEX(二三级标准!$Q:$Q,MATCH(服务费底表!I52,二三级标准!$O:$O,0))</f>
        <v>试验准备</v>
      </c>
      <c r="K52" s="328" t="s">
        <v>110</v>
      </c>
      <c r="L52" s="328" t="str">
        <f>INDEX(二三级标准!C:C,MATCH(服务费底表!K52,二三级标准!$B:$B,0))</f>
        <v>召开客户启动会</v>
      </c>
      <c r="M52" s="328" t="s">
        <v>1203</v>
      </c>
      <c r="N52" s="328" t="str">
        <f>INDEX(二三级标准!$M:$M,MATCH(服务费底表!$M52,二三级标准!$L:$L,0))</f>
        <v>参加客户启动会</v>
      </c>
      <c r="O52" s="527"/>
      <c r="P52" s="327">
        <f>IF(R52=1,INDEX(服务费明细!$E:$E,MATCH(服务费底表!$K52,服务费明细!$B:$B,0)),0)</f>
        <v>1</v>
      </c>
      <c r="Q52" s="328" t="s">
        <v>1178</v>
      </c>
      <c r="R52" s="520">
        <f>IF(AND(召开客户启动会YN=1,生物统计YN=1),1,0)</f>
        <v>1</v>
      </c>
      <c r="S52" s="524" t="str">
        <f>INDEX('Rate Card'!$D:$D,MATCH(服务费底表!$T52,'Rate Card'!F:F,0))</f>
        <v>生物统计</v>
      </c>
      <c r="T52" s="328" t="s">
        <v>639</v>
      </c>
      <c r="U52" s="522" t="str">
        <f>INDEX('Rate Card'!$E:$E,MATCH(服务费底表!$T52,'Rate Card'!$F:$F,0))</f>
        <v>生物统计师</v>
      </c>
      <c r="V52" s="331">
        <f>INDEX('Rate Card'!$J:$J,MATCH($T52,'Rate Card'!$F:$F,0))</f>
        <v>400</v>
      </c>
      <c r="W52" s="523">
        <f t="shared" si="61"/>
        <v>400</v>
      </c>
      <c r="X52" s="523">
        <f t="shared" si="62"/>
        <v>2</v>
      </c>
      <c r="Y52" s="327" cm="1">
        <f t="array" ref="Y52">_xlfn.IFS(报价场景=服务费底表!$AJ$2,服务费底表!$AJ52,报价场景=服务费底表!$AP$2,服务费底表!$AP52,报价场景=服务费底表!$AK$2,服务费底表!$AK52,报价场景=服务费底表!$AL$2,服务费底表!$AL52,报价场景=服务费底表!$AM$2,服务费底表!$AM52,报价场景=服务费底表!$AN$2,服务费底表!$AN52,报价场景=服务费底表!$AQ$2,服务费底表!$AQ52,报价场景=服务费底表!$AO$2,服务费底表!$AO52)</f>
        <v>2</v>
      </c>
      <c r="Z52" s="327"/>
      <c r="AA52" s="332">
        <f t="shared" si="63"/>
        <v>2</v>
      </c>
      <c r="AB52" s="333">
        <f t="shared" si="64"/>
        <v>800</v>
      </c>
      <c r="AC52" s="328">
        <f t="shared" si="65"/>
        <v>2</v>
      </c>
      <c r="AD52" s="334">
        <f t="shared" si="66"/>
        <v>800</v>
      </c>
      <c r="AE52" s="334">
        <f>$AB52*(1-INDEX(项目参数!$D$5:$D$14,MATCH(服务费底表!$S52,项目参数!$B$5:$B$14,0)))</f>
        <v>800</v>
      </c>
      <c r="AF52" s="334">
        <f>$AD52*INDEX(项目参数!$D$5:$D$14,MATCH(服务费底表!$S52,项目参数!$B$5:$B$14,0))</f>
        <v>0</v>
      </c>
      <c r="AG52" s="334">
        <f t="shared" si="70"/>
        <v>800</v>
      </c>
      <c r="AH52" s="328"/>
      <c r="AI52" s="328" t="s">
        <v>639</v>
      </c>
      <c r="AJ52" s="327">
        <v>2</v>
      </c>
      <c r="AK52" s="327">
        <v>2</v>
      </c>
      <c r="AL52" s="327">
        <v>2</v>
      </c>
      <c r="AM52" s="327">
        <v>2</v>
      </c>
      <c r="AN52" s="327">
        <v>2</v>
      </c>
      <c r="AO52" s="327">
        <v>2</v>
      </c>
      <c r="AP52" s="327">
        <v>2</v>
      </c>
      <c r="AQ52" s="327">
        <f t="shared" si="67"/>
        <v>3</v>
      </c>
      <c r="AR52" s="338"/>
      <c r="AS52" s="327">
        <f t="shared" si="68"/>
        <v>2</v>
      </c>
      <c r="AT52" s="327">
        <f t="shared" si="69"/>
        <v>2</v>
      </c>
      <c r="AU52" s="523">
        <v>2</v>
      </c>
      <c r="AV52" s="328"/>
      <c r="AW52" s="328"/>
      <c r="AX52" s="332">
        <v>2</v>
      </c>
      <c r="AY52" s="328" t="b">
        <f t="shared" si="51"/>
        <v>1</v>
      </c>
      <c r="AZ52" s="328" t="b">
        <f t="shared" si="4"/>
        <v>1</v>
      </c>
    </row>
    <row r="53" ht="27" customHeight="1" spans="1:52">
      <c r="A53" s="326" t="str">
        <f>INDEX('Rate Card'!$A:$A,MATCH(服务费底表!$T53,'Rate Card'!$F:$F,0))</f>
        <v>药物警戒</v>
      </c>
      <c r="B53" s="327" t="str">
        <f>INDEX(二三级标准!$G:$G,MATCH(服务费底表!$K53,二三级标准!B:B,0))</f>
        <v>次</v>
      </c>
      <c r="C53" s="327">
        <f>INDEX(服务费明细!$E:$E,MATCH(服务费底表!$K53,服务费明细!$B:$B,0))</f>
        <v>1</v>
      </c>
      <c r="D53" s="327" t="str">
        <f t="shared" si="59"/>
        <v>A008PVM</v>
      </c>
      <c r="E53" s="327" t="str">
        <f t="shared" si="60"/>
        <v>T0026PVM</v>
      </c>
      <c r="F53" s="328"/>
      <c r="G53" s="328" t="s">
        <v>684</v>
      </c>
      <c r="H53" s="326" t="str">
        <f>INDEX('Rate Card'!$B:$B,MATCH(服务费底表!$T53,'Rate Card'!$F:$F,0))</f>
        <v>药物警戒</v>
      </c>
      <c r="I53" s="328" t="s">
        <v>917</v>
      </c>
      <c r="J53" s="328" t="str">
        <f>INDEX(二三级标准!$Q:$Q,MATCH(服务费底表!I53,二三级标准!$O:$O,0))</f>
        <v>试验准备</v>
      </c>
      <c r="K53" s="328" t="s">
        <v>110</v>
      </c>
      <c r="L53" s="328" t="str">
        <f>INDEX(二三级标准!C:C,MATCH(服务费底表!K53,二三级标准!$B:$B,0))</f>
        <v>召开客户启动会</v>
      </c>
      <c r="M53" s="328" t="s">
        <v>1203</v>
      </c>
      <c r="N53" s="328" t="str">
        <f>INDEX(二三级标准!$M:$M,MATCH(服务费底表!$M53,二三级标准!$L:$L,0))</f>
        <v>参加客户启动会</v>
      </c>
      <c r="O53" s="328"/>
      <c r="P53" s="327">
        <f>IF(R53=1,INDEX(服务费明细!$E:$E,MATCH(服务费底表!$K53,服务费明细!$B:$B,0)),0)</f>
        <v>1</v>
      </c>
      <c r="Q53" s="328" t="s">
        <v>1178</v>
      </c>
      <c r="R53" s="520">
        <f>IF(AND(召开客户启动会YN=1,药物警戒YN=1),1,0)</f>
        <v>1</v>
      </c>
      <c r="S53" s="528" t="str">
        <f>INDEX('Rate Card'!$D:$D,MATCH(服务费底表!$T53,'Rate Card'!F:F,0))</f>
        <v>药物警戒</v>
      </c>
      <c r="T53" s="328" t="s">
        <v>620</v>
      </c>
      <c r="U53" s="522" t="str">
        <f>INDEX('Rate Card'!$E:$E,MATCH(服务费底表!$T53,'Rate Card'!$F:$F,0))</f>
        <v>药物警戒经理</v>
      </c>
      <c r="V53" s="331">
        <f>INDEX('Rate Card'!$J:$J,MATCH($T53,'Rate Card'!$F:$F,0))</f>
        <v>500</v>
      </c>
      <c r="W53" s="523">
        <f t="shared" si="61"/>
        <v>500</v>
      </c>
      <c r="X53" s="523">
        <f t="shared" si="62"/>
        <v>2</v>
      </c>
      <c r="Y53" s="327" cm="1">
        <f t="array" ref="Y53">_xlfn.IFS(报价场景=服务费底表!$AJ$2,服务费底表!$AJ53,报价场景=服务费底表!$AP$2,服务费底表!$AP53,报价场景=服务费底表!$AK$2,服务费底表!$AK53,报价场景=服务费底表!$AL$2,服务费底表!$AL53,报价场景=服务费底表!$AM$2,服务费底表!$AM53,报价场景=服务费底表!$AN$2,服务费底表!$AN53,报价场景=服务费底表!$AQ$2,服务费底表!$AQ53,报价场景=服务费底表!$AO$2,服务费底表!$AO53)</f>
        <v>2</v>
      </c>
      <c r="Z53" s="327"/>
      <c r="AA53" s="332">
        <f t="shared" si="63"/>
        <v>2</v>
      </c>
      <c r="AB53" s="333">
        <f t="shared" si="64"/>
        <v>1000</v>
      </c>
      <c r="AC53" s="328">
        <f t="shared" si="65"/>
        <v>2</v>
      </c>
      <c r="AD53" s="334">
        <f t="shared" si="66"/>
        <v>1000</v>
      </c>
      <c r="AE53" s="334">
        <f>$AB53*(1-INDEX(项目参数!$D$5:$D$14,MATCH(服务费底表!$S53,项目参数!$B$5:$B$14,0)))</f>
        <v>1000</v>
      </c>
      <c r="AF53" s="334">
        <f>$AD53*INDEX(项目参数!$D$5:$D$14,MATCH(服务费底表!$S53,项目参数!$B$5:$B$14,0))</f>
        <v>0</v>
      </c>
      <c r="AG53" s="334">
        <f t="shared" si="70"/>
        <v>1000</v>
      </c>
      <c r="AH53" s="328"/>
      <c r="AI53" s="328" t="s">
        <v>620</v>
      </c>
      <c r="AJ53" s="327">
        <v>2</v>
      </c>
      <c r="AK53" s="327">
        <v>2</v>
      </c>
      <c r="AL53" s="327">
        <v>2</v>
      </c>
      <c r="AM53" s="327">
        <v>2</v>
      </c>
      <c r="AN53" s="327">
        <v>2</v>
      </c>
      <c r="AO53" s="327">
        <v>2</v>
      </c>
      <c r="AP53" s="327">
        <v>2</v>
      </c>
      <c r="AQ53" s="327">
        <f t="shared" si="67"/>
        <v>3</v>
      </c>
      <c r="AR53" s="338"/>
      <c r="AS53" s="327">
        <f t="shared" si="68"/>
        <v>2</v>
      </c>
      <c r="AT53" s="327">
        <f t="shared" si="69"/>
        <v>2</v>
      </c>
      <c r="AU53" s="523">
        <v>2</v>
      </c>
      <c r="AV53" s="328"/>
      <c r="AW53" s="328"/>
      <c r="AX53" s="332">
        <v>2</v>
      </c>
      <c r="AY53" s="328" t="b">
        <f t="shared" si="51"/>
        <v>1</v>
      </c>
      <c r="AZ53" s="328" t="b">
        <f t="shared" si="4"/>
        <v>1</v>
      </c>
    </row>
    <row r="54" ht="27" customHeight="1" spans="1:52">
      <c r="A54" s="326" t="str">
        <f>INDEX('Rate Card'!$A:$A,MATCH(服务费底表!$T54,'Rate Card'!$F:$F,0))</f>
        <v>临床药理</v>
      </c>
      <c r="B54" s="327" t="str">
        <f>INDEX(二三级标准!$G:$G,MATCH(服务费底表!$K54,二三级标准!B:B,0))</f>
        <v>次</v>
      </c>
      <c r="C54" s="327">
        <f>INDEX(服务费明细!$E:$E,MATCH(服务费底表!$K54,服务费明细!$B:$B,0))</f>
        <v>1</v>
      </c>
      <c r="D54" s="529" t="str">
        <f t="shared" si="59"/>
        <v>A008CPSS</v>
      </c>
      <c r="E54" s="327" t="str">
        <f t="shared" si="60"/>
        <v>T0026CPSS</v>
      </c>
      <c r="F54" s="328"/>
      <c r="G54" s="328" t="s">
        <v>684</v>
      </c>
      <c r="H54" s="326" t="str">
        <f>INDEX('Rate Card'!$B:$B,MATCH(服务费底表!$T54,'Rate Card'!$F:$F,0))</f>
        <v>临床药理</v>
      </c>
      <c r="I54" s="328" t="s">
        <v>917</v>
      </c>
      <c r="J54" s="328" t="str">
        <f>INDEX(二三级标准!$Q:$Q,MATCH(服务费底表!I54,二三级标准!$O:$O,0))</f>
        <v>试验准备</v>
      </c>
      <c r="K54" s="328" t="s">
        <v>110</v>
      </c>
      <c r="L54" s="328" t="str">
        <f>INDEX(二三级标准!C:C,MATCH(服务费底表!K54,二三级标准!$B:$B,0))</f>
        <v>召开客户启动会</v>
      </c>
      <c r="M54" s="328" t="s">
        <v>1203</v>
      </c>
      <c r="N54" s="328" t="str">
        <f>INDEX(二三级标准!$M:$M,MATCH(服务费底表!$M54,二三级标准!$L:$L,0))</f>
        <v>参加客户启动会</v>
      </c>
      <c r="O54" s="530"/>
      <c r="P54" s="327">
        <f>IF(R54=1,INDEX(服务费明细!$E:$E,MATCH(服务费底表!$K54,服务费明细!$B:$B,0)),0)</f>
        <v>1</v>
      </c>
      <c r="Q54" s="328" t="s">
        <v>1178</v>
      </c>
      <c r="R54" s="520">
        <f>IF(AND(召开客户启动会YN=1,临床药理YN=1),1,0)</f>
        <v>1</v>
      </c>
      <c r="S54" s="328" t="str">
        <f>INDEX('Rate Card'!$D:$D,MATCH(服务费底表!$T54,'Rate Card'!F:F,0))</f>
        <v>临床药理</v>
      </c>
      <c r="T54" s="328" t="s">
        <v>654</v>
      </c>
      <c r="U54" s="522" t="str">
        <f>INDEX('Rate Card'!$E:$E,MATCH(服务费底表!$T54,'Rate Card'!$F:$F,0))</f>
        <v>临床药理高级专员</v>
      </c>
      <c r="V54" s="331">
        <f>INDEX('Rate Card'!$J:$J,MATCH($T54,'Rate Card'!$F:$F,0))</f>
        <v>700</v>
      </c>
      <c r="W54" s="523">
        <f t="shared" si="61"/>
        <v>700</v>
      </c>
      <c r="X54" s="523">
        <f t="shared" si="62"/>
        <v>2</v>
      </c>
      <c r="Y54" s="327" cm="1">
        <f t="array" ref="Y54">_xlfn.IFS(报价场景=服务费底表!$AJ$2,服务费底表!$AJ54,报价场景=服务费底表!$AP$2,服务费底表!$AP54,报价场景=服务费底表!$AK$2,服务费底表!$AK54,报价场景=服务费底表!$AL$2,服务费底表!$AL54,报价场景=服务费底表!$AM$2,服务费底表!$AM54,报价场景=服务费底表!$AN$2,服务费底表!$AN54,报价场景=服务费底表!$AQ$2,服务费底表!$AQ54,报价场景=服务费底表!$AO$2,服务费底表!$AO54)</f>
        <v>2</v>
      </c>
      <c r="Z54" s="327"/>
      <c r="AA54" s="332">
        <f t="shared" si="63"/>
        <v>2</v>
      </c>
      <c r="AB54" s="333">
        <f t="shared" si="64"/>
        <v>1400</v>
      </c>
      <c r="AC54" s="328">
        <f t="shared" si="65"/>
        <v>2</v>
      </c>
      <c r="AD54" s="334">
        <f t="shared" si="66"/>
        <v>1400</v>
      </c>
      <c r="AE54" s="334">
        <f>$AB54*(1-INDEX(项目参数!$D$5:$D$14,MATCH(服务费底表!$S54,项目参数!$B$5:$B$14,0)))</f>
        <v>1400</v>
      </c>
      <c r="AF54" s="334">
        <f>$AD54*INDEX(项目参数!$D$5:$D$14,MATCH(服务费底表!$S54,项目参数!$B$5:$B$14,0))</f>
        <v>0</v>
      </c>
      <c r="AG54" s="334">
        <f t="shared" si="70"/>
        <v>1400</v>
      </c>
      <c r="AH54" s="328"/>
      <c r="AI54" s="328" t="s">
        <v>654</v>
      </c>
      <c r="AJ54" s="327">
        <v>2</v>
      </c>
      <c r="AK54" s="327">
        <v>2</v>
      </c>
      <c r="AL54" s="327">
        <v>2</v>
      </c>
      <c r="AM54" s="327">
        <v>2</v>
      </c>
      <c r="AN54" s="327">
        <v>2</v>
      </c>
      <c r="AO54" s="327">
        <v>2</v>
      </c>
      <c r="AP54" s="327">
        <v>2</v>
      </c>
      <c r="AQ54" s="327">
        <f t="shared" si="67"/>
        <v>3</v>
      </c>
      <c r="AR54" s="338"/>
      <c r="AS54" s="327">
        <f t="shared" si="68"/>
        <v>2</v>
      </c>
      <c r="AT54" s="327">
        <f t="shared" si="69"/>
        <v>2</v>
      </c>
      <c r="AU54" s="523">
        <v>2</v>
      </c>
      <c r="AV54" s="328"/>
      <c r="AW54" s="328"/>
      <c r="AX54" s="332">
        <v>2</v>
      </c>
      <c r="AY54" s="328" t="b">
        <f t="shared" si="51"/>
        <v>1</v>
      </c>
      <c r="AZ54" s="328" t="b">
        <f t="shared" si="4"/>
        <v>1</v>
      </c>
    </row>
    <row r="55" ht="27" customHeight="1" spans="1:52">
      <c r="A55" s="326" t="str">
        <f>INDEX('Rate Card'!$A:$A,MATCH(服务费底表!$T55,'Rate Card'!$F:$F,0))</f>
        <v>医学</v>
      </c>
      <c r="B55" s="327" t="str">
        <f>INDEX(二三级标准!$G:$G,MATCH(服务费底表!$K55,二三级标准!B:B,0))</f>
        <v>次</v>
      </c>
      <c r="C55" s="327">
        <f>INDEX(服务费明细!$E:$E,MATCH(服务费底表!$K55,服务费明细!$B:$B,0))</f>
        <v>1</v>
      </c>
      <c r="D55" s="327" t="str">
        <f t="shared" si="59"/>
        <v>A285MM</v>
      </c>
      <c r="E55" s="327" t="str">
        <f t="shared" si="60"/>
        <v>T0808MM</v>
      </c>
      <c r="F55" s="328"/>
      <c r="G55" s="328" t="s">
        <v>684</v>
      </c>
      <c r="H55" s="326" t="str">
        <f>INDEX('Rate Card'!$B:$B,MATCH(服务费底表!$T55,'Rate Card'!$F:$F,0))</f>
        <v>医学</v>
      </c>
      <c r="I55" s="328" t="s">
        <v>917</v>
      </c>
      <c r="J55" s="328" t="str">
        <f>INDEX(二三级标准!$Q:$Q,MATCH(服务费底表!I55,二三级标准!$O:$O,0))</f>
        <v>试验准备</v>
      </c>
      <c r="K55" s="328" t="s">
        <v>988</v>
      </c>
      <c r="L55" s="328" t="str">
        <f>INDEX(二三级标准!C:C,MATCH(服务费底表!K55,二三级标准!$B:$B,0))</f>
        <v>协同拜访PI</v>
      </c>
      <c r="M55" s="328" t="s">
        <v>1204</v>
      </c>
      <c r="N55" s="328" t="str">
        <f>INDEX(二三级标准!$M:$M,MATCH(服务费底表!$M55,二三级标准!$L:$L,0))</f>
        <v>协同拜访PI</v>
      </c>
      <c r="O55" s="328"/>
      <c r="P55" s="327">
        <f>IF(R55=1,INDEX(服务费明细!$E:$E,MATCH(服务费底表!$K55,服务费明细!$B:$B,0)),0)</f>
        <v>1</v>
      </c>
      <c r="Q55" s="328" t="s">
        <v>1178</v>
      </c>
      <c r="R55" s="520">
        <f>IF(AND(YN协同拜访PI=1,医学监查YN=1),1,0)</f>
        <v>1</v>
      </c>
      <c r="S55" s="521" t="str">
        <f>IF(AND(H55="医学",OR(I55=二三级标准!$A$4,I55=二三级标准!$A$153)),"医学撰写","医学监查")</f>
        <v>医学监查</v>
      </c>
      <c r="T55" s="328" t="s">
        <v>615</v>
      </c>
      <c r="U55" s="522" t="str">
        <f>INDEX('Rate Card'!$E:$E,MATCH(服务费底表!$T55,'Rate Card'!$F:$F,0))</f>
        <v>医学经理</v>
      </c>
      <c r="V55" s="331">
        <f>INDEX('Rate Card'!$J:$J,MATCH($T55,'Rate Card'!$F:$F,0))</f>
        <v>650</v>
      </c>
      <c r="W55" s="523">
        <f t="shared" si="61"/>
        <v>650</v>
      </c>
      <c r="X55" s="523">
        <f t="shared" si="62"/>
        <v>8</v>
      </c>
      <c r="Y55" s="327" cm="1">
        <f t="array" ref="Y55">_xlfn.IFS(报价场景=服务费底表!$AJ$2,服务费底表!$AJ55,报价场景=服务费底表!$AP$2,服务费底表!$AP55,报价场景=服务费底表!$AK$2,服务费底表!$AK55,报价场景=服务费底表!$AL$2,服务费底表!$AL55,报价场景=服务费底表!$AM$2,服务费底表!$AM55,报价场景=服务费底表!$AN$2,服务费底表!$AN55,报价场景=服务费底表!$AQ$2,服务费底表!$AQ55,报价场景=服务费底表!$AO$2,服务费底表!$AO55)</f>
        <v>8</v>
      </c>
      <c r="Z55" s="327"/>
      <c r="AA55" s="332">
        <f t="shared" si="63"/>
        <v>8</v>
      </c>
      <c r="AB55" s="333">
        <f t="shared" si="64"/>
        <v>5200</v>
      </c>
      <c r="AC55" s="328">
        <f t="shared" si="65"/>
        <v>8</v>
      </c>
      <c r="AD55" s="334">
        <f t="shared" si="66"/>
        <v>5200</v>
      </c>
      <c r="AE55" s="334">
        <f>$AB55*(1-INDEX(项目参数!$D$5:$D$14,MATCH(服务费底表!$S55,项目参数!$B$5:$B$14,0)))</f>
        <v>5200</v>
      </c>
      <c r="AF55" s="334">
        <f>$AD55*INDEX(项目参数!$D$5:$D$14,MATCH(服务费底表!$S55,项目参数!$B$5:$B$14,0))</f>
        <v>0</v>
      </c>
      <c r="AG55" s="334">
        <f t="shared" si="70"/>
        <v>5200</v>
      </c>
      <c r="AH55" s="328"/>
      <c r="AI55" s="328" t="s">
        <v>615</v>
      </c>
      <c r="AJ55" s="327">
        <v>8</v>
      </c>
      <c r="AK55" s="327">
        <v>8</v>
      </c>
      <c r="AL55" s="327">
        <v>8</v>
      </c>
      <c r="AM55" s="327">
        <v>8</v>
      </c>
      <c r="AN55" s="327">
        <v>8</v>
      </c>
      <c r="AO55" s="327">
        <v>8</v>
      </c>
      <c r="AP55" s="327">
        <v>8</v>
      </c>
      <c r="AQ55" s="327">
        <f t="shared" si="67"/>
        <v>12</v>
      </c>
      <c r="AR55" s="338"/>
      <c r="AS55" s="327">
        <f t="shared" si="68"/>
        <v>8</v>
      </c>
      <c r="AT55" s="327">
        <f t="shared" si="69"/>
        <v>8</v>
      </c>
      <c r="AU55" s="523">
        <v>8</v>
      </c>
      <c r="AV55" s="328"/>
      <c r="AW55" s="328"/>
      <c r="AX55" s="332">
        <v>8</v>
      </c>
      <c r="AY55" s="328" t="b">
        <f t="shared" si="51"/>
        <v>1</v>
      </c>
      <c r="AZ55" s="328" t="b">
        <f t="shared" si="4"/>
        <v>0</v>
      </c>
    </row>
    <row r="56" ht="27" customHeight="1" spans="1:52">
      <c r="A56" s="326" t="str">
        <f>INDEX('Rate Card'!$A:$A,MATCH(服务费底表!$T56,'Rate Card'!$F:$F,0))</f>
        <v>医学</v>
      </c>
      <c r="B56" s="327" t="str">
        <f>INDEX(二三级标准!$G:$G,MATCH(服务费底表!$K56,二三级标准!B:B,0))</f>
        <v>次</v>
      </c>
      <c r="C56" s="327">
        <f>INDEX(服务费明细!$E:$E,MATCH(服务费底表!$K56,服务费明细!$B:$B,0))</f>
        <v>1</v>
      </c>
      <c r="D56" s="327" t="str">
        <f t="shared" si="59"/>
        <v>A285MM</v>
      </c>
      <c r="E56" s="327" t="str">
        <f t="shared" si="60"/>
        <v>T0809MM</v>
      </c>
      <c r="F56" s="328"/>
      <c r="G56" s="328" t="s">
        <v>684</v>
      </c>
      <c r="H56" s="326" t="str">
        <f>INDEX('Rate Card'!$B:$B,MATCH(服务费底表!$T56,'Rate Card'!$F:$F,0))</f>
        <v>医学</v>
      </c>
      <c r="I56" s="328" t="s">
        <v>917</v>
      </c>
      <c r="J56" s="328" t="str">
        <f>INDEX(二三级标准!$Q:$Q,MATCH(服务费底表!I56,二三级标准!$O:$O,0))</f>
        <v>试验准备</v>
      </c>
      <c r="K56" s="328" t="s">
        <v>988</v>
      </c>
      <c r="L56" s="328" t="str">
        <f>INDEX(二三级标准!C:C,MATCH(服务费底表!K56,二三级标准!$B:$B,0))</f>
        <v>协同拜访PI</v>
      </c>
      <c r="M56" s="328" t="s">
        <v>1205</v>
      </c>
      <c r="N56" s="328" t="str">
        <f>INDEX(二三级标准!$M:$M,MATCH(服务费底表!$M56,二三级标准!$L:$L,0))</f>
        <v>拜访PI资料的准备</v>
      </c>
      <c r="O56" s="328"/>
      <c r="P56" s="327">
        <f>IF(R56=1,INDEX(服务费明细!$E:$E,MATCH(服务费底表!$K56,服务费明细!$B:$B,0)),0)</f>
        <v>1</v>
      </c>
      <c r="Q56" s="328" t="s">
        <v>1178</v>
      </c>
      <c r="R56" s="520">
        <f>IF(AND(YN协同拜访PI=1,医学监查YN=1),1,0)</f>
        <v>1</v>
      </c>
      <c r="S56" s="521" t="str">
        <f>IF(AND(H56="医学",OR(I56=二三级标准!$A$4,I56=二三级标准!$A$153)),"医学撰写","医学监查")</f>
        <v>医学监查</v>
      </c>
      <c r="T56" s="328" t="s">
        <v>615</v>
      </c>
      <c r="U56" s="522" t="str">
        <f>INDEX('Rate Card'!$E:$E,MATCH(服务费底表!$T56,'Rate Card'!$F:$F,0))</f>
        <v>医学经理</v>
      </c>
      <c r="V56" s="331">
        <f>INDEX('Rate Card'!$J:$J,MATCH($T56,'Rate Card'!$F:$F,0))</f>
        <v>650</v>
      </c>
      <c r="W56" s="523">
        <f t="shared" si="61"/>
        <v>650</v>
      </c>
      <c r="X56" s="523">
        <f t="shared" si="62"/>
        <v>8</v>
      </c>
      <c r="Y56" s="327" cm="1">
        <f t="array" ref="Y56">_xlfn.IFS(报价场景=服务费底表!$AJ$2,服务费底表!$AJ56,报价场景=服务费底表!$AP$2,服务费底表!$AP56,报价场景=服务费底表!$AK$2,服务费底表!$AK56,报价场景=服务费底表!$AL$2,服务费底表!$AL56,报价场景=服务费底表!$AM$2,服务费底表!$AM56,报价场景=服务费底表!$AN$2,服务费底表!$AN56,报价场景=服务费底表!$AQ$2,服务费底表!$AQ56,报价场景=服务费底表!$AO$2,服务费底表!$AO56)</f>
        <v>8</v>
      </c>
      <c r="Z56" s="327"/>
      <c r="AA56" s="332">
        <f t="shared" si="63"/>
        <v>8</v>
      </c>
      <c r="AB56" s="333">
        <f t="shared" si="64"/>
        <v>5200</v>
      </c>
      <c r="AC56" s="328">
        <f t="shared" si="65"/>
        <v>8</v>
      </c>
      <c r="AD56" s="334">
        <f t="shared" si="66"/>
        <v>5200</v>
      </c>
      <c r="AE56" s="334">
        <f>$AB56*(1-INDEX(项目参数!$D$5:$D$14,MATCH(服务费底表!$S56,项目参数!$B$5:$B$14,0)))</f>
        <v>5200</v>
      </c>
      <c r="AF56" s="334">
        <f>$AD56*INDEX(项目参数!$D$5:$D$14,MATCH(服务费底表!$S56,项目参数!$B$5:$B$14,0))</f>
        <v>0</v>
      </c>
      <c r="AG56" s="334">
        <f t="shared" si="70"/>
        <v>5200</v>
      </c>
      <c r="AH56" s="328"/>
      <c r="AI56" s="328" t="s">
        <v>615</v>
      </c>
      <c r="AJ56" s="327">
        <v>8</v>
      </c>
      <c r="AK56" s="327">
        <v>8</v>
      </c>
      <c r="AL56" s="327">
        <v>8</v>
      </c>
      <c r="AM56" s="327">
        <v>8</v>
      </c>
      <c r="AN56" s="327">
        <v>8</v>
      </c>
      <c r="AO56" s="327">
        <v>8</v>
      </c>
      <c r="AP56" s="327">
        <v>8</v>
      </c>
      <c r="AQ56" s="327">
        <f t="shared" si="67"/>
        <v>12</v>
      </c>
      <c r="AR56" s="338"/>
      <c r="AS56" s="327">
        <f t="shared" si="68"/>
        <v>8</v>
      </c>
      <c r="AT56" s="327">
        <f t="shared" si="69"/>
        <v>8</v>
      </c>
      <c r="AU56" s="523">
        <v>8</v>
      </c>
      <c r="AV56" s="328"/>
      <c r="AW56" s="328"/>
      <c r="AX56" s="332">
        <v>8</v>
      </c>
      <c r="AY56" s="328" t="b">
        <f t="shared" si="51"/>
        <v>1</v>
      </c>
      <c r="AZ56" s="328" t="b">
        <f t="shared" si="4"/>
        <v>0</v>
      </c>
    </row>
    <row r="57" ht="27" customHeight="1" spans="1:52">
      <c r="A57" s="326" t="str">
        <f>INDEX('Rate Card'!$A:$A,MATCH(服务费底表!$T57,'Rate Card'!$F:$F,0))</f>
        <v>医学</v>
      </c>
      <c r="B57" s="327" t="str">
        <f>INDEX(二三级标准!$G:$G,MATCH(服务费底表!$K57,二三级标准!B:B,0))</f>
        <v>中心</v>
      </c>
      <c r="C57" s="327">
        <f>INDEX(服务费明细!$E:$E,MATCH(服务费底表!$K57,服务费明细!$B:$B,0))</f>
        <v>4</v>
      </c>
      <c r="D57" s="327" t="str">
        <f t="shared" si="59"/>
        <v>A287MM</v>
      </c>
      <c r="E57" s="327" t="str">
        <f t="shared" si="60"/>
        <v>T0811MM</v>
      </c>
      <c r="F57" s="328"/>
      <c r="G57" s="328" t="s">
        <v>684</v>
      </c>
      <c r="H57" s="326" t="str">
        <f>INDEX('Rate Card'!$B:$B,MATCH(服务费底表!$T57,'Rate Card'!$F:$F,0))</f>
        <v>医学</v>
      </c>
      <c r="I57" s="328" t="s">
        <v>917</v>
      </c>
      <c r="J57" s="328" t="str">
        <f>INDEX(二三级标准!$Q:$Q,MATCH(服务费底表!I57,二三级标准!$O:$O,0))</f>
        <v>试验准备</v>
      </c>
      <c r="K57" s="328" t="s">
        <v>990</v>
      </c>
      <c r="L57" s="328" t="str">
        <f>INDEX(二三级标准!C:C,MATCH(服务费底表!K57,二三级标准!$B:$B,0))</f>
        <v>研究中心伦理意见答复</v>
      </c>
      <c r="M57" s="328" t="s">
        <v>1206</v>
      </c>
      <c r="N57" s="328" t="str">
        <f>INDEX(二三级标准!$M:$M,MATCH(服务费底表!$M57,二三级标准!$L:$L,0))</f>
        <v>研究中心伦理意见答复</v>
      </c>
      <c r="O57" s="328"/>
      <c r="P57" s="327">
        <f>IF(R57=1,INDEX(服务费明细!$E:$E,MATCH(服务费底表!$K57,服务费明细!$B:$B,0)),0)</f>
        <v>4</v>
      </c>
      <c r="Q57" s="328" t="s">
        <v>1201</v>
      </c>
      <c r="R57" s="520">
        <f>IF(AND(研究中心伦理意见答复YN=1,医学监查YN=1),1,0)</f>
        <v>1</v>
      </c>
      <c r="S57" s="521" t="str">
        <f>IF(AND(H57="医学",OR(I57=二三级标准!$A$4,I57=二三级标准!$A$153)),"医学撰写","医学监查")</f>
        <v>医学监查</v>
      </c>
      <c r="T57" s="328" t="s">
        <v>615</v>
      </c>
      <c r="U57" s="522" t="str">
        <f>INDEX('Rate Card'!$E:$E,MATCH(服务费底表!$T57,'Rate Card'!$F:$F,0))</f>
        <v>医学经理</v>
      </c>
      <c r="V57" s="331">
        <f>INDEX('Rate Card'!$J:$J,MATCH($T57,'Rate Card'!$F:$F,0))</f>
        <v>650</v>
      </c>
      <c r="W57" s="523">
        <f t="shared" si="61"/>
        <v>650</v>
      </c>
      <c r="X57" s="523">
        <f t="shared" si="62"/>
        <v>1</v>
      </c>
      <c r="Y57" s="327" cm="1">
        <f t="array" ref="Y57">_xlfn.IFS(报价场景=服务费底表!$AJ$2,服务费底表!$AJ57,报价场景=服务费底表!$AP$2,服务费底表!$AP57,报价场景=服务费底表!$AK$2,服务费底表!$AK57,报价场景=服务费底表!$AL$2,服务费底表!$AL57,报价场景=服务费底表!$AM$2,服务费底表!$AM57,报价场景=服务费底表!$AN$2,服务费底表!$AN57,报价场景=服务费底表!$AQ$2,服务费底表!$AQ57,报价场景=服务费底表!$AO$2,服务费底表!$AO57)</f>
        <v>1</v>
      </c>
      <c r="Z57" s="327"/>
      <c r="AA57" s="332">
        <f t="shared" si="63"/>
        <v>1</v>
      </c>
      <c r="AB57" s="333">
        <f t="shared" si="64"/>
        <v>650</v>
      </c>
      <c r="AC57" s="328">
        <f t="shared" si="65"/>
        <v>4</v>
      </c>
      <c r="AD57" s="334">
        <f t="shared" si="66"/>
        <v>2600</v>
      </c>
      <c r="AE57" s="334">
        <f>$AB57*(1-INDEX(项目参数!$D$5:$D$14,MATCH(服务费底表!$S57,项目参数!$B$5:$B$14,0)))</f>
        <v>650</v>
      </c>
      <c r="AF57" s="334">
        <f>$AD57*INDEX(项目参数!$D$5:$D$14,MATCH(服务费底表!$S57,项目参数!$B$5:$B$14,0))</f>
        <v>0</v>
      </c>
      <c r="AG57" s="334">
        <f t="shared" si="70"/>
        <v>2600</v>
      </c>
      <c r="AH57" s="328"/>
      <c r="AI57" s="328" t="s">
        <v>615</v>
      </c>
      <c r="AJ57" s="327">
        <v>1</v>
      </c>
      <c r="AK57" s="327">
        <v>1</v>
      </c>
      <c r="AL57" s="327">
        <v>1</v>
      </c>
      <c r="AM57" s="327">
        <v>1</v>
      </c>
      <c r="AN57" s="327">
        <v>1</v>
      </c>
      <c r="AO57" s="327">
        <v>1</v>
      </c>
      <c r="AP57" s="327">
        <v>1</v>
      </c>
      <c r="AQ57" s="327">
        <f t="shared" si="67"/>
        <v>1.5</v>
      </c>
      <c r="AR57" s="338"/>
      <c r="AS57" s="327">
        <f t="shared" si="68"/>
        <v>4</v>
      </c>
      <c r="AT57" s="327">
        <f t="shared" si="69"/>
        <v>4</v>
      </c>
      <c r="AU57" s="523">
        <v>1</v>
      </c>
      <c r="AV57" s="328"/>
      <c r="AW57" s="328"/>
      <c r="AX57" s="332">
        <v>1</v>
      </c>
      <c r="AY57" s="328" t="b">
        <f t="shared" si="51"/>
        <v>1</v>
      </c>
      <c r="AZ57" s="328" t="b">
        <f t="shared" si="4"/>
        <v>1</v>
      </c>
    </row>
    <row r="58" ht="27" customHeight="1" spans="1:52">
      <c r="A58" s="326" t="str">
        <f>INDEX('Rate Card'!$A:$A,MATCH(服务费底表!$T58,'Rate Card'!$F:$F,0))</f>
        <v>医学</v>
      </c>
      <c r="B58" s="327" t="str">
        <f>INDEX(二三级标准!$G:$G,MATCH(服务费底表!$K58,二三级标准!B:B,0))</f>
        <v>次</v>
      </c>
      <c r="C58" s="327">
        <f>INDEX(服务费明细!$E:$E,MATCH(服务费底表!$K58,服务费明细!$B:$B,0))</f>
        <v>1</v>
      </c>
      <c r="D58" s="327" t="str">
        <f t="shared" ref="D58:D80" si="71">K58&amp;T58</f>
        <v>A009MM</v>
      </c>
      <c r="E58" s="327" t="str">
        <f t="shared" ref="E58:E80" si="72">M58&amp;T58</f>
        <v>T0027MM</v>
      </c>
      <c r="F58" s="328"/>
      <c r="G58" s="328" t="s">
        <v>684</v>
      </c>
      <c r="H58" s="326" t="str">
        <f>INDEX('Rate Card'!$B:$B,MATCH(服务费底表!$T58,'Rate Card'!$F:$F,0))</f>
        <v>医学</v>
      </c>
      <c r="I58" s="328" t="s">
        <v>917</v>
      </c>
      <c r="J58" s="328" t="str">
        <f>INDEX(二三级标准!$Q:$Q,MATCH(服务费底表!I58,二三级标准!$O:$O,0))</f>
        <v>试验准备</v>
      </c>
      <c r="K58" s="328" t="s">
        <v>113</v>
      </c>
      <c r="L58" s="328" t="str">
        <f>INDEX(二三级标准!C:C,MATCH(服务费底表!K58,二三级标准!$B:$B,0))</f>
        <v>方案培训</v>
      </c>
      <c r="M58" s="328" t="s">
        <v>1207</v>
      </c>
      <c r="N58" s="328" t="str">
        <f>INDEX(二三级标准!$M:$M,MATCH(服务费底表!$M58,二三级标准!$L:$L,0))</f>
        <v>准备方案培训</v>
      </c>
      <c r="O58" s="328"/>
      <c r="P58" s="327">
        <f>IF(R58=1,INDEX(服务费明细!$E:$E,MATCH(服务费底表!$K58,服务费明细!$B:$B,0)),0)</f>
        <v>1</v>
      </c>
      <c r="Q58" s="328" t="s">
        <v>1178</v>
      </c>
      <c r="R58" s="520">
        <f>IF(AND(方案培训YN=1,医学监查YN=1),1,0)</f>
        <v>1</v>
      </c>
      <c r="S58" s="521" t="str">
        <f>IF(AND(H58="医学",OR(I58=二三级标准!$A$4,I58=二三级标准!$A$153)),"医学撰写","医学监查")</f>
        <v>医学监查</v>
      </c>
      <c r="T58" s="328" t="s">
        <v>615</v>
      </c>
      <c r="U58" s="522" t="str">
        <f>INDEX('Rate Card'!$E:$E,MATCH(服务费底表!$T58,'Rate Card'!$F:$F,0))</f>
        <v>医学经理</v>
      </c>
      <c r="V58" s="331">
        <f>INDEX('Rate Card'!$J:$J,MATCH($T58,'Rate Card'!$F:$F,0))</f>
        <v>650</v>
      </c>
      <c r="W58" s="523">
        <f t="shared" ref="W58:W98" si="73">V58*(1-$W$1)</f>
        <v>650</v>
      </c>
      <c r="X58" s="523">
        <f t="shared" ref="X58:X98" si="74">Y58*$X$1</f>
        <v>6</v>
      </c>
      <c r="Y58" s="327" cm="1">
        <f t="array" ref="Y58">_xlfn.IFS(报价场景=服务费底表!$AJ$2,服务费底表!$AJ58,报价场景=服务费底表!$AP$2,服务费底表!$AP58,报价场景=服务费底表!$AK$2,服务费底表!$AK58,报价场景=服务费底表!$AL$2,服务费底表!$AL58,报价场景=服务费底表!$AM$2,服务费底表!$AM58,报价场景=服务费底表!$AN$2,服务费底表!$AN58,报价场景=服务费底表!$AQ$2,服务费底表!$AQ58,报价场景=服务费底表!$AO$2,服务费底表!$AO58)</f>
        <v>6</v>
      </c>
      <c r="Z58" s="327"/>
      <c r="AA58" s="332">
        <f t="shared" ref="AA58:AA98" si="75">IF(ISBLANK($Z58),$Y58,$Z58)</f>
        <v>6</v>
      </c>
      <c r="AB58" s="333">
        <f t="shared" ref="AB58:AB80" si="76">IFERROR(AD58/P58,0)</f>
        <v>3900</v>
      </c>
      <c r="AC58" s="328">
        <f t="shared" ref="AC58:AC80" si="77">AA58*P58*R58</f>
        <v>6</v>
      </c>
      <c r="AD58" s="334">
        <f t="shared" ref="AD58:AD80" si="78">AC58*V58</f>
        <v>3900</v>
      </c>
      <c r="AE58" s="334">
        <f>$AB58*(1-INDEX(项目参数!$D$5:$D$14,MATCH(服务费底表!$S58,项目参数!$B$5:$B$14,0)))</f>
        <v>3900</v>
      </c>
      <c r="AF58" s="334">
        <f>$AD58*INDEX(项目参数!$D$5:$D$14,MATCH(服务费底表!$S58,项目参数!$B$5:$B$14,0))</f>
        <v>0</v>
      </c>
      <c r="AG58" s="334">
        <f t="shared" si="70"/>
        <v>3900</v>
      </c>
      <c r="AH58" s="328"/>
      <c r="AI58" s="328" t="s">
        <v>615</v>
      </c>
      <c r="AJ58" s="327">
        <v>6</v>
      </c>
      <c r="AK58" s="327">
        <v>8</v>
      </c>
      <c r="AL58" s="336">
        <f>AM58</f>
        <v>4</v>
      </c>
      <c r="AM58" s="327">
        <v>4</v>
      </c>
      <c r="AN58" s="327">
        <f t="shared" ref="AN58:AN60" si="79">AL58</f>
        <v>4</v>
      </c>
      <c r="AO58" s="327">
        <f>AL58</f>
        <v>4</v>
      </c>
      <c r="AP58" s="327">
        <v>6</v>
      </c>
      <c r="AQ58" s="327">
        <f t="shared" ref="AQ58:AQ98" si="80">AJ58*$AQ$1</f>
        <v>9</v>
      </c>
      <c r="AR58" s="338"/>
      <c r="AS58" s="327">
        <f t="shared" ref="AS58:AS98" si="81">AC58</f>
        <v>6</v>
      </c>
      <c r="AT58" s="327">
        <f t="shared" ref="AT58:AT98" si="82">Y58*P58</f>
        <v>6</v>
      </c>
      <c r="AU58" s="523">
        <v>6</v>
      </c>
      <c r="AV58" s="328"/>
      <c r="AW58" s="328"/>
      <c r="AX58" s="332">
        <v>6</v>
      </c>
      <c r="AY58" s="328" t="b">
        <f t="shared" si="51"/>
        <v>1</v>
      </c>
      <c r="AZ58" s="328" t="b">
        <f t="shared" si="4"/>
        <v>0</v>
      </c>
    </row>
    <row r="59" ht="27" customHeight="1" spans="1:52">
      <c r="A59" s="326" t="str">
        <f>INDEX('Rate Card'!$A:$A,MATCH(服务费底表!$T59,'Rate Card'!$F:$F,0))</f>
        <v>医学</v>
      </c>
      <c r="B59" s="327" t="str">
        <f>INDEX(二三级标准!$G:$G,MATCH(服务费底表!$K59,二三级标准!B:B,0))</f>
        <v>次</v>
      </c>
      <c r="C59" s="327">
        <f>INDEX(服务费明细!$E:$E,MATCH(服务费底表!$K59,服务费明细!$B:$B,0))</f>
        <v>1</v>
      </c>
      <c r="D59" s="327" t="str">
        <f t="shared" si="71"/>
        <v>A009MM</v>
      </c>
      <c r="E59" s="327" t="str">
        <f t="shared" si="72"/>
        <v>T0028MM</v>
      </c>
      <c r="F59" s="328"/>
      <c r="G59" s="328" t="s">
        <v>684</v>
      </c>
      <c r="H59" s="326" t="str">
        <f>INDEX('Rate Card'!$B:$B,MATCH(服务费底表!$T59,'Rate Card'!$F:$F,0))</f>
        <v>医学</v>
      </c>
      <c r="I59" s="328" t="s">
        <v>917</v>
      </c>
      <c r="J59" s="328" t="str">
        <f>INDEX(二三级标准!$Q:$Q,MATCH(服务费底表!I59,二三级标准!$O:$O,0))</f>
        <v>试验准备</v>
      </c>
      <c r="K59" s="328" t="s">
        <v>113</v>
      </c>
      <c r="L59" s="328" t="str">
        <f>INDEX(二三级标准!C:C,MATCH(服务费底表!K59,二三级标准!$B:$B,0))</f>
        <v>方案培训</v>
      </c>
      <c r="M59" s="328" t="s">
        <v>1208</v>
      </c>
      <c r="N59" s="328" t="str">
        <f>INDEX(二三级标准!$M:$M,MATCH(服务费底表!$M59,二三级标准!$L:$L,0))</f>
        <v>参加方案培训</v>
      </c>
      <c r="O59" s="328"/>
      <c r="P59" s="327">
        <f>IF(R59=1,INDEX(服务费明细!$E:$E,MATCH(服务费底表!$K59,服务费明细!$B:$B,0)),0)</f>
        <v>1</v>
      </c>
      <c r="Q59" s="328" t="s">
        <v>1178</v>
      </c>
      <c r="R59" s="520">
        <f>IF(AND(方案培训YN=1,医学监查YN=1),1,0)</f>
        <v>1</v>
      </c>
      <c r="S59" s="521" t="str">
        <f>IF(AND(H59="医学",OR(I59=二三级标准!$A$4,I59=二三级标准!$A$153)),"医学撰写","医学监查")</f>
        <v>医学监查</v>
      </c>
      <c r="T59" s="328" t="s">
        <v>615</v>
      </c>
      <c r="U59" s="522" t="str">
        <f>INDEX('Rate Card'!$E:$E,MATCH(服务费底表!$T59,'Rate Card'!$F:$F,0))</f>
        <v>医学经理</v>
      </c>
      <c r="V59" s="331">
        <f>INDEX('Rate Card'!$J:$J,MATCH($T59,'Rate Card'!$F:$F,0))</f>
        <v>650</v>
      </c>
      <c r="W59" s="523">
        <f t="shared" si="73"/>
        <v>650</v>
      </c>
      <c r="X59" s="523">
        <f t="shared" si="74"/>
        <v>1</v>
      </c>
      <c r="Y59" s="327" cm="1">
        <f t="array" ref="Y59">_xlfn.IFS(报价场景=服务费底表!$AJ$2,服务费底表!$AJ59,报价场景=服务费底表!$AP$2,服务费底表!$AP59,报价场景=服务费底表!$AK$2,服务费底表!$AK59,报价场景=服务费底表!$AL$2,服务费底表!$AL59,报价场景=服务费底表!$AM$2,服务费底表!$AM59,报价场景=服务费底表!$AN$2,服务费底表!$AN59,报价场景=服务费底表!$AQ$2,服务费底表!$AQ59,报价场景=服务费底表!$AO$2,服务费底表!$AO59)</f>
        <v>1</v>
      </c>
      <c r="Z59" s="327"/>
      <c r="AA59" s="332">
        <f t="shared" si="75"/>
        <v>1</v>
      </c>
      <c r="AB59" s="333">
        <f t="shared" si="76"/>
        <v>650</v>
      </c>
      <c r="AC59" s="328">
        <f t="shared" si="77"/>
        <v>1</v>
      </c>
      <c r="AD59" s="334">
        <f t="shared" si="78"/>
        <v>650</v>
      </c>
      <c r="AE59" s="334">
        <f>$AB59*(1-INDEX(项目参数!$D$5:$D$14,MATCH(服务费底表!$S59,项目参数!$B$5:$B$14,0)))</f>
        <v>650</v>
      </c>
      <c r="AF59" s="334">
        <f>$AD59*INDEX(项目参数!$D$5:$D$14,MATCH(服务费底表!$S59,项目参数!$B$5:$B$14,0))</f>
        <v>0</v>
      </c>
      <c r="AG59" s="334">
        <f t="shared" ref="AG59:AG80" si="83">AD59-AF59</f>
        <v>650</v>
      </c>
      <c r="AH59" s="328"/>
      <c r="AI59" s="328" t="s">
        <v>615</v>
      </c>
      <c r="AJ59" s="327">
        <v>1</v>
      </c>
      <c r="AK59" s="327">
        <v>1</v>
      </c>
      <c r="AL59" s="336">
        <v>1</v>
      </c>
      <c r="AM59" s="327">
        <v>1</v>
      </c>
      <c r="AN59" s="327">
        <v>1</v>
      </c>
      <c r="AO59" s="327">
        <f t="shared" ref="AO59:AO79" si="84">AL59</f>
        <v>1</v>
      </c>
      <c r="AP59" s="327">
        <v>1</v>
      </c>
      <c r="AQ59" s="327">
        <f t="shared" si="80"/>
        <v>1.5</v>
      </c>
      <c r="AR59" s="338"/>
      <c r="AS59" s="327">
        <f t="shared" si="81"/>
        <v>1</v>
      </c>
      <c r="AT59" s="327">
        <f t="shared" si="82"/>
        <v>1</v>
      </c>
      <c r="AU59" s="523">
        <v>1</v>
      </c>
      <c r="AV59" s="328"/>
      <c r="AW59" s="328"/>
      <c r="AX59" s="332">
        <v>1</v>
      </c>
      <c r="AY59" s="328" t="b">
        <f t="shared" si="51"/>
        <v>1</v>
      </c>
      <c r="AZ59" s="328" t="b">
        <f t="shared" si="4"/>
        <v>0</v>
      </c>
    </row>
    <row r="60" ht="27" customHeight="1" spans="1:52">
      <c r="A60" s="326" t="str">
        <f>INDEX('Rate Card'!$A:$A,MATCH(服务费底表!$T60,'Rate Card'!$F:$F,0))</f>
        <v>医学</v>
      </c>
      <c r="B60" s="327" t="str">
        <f>INDEX(二三级标准!$G:$G,MATCH(服务费底表!$K60,二三级标准!B:B,0))</f>
        <v>次</v>
      </c>
      <c r="C60" s="327">
        <f>INDEX(服务费明细!$E:$E,MATCH(服务费底表!$K60,服务费明细!$B:$B,0))</f>
        <v>1</v>
      </c>
      <c r="D60" s="327" t="str">
        <f t="shared" si="71"/>
        <v>A009MD</v>
      </c>
      <c r="E60" s="327" t="str">
        <f t="shared" si="72"/>
        <v>T0028MD</v>
      </c>
      <c r="F60" s="328"/>
      <c r="G60" s="328" t="s">
        <v>684</v>
      </c>
      <c r="H60" s="326" t="str">
        <f>INDEX('Rate Card'!$B:$B,MATCH(服务费底表!$T60,'Rate Card'!$F:$F,0))</f>
        <v>医学</v>
      </c>
      <c r="I60" s="328" t="s">
        <v>917</v>
      </c>
      <c r="J60" s="328" t="str">
        <f>INDEX(二三级标准!$Q:$Q,MATCH(服务费底表!I60,二三级标准!$O:$O,0))</f>
        <v>试验准备</v>
      </c>
      <c r="K60" s="328" t="s">
        <v>113</v>
      </c>
      <c r="L60" s="328" t="str">
        <f>INDEX(二三级标准!C:C,MATCH(服务费底表!K60,二三级标准!$B:$B,0))</f>
        <v>方案培训</v>
      </c>
      <c r="M60" s="328" t="s">
        <v>1208</v>
      </c>
      <c r="N60" s="328" t="str">
        <f>INDEX(二三级标准!$M:$M,MATCH(服务费底表!$M60,二三级标准!$L:$L,0))</f>
        <v>参加方案培训</v>
      </c>
      <c r="O60" s="328"/>
      <c r="P60" s="327">
        <f>IF(R60=1,INDEX(服务费明细!$E:$E,MATCH(服务费底表!$K60,服务费明细!$B:$B,0)),0)</f>
        <v>1</v>
      </c>
      <c r="Q60" s="328" t="s">
        <v>1178</v>
      </c>
      <c r="R60" s="520">
        <f>IF(AND(方案培训YN=1,医学监查YN=1),1,0)</f>
        <v>1</v>
      </c>
      <c r="S60" s="521" t="str">
        <f>IF(AND(H60="医学",OR(I60=二三级标准!$A$4,I60=二三级标准!$A$153)),"医学撰写","医学监查")</f>
        <v>医学监查</v>
      </c>
      <c r="T60" s="328" t="s">
        <v>613</v>
      </c>
      <c r="U60" s="522" t="str">
        <f>INDEX('Rate Card'!$E:$E,MATCH(服务费底表!$T60,'Rate Card'!$F:$F,0))</f>
        <v>医学总监</v>
      </c>
      <c r="V60" s="331">
        <f>INDEX('Rate Card'!$J:$J,MATCH($T60,'Rate Card'!$F:$F,0))</f>
        <v>990</v>
      </c>
      <c r="W60" s="523">
        <f t="shared" si="73"/>
        <v>990</v>
      </c>
      <c r="X60" s="523">
        <f t="shared" si="74"/>
        <v>1</v>
      </c>
      <c r="Y60" s="327" cm="1">
        <f t="array" ref="Y60">_xlfn.IFS(报价场景=服务费底表!$AJ$2,服务费底表!$AJ60,报价场景=服务费底表!$AP$2,服务费底表!$AP60,报价场景=服务费底表!$AK$2,服务费底表!$AK60,报价场景=服务费底表!$AL$2,服务费底表!$AL60,报价场景=服务费底表!$AM$2,服务费底表!$AM60,报价场景=服务费底表!$AN$2,服务费底表!$AN60,报价场景=服务费底表!$AQ$2,服务费底表!$AQ60,报价场景=服务费底表!$AO$2,服务费底表!$AO60)</f>
        <v>1</v>
      </c>
      <c r="Z60" s="327"/>
      <c r="AA60" s="332">
        <f t="shared" si="75"/>
        <v>1</v>
      </c>
      <c r="AB60" s="333">
        <f t="shared" si="76"/>
        <v>990</v>
      </c>
      <c r="AC60" s="328">
        <f t="shared" si="77"/>
        <v>1</v>
      </c>
      <c r="AD60" s="334">
        <f t="shared" si="78"/>
        <v>990</v>
      </c>
      <c r="AE60" s="334">
        <f>$AB60*(1-INDEX(项目参数!$D$5:$D$14,MATCH(服务费底表!$S60,项目参数!$B$5:$B$14,0)))</f>
        <v>990</v>
      </c>
      <c r="AF60" s="334">
        <f>$AD60*INDEX(项目参数!$D$5:$D$14,MATCH(服务费底表!$S60,项目参数!$B$5:$B$14,0))</f>
        <v>0</v>
      </c>
      <c r="AG60" s="334">
        <f t="shared" si="83"/>
        <v>990</v>
      </c>
      <c r="AH60" s="328"/>
      <c r="AI60" s="328" t="s">
        <v>613</v>
      </c>
      <c r="AJ60" s="327">
        <v>1</v>
      </c>
      <c r="AK60" s="327">
        <v>1</v>
      </c>
      <c r="AL60" s="336">
        <v>1</v>
      </c>
      <c r="AM60" s="327">
        <v>1</v>
      </c>
      <c r="AN60" s="327">
        <v>1</v>
      </c>
      <c r="AO60" s="327">
        <f t="shared" si="84"/>
        <v>1</v>
      </c>
      <c r="AP60" s="327">
        <v>1</v>
      </c>
      <c r="AQ60" s="327">
        <f t="shared" si="80"/>
        <v>1.5</v>
      </c>
      <c r="AR60" s="338"/>
      <c r="AS60" s="327">
        <f t="shared" si="81"/>
        <v>1</v>
      </c>
      <c r="AT60" s="327">
        <f t="shared" si="82"/>
        <v>1</v>
      </c>
      <c r="AU60" s="523">
        <v>1</v>
      </c>
      <c r="AV60" s="328"/>
      <c r="AW60" s="328"/>
      <c r="AX60" s="332">
        <v>1</v>
      </c>
      <c r="AY60" s="328" t="b">
        <f t="shared" si="51"/>
        <v>1</v>
      </c>
      <c r="AZ60" s="328" t="b">
        <f t="shared" si="4"/>
        <v>0</v>
      </c>
    </row>
    <row r="61" ht="27" customHeight="1" spans="1:52">
      <c r="A61" s="326" t="str">
        <f>INDEX('Rate Card'!$A:$A,MATCH(服务费底表!$T61,'Rate Card'!$F:$F,0))</f>
        <v>临床运营</v>
      </c>
      <c r="B61" s="327" t="str">
        <f>INDEX(二三级标准!$G:$G,MATCH(服务费底表!$K61,二三级标准!B:B,0))</f>
        <v>次</v>
      </c>
      <c r="C61" s="327">
        <f>INDEX(服务费明细!$E:$E,MATCH(服务费底表!$K61,服务费明细!$B:$B,0))</f>
        <v>1</v>
      </c>
      <c r="D61" s="327" t="str">
        <f t="shared" si="71"/>
        <v>A009PM</v>
      </c>
      <c r="E61" s="327" t="str">
        <f t="shared" si="72"/>
        <v>T0028PM</v>
      </c>
      <c r="F61" s="328"/>
      <c r="G61" s="328" t="s">
        <v>684</v>
      </c>
      <c r="H61" s="326" t="str">
        <f>INDEX('Rate Card'!$B:$B,MATCH(服务费底表!$T61,'Rate Card'!$F:$F,0))</f>
        <v>临床运营</v>
      </c>
      <c r="I61" s="328" t="s">
        <v>917</v>
      </c>
      <c r="J61" s="328" t="str">
        <f>INDEX(二三级标准!$Q:$Q,MATCH(服务费底表!I61,二三级标准!$O:$O,0))</f>
        <v>试验准备</v>
      </c>
      <c r="K61" s="328" t="s">
        <v>113</v>
      </c>
      <c r="L61" s="328" t="str">
        <f>INDEX(二三级标准!C:C,MATCH(服务费底表!K61,二三级标准!$B:$B,0))</f>
        <v>方案培训</v>
      </c>
      <c r="M61" s="328" t="s">
        <v>1208</v>
      </c>
      <c r="N61" s="328" t="str">
        <f>INDEX(二三级标准!$M:$M,MATCH(服务费底表!$M61,二三级标准!$L:$L,0))</f>
        <v>参加方案培训</v>
      </c>
      <c r="O61" s="328"/>
      <c r="P61" s="327">
        <f>IF(R61=1,INDEX(服务费明细!$E:$E,MATCH(服务费底表!$K61,服务费明细!$B:$B,0)),0)</f>
        <v>1</v>
      </c>
      <c r="Q61" s="328" t="s">
        <v>1178</v>
      </c>
      <c r="R61" s="520">
        <f>IF(AND(方案培训YN=1,项目管理YN=1),1,0)</f>
        <v>1</v>
      </c>
      <c r="S61" s="525" t="str">
        <f>INDEX('Rate Card'!$D:$D,MATCH(服务费底表!$T61,'Rate Card'!F:F,0))</f>
        <v>项目管理</v>
      </c>
      <c r="T61" s="328" t="s">
        <v>599</v>
      </c>
      <c r="U61" s="522" t="str">
        <f>INDEX('Rate Card'!$E:$E,MATCH(服务费底表!$T61,'Rate Card'!$F:$F,0))</f>
        <v>临床项目经理</v>
      </c>
      <c r="V61" s="331">
        <f>INDEX('Rate Card'!$J:$J,MATCH($T61,'Rate Card'!$F:$F,0))</f>
        <v>650</v>
      </c>
      <c r="W61" s="523">
        <f t="shared" si="73"/>
        <v>650</v>
      </c>
      <c r="X61" s="523">
        <f t="shared" si="74"/>
        <v>1</v>
      </c>
      <c r="Y61" s="327" cm="1">
        <f t="array" ref="Y61">_xlfn.IFS(报价场景=服务费底表!$AJ$2,服务费底表!$AJ61,报价场景=服务费底表!$AP$2,服务费底表!$AP61,报价场景=服务费底表!$AK$2,服务费底表!$AK61,报价场景=服务费底表!$AL$2,服务费底表!$AL61,报价场景=服务费底表!$AM$2,服务费底表!$AM61,报价场景=服务费底表!$AN$2,服务费底表!$AN61,报价场景=服务费底表!$AQ$2,服务费底表!$AQ61,报价场景=服务费底表!$AO$2,服务费底表!$AO61)</f>
        <v>1</v>
      </c>
      <c r="Z61" s="327"/>
      <c r="AA61" s="332">
        <f t="shared" si="75"/>
        <v>1</v>
      </c>
      <c r="AB61" s="333">
        <f t="shared" si="76"/>
        <v>650</v>
      </c>
      <c r="AC61" s="328">
        <f t="shared" si="77"/>
        <v>1</v>
      </c>
      <c r="AD61" s="334">
        <f t="shared" si="78"/>
        <v>650</v>
      </c>
      <c r="AE61" s="334">
        <f>$AB61*(1-INDEX(项目参数!$D$5:$D$14,MATCH(服务费底表!$S61,项目参数!$B$5:$B$14,0)))</f>
        <v>650</v>
      </c>
      <c r="AF61" s="334">
        <f>$AD61*INDEX(项目参数!$D$5:$D$14,MATCH(服务费底表!$S61,项目参数!$B$5:$B$14,0))</f>
        <v>0</v>
      </c>
      <c r="AG61" s="334">
        <f t="shared" si="83"/>
        <v>650</v>
      </c>
      <c r="AH61" s="328"/>
      <c r="AI61" s="328" t="s">
        <v>599</v>
      </c>
      <c r="AJ61" s="327">
        <v>1</v>
      </c>
      <c r="AK61" s="327">
        <v>1</v>
      </c>
      <c r="AL61" s="336">
        <v>1</v>
      </c>
      <c r="AM61" s="327">
        <v>1</v>
      </c>
      <c r="AN61" s="327">
        <v>1</v>
      </c>
      <c r="AO61" s="327">
        <f t="shared" si="84"/>
        <v>1</v>
      </c>
      <c r="AP61" s="327">
        <v>1</v>
      </c>
      <c r="AQ61" s="327">
        <f t="shared" si="80"/>
        <v>1.5</v>
      </c>
      <c r="AR61" s="338"/>
      <c r="AS61" s="327">
        <f t="shared" si="81"/>
        <v>1</v>
      </c>
      <c r="AT61" s="327">
        <f t="shared" si="82"/>
        <v>1</v>
      </c>
      <c r="AU61" s="523">
        <v>1</v>
      </c>
      <c r="AV61" s="328"/>
      <c r="AW61" s="328"/>
      <c r="AX61" s="332">
        <v>1</v>
      </c>
      <c r="AY61" s="328" t="b">
        <f t="shared" si="51"/>
        <v>1</v>
      </c>
      <c r="AZ61" s="328" t="b">
        <f t="shared" si="4"/>
        <v>0</v>
      </c>
    </row>
    <row r="62" ht="27" customHeight="1" spans="1:52">
      <c r="A62" s="326" t="str">
        <f>INDEX('Rate Card'!$A:$A,MATCH(服务费底表!$T62,'Rate Card'!$F:$F,0))</f>
        <v>临床运营</v>
      </c>
      <c r="B62" s="327" t="str">
        <f>INDEX(二三级标准!$G:$G,MATCH(服务费底表!$K62,二三级标准!B:B,0))</f>
        <v>次</v>
      </c>
      <c r="C62" s="327">
        <f>INDEX(服务费明细!$E:$E,MATCH(服务费底表!$K62,服务费明细!$B:$B,0))</f>
        <v>1</v>
      </c>
      <c r="D62" s="327" t="str">
        <f t="shared" si="71"/>
        <v>A009CRA</v>
      </c>
      <c r="E62" s="327" t="str">
        <f t="shared" si="72"/>
        <v>T0028CRA</v>
      </c>
      <c r="F62" s="328"/>
      <c r="G62" s="328" t="s">
        <v>684</v>
      </c>
      <c r="H62" s="326" t="str">
        <f>INDEX('Rate Card'!$B:$B,MATCH(服务费底表!$T62,'Rate Card'!$F:$F,0))</f>
        <v>临床运营</v>
      </c>
      <c r="I62" s="328" t="s">
        <v>917</v>
      </c>
      <c r="J62" s="328" t="str">
        <f>INDEX(二三级标准!$Q:$Q,MATCH(服务费底表!I62,二三级标准!$O:$O,0))</f>
        <v>试验准备</v>
      </c>
      <c r="K62" s="328" t="s">
        <v>113</v>
      </c>
      <c r="L62" s="328" t="str">
        <f>INDEX(二三级标准!C:C,MATCH(服务费底表!K62,二三级标准!$B:$B,0))</f>
        <v>方案培训</v>
      </c>
      <c r="M62" s="328" t="s">
        <v>1208</v>
      </c>
      <c r="N62" s="328" t="str">
        <f>INDEX(二三级标准!$M:$M,MATCH(服务费底表!$M62,二三级标准!$L:$L,0))</f>
        <v>参加方案培训</v>
      </c>
      <c r="O62" s="328"/>
      <c r="P62" s="327">
        <f>IF(R62=1,INDEX(服务费明细!$E:$E,MATCH(服务费底表!$K62,服务费明细!$B:$B,0)),0)</f>
        <v>1</v>
      </c>
      <c r="Q62" s="328" t="s">
        <v>1178</v>
      </c>
      <c r="R62" s="520">
        <f>IF(AND(方案培训YN=1,临床监查YN=1),1,0)</f>
        <v>1</v>
      </c>
      <c r="S62" s="525" t="str">
        <f>INDEX('Rate Card'!$D:$D,MATCH(服务费底表!$T62,'Rate Card'!F:F,0))</f>
        <v>临床监查</v>
      </c>
      <c r="T62" s="328" t="s">
        <v>595</v>
      </c>
      <c r="U62" s="522" t="str">
        <f>INDEX('Rate Card'!$E:$E,MATCH(服务费底表!$T62,'Rate Card'!$F:$F,0))</f>
        <v>临床监查员</v>
      </c>
      <c r="V62" s="331">
        <f>INDEX('Rate Card'!$J:$J,MATCH($T62,'Rate Card'!$F:$F,0))</f>
        <v>340</v>
      </c>
      <c r="W62" s="523">
        <f t="shared" si="73"/>
        <v>340</v>
      </c>
      <c r="X62" s="523">
        <f t="shared" si="74"/>
        <v>2</v>
      </c>
      <c r="Y62" s="327" cm="1">
        <f t="array" ref="Y62">_xlfn.IFS(报价场景=服务费底表!$AJ$2,服务费底表!$AJ62,报价场景=服务费底表!$AP$2,服务费底表!$AP62,报价场景=服务费底表!$AK$2,服务费底表!$AK62,报价场景=服务费底表!$AL$2,服务费底表!$AL62,报价场景=服务费底表!$AM$2,服务费底表!$AM62,报价场景=服务费底表!$AN$2,服务费底表!$AN62,报价场景=服务费底表!$AQ$2,服务费底表!$AQ62,报价场景=服务费底表!$AO$2,服务费底表!$AO62)</f>
        <v>2</v>
      </c>
      <c r="Z62" s="327"/>
      <c r="AA62" s="332">
        <f t="shared" si="75"/>
        <v>2</v>
      </c>
      <c r="AB62" s="333">
        <f t="shared" si="76"/>
        <v>680</v>
      </c>
      <c r="AC62" s="328">
        <f t="shared" si="77"/>
        <v>2</v>
      </c>
      <c r="AD62" s="334">
        <f t="shared" si="78"/>
        <v>680</v>
      </c>
      <c r="AE62" s="334">
        <f>$AB62*(1-INDEX(项目参数!$D$5:$D$14,MATCH(服务费底表!$S62,项目参数!$B$5:$B$14,0)))</f>
        <v>680</v>
      </c>
      <c r="AF62" s="334">
        <f>$AD62*INDEX(项目参数!$D$5:$D$14,MATCH(服务费底表!$S62,项目参数!$B$5:$B$14,0))</f>
        <v>0</v>
      </c>
      <c r="AG62" s="334">
        <f t="shared" si="83"/>
        <v>680</v>
      </c>
      <c r="AH62" s="328"/>
      <c r="AI62" s="328" t="s">
        <v>595</v>
      </c>
      <c r="AJ62" s="327">
        <f>1*CRA人数</f>
        <v>2</v>
      </c>
      <c r="AK62" s="327">
        <f>1*CRA人数</f>
        <v>2</v>
      </c>
      <c r="AL62" s="327">
        <f>1*CRA人数</f>
        <v>2</v>
      </c>
      <c r="AM62" s="327">
        <f>1*CRA人数</f>
        <v>2</v>
      </c>
      <c r="AN62" s="327">
        <f>1*CRA人数</f>
        <v>2</v>
      </c>
      <c r="AO62" s="327">
        <f t="shared" si="84"/>
        <v>2</v>
      </c>
      <c r="AP62" s="327">
        <v>1</v>
      </c>
      <c r="AQ62" s="327">
        <f t="shared" si="80"/>
        <v>3</v>
      </c>
      <c r="AR62" s="338"/>
      <c r="AS62" s="327">
        <f t="shared" si="81"/>
        <v>2</v>
      </c>
      <c r="AT62" s="327">
        <f t="shared" si="82"/>
        <v>2</v>
      </c>
      <c r="AU62" s="523">
        <v>2</v>
      </c>
      <c r="AV62" s="328"/>
      <c r="AW62" s="328"/>
      <c r="AX62" s="332">
        <v>2</v>
      </c>
      <c r="AY62" s="328" t="b">
        <f t="shared" si="51"/>
        <v>1</v>
      </c>
      <c r="AZ62" s="328" t="b">
        <f t="shared" si="4"/>
        <v>0</v>
      </c>
    </row>
    <row r="63" ht="27" customHeight="1" spans="1:52">
      <c r="A63" s="326" t="str">
        <f>INDEX('Rate Card'!$A:$A,MATCH(服务费底表!$T63,'Rate Card'!$F:$F,0))</f>
        <v>临床运营</v>
      </c>
      <c r="B63" s="327" t="str">
        <f>INDEX(二三级标准!$G:$G,MATCH(服务费底表!$K63,二三级标准!B:B,0))</f>
        <v>次</v>
      </c>
      <c r="C63" s="327">
        <f>INDEX(服务费明细!$E:$E,MATCH(服务费底表!$K63,服务费明细!$B:$B,0))</f>
        <v>1</v>
      </c>
      <c r="D63" s="327" t="str">
        <f t="shared" si="71"/>
        <v>A009CTA</v>
      </c>
      <c r="E63" s="327" t="str">
        <f t="shared" si="72"/>
        <v>T0028CTA</v>
      </c>
      <c r="F63" s="328"/>
      <c r="G63" s="328" t="s">
        <v>684</v>
      </c>
      <c r="H63" s="326" t="str">
        <f>INDEX('Rate Card'!$B:$B,MATCH(服务费底表!$T63,'Rate Card'!$F:$F,0))</f>
        <v>临床运营</v>
      </c>
      <c r="I63" s="328" t="s">
        <v>917</v>
      </c>
      <c r="J63" s="328" t="str">
        <f>INDEX(二三级标准!$Q:$Q,MATCH(服务费底表!I63,二三级标准!$O:$O,0))</f>
        <v>试验准备</v>
      </c>
      <c r="K63" s="328" t="s">
        <v>113</v>
      </c>
      <c r="L63" s="328" t="str">
        <f>INDEX(二三级标准!C:C,MATCH(服务费底表!K63,二三级标准!$B:$B,0))</f>
        <v>方案培训</v>
      </c>
      <c r="M63" s="328" t="s">
        <v>1208</v>
      </c>
      <c r="N63" s="328" t="str">
        <f>INDEX(二三级标准!$M:$M,MATCH(服务费底表!$M63,二三级标准!$L:$L,0))</f>
        <v>参加方案培训</v>
      </c>
      <c r="O63" s="328"/>
      <c r="P63" s="327">
        <f>IF(R63=1,INDEX(服务费明细!$E:$E,MATCH(服务费底表!$K63,服务费明细!$B:$B,0)),0)</f>
        <v>1</v>
      </c>
      <c r="Q63" s="328" t="s">
        <v>1178</v>
      </c>
      <c r="R63" s="520">
        <f>IF(AND(方案培训YN=1,临床监查YN=1),1,0)</f>
        <v>1</v>
      </c>
      <c r="S63" s="525" t="str">
        <f>INDEX('Rate Card'!$D:$D,MATCH(服务费底表!$T63,'Rate Card'!F:F,0))</f>
        <v>临床监查</v>
      </c>
      <c r="T63" s="328" t="s">
        <v>597</v>
      </c>
      <c r="U63" s="522" t="str">
        <f>INDEX('Rate Card'!$E:$E,MATCH(服务费底表!$T63,'Rate Card'!$F:$F,0))</f>
        <v>临床试验助理</v>
      </c>
      <c r="V63" s="331">
        <f>INDEX('Rate Card'!$J:$J,MATCH($T63,'Rate Card'!$F:$F,0))</f>
        <v>220</v>
      </c>
      <c r="W63" s="523">
        <f t="shared" si="73"/>
        <v>220</v>
      </c>
      <c r="X63" s="523">
        <f t="shared" si="74"/>
        <v>1</v>
      </c>
      <c r="Y63" s="327" cm="1">
        <f t="array" ref="Y63">_xlfn.IFS(报价场景=服务费底表!$AJ$2,服务费底表!$AJ63,报价场景=服务费底表!$AP$2,服务费底表!$AP63,报价场景=服务费底表!$AK$2,服务费底表!$AK63,报价场景=服务费底表!$AL$2,服务费底表!$AL63,报价场景=服务费底表!$AM$2,服务费底表!$AM63,报价场景=服务费底表!$AN$2,服务费底表!$AN63,报价场景=服务费底表!$AQ$2,服务费底表!$AQ63,报价场景=服务费底表!$AO$2,服务费底表!$AO63)</f>
        <v>1</v>
      </c>
      <c r="Z63" s="327"/>
      <c r="AA63" s="332">
        <f t="shared" si="75"/>
        <v>1</v>
      </c>
      <c r="AB63" s="333">
        <f t="shared" si="76"/>
        <v>220</v>
      </c>
      <c r="AC63" s="328">
        <f t="shared" si="77"/>
        <v>1</v>
      </c>
      <c r="AD63" s="334">
        <f t="shared" si="78"/>
        <v>220</v>
      </c>
      <c r="AE63" s="334">
        <f>$AB63*(1-INDEX(项目参数!$D$5:$D$14,MATCH(服务费底表!$S63,项目参数!$B$5:$B$14,0)))</f>
        <v>220</v>
      </c>
      <c r="AF63" s="334">
        <f>$AD63*INDEX(项目参数!$D$5:$D$14,MATCH(服务费底表!$S63,项目参数!$B$5:$B$14,0))</f>
        <v>0</v>
      </c>
      <c r="AG63" s="334">
        <f t="shared" si="83"/>
        <v>220</v>
      </c>
      <c r="AH63" s="328"/>
      <c r="AI63" s="328" t="s">
        <v>597</v>
      </c>
      <c r="AJ63" s="327">
        <v>1</v>
      </c>
      <c r="AK63" s="327">
        <v>1</v>
      </c>
      <c r="AL63" s="336">
        <v>1</v>
      </c>
      <c r="AM63" s="327">
        <v>1</v>
      </c>
      <c r="AN63" s="327">
        <v>1</v>
      </c>
      <c r="AO63" s="327">
        <f t="shared" si="84"/>
        <v>1</v>
      </c>
      <c r="AP63" s="327">
        <v>1</v>
      </c>
      <c r="AQ63" s="327">
        <f t="shared" si="80"/>
        <v>1.5</v>
      </c>
      <c r="AR63" s="338"/>
      <c r="AS63" s="327">
        <f t="shared" si="81"/>
        <v>1</v>
      </c>
      <c r="AT63" s="327">
        <f t="shared" si="82"/>
        <v>1</v>
      </c>
      <c r="AU63" s="523">
        <v>1</v>
      </c>
      <c r="AV63" s="328"/>
      <c r="AW63" s="328"/>
      <c r="AX63" s="332">
        <v>1</v>
      </c>
      <c r="AY63" s="328" t="b">
        <f t="shared" si="51"/>
        <v>1</v>
      </c>
      <c r="AZ63" s="328" t="b">
        <f t="shared" si="4"/>
        <v>0</v>
      </c>
    </row>
    <row r="64" ht="27" customHeight="1" spans="1:52">
      <c r="A64" s="326" t="str">
        <f>INDEX('Rate Card'!$A:$A,MATCH(服务费底表!$T64,'Rate Card'!$F:$F,0))</f>
        <v>数统</v>
      </c>
      <c r="B64" s="327" t="str">
        <f>INDEX(二三级标准!$G:$G,MATCH(服务费底表!$K64,二三级标准!B:B,0))</f>
        <v>次</v>
      </c>
      <c r="C64" s="327">
        <f>INDEX(服务费明细!$E:$E,MATCH(服务费底表!$K64,服务费明细!$B:$B,0))</f>
        <v>1</v>
      </c>
      <c r="D64" s="327" t="str">
        <f t="shared" si="71"/>
        <v>A009LDM</v>
      </c>
      <c r="E64" s="327" t="str">
        <f t="shared" si="72"/>
        <v>T0028LDM</v>
      </c>
      <c r="F64" s="328"/>
      <c r="G64" s="328" t="s">
        <v>684</v>
      </c>
      <c r="H64" s="326" t="str">
        <f>INDEX('Rate Card'!$B:$B,MATCH(服务费底表!$T64,'Rate Card'!$F:$F,0))</f>
        <v>数据管理</v>
      </c>
      <c r="I64" s="328" t="s">
        <v>917</v>
      </c>
      <c r="J64" s="328" t="str">
        <f>INDEX(二三级标准!$Q:$Q,MATCH(服务费底表!I64,二三级标准!$O:$O,0))</f>
        <v>试验准备</v>
      </c>
      <c r="K64" s="328" t="s">
        <v>113</v>
      </c>
      <c r="L64" s="328" t="str">
        <f>INDEX(二三级标准!C:C,MATCH(服务费底表!K64,二三级标准!$B:$B,0))</f>
        <v>方案培训</v>
      </c>
      <c r="M64" s="328" t="s">
        <v>1208</v>
      </c>
      <c r="N64" s="328" t="str">
        <f>INDEX(二三级标准!$M:$M,MATCH(服务费底表!$M64,二三级标准!$L:$L,0))</f>
        <v>参加方案培训</v>
      </c>
      <c r="O64" s="328"/>
      <c r="P64" s="327">
        <f>IF(R64=1,INDEX(服务费明细!$E:$E,MATCH(服务费底表!$K64,服务费明细!$B:$B,0)),0)</f>
        <v>1</v>
      </c>
      <c r="Q64" s="328" t="s">
        <v>1178</v>
      </c>
      <c r="R64" s="520">
        <f>IF(AND(方案培训YN=1,数据管理YN=1),1,0)</f>
        <v>1</v>
      </c>
      <c r="S64" s="524" t="str">
        <f>INDEX('Rate Card'!$D:$D,MATCH(服务费底表!$T64,'Rate Card'!F:F,0))</f>
        <v>数据管理</v>
      </c>
      <c r="T64" s="328" t="s">
        <v>633</v>
      </c>
      <c r="U64" s="522" t="str">
        <f>INDEX('Rate Card'!$E:$E,MATCH(服务费底表!$T64,'Rate Card'!$F:$F,0))</f>
        <v>数据管理经理</v>
      </c>
      <c r="V64" s="331">
        <f>INDEX('Rate Card'!$J:$J,MATCH($T64,'Rate Card'!$F:$F,0))</f>
        <v>360</v>
      </c>
      <c r="W64" s="523">
        <f t="shared" si="73"/>
        <v>360</v>
      </c>
      <c r="X64" s="523">
        <f t="shared" si="74"/>
        <v>1</v>
      </c>
      <c r="Y64" s="327" cm="1">
        <f t="array" ref="Y64">_xlfn.IFS(报价场景=服务费底表!$AJ$2,服务费底表!$AJ64,报价场景=服务费底表!$AP$2,服务费底表!$AP64,报价场景=服务费底表!$AK$2,服务费底表!$AK64,报价场景=服务费底表!$AL$2,服务费底表!$AL64,报价场景=服务费底表!$AM$2,服务费底表!$AM64,报价场景=服务费底表!$AN$2,服务费底表!$AN64,报价场景=服务费底表!$AQ$2,服务费底表!$AQ64,报价场景=服务费底表!$AO$2,服务费底表!$AO64)</f>
        <v>1</v>
      </c>
      <c r="Z64" s="327"/>
      <c r="AA64" s="332">
        <f t="shared" si="75"/>
        <v>1</v>
      </c>
      <c r="AB64" s="333">
        <f t="shared" si="76"/>
        <v>360</v>
      </c>
      <c r="AC64" s="328">
        <f t="shared" si="77"/>
        <v>1</v>
      </c>
      <c r="AD64" s="334">
        <f t="shared" si="78"/>
        <v>360</v>
      </c>
      <c r="AE64" s="334">
        <f>$AB64*(1-INDEX(项目参数!$D$5:$D$14,MATCH(服务费底表!$S64,项目参数!$B$5:$B$14,0)))</f>
        <v>360</v>
      </c>
      <c r="AF64" s="334">
        <f>$AD64*INDEX(项目参数!$D$5:$D$14,MATCH(服务费底表!$S64,项目参数!$B$5:$B$14,0))</f>
        <v>0</v>
      </c>
      <c r="AG64" s="334">
        <f t="shared" si="83"/>
        <v>360</v>
      </c>
      <c r="AH64" s="328"/>
      <c r="AI64" s="328" t="s">
        <v>633</v>
      </c>
      <c r="AJ64" s="327">
        <v>1</v>
      </c>
      <c r="AK64" s="327">
        <v>1</v>
      </c>
      <c r="AL64" s="336">
        <v>1</v>
      </c>
      <c r="AM64" s="327">
        <v>1</v>
      </c>
      <c r="AN64" s="327">
        <v>1</v>
      </c>
      <c r="AO64" s="327">
        <f t="shared" si="84"/>
        <v>1</v>
      </c>
      <c r="AP64" s="327">
        <v>1</v>
      </c>
      <c r="AQ64" s="327">
        <f t="shared" si="80"/>
        <v>1.5</v>
      </c>
      <c r="AR64" s="338"/>
      <c r="AS64" s="327">
        <f t="shared" si="81"/>
        <v>1</v>
      </c>
      <c r="AT64" s="327">
        <f t="shared" si="82"/>
        <v>1</v>
      </c>
      <c r="AU64" s="523">
        <v>1</v>
      </c>
      <c r="AV64" s="328"/>
      <c r="AW64" s="328"/>
      <c r="AX64" s="332">
        <v>1</v>
      </c>
      <c r="AY64" s="328" t="b">
        <f t="shared" si="51"/>
        <v>1</v>
      </c>
      <c r="AZ64" s="328" t="b">
        <f t="shared" si="4"/>
        <v>0</v>
      </c>
    </row>
    <row r="65" s="128" customFormat="1" ht="27" customHeight="1" spans="1:52">
      <c r="A65" s="326" t="str">
        <f>INDEX('Rate Card'!$A:$A,MATCH(服务费底表!$T65,'Rate Card'!$F:$F,0))</f>
        <v>数统</v>
      </c>
      <c r="B65" s="327" t="str">
        <f>INDEX(二三级标准!$G:$G,MATCH(服务费底表!$K65,二三级标准!B:B,0))</f>
        <v>次</v>
      </c>
      <c r="C65" s="327">
        <f>INDEX(服务费明细!$E:$E,MATCH(服务费底表!$K65,服务费明细!$B:$B,0))</f>
        <v>1</v>
      </c>
      <c r="D65" s="327" t="str">
        <f t="shared" si="71"/>
        <v>A009ST</v>
      </c>
      <c r="E65" s="327" t="str">
        <f t="shared" si="72"/>
        <v>T0028ST</v>
      </c>
      <c r="F65" s="328"/>
      <c r="G65" s="328" t="s">
        <v>684</v>
      </c>
      <c r="H65" s="326" t="str">
        <f>INDEX('Rate Card'!$B:$B,MATCH(服务费底表!$T65,'Rate Card'!$F:$F,0))</f>
        <v>生物统计及分析</v>
      </c>
      <c r="I65" s="328" t="s">
        <v>917</v>
      </c>
      <c r="J65" s="328" t="str">
        <f>INDEX(二三级标准!$Q:$Q,MATCH(服务费底表!I65,二三级标准!$O:$O,0))</f>
        <v>试验准备</v>
      </c>
      <c r="K65" s="328" t="s">
        <v>113</v>
      </c>
      <c r="L65" s="328" t="str">
        <f>INDEX(二三级标准!C:C,MATCH(服务费底表!K65,二三级标准!$B:$B,0))</f>
        <v>方案培训</v>
      </c>
      <c r="M65" s="328" t="s">
        <v>1208</v>
      </c>
      <c r="N65" s="328" t="str">
        <f>INDEX(二三级标准!$M:$M,MATCH(服务费底表!$M65,二三级标准!$L:$L,0))</f>
        <v>参加方案培训</v>
      </c>
      <c r="O65" s="527"/>
      <c r="P65" s="327">
        <f>IF(R65=1,INDEX(服务费明细!$E:$E,MATCH(服务费底表!$K65,服务费明细!$B:$B,0)),0)</f>
        <v>1</v>
      </c>
      <c r="Q65" s="328" t="s">
        <v>1178</v>
      </c>
      <c r="R65" s="520">
        <f>IF(AND(方案培训YN=1,统计分析YN=1),1,0)</f>
        <v>1</v>
      </c>
      <c r="S65" s="524" t="str">
        <f>INDEX('Rate Card'!$D:$D,MATCH(服务费底表!$T65,'Rate Card'!F:F,0))</f>
        <v>生物统计</v>
      </c>
      <c r="T65" s="328" t="s">
        <v>639</v>
      </c>
      <c r="U65" s="522" t="str">
        <f>INDEX('Rate Card'!$E:$E,MATCH(服务费底表!$T65,'Rate Card'!$F:$F,0))</f>
        <v>生物统计师</v>
      </c>
      <c r="V65" s="331">
        <f>INDEX('Rate Card'!$J:$J,MATCH($T65,'Rate Card'!$F:$F,0))</f>
        <v>400</v>
      </c>
      <c r="W65" s="523">
        <f t="shared" si="73"/>
        <v>400</v>
      </c>
      <c r="X65" s="523">
        <f t="shared" si="74"/>
        <v>1</v>
      </c>
      <c r="Y65" s="327" cm="1">
        <f t="array" ref="Y65">_xlfn.IFS(报价场景=服务费底表!$AJ$2,服务费底表!$AJ65,报价场景=服务费底表!$AP$2,服务费底表!$AP65,报价场景=服务费底表!$AK$2,服务费底表!$AK65,报价场景=服务费底表!$AL$2,服务费底表!$AL65,报价场景=服务费底表!$AM$2,服务费底表!$AM65,报价场景=服务费底表!$AN$2,服务费底表!$AN65,报价场景=服务费底表!$AQ$2,服务费底表!$AQ65,报价场景=服务费底表!$AO$2,服务费底表!$AO65)</f>
        <v>1</v>
      </c>
      <c r="Z65" s="327"/>
      <c r="AA65" s="332">
        <f t="shared" si="75"/>
        <v>1</v>
      </c>
      <c r="AB65" s="333">
        <f t="shared" si="76"/>
        <v>400</v>
      </c>
      <c r="AC65" s="328">
        <f t="shared" si="77"/>
        <v>1</v>
      </c>
      <c r="AD65" s="334">
        <f t="shared" si="78"/>
        <v>400</v>
      </c>
      <c r="AE65" s="334">
        <f>$AB65*(1-INDEX(项目参数!$D$5:$D$14,MATCH(服务费底表!$S65,项目参数!$B$5:$B$14,0)))</f>
        <v>400</v>
      </c>
      <c r="AF65" s="334">
        <f>$AD65*INDEX(项目参数!$D$5:$D$14,MATCH(服务费底表!$S65,项目参数!$B$5:$B$14,0))</f>
        <v>0</v>
      </c>
      <c r="AG65" s="334">
        <f t="shared" si="83"/>
        <v>400</v>
      </c>
      <c r="AH65" s="328"/>
      <c r="AI65" s="328" t="s">
        <v>639</v>
      </c>
      <c r="AJ65" s="327">
        <v>1</v>
      </c>
      <c r="AK65" s="327">
        <v>1</v>
      </c>
      <c r="AL65" s="336">
        <v>1</v>
      </c>
      <c r="AM65" s="327">
        <v>1</v>
      </c>
      <c r="AN65" s="327">
        <v>1</v>
      </c>
      <c r="AO65" s="327">
        <f t="shared" si="84"/>
        <v>1</v>
      </c>
      <c r="AP65" s="327">
        <v>1</v>
      </c>
      <c r="AQ65" s="327">
        <f t="shared" si="80"/>
        <v>1.5</v>
      </c>
      <c r="AR65" s="338"/>
      <c r="AS65" s="327">
        <f t="shared" si="81"/>
        <v>1</v>
      </c>
      <c r="AT65" s="327">
        <f t="shared" si="82"/>
        <v>1</v>
      </c>
      <c r="AU65" s="523">
        <v>1</v>
      </c>
      <c r="AV65" s="328"/>
      <c r="AW65" s="328"/>
      <c r="AX65" s="332">
        <v>1</v>
      </c>
      <c r="AY65" s="328" t="b">
        <f t="shared" si="51"/>
        <v>1</v>
      </c>
      <c r="AZ65" s="328" t="b">
        <f t="shared" si="4"/>
        <v>0</v>
      </c>
    </row>
    <row r="66" ht="27" customHeight="1" spans="1:52">
      <c r="A66" s="326" t="str">
        <f>INDEX('Rate Card'!$A:$A,MATCH(服务费底表!$T66,'Rate Card'!$F:$F,0))</f>
        <v>药物警戒</v>
      </c>
      <c r="B66" s="327" t="str">
        <f>INDEX(二三级标准!$G:$G,MATCH(服务费底表!$K66,二三级标准!B:B,0))</f>
        <v>次</v>
      </c>
      <c r="C66" s="327">
        <f>INDEX(服务费明细!$E:$E,MATCH(服务费底表!$K66,服务费明细!$B:$B,0))</f>
        <v>1</v>
      </c>
      <c r="D66" s="327" t="str">
        <f t="shared" si="71"/>
        <v>A009PVM</v>
      </c>
      <c r="E66" s="327" t="str">
        <f t="shared" si="72"/>
        <v>T0028PVM</v>
      </c>
      <c r="F66" s="328"/>
      <c r="G66" s="328" t="s">
        <v>684</v>
      </c>
      <c r="H66" s="326" t="str">
        <f>INDEX('Rate Card'!$B:$B,MATCH(服务费底表!$T66,'Rate Card'!$F:$F,0))</f>
        <v>药物警戒</v>
      </c>
      <c r="I66" s="328" t="s">
        <v>917</v>
      </c>
      <c r="J66" s="328" t="str">
        <f>INDEX(二三级标准!$Q:$Q,MATCH(服务费底表!I66,二三级标准!$O:$O,0))</f>
        <v>试验准备</v>
      </c>
      <c r="K66" s="328" t="s">
        <v>113</v>
      </c>
      <c r="L66" s="328" t="str">
        <f>INDEX(二三级标准!C:C,MATCH(服务费底表!K66,二三级标准!$B:$B,0))</f>
        <v>方案培训</v>
      </c>
      <c r="M66" s="328" t="s">
        <v>1208</v>
      </c>
      <c r="N66" s="328" t="str">
        <f>INDEX(二三级标准!$M:$M,MATCH(服务费底表!$M66,二三级标准!$L:$L,0))</f>
        <v>参加方案培训</v>
      </c>
      <c r="O66" s="328"/>
      <c r="P66" s="327">
        <f>IF(R66=1,INDEX(服务费明细!$E:$E,MATCH(服务费底表!$K66,服务费明细!$B:$B,0)),0)</f>
        <v>1</v>
      </c>
      <c r="Q66" s="328" t="s">
        <v>1178</v>
      </c>
      <c r="R66" s="520">
        <f>IF(AND(方案培训YN=1,药物警戒YN=1),1,0)</f>
        <v>1</v>
      </c>
      <c r="S66" s="528" t="str">
        <f>INDEX('Rate Card'!$D:$D,MATCH(服务费底表!$T66,'Rate Card'!F:F,0))</f>
        <v>药物警戒</v>
      </c>
      <c r="T66" s="328" t="s">
        <v>620</v>
      </c>
      <c r="U66" s="522" t="str">
        <f>INDEX('Rate Card'!$E:$E,MATCH(服务费底表!$T66,'Rate Card'!$F:$F,0))</f>
        <v>药物警戒经理</v>
      </c>
      <c r="V66" s="331">
        <f>INDEX('Rate Card'!$J:$J,MATCH($T66,'Rate Card'!$F:$F,0))</f>
        <v>500</v>
      </c>
      <c r="W66" s="523">
        <f t="shared" si="73"/>
        <v>500</v>
      </c>
      <c r="X66" s="523">
        <f t="shared" si="74"/>
        <v>1</v>
      </c>
      <c r="Y66" s="327" cm="1">
        <f t="array" ref="Y66">_xlfn.IFS(报价场景=服务费底表!$AJ$2,服务费底表!$AJ66,报价场景=服务费底表!$AP$2,服务费底表!$AP66,报价场景=服务费底表!$AK$2,服务费底表!$AK66,报价场景=服务费底表!$AL$2,服务费底表!$AL66,报价场景=服务费底表!$AM$2,服务费底表!$AM66,报价场景=服务费底表!$AN$2,服务费底表!$AN66,报价场景=服务费底表!$AQ$2,服务费底表!$AQ66,报价场景=服务费底表!$AO$2,服务费底表!$AO66)</f>
        <v>1</v>
      </c>
      <c r="Z66" s="327"/>
      <c r="AA66" s="332">
        <f t="shared" si="75"/>
        <v>1</v>
      </c>
      <c r="AB66" s="333">
        <f t="shared" si="76"/>
        <v>500</v>
      </c>
      <c r="AC66" s="328">
        <f t="shared" si="77"/>
        <v>1</v>
      </c>
      <c r="AD66" s="334">
        <f t="shared" si="78"/>
        <v>500</v>
      </c>
      <c r="AE66" s="334">
        <f>$AB66*(1-INDEX(项目参数!$D$5:$D$14,MATCH(服务费底表!$S66,项目参数!$B$5:$B$14,0)))</f>
        <v>500</v>
      </c>
      <c r="AF66" s="334">
        <f>$AD66*INDEX(项目参数!$D$5:$D$14,MATCH(服务费底表!$S66,项目参数!$B$5:$B$14,0))</f>
        <v>0</v>
      </c>
      <c r="AG66" s="334">
        <f t="shared" si="83"/>
        <v>500</v>
      </c>
      <c r="AH66" s="328"/>
      <c r="AI66" s="328" t="s">
        <v>620</v>
      </c>
      <c r="AJ66" s="327">
        <v>1</v>
      </c>
      <c r="AK66" s="327">
        <v>1</v>
      </c>
      <c r="AL66" s="336">
        <v>1</v>
      </c>
      <c r="AM66" s="327">
        <v>1</v>
      </c>
      <c r="AN66" s="327">
        <v>1</v>
      </c>
      <c r="AO66" s="327">
        <f t="shared" si="84"/>
        <v>1</v>
      </c>
      <c r="AP66" s="327">
        <v>1</v>
      </c>
      <c r="AQ66" s="327">
        <f t="shared" si="80"/>
        <v>1.5</v>
      </c>
      <c r="AR66" s="338"/>
      <c r="AS66" s="327">
        <f t="shared" si="81"/>
        <v>1</v>
      </c>
      <c r="AT66" s="327">
        <f t="shared" si="82"/>
        <v>1</v>
      </c>
      <c r="AU66" s="523">
        <v>1</v>
      </c>
      <c r="AV66" s="328"/>
      <c r="AW66" s="328"/>
      <c r="AX66" s="332">
        <v>1</v>
      </c>
      <c r="AY66" s="328" t="b">
        <f t="shared" si="51"/>
        <v>1</v>
      </c>
      <c r="AZ66" s="328" t="b">
        <f t="shared" si="4"/>
        <v>0</v>
      </c>
    </row>
    <row r="67" ht="27" customHeight="1" spans="1:52">
      <c r="A67" s="326" t="str">
        <f>INDEX('Rate Card'!$A:$A,MATCH(服务费底表!$T67,'Rate Card'!$F:$F,0))</f>
        <v>临床药理</v>
      </c>
      <c r="B67" s="327" t="str">
        <f>INDEX(二三级标准!$G:$G,MATCH(服务费底表!$K67,二三级标准!B:B,0))</f>
        <v>次</v>
      </c>
      <c r="C67" s="327">
        <f>INDEX(服务费明细!$E:$E,MATCH(服务费底表!$K67,服务费明细!$B:$B,0))</f>
        <v>1</v>
      </c>
      <c r="D67" s="327" t="str">
        <f t="shared" si="71"/>
        <v>A009CPS</v>
      </c>
      <c r="E67" s="327" t="str">
        <f t="shared" si="72"/>
        <v>T0028CPS</v>
      </c>
      <c r="F67" s="328"/>
      <c r="G67" s="328" t="s">
        <v>684</v>
      </c>
      <c r="H67" s="326" t="str">
        <f>INDEX('Rate Card'!$B:$B,MATCH(服务费底表!$T67,'Rate Card'!$F:$F,0))</f>
        <v>临床药理</v>
      </c>
      <c r="I67" s="328" t="s">
        <v>917</v>
      </c>
      <c r="J67" s="328" t="str">
        <f>INDEX(二三级标准!$Q:$Q,MATCH(服务费底表!I67,二三级标准!$O:$O,0))</f>
        <v>试验准备</v>
      </c>
      <c r="K67" s="328" t="s">
        <v>113</v>
      </c>
      <c r="L67" s="328" t="str">
        <f>INDEX(二三级标准!C:C,MATCH(服务费底表!K67,二三级标准!$B:$B,0))</f>
        <v>方案培训</v>
      </c>
      <c r="M67" s="328" t="s">
        <v>1208</v>
      </c>
      <c r="N67" s="328" t="str">
        <f>INDEX(二三级标准!$M:$M,MATCH(服务费底表!$M67,二三级标准!$L:$L,0))</f>
        <v>参加方案培训</v>
      </c>
      <c r="O67" s="530"/>
      <c r="P67" s="327">
        <f>IF(R67=1,INDEX(服务费明细!$E:$E,MATCH(服务费底表!$K67,服务费明细!$B:$B,0)),0)</f>
        <v>1</v>
      </c>
      <c r="Q67" s="328" t="s">
        <v>1178</v>
      </c>
      <c r="R67" s="520">
        <f>IF(AND(方案培训YN=1,临床药理YN=1),1,0)</f>
        <v>1</v>
      </c>
      <c r="S67" s="328" t="str">
        <f>INDEX('Rate Card'!$D:$D,MATCH(服务费底表!$T67,'Rate Card'!F:F,0))</f>
        <v>临床药理</v>
      </c>
      <c r="T67" s="328" t="s">
        <v>652</v>
      </c>
      <c r="U67" s="522" t="str">
        <f>INDEX('Rate Card'!$E:$E,MATCH(服务费底表!$T67,'Rate Card'!$F:$F,0))</f>
        <v>临床药理专员</v>
      </c>
      <c r="V67" s="331">
        <f>INDEX('Rate Card'!$J:$J,MATCH($T67,'Rate Card'!$F:$F,0))</f>
        <v>580</v>
      </c>
      <c r="W67" s="523">
        <f t="shared" si="73"/>
        <v>580</v>
      </c>
      <c r="X67" s="523">
        <f t="shared" si="74"/>
        <v>1</v>
      </c>
      <c r="Y67" s="327" cm="1">
        <f t="array" ref="Y67">_xlfn.IFS(报价场景=服务费底表!$AJ$2,服务费底表!$AJ67,报价场景=服务费底表!$AP$2,服务费底表!$AP67,报价场景=服务费底表!$AK$2,服务费底表!$AK67,报价场景=服务费底表!$AL$2,服务费底表!$AL67,报价场景=服务费底表!$AM$2,服务费底表!$AM67,报价场景=服务费底表!$AN$2,服务费底表!$AN67,报价场景=服务费底表!$AQ$2,服务费底表!$AQ67,报价场景=服务费底表!$AO$2,服务费底表!$AO67)</f>
        <v>1</v>
      </c>
      <c r="Z67" s="327"/>
      <c r="AA67" s="332">
        <f t="shared" si="75"/>
        <v>1</v>
      </c>
      <c r="AB67" s="333">
        <f t="shared" si="76"/>
        <v>580</v>
      </c>
      <c r="AC67" s="328">
        <f t="shared" si="77"/>
        <v>1</v>
      </c>
      <c r="AD67" s="334">
        <f t="shared" si="78"/>
        <v>580</v>
      </c>
      <c r="AE67" s="334">
        <f>$AB67*(1-INDEX(项目参数!$D$5:$D$14,MATCH(服务费底表!$S67,项目参数!$B$5:$B$14,0)))</f>
        <v>580</v>
      </c>
      <c r="AF67" s="334">
        <f>$AD67*INDEX(项目参数!$D$5:$D$14,MATCH(服务费底表!$S67,项目参数!$B$5:$B$14,0))</f>
        <v>0</v>
      </c>
      <c r="AG67" s="334">
        <f t="shared" si="83"/>
        <v>580</v>
      </c>
      <c r="AH67" s="328"/>
      <c r="AI67" s="328" t="s">
        <v>652</v>
      </c>
      <c r="AJ67" s="327">
        <v>1</v>
      </c>
      <c r="AK67" s="327">
        <v>1</v>
      </c>
      <c r="AL67" s="336">
        <v>1</v>
      </c>
      <c r="AM67" s="327">
        <v>1</v>
      </c>
      <c r="AN67" s="327">
        <v>1</v>
      </c>
      <c r="AO67" s="327">
        <f t="shared" si="84"/>
        <v>1</v>
      </c>
      <c r="AP67" s="327">
        <v>1</v>
      </c>
      <c r="AQ67" s="327">
        <f t="shared" si="80"/>
        <v>1.5</v>
      </c>
      <c r="AR67" s="338"/>
      <c r="AS67" s="327">
        <f t="shared" si="81"/>
        <v>1</v>
      </c>
      <c r="AT67" s="327">
        <f t="shared" si="82"/>
        <v>1</v>
      </c>
      <c r="AU67" s="523">
        <v>1</v>
      </c>
      <c r="AV67" s="328"/>
      <c r="AW67" s="328"/>
      <c r="AX67" s="332">
        <v>1</v>
      </c>
      <c r="AY67" s="328" t="b">
        <f t="shared" si="51"/>
        <v>1</v>
      </c>
      <c r="AZ67" s="328" t="b">
        <f t="shared" si="4"/>
        <v>0</v>
      </c>
    </row>
    <row r="68" ht="46" customHeight="1" spans="1:52">
      <c r="A68" s="326" t="str">
        <f>INDEX('Rate Card'!$A:$A,MATCH(服务费底表!$T68,'Rate Card'!$F:$F,0))</f>
        <v>临床运营</v>
      </c>
      <c r="B68" s="327" t="str">
        <f>INDEX(二三级标准!$G:$G,MATCH(服务费底表!$K68,二三级标准!B:B,0))</f>
        <v>份</v>
      </c>
      <c r="C68" s="327">
        <f>INDEX(服务费明细!$E:$E,MATCH(服务费底表!$K68,服务费明细!$B:$B,0))</f>
        <v>1</v>
      </c>
      <c r="D68" s="327" t="str">
        <f t="shared" si="71"/>
        <v>A248PM</v>
      </c>
      <c r="E68" s="327" t="str">
        <f t="shared" si="72"/>
        <v>T0710PM</v>
      </c>
      <c r="F68" s="328"/>
      <c r="G68" s="328" t="s">
        <v>684</v>
      </c>
      <c r="H68" s="326" t="str">
        <f>INDEX('Rate Card'!$B:$B,MATCH(服务费底表!$T68,'Rate Card'!$F:$F,0))</f>
        <v>临床运营</v>
      </c>
      <c r="I68" s="328" t="s">
        <v>917</v>
      </c>
      <c r="J68" s="328" t="str">
        <f>INDEX(二三级标准!$Q:$Q,MATCH(服务费底表!I68,二三级标准!$O:$O,0))</f>
        <v>试验准备</v>
      </c>
      <c r="K68" s="328" t="s">
        <v>991</v>
      </c>
      <c r="L68" s="328" t="str">
        <f>INDEX(二三级标准!C:C,MATCH(服务费底表!K68,二三级标准!$B:$B,0))</f>
        <v>SSU阶段文件准备</v>
      </c>
      <c r="M68" s="328" t="s">
        <v>1209</v>
      </c>
      <c r="N68" s="328" t="str">
        <f>INDEX(二三级标准!$M:$M,MATCH(服务费底表!$M68,二三级标准!$L:$L,0))</f>
        <v>SSU阶段文件准备（中心可行性调研问卷、立项伦理资料模版、合同模版等）</v>
      </c>
      <c r="O68" s="328"/>
      <c r="P68" s="327">
        <f>IF(R68=1,INDEX(服务费明细!$E:$E,MATCH(服务费底表!$K68,服务费明细!$B:$B,0)),0)</f>
        <v>1</v>
      </c>
      <c r="Q68" s="328" t="s">
        <v>1176</v>
      </c>
      <c r="R68" s="520">
        <f>IF(AND(SSU阶段文件准备YN=1,项目管理YN=1),1,0)</f>
        <v>1</v>
      </c>
      <c r="S68" s="525" t="s">
        <v>570</v>
      </c>
      <c r="T68" s="328" t="s">
        <v>599</v>
      </c>
      <c r="U68" s="522" t="str">
        <f>INDEX('Rate Card'!$E:$E,MATCH(服务费底表!$T68,'Rate Card'!$F:$F,0))</f>
        <v>临床项目经理</v>
      </c>
      <c r="V68" s="331">
        <f>INDEX('Rate Card'!$J:$J,MATCH($T68,'Rate Card'!$F:$F,0))</f>
        <v>650</v>
      </c>
      <c r="W68" s="523">
        <f t="shared" si="73"/>
        <v>650</v>
      </c>
      <c r="X68" s="523">
        <f t="shared" si="74"/>
        <v>24</v>
      </c>
      <c r="Y68" s="327" cm="1">
        <f t="array" ref="Y68">_xlfn.IFS(报价场景=服务费底表!$AJ$2,服务费底表!$AJ68,报价场景=服务费底表!$AP$2,服务费底表!$AP68,报价场景=服务费底表!$AK$2,服务费底表!$AK68,报价场景=服务费底表!$AL$2,服务费底表!$AL68,报价场景=服务费底表!$AM$2,服务费底表!$AM68,报价场景=服务费底表!$AN$2,服务费底表!$AN68,报价场景=服务费底表!$AQ$2,服务费底表!$AQ68,报价场景=服务费底表!$AO$2,服务费底表!$AO68)</f>
        <v>24</v>
      </c>
      <c r="Z68" s="327"/>
      <c r="AA68" s="332">
        <f t="shared" si="75"/>
        <v>24</v>
      </c>
      <c r="AB68" s="333">
        <f t="shared" si="76"/>
        <v>15600</v>
      </c>
      <c r="AC68" s="328">
        <f t="shared" si="77"/>
        <v>24</v>
      </c>
      <c r="AD68" s="334">
        <f t="shared" si="78"/>
        <v>15600</v>
      </c>
      <c r="AE68" s="334">
        <f>$AB68*(1-INDEX(项目参数!$D$5:$D$14,MATCH(服务费底表!$S68,项目参数!$B$5:$B$14,0)))</f>
        <v>15600</v>
      </c>
      <c r="AF68" s="334">
        <f>$AD68*INDEX(项目参数!$D$5:$D$14,MATCH(服务费底表!$S68,项目参数!$B$5:$B$14,0))</f>
        <v>0</v>
      </c>
      <c r="AG68" s="334">
        <f t="shared" si="83"/>
        <v>15600</v>
      </c>
      <c r="AH68" s="328"/>
      <c r="AI68" s="328" t="s">
        <v>599</v>
      </c>
      <c r="AJ68" s="327">
        <v>24</v>
      </c>
      <c r="AK68" s="327">
        <v>24</v>
      </c>
      <c r="AL68" s="327">
        <v>16</v>
      </c>
      <c r="AM68" s="327">
        <v>16</v>
      </c>
      <c r="AN68" s="327">
        <f>AJ68</f>
        <v>24</v>
      </c>
      <c r="AO68" s="327">
        <f t="shared" si="84"/>
        <v>16</v>
      </c>
      <c r="AP68" s="327">
        <v>24</v>
      </c>
      <c r="AQ68" s="327">
        <f t="shared" si="80"/>
        <v>36</v>
      </c>
      <c r="AR68" s="338"/>
      <c r="AS68" s="327">
        <f t="shared" si="81"/>
        <v>24</v>
      </c>
      <c r="AT68" s="327">
        <f t="shared" si="82"/>
        <v>24</v>
      </c>
      <c r="AU68" s="523">
        <v>24</v>
      </c>
      <c r="AV68" s="328"/>
      <c r="AW68" s="328"/>
      <c r="AX68" s="332">
        <v>24</v>
      </c>
      <c r="AY68" s="328" t="b">
        <f t="shared" ref="AY68:AY131" si="85">IF(AX68=AJ68,TRUE,FALSE)</f>
        <v>1</v>
      </c>
      <c r="AZ68" s="328" t="b">
        <f t="shared" ref="AZ68:AZ131" si="86">IF(K68&lt;&gt;K67,IF(AZ67=TRUE,FALSE,TRUE),AZ67)</f>
        <v>1</v>
      </c>
    </row>
    <row r="69" ht="27" customHeight="1" spans="1:52">
      <c r="A69" s="326" t="str">
        <f>INDEX('Rate Card'!$A:$A,MATCH(服务费底表!$T69,'Rate Card'!$F:$F,0))</f>
        <v>临床运营</v>
      </c>
      <c r="B69" s="327" t="str">
        <f>INDEX(二三级标准!$G:$G,MATCH(服务费底表!$K69,二三级标准!B:B,0))</f>
        <v>次</v>
      </c>
      <c r="C69" s="327">
        <f>INDEX(服务费明细!$E:$E,MATCH(服务费底表!$K69,服务费明细!$B:$B,0))</f>
        <v>8</v>
      </c>
      <c r="D69" s="327" t="str">
        <f t="shared" si="71"/>
        <v>A010CRA</v>
      </c>
      <c r="E69" s="327" t="str">
        <f t="shared" si="72"/>
        <v>T0030CRA</v>
      </c>
      <c r="F69" s="328"/>
      <c r="G69" s="328" t="s">
        <v>684</v>
      </c>
      <c r="H69" s="326" t="str">
        <f>INDEX('Rate Card'!$B:$B,MATCH(服务费底表!$T69,'Rate Card'!$F:$F,0))</f>
        <v>临床运营</v>
      </c>
      <c r="I69" s="328" t="s">
        <v>917</v>
      </c>
      <c r="J69" s="328" t="str">
        <f>INDEX(二三级标准!$Q:$Q,MATCH(服务费底表!I69,二三级标准!$O:$O,0))</f>
        <v>试验准备</v>
      </c>
      <c r="K69" s="328" t="s">
        <v>116</v>
      </c>
      <c r="L69" s="328" t="str">
        <f>INDEX(二三级标准!C:C,MATCH(服务费底表!K69,二三级标准!$B:$B,0))</f>
        <v>中心可行性调研</v>
      </c>
      <c r="M69" s="328" t="s">
        <v>1210</v>
      </c>
      <c r="N69" s="328" t="str">
        <f>INDEX(二三级标准!$M:$M,MATCH(服务费底表!$M69,二三级标准!$L:$L,0))</f>
        <v>电话调研中心可行性</v>
      </c>
      <c r="O69" s="328"/>
      <c r="P69" s="327">
        <f>IF(R69=1,INDEX(服务费明细!$E:$E,MATCH(服务费底表!$K69,服务费明细!$B:$B,0)),0)</f>
        <v>8</v>
      </c>
      <c r="Q69" s="328" t="s">
        <v>1178</v>
      </c>
      <c r="R69" s="520">
        <f>IF(AND(中心可行性调研YN=1,临床监查YN=1),1,0)</f>
        <v>1</v>
      </c>
      <c r="S69" s="525" t="str">
        <f>INDEX('Rate Card'!$D:$D,MATCH(服务费底表!$T69,'Rate Card'!F:F,0))</f>
        <v>临床监查</v>
      </c>
      <c r="T69" s="328" t="s">
        <v>595</v>
      </c>
      <c r="U69" s="522" t="str">
        <f>INDEX('Rate Card'!$E:$E,MATCH(服务费底表!$T69,'Rate Card'!$F:$F,0))</f>
        <v>临床监查员</v>
      </c>
      <c r="V69" s="331">
        <f>INDEX('Rate Card'!$J:$J,MATCH($T69,'Rate Card'!$F:$F,0))</f>
        <v>340</v>
      </c>
      <c r="W69" s="523">
        <f t="shared" si="73"/>
        <v>340</v>
      </c>
      <c r="X69" s="523">
        <f t="shared" si="74"/>
        <v>3</v>
      </c>
      <c r="Y69" s="327" cm="1">
        <f t="array" ref="Y69">_xlfn.IFS(报价场景=服务费底表!$AJ$2,服务费底表!$AJ69,报价场景=服务费底表!$AP$2,服务费底表!$AP69,报价场景=服务费底表!$AK$2,服务费底表!$AK69,报价场景=服务费底表!$AL$2,服务费底表!$AL69,报价场景=服务费底表!$AM$2,服务费底表!$AM69,报价场景=服务费底表!$AN$2,服务费底表!$AN69,报价场景=服务费底表!$AQ$2,服务费底表!$AQ69,报价场景=服务费底表!$AO$2,服务费底表!$AO69)</f>
        <v>3</v>
      </c>
      <c r="Z69" s="327"/>
      <c r="AA69" s="332">
        <f t="shared" si="75"/>
        <v>3</v>
      </c>
      <c r="AB69" s="333">
        <f t="shared" si="76"/>
        <v>1020</v>
      </c>
      <c r="AC69" s="328">
        <f t="shared" si="77"/>
        <v>24</v>
      </c>
      <c r="AD69" s="334">
        <f t="shared" si="78"/>
        <v>8160</v>
      </c>
      <c r="AE69" s="334">
        <f>$AB69*(1-INDEX(项目参数!$D$5:$D$14,MATCH(服务费底表!$S69,项目参数!$B$5:$B$14,0)))</f>
        <v>1020</v>
      </c>
      <c r="AF69" s="334">
        <f>$AD69*INDEX(项目参数!$D$5:$D$14,MATCH(服务费底表!$S69,项目参数!$B$5:$B$14,0))</f>
        <v>0</v>
      </c>
      <c r="AG69" s="334">
        <f t="shared" si="83"/>
        <v>8160</v>
      </c>
      <c r="AH69" s="328"/>
      <c r="AI69" s="328" t="s">
        <v>595</v>
      </c>
      <c r="AJ69" s="327">
        <v>3</v>
      </c>
      <c r="AK69" s="327">
        <f>AJ69*1.5</f>
        <v>4.5</v>
      </c>
      <c r="AL69" s="327">
        <f>AM69</f>
        <v>2</v>
      </c>
      <c r="AM69" s="327">
        <v>2</v>
      </c>
      <c r="AN69" s="327">
        <f>AJ69</f>
        <v>3</v>
      </c>
      <c r="AO69" s="327">
        <f t="shared" si="84"/>
        <v>2</v>
      </c>
      <c r="AP69" s="327">
        <v>3</v>
      </c>
      <c r="AQ69" s="327">
        <f t="shared" si="80"/>
        <v>4.5</v>
      </c>
      <c r="AR69" s="338"/>
      <c r="AS69" s="327">
        <f t="shared" si="81"/>
        <v>24</v>
      </c>
      <c r="AT69" s="327">
        <f t="shared" si="82"/>
        <v>24</v>
      </c>
      <c r="AU69" s="523">
        <v>3</v>
      </c>
      <c r="AV69" s="328"/>
      <c r="AW69" s="328"/>
      <c r="AX69" s="332">
        <v>3</v>
      </c>
      <c r="AY69" s="328" t="b">
        <f t="shared" si="85"/>
        <v>1</v>
      </c>
      <c r="AZ69" s="328" t="b">
        <f t="shared" si="86"/>
        <v>0</v>
      </c>
    </row>
    <row r="70" ht="27" customHeight="1" spans="1:52">
      <c r="A70" s="326" t="str">
        <f>INDEX('Rate Card'!$A:$A,MATCH(服务费底表!$T70,'Rate Card'!$F:$F,0))</f>
        <v>临床运营</v>
      </c>
      <c r="B70" s="327" t="str">
        <f>INDEX(二三级标准!$G:$G,MATCH(服务费底表!$K70,二三级标准!B:B,0))</f>
        <v>次</v>
      </c>
      <c r="C70" s="327">
        <f>INDEX(服务费明细!$E:$E,MATCH(服务费底表!$K70,服务费明细!$B:$B,0))</f>
        <v>6</v>
      </c>
      <c r="D70" s="327" t="str">
        <f t="shared" si="71"/>
        <v>A011CRA</v>
      </c>
      <c r="E70" s="327" t="str">
        <f t="shared" si="72"/>
        <v>T0032CRA</v>
      </c>
      <c r="F70" s="328"/>
      <c r="G70" s="328" t="s">
        <v>684</v>
      </c>
      <c r="H70" s="326" t="str">
        <f>INDEX('Rate Card'!$B:$B,MATCH(服务费底表!$T70,'Rate Card'!$F:$F,0))</f>
        <v>临床运营</v>
      </c>
      <c r="I70" s="328" t="s">
        <v>917</v>
      </c>
      <c r="J70" s="328" t="str">
        <f>INDEX(二三级标准!$Q:$Q,MATCH(服务费底表!I70,二三级标准!$O:$O,0))</f>
        <v>试验准备</v>
      </c>
      <c r="K70" s="328" t="s">
        <v>119</v>
      </c>
      <c r="L70" s="328" t="str">
        <f>INDEX(二三级标准!C:C,MATCH(服务费底表!K70,二三级标准!$B:$B,0))</f>
        <v>筛选访视</v>
      </c>
      <c r="M70" s="328" t="s">
        <v>1211</v>
      </c>
      <c r="N70" s="328" t="str">
        <f>INDEX(二三级标准!$M:$M,MATCH(服务费底表!$M70,二三级标准!$L:$L,0))</f>
        <v>准备筛选访视</v>
      </c>
      <c r="O70" s="328"/>
      <c r="P70" s="327">
        <f>IF(R70=1,INDEX(服务费明细!$E:$E,MATCH(服务费底表!$K70,服务费明细!$B:$B,0)),0)</f>
        <v>6</v>
      </c>
      <c r="Q70" s="328" t="s">
        <v>1178</v>
      </c>
      <c r="R70" s="520">
        <f>IF(AND(筛选访视YN=1,临床监查YN=1),1,0)</f>
        <v>1</v>
      </c>
      <c r="S70" s="525" t="str">
        <f>INDEX('Rate Card'!$D:$D,MATCH(服务费底表!$T70,'Rate Card'!F:F,0))</f>
        <v>临床监查</v>
      </c>
      <c r="T70" s="328" t="s">
        <v>595</v>
      </c>
      <c r="U70" s="522" t="str">
        <f>INDEX('Rate Card'!$E:$E,MATCH(服务费底表!$T70,'Rate Card'!$F:$F,0))</f>
        <v>临床监查员</v>
      </c>
      <c r="V70" s="331">
        <f>INDEX('Rate Card'!$J:$J,MATCH($T70,'Rate Card'!$F:$F,0))</f>
        <v>340</v>
      </c>
      <c r="W70" s="523">
        <f t="shared" si="73"/>
        <v>340</v>
      </c>
      <c r="X70" s="523">
        <f t="shared" si="74"/>
        <v>2</v>
      </c>
      <c r="Y70" s="327" cm="1">
        <f t="array" ref="Y70">_xlfn.IFS(报价场景=服务费底表!$AJ$2,服务费底表!$AJ70,报价场景=服务费底表!$AP$2,服务费底表!$AP70,报价场景=服务费底表!$AK$2,服务费底表!$AK70,报价场景=服务费底表!$AL$2,服务费底表!$AL70,报价场景=服务费底表!$AM$2,服务费底表!$AM70,报价场景=服务费底表!$AN$2,服务费底表!$AN70,报价场景=服务费底表!$AQ$2,服务费底表!$AQ70,报价场景=服务费底表!$AO$2,服务费底表!$AO70)</f>
        <v>2</v>
      </c>
      <c r="Z70" s="327"/>
      <c r="AA70" s="332">
        <f t="shared" si="75"/>
        <v>2</v>
      </c>
      <c r="AB70" s="333">
        <f t="shared" si="76"/>
        <v>680</v>
      </c>
      <c r="AC70" s="328">
        <f t="shared" si="77"/>
        <v>12</v>
      </c>
      <c r="AD70" s="334">
        <f t="shared" si="78"/>
        <v>4080</v>
      </c>
      <c r="AE70" s="334">
        <f>$AB70*(1-INDEX(项目参数!$D$5:$D$14,MATCH(服务费底表!$S70,项目参数!$B$5:$B$14,0)))</f>
        <v>680</v>
      </c>
      <c r="AF70" s="334">
        <f>$AD70*INDEX(项目参数!$D$5:$D$14,MATCH(服务费底表!$S70,项目参数!$B$5:$B$14,0))</f>
        <v>0</v>
      </c>
      <c r="AG70" s="334">
        <f t="shared" si="83"/>
        <v>4080</v>
      </c>
      <c r="AH70" s="328"/>
      <c r="AI70" s="328" t="s">
        <v>595</v>
      </c>
      <c r="AJ70" s="327">
        <f>项目时间计划!$H$25</f>
        <v>2</v>
      </c>
      <c r="AK70" s="327">
        <f>AJ70*1.5</f>
        <v>3</v>
      </c>
      <c r="AL70" s="327">
        <f>AM70</f>
        <v>2</v>
      </c>
      <c r="AM70" s="327">
        <v>2</v>
      </c>
      <c r="AN70" s="327">
        <v>2</v>
      </c>
      <c r="AO70" s="327">
        <v>2</v>
      </c>
      <c r="AP70" s="327">
        <v>2</v>
      </c>
      <c r="AQ70" s="327">
        <f t="shared" si="80"/>
        <v>3</v>
      </c>
      <c r="AR70" s="338"/>
      <c r="AS70" s="327">
        <f t="shared" si="81"/>
        <v>12</v>
      </c>
      <c r="AT70" s="327">
        <f t="shared" si="82"/>
        <v>12</v>
      </c>
      <c r="AU70" s="523">
        <v>2</v>
      </c>
      <c r="AV70" s="328"/>
      <c r="AW70" s="328"/>
      <c r="AX70" s="332">
        <v>2</v>
      </c>
      <c r="AY70" s="328" t="b">
        <f t="shared" si="85"/>
        <v>1</v>
      </c>
      <c r="AZ70" s="328" t="b">
        <f t="shared" si="86"/>
        <v>1</v>
      </c>
    </row>
    <row r="71" ht="27" customHeight="1" spans="1:52">
      <c r="A71" s="326" t="str">
        <f>INDEX('Rate Card'!$A:$A,MATCH(服务费底表!$T71,'Rate Card'!$F:$F,0))</f>
        <v>临床运营</v>
      </c>
      <c r="B71" s="327" t="str">
        <f>INDEX(二三级标准!$G:$G,MATCH(服务费底表!$K71,二三级标准!B:B,0))</f>
        <v>次</v>
      </c>
      <c r="C71" s="327">
        <f>INDEX(服务费明细!$E:$E,MATCH(服务费底表!$K71,服务费明细!$B:$B,0))</f>
        <v>6</v>
      </c>
      <c r="D71" s="327" t="str">
        <f t="shared" si="71"/>
        <v>A011CRA</v>
      </c>
      <c r="E71" s="327" t="str">
        <f t="shared" si="72"/>
        <v>T0033CRA</v>
      </c>
      <c r="F71" s="328"/>
      <c r="G71" s="328" t="s">
        <v>684</v>
      </c>
      <c r="H71" s="326" t="str">
        <f>INDEX('Rate Card'!$B:$B,MATCH(服务费底表!$T71,'Rate Card'!$F:$F,0))</f>
        <v>临床运营</v>
      </c>
      <c r="I71" s="328" t="s">
        <v>917</v>
      </c>
      <c r="J71" s="328" t="str">
        <f>INDEX(二三级标准!$Q:$Q,MATCH(服务费底表!I71,二三级标准!$O:$O,0))</f>
        <v>试验准备</v>
      </c>
      <c r="K71" s="328" t="s">
        <v>119</v>
      </c>
      <c r="L71" s="328" t="str">
        <f>INDEX(二三级标准!C:C,MATCH(服务费底表!K71,二三级标准!$B:$B,0))</f>
        <v>筛选访视</v>
      </c>
      <c r="M71" s="328" t="s">
        <v>1212</v>
      </c>
      <c r="N71" s="328" t="str">
        <f>INDEX(二三级标准!$M:$M,MATCH(服务费底表!$M71,二三级标准!$L:$L,0))</f>
        <v>筛选访视及撰写报告</v>
      </c>
      <c r="O71" s="328"/>
      <c r="P71" s="327">
        <f>IF(R71=1,INDEX(服务费明细!$E:$E,MATCH(服务费底表!$K71,服务费明细!$B:$B,0)),0)</f>
        <v>6</v>
      </c>
      <c r="Q71" s="328" t="s">
        <v>1178</v>
      </c>
      <c r="R71" s="520">
        <f>IF(AND(筛选访视YN=1,临床监查YN=1),1,0)</f>
        <v>1</v>
      </c>
      <c r="S71" s="525" t="str">
        <f>INDEX('Rate Card'!$D:$D,MATCH(服务费底表!$T71,'Rate Card'!F:F,0))</f>
        <v>临床监查</v>
      </c>
      <c r="T71" s="328" t="s">
        <v>595</v>
      </c>
      <c r="U71" s="522" t="str">
        <f>INDEX('Rate Card'!$E:$E,MATCH(服务费底表!$T71,'Rate Card'!$F:$F,0))</f>
        <v>临床监查员</v>
      </c>
      <c r="V71" s="331">
        <f>INDEX('Rate Card'!$J:$J,MATCH($T71,'Rate Card'!$F:$F,0))</f>
        <v>340</v>
      </c>
      <c r="W71" s="523">
        <f t="shared" si="73"/>
        <v>340</v>
      </c>
      <c r="X71" s="523">
        <f t="shared" si="74"/>
        <v>13</v>
      </c>
      <c r="Y71" s="327" cm="1">
        <f t="array" ref="Y71">_xlfn.IFS(报价场景=服务费底表!$AJ$2,服务费底表!$AJ71,报价场景=服务费底表!$AP$2,服务费底表!$AP71,报价场景=服务费底表!$AK$2,服务费底表!$AK71,报价场景=服务费底表!$AL$2,服务费底表!$AL71,报价场景=服务费底表!$AM$2,服务费底表!$AM71,报价场景=服务费底表!$AN$2,服务费底表!$AN71,报价场景=服务费底表!$AQ$2,服务费底表!$AQ71,报价场景=服务费底表!$AO$2,服务费底表!$AO71)</f>
        <v>13</v>
      </c>
      <c r="Z71" s="327"/>
      <c r="AA71" s="332">
        <f t="shared" si="75"/>
        <v>13</v>
      </c>
      <c r="AB71" s="333">
        <f t="shared" si="76"/>
        <v>4420</v>
      </c>
      <c r="AC71" s="328">
        <f t="shared" si="77"/>
        <v>78</v>
      </c>
      <c r="AD71" s="334">
        <f t="shared" si="78"/>
        <v>26520</v>
      </c>
      <c r="AE71" s="334">
        <f>$AB71*(1-INDEX(项目参数!$D$5:$D$14,MATCH(服务费底表!$S71,项目参数!$B$5:$B$14,0)))</f>
        <v>4420</v>
      </c>
      <c r="AF71" s="334">
        <f>$AD71*INDEX(项目参数!$D$5:$D$14,MATCH(服务费底表!$S71,项目参数!$B$5:$B$14,0))</f>
        <v>0</v>
      </c>
      <c r="AG71" s="334">
        <f t="shared" si="83"/>
        <v>26520</v>
      </c>
      <c r="AH71" s="328"/>
      <c r="AI71" s="328" t="s">
        <v>595</v>
      </c>
      <c r="AJ71" s="327">
        <f>项目时间计划!$I$25</f>
        <v>13</v>
      </c>
      <c r="AK71" s="327">
        <v>20</v>
      </c>
      <c r="AL71" s="327">
        <f>AM71</f>
        <v>13</v>
      </c>
      <c r="AM71" s="327">
        <v>13</v>
      </c>
      <c r="AN71" s="327">
        <v>13</v>
      </c>
      <c r="AO71" s="327">
        <v>13</v>
      </c>
      <c r="AP71" s="327">
        <v>13</v>
      </c>
      <c r="AQ71" s="327">
        <f t="shared" si="80"/>
        <v>19.5</v>
      </c>
      <c r="AR71" s="338"/>
      <c r="AS71" s="327">
        <f t="shared" si="81"/>
        <v>78</v>
      </c>
      <c r="AT71" s="327">
        <f t="shared" si="82"/>
        <v>78</v>
      </c>
      <c r="AU71" s="523">
        <v>13</v>
      </c>
      <c r="AV71" s="328"/>
      <c r="AW71" s="328"/>
      <c r="AX71" s="332">
        <v>13</v>
      </c>
      <c r="AY71" s="328" t="b">
        <f t="shared" si="85"/>
        <v>1</v>
      </c>
      <c r="AZ71" s="328" t="b">
        <f t="shared" si="86"/>
        <v>1</v>
      </c>
    </row>
    <row r="72" ht="27" customHeight="1" spans="1:52">
      <c r="A72" s="326" t="str">
        <f>INDEX('Rate Card'!$A:$A,MATCH(服务费底表!$T72,'Rate Card'!$F:$F,0))</f>
        <v>临床运营</v>
      </c>
      <c r="B72" s="327" t="str">
        <f>INDEX(二三级标准!$G:$G,MATCH(服务费底表!$K72,二三级标准!B:B,0))</f>
        <v>次</v>
      </c>
      <c r="C72" s="327">
        <f>INDEX(服务费明细!$E:$E,MATCH(服务费底表!$K72,服务费明细!$B:$B,0))</f>
        <v>6</v>
      </c>
      <c r="D72" s="327" t="str">
        <f t="shared" si="71"/>
        <v>A011PM</v>
      </c>
      <c r="E72" s="327" t="str">
        <f t="shared" si="72"/>
        <v>T0034PM</v>
      </c>
      <c r="F72" s="328"/>
      <c r="G72" s="328" t="s">
        <v>684</v>
      </c>
      <c r="H72" s="326" t="str">
        <f>INDEX('Rate Card'!$B:$B,MATCH(服务费底表!$T72,'Rate Card'!$F:$F,0))</f>
        <v>临床运营</v>
      </c>
      <c r="I72" s="328" t="s">
        <v>917</v>
      </c>
      <c r="J72" s="328" t="str">
        <f>INDEX(二三级标准!$Q:$Q,MATCH(服务费底表!I72,二三级标准!$O:$O,0))</f>
        <v>试验准备</v>
      </c>
      <c r="K72" s="328" t="s">
        <v>119</v>
      </c>
      <c r="L72" s="328" t="str">
        <f>INDEX(二三级标准!C:C,MATCH(服务费底表!K72,二三级标准!$B:$B,0))</f>
        <v>筛选访视</v>
      </c>
      <c r="M72" s="328" t="s">
        <v>1213</v>
      </c>
      <c r="N72" s="328" t="str">
        <f>INDEX(二三级标准!$M:$M,MATCH(服务费底表!$M72,二三级标准!$L:$L,0))</f>
        <v>审核筛选访视报告</v>
      </c>
      <c r="O72" s="328"/>
      <c r="P72" s="327">
        <f>IF(R72=1,INDEX(服务费明细!$E:$E,MATCH(服务费底表!$K72,服务费明细!$B:$B,0)),0)</f>
        <v>6</v>
      </c>
      <c r="Q72" s="328" t="s">
        <v>1178</v>
      </c>
      <c r="R72" s="520">
        <f>IF(AND(筛选访视YN=1,项目管理YN=1),1,0)</f>
        <v>1</v>
      </c>
      <c r="S72" s="525" t="str">
        <f>INDEX('Rate Card'!$D:$D,MATCH(服务费底表!$T72,'Rate Card'!F:F,0))</f>
        <v>项目管理</v>
      </c>
      <c r="T72" s="328" t="s">
        <v>599</v>
      </c>
      <c r="U72" s="522" t="str">
        <f>INDEX('Rate Card'!$E:$E,MATCH(服务费底表!$T72,'Rate Card'!$F:$F,0))</f>
        <v>临床项目经理</v>
      </c>
      <c r="V72" s="331">
        <f>INDEX('Rate Card'!$J:$J,MATCH($T72,'Rate Card'!$F:$F,0))</f>
        <v>650</v>
      </c>
      <c r="W72" s="523">
        <f t="shared" si="73"/>
        <v>650</v>
      </c>
      <c r="X72" s="523">
        <f t="shared" si="74"/>
        <v>2</v>
      </c>
      <c r="Y72" s="327" cm="1">
        <f t="array" ref="Y72">_xlfn.IFS(报价场景=服务费底表!$AJ$2,服务费底表!$AJ72,报价场景=服务费底表!$AP$2,服务费底表!$AP72,报价场景=服务费底表!$AK$2,服务费底表!$AK72,报价场景=服务费底表!$AL$2,服务费底表!$AL72,报价场景=服务费底表!$AM$2,服务费底表!$AM72,报价场景=服务费底表!$AN$2,服务费底表!$AN72,报价场景=服务费底表!$AQ$2,服务费底表!$AQ72,报价场景=服务费底表!$AO$2,服务费底表!$AO72)</f>
        <v>2</v>
      </c>
      <c r="Z72" s="327"/>
      <c r="AA72" s="332">
        <f t="shared" si="75"/>
        <v>2</v>
      </c>
      <c r="AB72" s="333">
        <f t="shared" si="76"/>
        <v>1300</v>
      </c>
      <c r="AC72" s="328">
        <f t="shared" si="77"/>
        <v>12</v>
      </c>
      <c r="AD72" s="334">
        <f t="shared" si="78"/>
        <v>7800</v>
      </c>
      <c r="AE72" s="334">
        <f>$AB72*(1-INDEX(项目参数!$D$5:$D$14,MATCH(服务费底表!$S72,项目参数!$B$5:$B$14,0)))</f>
        <v>1300</v>
      </c>
      <c r="AF72" s="334">
        <f>$AD72*INDEX(项目参数!$D$5:$D$14,MATCH(服务费底表!$S72,项目参数!$B$5:$B$14,0))</f>
        <v>0</v>
      </c>
      <c r="AG72" s="334">
        <f t="shared" si="83"/>
        <v>7800</v>
      </c>
      <c r="AH72" s="328"/>
      <c r="AI72" s="328" t="s">
        <v>599</v>
      </c>
      <c r="AJ72" s="327">
        <v>2</v>
      </c>
      <c r="AK72" s="327">
        <f>AJ72*1.5</f>
        <v>3</v>
      </c>
      <c r="AL72" s="327">
        <f>AM72</f>
        <v>2</v>
      </c>
      <c r="AM72" s="327">
        <v>2</v>
      </c>
      <c r="AN72" s="327">
        <v>2</v>
      </c>
      <c r="AO72" s="327">
        <v>2</v>
      </c>
      <c r="AP72" s="327">
        <v>2</v>
      </c>
      <c r="AQ72" s="327">
        <f t="shared" si="80"/>
        <v>3</v>
      </c>
      <c r="AR72" s="338"/>
      <c r="AS72" s="327">
        <f t="shared" si="81"/>
        <v>12</v>
      </c>
      <c r="AT72" s="327">
        <f t="shared" si="82"/>
        <v>12</v>
      </c>
      <c r="AU72" s="523">
        <v>2</v>
      </c>
      <c r="AV72" s="328"/>
      <c r="AW72" s="328"/>
      <c r="AX72" s="332">
        <v>2</v>
      </c>
      <c r="AY72" s="328" t="b">
        <f t="shared" si="85"/>
        <v>1</v>
      </c>
      <c r="AZ72" s="328" t="b">
        <f t="shared" si="86"/>
        <v>1</v>
      </c>
    </row>
    <row r="73" ht="27" customHeight="1" spans="1:52">
      <c r="A73" s="326" t="str">
        <f>INDEX('Rate Card'!$A:$A,MATCH(服务费底表!$T73,'Rate Card'!$F:$F,0))</f>
        <v>临床运营</v>
      </c>
      <c r="B73" s="327" t="str">
        <f>INDEX(二三级标准!$G:$G,MATCH(服务费底表!$K73,二三级标准!B:B,0))</f>
        <v>次</v>
      </c>
      <c r="C73" s="327">
        <f>INDEX(服务费明细!$E:$E,MATCH(服务费底表!$K73,服务费明细!$B:$B,0))</f>
        <v>4</v>
      </c>
      <c r="D73" s="327" t="str">
        <f t="shared" si="71"/>
        <v>A012CRA</v>
      </c>
      <c r="E73" s="327" t="str">
        <f t="shared" si="72"/>
        <v>T0035CRA</v>
      </c>
      <c r="F73" s="328"/>
      <c r="G73" s="328" t="s">
        <v>684</v>
      </c>
      <c r="H73" s="326" t="str">
        <f>INDEX('Rate Card'!$B:$B,MATCH(服务费底表!$T73,'Rate Card'!$F:$F,0))</f>
        <v>临床运营</v>
      </c>
      <c r="I73" s="328" t="s">
        <v>917</v>
      </c>
      <c r="J73" s="328" t="str">
        <f>INDEX(二三级标准!$Q:$Q,MATCH(服务费底表!I73,二三级标准!$O:$O,0))</f>
        <v>试验准备</v>
      </c>
      <c r="K73" s="328" t="s">
        <v>121</v>
      </c>
      <c r="L73" s="328" t="str">
        <f>INDEX(二三级标准!C:C,MATCH(服务费底表!K73,二三级标准!$B:$B,0))</f>
        <v>机构立项</v>
      </c>
      <c r="M73" s="328" t="s">
        <v>1214</v>
      </c>
      <c r="N73" s="328" t="str">
        <f>INDEX(二三级标准!$M:$M,MATCH(服务费底表!$M73,二三级标准!$L:$L,0))</f>
        <v>立项资料准备和递交</v>
      </c>
      <c r="O73" s="328"/>
      <c r="P73" s="327">
        <f>IF(R73=1,INDEX(服务费明细!$E:$E,MATCH(服务费底表!$K73,服务费明细!$B:$B,0)),0)</f>
        <v>4</v>
      </c>
      <c r="Q73" s="328" t="s">
        <v>1178</v>
      </c>
      <c r="R73" s="520">
        <f>IF(AND(机构立项YN=1,临床监查YN=1),1,0)</f>
        <v>1</v>
      </c>
      <c r="S73" s="525" t="str">
        <f>INDEX('Rate Card'!$D:$D,MATCH(服务费底表!$T73,'Rate Card'!F:F,0))</f>
        <v>临床监查</v>
      </c>
      <c r="T73" s="328" t="s">
        <v>595</v>
      </c>
      <c r="U73" s="522" t="str">
        <f>INDEX('Rate Card'!$E:$E,MATCH(服务费底表!$T73,'Rate Card'!$F:$F,0))</f>
        <v>临床监查员</v>
      </c>
      <c r="V73" s="331">
        <f>INDEX('Rate Card'!$J:$J,MATCH($T73,'Rate Card'!$F:$F,0))</f>
        <v>340</v>
      </c>
      <c r="W73" s="523">
        <f t="shared" si="73"/>
        <v>340</v>
      </c>
      <c r="X73" s="523">
        <f t="shared" si="74"/>
        <v>16</v>
      </c>
      <c r="Y73" s="327" cm="1">
        <f t="array" ref="Y73">_xlfn.IFS(报价场景=服务费底表!$AJ$2,服务费底表!$AJ73,报价场景=服务费底表!$AP$2,服务费底表!$AP73,报价场景=服务费底表!$AK$2,服务费底表!$AK73,报价场景=服务费底表!$AL$2,服务费底表!$AL73,报价场景=服务费底表!$AM$2,服务费底表!$AM73,报价场景=服务费底表!$AN$2,服务费底表!$AN73,报价场景=服务费底表!$AQ$2,服务费底表!$AQ73,报价场景=服务费底表!$AO$2,服务费底表!$AO73)</f>
        <v>16</v>
      </c>
      <c r="Z73" s="327"/>
      <c r="AA73" s="332">
        <f t="shared" si="75"/>
        <v>16</v>
      </c>
      <c r="AB73" s="333">
        <f t="shared" si="76"/>
        <v>5440</v>
      </c>
      <c r="AC73" s="328">
        <f t="shared" si="77"/>
        <v>64</v>
      </c>
      <c r="AD73" s="334">
        <f t="shared" si="78"/>
        <v>21760</v>
      </c>
      <c r="AE73" s="334">
        <f>$AB73*(1-INDEX(项目参数!$D$5:$D$14,MATCH(服务费底表!$S73,项目参数!$B$5:$B$14,0)))</f>
        <v>5440</v>
      </c>
      <c r="AF73" s="334">
        <f>$AD73*INDEX(项目参数!$D$5:$D$14,MATCH(服务费底表!$S73,项目参数!$B$5:$B$14,0))</f>
        <v>0</v>
      </c>
      <c r="AG73" s="334">
        <f t="shared" si="83"/>
        <v>21760</v>
      </c>
      <c r="AH73" s="328"/>
      <c r="AI73" s="328" t="s">
        <v>595</v>
      </c>
      <c r="AJ73" s="327">
        <v>16</v>
      </c>
      <c r="AK73" s="327">
        <v>16</v>
      </c>
      <c r="AL73" s="327">
        <v>16</v>
      </c>
      <c r="AM73" s="327">
        <v>16</v>
      </c>
      <c r="AN73" s="327">
        <v>16</v>
      </c>
      <c r="AO73" s="327">
        <v>16</v>
      </c>
      <c r="AP73" s="327">
        <v>16</v>
      </c>
      <c r="AQ73" s="327">
        <f t="shared" si="80"/>
        <v>24</v>
      </c>
      <c r="AR73" s="338"/>
      <c r="AS73" s="327">
        <f t="shared" si="81"/>
        <v>64</v>
      </c>
      <c r="AT73" s="327">
        <f t="shared" si="82"/>
        <v>64</v>
      </c>
      <c r="AU73" s="523">
        <v>16</v>
      </c>
      <c r="AV73" s="328"/>
      <c r="AW73" s="328"/>
      <c r="AX73" s="332">
        <v>16</v>
      </c>
      <c r="AY73" s="328" t="b">
        <f t="shared" si="85"/>
        <v>1</v>
      </c>
      <c r="AZ73" s="328" t="b">
        <f t="shared" si="86"/>
        <v>0</v>
      </c>
    </row>
    <row r="74" ht="27" customHeight="1" spans="1:52">
      <c r="A74" s="326" t="str">
        <f>INDEX('Rate Card'!$A:$A,MATCH(服务费底表!$T74,'Rate Card'!$F:$F,0))</f>
        <v>临床运营</v>
      </c>
      <c r="B74" s="327" t="str">
        <f>INDEX(二三级标准!$G:$G,MATCH(服务费底表!$K74,二三级标准!B:B,0))</f>
        <v>次</v>
      </c>
      <c r="C74" s="327">
        <f>INDEX(服务费明细!$E:$E,MATCH(服务费底表!$K74,服务费明细!$B:$B,0))</f>
        <v>4</v>
      </c>
      <c r="D74" s="327" t="str">
        <f t="shared" si="71"/>
        <v>A012CTA</v>
      </c>
      <c r="E74" s="327" t="str">
        <f t="shared" si="72"/>
        <v>T0035CTA</v>
      </c>
      <c r="F74" s="328"/>
      <c r="G74" s="328" t="s">
        <v>684</v>
      </c>
      <c r="H74" s="326" t="str">
        <f>INDEX('Rate Card'!$B:$B,MATCH(服务费底表!$T74,'Rate Card'!$F:$F,0))</f>
        <v>临床运营</v>
      </c>
      <c r="I74" s="328" t="s">
        <v>917</v>
      </c>
      <c r="J74" s="328" t="str">
        <f>INDEX(二三级标准!$Q:$Q,MATCH(服务费底表!I74,二三级标准!$O:$O,0))</f>
        <v>试验准备</v>
      </c>
      <c r="K74" s="328" t="s">
        <v>121</v>
      </c>
      <c r="L74" s="328" t="str">
        <f>INDEX(二三级标准!C:C,MATCH(服务费底表!K74,二三级标准!$B:$B,0))</f>
        <v>机构立项</v>
      </c>
      <c r="M74" s="328" t="s">
        <v>1214</v>
      </c>
      <c r="N74" s="328" t="str">
        <f>INDEX(二三级标准!$M:$M,MATCH(服务费底表!$M74,二三级标准!$L:$L,0))</f>
        <v>立项资料准备和递交</v>
      </c>
      <c r="O74" s="328"/>
      <c r="P74" s="327">
        <f>IF(R74=1,INDEX(服务费明细!$E:$E,MATCH(服务费底表!$K74,服务费明细!$B:$B,0)),0)</f>
        <v>4</v>
      </c>
      <c r="Q74" s="328" t="s">
        <v>1178</v>
      </c>
      <c r="R74" s="520">
        <f>IF(AND(机构立项YN=1,临床监查YN=1),1,0)</f>
        <v>1</v>
      </c>
      <c r="S74" s="525" t="str">
        <f>INDEX('Rate Card'!$D:$D,MATCH(服务费底表!$T74,'Rate Card'!F:F,0))</f>
        <v>临床监查</v>
      </c>
      <c r="T74" s="328" t="s">
        <v>597</v>
      </c>
      <c r="U74" s="522" t="str">
        <f>INDEX('Rate Card'!$E:$E,MATCH(服务费底表!$T74,'Rate Card'!$F:$F,0))</f>
        <v>临床试验助理</v>
      </c>
      <c r="V74" s="331">
        <f>INDEX('Rate Card'!$J:$J,MATCH($T74,'Rate Card'!$F:$F,0))</f>
        <v>220</v>
      </c>
      <c r="W74" s="523">
        <f t="shared" si="73"/>
        <v>220</v>
      </c>
      <c r="X74" s="523">
        <f t="shared" si="74"/>
        <v>3</v>
      </c>
      <c r="Y74" s="327" cm="1">
        <f t="array" ref="Y74">_xlfn.IFS(报价场景=服务费底表!$AJ$2,服务费底表!$AJ74,报价场景=服务费底表!$AP$2,服务费底表!$AP74,报价场景=服务费底表!$AK$2,服务费底表!$AK74,报价场景=服务费底表!$AL$2,服务费底表!$AL74,报价场景=服务费底表!$AM$2,服务费底表!$AM74,报价场景=服务费底表!$AN$2,服务费底表!$AN74,报价场景=服务费底表!$AQ$2,服务费底表!$AQ74,报价场景=服务费底表!$AO$2,服务费底表!$AO74)</f>
        <v>3</v>
      </c>
      <c r="Z74" s="327"/>
      <c r="AA74" s="332">
        <f t="shared" si="75"/>
        <v>3</v>
      </c>
      <c r="AB74" s="333">
        <f t="shared" si="76"/>
        <v>660</v>
      </c>
      <c r="AC74" s="328">
        <f t="shared" si="77"/>
        <v>12</v>
      </c>
      <c r="AD74" s="334">
        <f t="shared" si="78"/>
        <v>2640</v>
      </c>
      <c r="AE74" s="334">
        <f>$AB74*(1-INDEX(项目参数!$D$5:$D$14,MATCH(服务费底表!$S74,项目参数!$B$5:$B$14,0)))</f>
        <v>660</v>
      </c>
      <c r="AF74" s="334">
        <f>$AD74*INDEX(项目参数!$D$5:$D$14,MATCH(服务费底表!$S74,项目参数!$B$5:$B$14,0))</f>
        <v>0</v>
      </c>
      <c r="AG74" s="334">
        <f t="shared" si="83"/>
        <v>2640</v>
      </c>
      <c r="AH74" s="328"/>
      <c r="AI74" s="328" t="s">
        <v>597</v>
      </c>
      <c r="AJ74" s="327">
        <v>3</v>
      </c>
      <c r="AK74" s="327">
        <v>3</v>
      </c>
      <c r="AL74" s="327">
        <v>3</v>
      </c>
      <c r="AM74" s="327">
        <v>3</v>
      </c>
      <c r="AN74" s="327">
        <v>3</v>
      </c>
      <c r="AO74" s="327">
        <v>3</v>
      </c>
      <c r="AP74" s="327">
        <v>3</v>
      </c>
      <c r="AQ74" s="327">
        <f t="shared" si="80"/>
        <v>4.5</v>
      </c>
      <c r="AR74" s="338"/>
      <c r="AS74" s="327">
        <f t="shared" si="81"/>
        <v>12</v>
      </c>
      <c r="AT74" s="327">
        <f t="shared" si="82"/>
        <v>12</v>
      </c>
      <c r="AU74" s="523">
        <v>3</v>
      </c>
      <c r="AV74" s="328"/>
      <c r="AW74" s="328"/>
      <c r="AX74" s="332">
        <v>3</v>
      </c>
      <c r="AY74" s="328" t="b">
        <f t="shared" si="85"/>
        <v>1</v>
      </c>
      <c r="AZ74" s="328" t="b">
        <f t="shared" si="86"/>
        <v>0</v>
      </c>
    </row>
    <row r="75" ht="27" customHeight="1" spans="1:52">
      <c r="A75" s="326" t="str">
        <f>INDEX('Rate Card'!$A:$A,MATCH(服务费底表!$T75,'Rate Card'!$F:$F,0))</f>
        <v>临床运营</v>
      </c>
      <c r="B75" s="327" t="str">
        <f>INDEX(二三级标准!$G:$G,MATCH(服务费底表!$K75,二三级标准!B:B,0))</f>
        <v>次</v>
      </c>
      <c r="C75" s="327">
        <f>INDEX(服务费明细!$E:$E,MATCH(服务费底表!$K75,服务费明细!$B:$B,0))</f>
        <v>4</v>
      </c>
      <c r="D75" s="327" t="str">
        <f t="shared" si="71"/>
        <v>A012PM</v>
      </c>
      <c r="E75" s="327" t="str">
        <f t="shared" si="72"/>
        <v>T0036PM</v>
      </c>
      <c r="F75" s="328"/>
      <c r="G75" s="328" t="s">
        <v>684</v>
      </c>
      <c r="H75" s="326" t="str">
        <f>INDEX('Rate Card'!$B:$B,MATCH(服务费底表!$T75,'Rate Card'!$F:$F,0))</f>
        <v>临床运营</v>
      </c>
      <c r="I75" s="328" t="s">
        <v>917</v>
      </c>
      <c r="J75" s="328" t="str">
        <f>INDEX(二三级标准!$Q:$Q,MATCH(服务费底表!I75,二三级标准!$O:$O,0))</f>
        <v>试验准备</v>
      </c>
      <c r="K75" s="328" t="s">
        <v>121</v>
      </c>
      <c r="L75" s="328" t="str">
        <f>INDEX(二三级标准!C:C,MATCH(服务费底表!K75,二三级标准!$B:$B,0))</f>
        <v>机构立项</v>
      </c>
      <c r="M75" s="328" t="s">
        <v>1215</v>
      </c>
      <c r="N75" s="328" t="str">
        <f>INDEX(二三级标准!$M:$M,MATCH(服务费底表!$M75,二三级标准!$L:$L,0))</f>
        <v>立项资料审核</v>
      </c>
      <c r="O75" s="328"/>
      <c r="P75" s="327">
        <f>IF(R75=1,INDEX(服务费明细!$E:$E,MATCH(服务费底表!$K75,服务费明细!$B:$B,0)),0)</f>
        <v>4</v>
      </c>
      <c r="Q75" s="328" t="s">
        <v>1178</v>
      </c>
      <c r="R75" s="520">
        <f>IF(AND(机构立项YN=1,项目管理YN=1),1,0)</f>
        <v>1</v>
      </c>
      <c r="S75" s="525" t="str">
        <f>INDEX('Rate Card'!$D:$D,MATCH(服务费底表!$T75,'Rate Card'!F:F,0))</f>
        <v>项目管理</v>
      </c>
      <c r="T75" s="328" t="s">
        <v>599</v>
      </c>
      <c r="U75" s="522" t="str">
        <f>INDEX('Rate Card'!$E:$E,MATCH(服务费底表!$T75,'Rate Card'!$F:$F,0))</f>
        <v>临床项目经理</v>
      </c>
      <c r="V75" s="331">
        <f>INDEX('Rate Card'!$J:$J,MATCH($T75,'Rate Card'!$F:$F,0))</f>
        <v>650</v>
      </c>
      <c r="W75" s="523">
        <f t="shared" si="73"/>
        <v>650</v>
      </c>
      <c r="X75" s="523">
        <f t="shared" si="74"/>
        <v>2</v>
      </c>
      <c r="Y75" s="327" cm="1">
        <f t="array" ref="Y75">_xlfn.IFS(报价场景=服务费底表!$AJ$2,服务费底表!$AJ75,报价场景=服务费底表!$AP$2,服务费底表!$AP75,报价场景=服务费底表!$AK$2,服务费底表!$AK75,报价场景=服务费底表!$AL$2,服务费底表!$AL75,报价场景=服务费底表!$AM$2,服务费底表!$AM75,报价场景=服务费底表!$AN$2,服务费底表!$AN75,报价场景=服务费底表!$AQ$2,服务费底表!$AQ75,报价场景=服务费底表!$AO$2,服务费底表!$AO75)</f>
        <v>2</v>
      </c>
      <c r="Z75" s="327"/>
      <c r="AA75" s="332">
        <f t="shared" si="75"/>
        <v>2</v>
      </c>
      <c r="AB75" s="333">
        <f t="shared" si="76"/>
        <v>1300</v>
      </c>
      <c r="AC75" s="328">
        <f t="shared" si="77"/>
        <v>8</v>
      </c>
      <c r="AD75" s="334">
        <f t="shared" si="78"/>
        <v>5200</v>
      </c>
      <c r="AE75" s="334">
        <f>$AB75*(1-INDEX(项目参数!$D$5:$D$14,MATCH(服务费底表!$S75,项目参数!$B$5:$B$14,0)))</f>
        <v>1300</v>
      </c>
      <c r="AF75" s="334">
        <f>$AD75*INDEX(项目参数!$D$5:$D$14,MATCH(服务费底表!$S75,项目参数!$B$5:$B$14,0))</f>
        <v>0</v>
      </c>
      <c r="AG75" s="334">
        <f t="shared" si="83"/>
        <v>5200</v>
      </c>
      <c r="AH75" s="328"/>
      <c r="AI75" s="328" t="s">
        <v>599</v>
      </c>
      <c r="AJ75" s="327">
        <v>2</v>
      </c>
      <c r="AK75" s="327">
        <v>2</v>
      </c>
      <c r="AL75" s="327">
        <v>2</v>
      </c>
      <c r="AM75" s="327">
        <v>2</v>
      </c>
      <c r="AN75" s="327">
        <v>2</v>
      </c>
      <c r="AO75" s="327">
        <v>2</v>
      </c>
      <c r="AP75" s="327">
        <v>2</v>
      </c>
      <c r="AQ75" s="327">
        <f t="shared" si="80"/>
        <v>3</v>
      </c>
      <c r="AR75" s="338"/>
      <c r="AS75" s="327">
        <f t="shared" si="81"/>
        <v>8</v>
      </c>
      <c r="AT75" s="327">
        <f t="shared" si="82"/>
        <v>8</v>
      </c>
      <c r="AU75" s="523">
        <v>2</v>
      </c>
      <c r="AV75" s="328"/>
      <c r="AW75" s="328"/>
      <c r="AX75" s="332">
        <v>2</v>
      </c>
      <c r="AY75" s="328" t="b">
        <f t="shared" si="85"/>
        <v>1</v>
      </c>
      <c r="AZ75" s="328" t="b">
        <f t="shared" si="86"/>
        <v>0</v>
      </c>
    </row>
    <row r="76" ht="27" customHeight="1" spans="1:52">
      <c r="A76" s="326" t="str">
        <f>INDEX('Rate Card'!$A:$A,MATCH(服务费底表!$T76,'Rate Card'!$F:$F,0))</f>
        <v>临床运营</v>
      </c>
      <c r="B76" s="327" t="str">
        <f>INDEX(二三级标准!$G:$G,MATCH(服务费底表!$K76,二三级标准!B:B,0))</f>
        <v>次</v>
      </c>
      <c r="C76" s="327">
        <f>INDEX(服务费明细!$E:$E,MATCH(服务费底表!$K76,服务费明细!$B:$B,0))</f>
        <v>4</v>
      </c>
      <c r="D76" s="327" t="str">
        <f t="shared" si="71"/>
        <v>A013CRA</v>
      </c>
      <c r="E76" s="327" t="str">
        <f t="shared" si="72"/>
        <v>T0037CRA</v>
      </c>
      <c r="F76" s="328"/>
      <c r="G76" s="328" t="s">
        <v>684</v>
      </c>
      <c r="H76" s="326" t="str">
        <f>INDEX('Rate Card'!$B:$B,MATCH(服务费底表!$T76,'Rate Card'!$F:$F,0))</f>
        <v>临床运营</v>
      </c>
      <c r="I76" s="328" t="s">
        <v>917</v>
      </c>
      <c r="J76" s="328" t="str">
        <f>INDEX(二三级标准!$Q:$Q,MATCH(服务费底表!I76,二三级标准!$O:$O,0))</f>
        <v>试验准备</v>
      </c>
      <c r="K76" s="328" t="s">
        <v>123</v>
      </c>
      <c r="L76" s="328" t="str">
        <f>INDEX(二三级标准!C:C,MATCH(服务费底表!K76,二三级标准!$B:$B,0))</f>
        <v>首次伦理文件准备和递交</v>
      </c>
      <c r="M76" s="328" t="s">
        <v>1216</v>
      </c>
      <c r="N76" s="328" t="str">
        <f>INDEX(二三级标准!$M:$M,MATCH(服务费底表!$M76,二三级标准!$L:$L,0))</f>
        <v>首次伦理资料准备和递交(含首次复审)</v>
      </c>
      <c r="O76" s="328"/>
      <c r="P76" s="327">
        <f>IF(R76=1,INDEX(服务费明细!$E:$E,MATCH(服务费底表!$K76,服务费明细!$B:$B,0)),0)</f>
        <v>4</v>
      </c>
      <c r="Q76" s="328" t="s">
        <v>1178</v>
      </c>
      <c r="R76" s="520">
        <f>IF(AND(首次伦理文件准备和递交YN=1,临床监查YN=1),1,0)</f>
        <v>1</v>
      </c>
      <c r="S76" s="525" t="str">
        <f>INDEX('Rate Card'!$D:$D,MATCH(服务费底表!$T76,'Rate Card'!F:F,0))</f>
        <v>临床监查</v>
      </c>
      <c r="T76" s="328" t="s">
        <v>595</v>
      </c>
      <c r="U76" s="522" t="str">
        <f>INDEX('Rate Card'!$E:$E,MATCH(服务费底表!$T76,'Rate Card'!$F:$F,0))</f>
        <v>临床监查员</v>
      </c>
      <c r="V76" s="331">
        <f>INDEX('Rate Card'!$J:$J,MATCH($T76,'Rate Card'!$F:$F,0))</f>
        <v>340</v>
      </c>
      <c r="W76" s="523">
        <f t="shared" si="73"/>
        <v>340</v>
      </c>
      <c r="X76" s="523">
        <f t="shared" si="74"/>
        <v>24</v>
      </c>
      <c r="Y76" s="327" cm="1">
        <f t="array" ref="Y76">_xlfn.IFS(报价场景=服务费底表!$AJ$2,服务费底表!$AJ76,报价场景=服务费底表!$AP$2,服务费底表!$AP76,报价场景=服务费底表!$AK$2,服务费底表!$AK76,报价场景=服务费底表!$AL$2,服务费底表!$AL76,报价场景=服务费底表!$AM$2,服务费底表!$AM76,报价场景=服务费底表!$AN$2,服务费底表!$AN76,报价场景=服务费底表!$AQ$2,服务费底表!$AQ76,报价场景=服务费底表!$AO$2,服务费底表!$AO76)</f>
        <v>24</v>
      </c>
      <c r="Z76" s="327"/>
      <c r="AA76" s="332">
        <f t="shared" si="75"/>
        <v>24</v>
      </c>
      <c r="AB76" s="333">
        <f t="shared" si="76"/>
        <v>8160</v>
      </c>
      <c r="AC76" s="328">
        <f t="shared" si="77"/>
        <v>96</v>
      </c>
      <c r="AD76" s="334">
        <f t="shared" si="78"/>
        <v>32640</v>
      </c>
      <c r="AE76" s="334">
        <f>$AB76*(1-INDEX(项目参数!$D$5:$D$14,MATCH(服务费底表!$S76,项目参数!$B$5:$B$14,0)))</f>
        <v>8160</v>
      </c>
      <c r="AF76" s="334">
        <f>$AD76*INDEX(项目参数!$D$5:$D$14,MATCH(服务费底表!$S76,项目参数!$B$5:$B$14,0))</f>
        <v>0</v>
      </c>
      <c r="AG76" s="334">
        <f t="shared" si="83"/>
        <v>32640</v>
      </c>
      <c r="AH76" s="328"/>
      <c r="AI76" s="328" t="s">
        <v>595</v>
      </c>
      <c r="AJ76" s="327">
        <v>24</v>
      </c>
      <c r="AK76" s="327">
        <v>24</v>
      </c>
      <c r="AL76" s="327">
        <v>24</v>
      </c>
      <c r="AM76" s="327">
        <v>24</v>
      </c>
      <c r="AN76" s="327">
        <v>24</v>
      </c>
      <c r="AO76" s="327">
        <v>24</v>
      </c>
      <c r="AP76" s="327">
        <v>24</v>
      </c>
      <c r="AQ76" s="327">
        <f t="shared" si="80"/>
        <v>36</v>
      </c>
      <c r="AR76" s="338"/>
      <c r="AS76" s="327">
        <f t="shared" si="81"/>
        <v>96</v>
      </c>
      <c r="AT76" s="327">
        <f t="shared" si="82"/>
        <v>96</v>
      </c>
      <c r="AU76" s="523">
        <v>24</v>
      </c>
      <c r="AV76" s="328"/>
      <c r="AW76" s="328"/>
      <c r="AX76" s="332">
        <v>24</v>
      </c>
      <c r="AY76" s="328" t="b">
        <f t="shared" si="85"/>
        <v>1</v>
      </c>
      <c r="AZ76" s="328" t="b">
        <f t="shared" si="86"/>
        <v>1</v>
      </c>
    </row>
    <row r="77" ht="27" customHeight="1" spans="1:52">
      <c r="A77" s="326" t="str">
        <f>INDEX('Rate Card'!$A:$A,MATCH(服务费底表!$T77,'Rate Card'!$F:$F,0))</f>
        <v>临床运营</v>
      </c>
      <c r="B77" s="327" t="str">
        <f>INDEX(二三级标准!$G:$G,MATCH(服务费底表!$K77,二三级标准!B:B,0))</f>
        <v>次</v>
      </c>
      <c r="C77" s="327">
        <f>INDEX(服务费明细!$E:$E,MATCH(服务费底表!$K77,服务费明细!$B:$B,0))</f>
        <v>4</v>
      </c>
      <c r="D77" s="327" t="str">
        <f t="shared" si="71"/>
        <v>A013CTA</v>
      </c>
      <c r="E77" s="327" t="str">
        <f t="shared" si="72"/>
        <v>T0037CTA</v>
      </c>
      <c r="F77" s="328"/>
      <c r="G77" s="328" t="s">
        <v>684</v>
      </c>
      <c r="H77" s="326" t="str">
        <f>INDEX('Rate Card'!$B:$B,MATCH(服务费底表!$T77,'Rate Card'!$F:$F,0))</f>
        <v>临床运营</v>
      </c>
      <c r="I77" s="328" t="s">
        <v>917</v>
      </c>
      <c r="J77" s="328" t="str">
        <f>INDEX(二三级标准!$Q:$Q,MATCH(服务费底表!I77,二三级标准!$O:$O,0))</f>
        <v>试验准备</v>
      </c>
      <c r="K77" s="328" t="s">
        <v>123</v>
      </c>
      <c r="L77" s="328" t="str">
        <f>INDEX(二三级标准!C:C,MATCH(服务费底表!K77,二三级标准!$B:$B,0))</f>
        <v>首次伦理文件准备和递交</v>
      </c>
      <c r="M77" s="328" t="s">
        <v>1216</v>
      </c>
      <c r="N77" s="328" t="str">
        <f>INDEX(二三级标准!$M:$M,MATCH(服务费底表!$M77,二三级标准!$L:$L,0))</f>
        <v>首次伦理资料准备和递交(含首次复审)</v>
      </c>
      <c r="O77" s="328"/>
      <c r="P77" s="327">
        <f>IF(R77=1,INDEX(服务费明细!$E:$E,MATCH(服务费底表!$K77,服务费明细!$B:$B,0)),0)</f>
        <v>4</v>
      </c>
      <c r="Q77" s="328" t="s">
        <v>1178</v>
      </c>
      <c r="R77" s="520">
        <f>IF(AND(首次伦理文件准备和递交YN=1,临床监查YN=1),1,0)</f>
        <v>1</v>
      </c>
      <c r="S77" s="525" t="str">
        <f>INDEX('Rate Card'!$D:$D,MATCH(服务费底表!$T77,'Rate Card'!F:F,0))</f>
        <v>临床监查</v>
      </c>
      <c r="T77" s="328" t="s">
        <v>597</v>
      </c>
      <c r="U77" s="522" t="str">
        <f>INDEX('Rate Card'!$E:$E,MATCH(服务费底表!$T77,'Rate Card'!$F:$F,0))</f>
        <v>临床试验助理</v>
      </c>
      <c r="V77" s="331">
        <f>INDEX('Rate Card'!$J:$J,MATCH($T77,'Rate Card'!$F:$F,0))</f>
        <v>220</v>
      </c>
      <c r="W77" s="523">
        <f t="shared" si="73"/>
        <v>220</v>
      </c>
      <c r="X77" s="523">
        <f t="shared" si="74"/>
        <v>3</v>
      </c>
      <c r="Y77" s="327" cm="1">
        <f t="array" ref="Y77">_xlfn.IFS(报价场景=服务费底表!$AJ$2,服务费底表!$AJ77,报价场景=服务费底表!$AP$2,服务费底表!$AP77,报价场景=服务费底表!$AK$2,服务费底表!$AK77,报价场景=服务费底表!$AL$2,服务费底表!$AL77,报价场景=服务费底表!$AM$2,服务费底表!$AM77,报价场景=服务费底表!$AN$2,服务费底表!$AN77,报价场景=服务费底表!$AQ$2,服务费底表!$AQ77,报价场景=服务费底表!$AO$2,服务费底表!$AO77)</f>
        <v>3</v>
      </c>
      <c r="Z77" s="327"/>
      <c r="AA77" s="332">
        <f t="shared" si="75"/>
        <v>3</v>
      </c>
      <c r="AB77" s="333">
        <f t="shared" si="76"/>
        <v>660</v>
      </c>
      <c r="AC77" s="328">
        <f t="shared" si="77"/>
        <v>12</v>
      </c>
      <c r="AD77" s="334">
        <f t="shared" si="78"/>
        <v>2640</v>
      </c>
      <c r="AE77" s="334">
        <f>$AB77*(1-INDEX(项目参数!$D$5:$D$14,MATCH(服务费底表!$S77,项目参数!$B$5:$B$14,0)))</f>
        <v>660</v>
      </c>
      <c r="AF77" s="334">
        <f>$AD77*INDEX(项目参数!$D$5:$D$14,MATCH(服务费底表!$S77,项目参数!$B$5:$B$14,0))</f>
        <v>0</v>
      </c>
      <c r="AG77" s="334">
        <f t="shared" si="83"/>
        <v>2640</v>
      </c>
      <c r="AH77" s="328"/>
      <c r="AI77" s="328" t="s">
        <v>597</v>
      </c>
      <c r="AJ77" s="327">
        <v>3</v>
      </c>
      <c r="AK77" s="327">
        <v>3</v>
      </c>
      <c r="AL77" s="327">
        <v>3</v>
      </c>
      <c r="AM77" s="327">
        <v>3</v>
      </c>
      <c r="AN77" s="327">
        <v>3</v>
      </c>
      <c r="AO77" s="327">
        <v>3</v>
      </c>
      <c r="AP77" s="327">
        <v>3</v>
      </c>
      <c r="AQ77" s="327">
        <f t="shared" si="80"/>
        <v>4.5</v>
      </c>
      <c r="AR77" s="338"/>
      <c r="AS77" s="327">
        <f t="shared" si="81"/>
        <v>12</v>
      </c>
      <c r="AT77" s="327">
        <f t="shared" si="82"/>
        <v>12</v>
      </c>
      <c r="AU77" s="523">
        <v>3</v>
      </c>
      <c r="AV77" s="328"/>
      <c r="AW77" s="328"/>
      <c r="AX77" s="332">
        <v>3</v>
      </c>
      <c r="AY77" s="328" t="b">
        <f t="shared" si="85"/>
        <v>1</v>
      </c>
      <c r="AZ77" s="328" t="b">
        <f t="shared" si="86"/>
        <v>1</v>
      </c>
    </row>
    <row r="78" ht="27" customHeight="1" spans="1:52">
      <c r="A78" s="326" t="str">
        <f>INDEX('Rate Card'!$A:$A,MATCH(服务费底表!$T78,'Rate Card'!$F:$F,0))</f>
        <v>临床运营</v>
      </c>
      <c r="B78" s="327" t="str">
        <f>INDEX(二三级标准!$G:$G,MATCH(服务费底表!$K78,二三级标准!B:B,0))</f>
        <v>次</v>
      </c>
      <c r="C78" s="327">
        <f>INDEX(服务费明细!$E:$E,MATCH(服务费底表!$K78,服务费明细!$B:$B,0))</f>
        <v>4</v>
      </c>
      <c r="D78" s="327" t="str">
        <f t="shared" si="71"/>
        <v>A013PM</v>
      </c>
      <c r="E78" s="327" t="str">
        <f t="shared" si="72"/>
        <v>T0038PM</v>
      </c>
      <c r="F78" s="328"/>
      <c r="G78" s="328" t="s">
        <v>684</v>
      </c>
      <c r="H78" s="326" t="str">
        <f>INDEX('Rate Card'!$B:$B,MATCH(服务费底表!$T78,'Rate Card'!$F:$F,0))</f>
        <v>临床运营</v>
      </c>
      <c r="I78" s="328" t="s">
        <v>917</v>
      </c>
      <c r="J78" s="328" t="str">
        <f>INDEX(二三级标准!$Q:$Q,MATCH(服务费底表!I78,二三级标准!$O:$O,0))</f>
        <v>试验准备</v>
      </c>
      <c r="K78" s="328" t="s">
        <v>123</v>
      </c>
      <c r="L78" s="328" t="str">
        <f>INDEX(二三级标准!C:C,MATCH(服务费底表!K78,二三级标准!$B:$B,0))</f>
        <v>首次伦理文件准备和递交</v>
      </c>
      <c r="M78" s="328" t="s">
        <v>1217</v>
      </c>
      <c r="N78" s="328" t="str">
        <f>INDEX(二三级标准!$M:$M,MATCH(服务费底表!$M78,二三级标准!$L:$L,0))</f>
        <v>首次伦理资料审核(含首次复审)</v>
      </c>
      <c r="O78" s="328"/>
      <c r="P78" s="327">
        <f>IF(R78=1,INDEX(服务费明细!$E:$E,MATCH(服务费底表!$K78,服务费明细!$B:$B,0)),0)</f>
        <v>4</v>
      </c>
      <c r="Q78" s="328" t="s">
        <v>1178</v>
      </c>
      <c r="R78" s="520">
        <f>IF(AND(首次伦理文件准备和递交YN=1,项目管理YN=1),1,0)</f>
        <v>1</v>
      </c>
      <c r="S78" s="525" t="str">
        <f>INDEX('Rate Card'!$D:$D,MATCH(服务费底表!$T78,'Rate Card'!F:F,0))</f>
        <v>项目管理</v>
      </c>
      <c r="T78" s="328" t="s">
        <v>599</v>
      </c>
      <c r="U78" s="522" t="str">
        <f>INDEX('Rate Card'!$E:$E,MATCH(服务费底表!$T78,'Rate Card'!$F:$F,0))</f>
        <v>临床项目经理</v>
      </c>
      <c r="V78" s="331">
        <f>INDEX('Rate Card'!$J:$J,MATCH($T78,'Rate Card'!$F:$F,0))</f>
        <v>650</v>
      </c>
      <c r="W78" s="523">
        <f t="shared" si="73"/>
        <v>650</v>
      </c>
      <c r="X78" s="523">
        <f t="shared" si="74"/>
        <v>2</v>
      </c>
      <c r="Y78" s="327" cm="1">
        <f t="array" ref="Y78">_xlfn.IFS(报价场景=服务费底表!$AJ$2,服务费底表!$AJ78,报价场景=服务费底表!$AP$2,服务费底表!$AP78,报价场景=服务费底表!$AK$2,服务费底表!$AK78,报价场景=服务费底表!$AL$2,服务费底表!$AL78,报价场景=服务费底表!$AM$2,服务费底表!$AM78,报价场景=服务费底表!$AN$2,服务费底表!$AN78,报价场景=服务费底表!$AQ$2,服务费底表!$AQ78,报价场景=服务费底表!$AO$2,服务费底表!$AO78)</f>
        <v>2</v>
      </c>
      <c r="Z78" s="327"/>
      <c r="AA78" s="332">
        <f t="shared" si="75"/>
        <v>2</v>
      </c>
      <c r="AB78" s="333">
        <f t="shared" si="76"/>
        <v>1300</v>
      </c>
      <c r="AC78" s="328">
        <f t="shared" si="77"/>
        <v>8</v>
      </c>
      <c r="AD78" s="334">
        <f t="shared" si="78"/>
        <v>5200</v>
      </c>
      <c r="AE78" s="334">
        <f>$AB78*(1-INDEX(项目参数!$D$5:$D$14,MATCH(服务费底表!$S78,项目参数!$B$5:$B$14,0)))</f>
        <v>1300</v>
      </c>
      <c r="AF78" s="334">
        <f>$AD78*INDEX(项目参数!$D$5:$D$14,MATCH(服务费底表!$S78,项目参数!$B$5:$B$14,0))</f>
        <v>0</v>
      </c>
      <c r="AG78" s="334">
        <f t="shared" si="83"/>
        <v>5200</v>
      </c>
      <c r="AH78" s="328"/>
      <c r="AI78" s="328" t="s">
        <v>599</v>
      </c>
      <c r="AJ78" s="327">
        <v>2</v>
      </c>
      <c r="AK78" s="327">
        <v>2</v>
      </c>
      <c r="AL78" s="327">
        <v>2</v>
      </c>
      <c r="AM78" s="327">
        <v>2</v>
      </c>
      <c r="AN78" s="327">
        <v>2</v>
      </c>
      <c r="AO78" s="327">
        <v>2</v>
      </c>
      <c r="AP78" s="327">
        <v>2</v>
      </c>
      <c r="AQ78" s="327">
        <f t="shared" si="80"/>
        <v>3</v>
      </c>
      <c r="AR78" s="338"/>
      <c r="AS78" s="327">
        <f t="shared" si="81"/>
        <v>8</v>
      </c>
      <c r="AT78" s="327">
        <f t="shared" si="82"/>
        <v>8</v>
      </c>
      <c r="AU78" s="523">
        <v>2</v>
      </c>
      <c r="AV78" s="328"/>
      <c r="AW78" s="328"/>
      <c r="AX78" s="332">
        <v>2</v>
      </c>
      <c r="AY78" s="328" t="b">
        <f t="shared" si="85"/>
        <v>1</v>
      </c>
      <c r="AZ78" s="328" t="b">
        <f t="shared" si="86"/>
        <v>1</v>
      </c>
    </row>
    <row r="79" ht="27" customHeight="1" spans="1:52">
      <c r="A79" s="326" t="str">
        <f>INDEX('Rate Card'!$A:$A,MATCH(服务费底表!$T79,'Rate Card'!$F:$F,0))</f>
        <v>数统</v>
      </c>
      <c r="B79" s="327" t="str">
        <f>INDEX(二三级标准!$G:$G,MATCH(服务费底表!$K79,二三级标准!B:B,0))</f>
        <v>次</v>
      </c>
      <c r="C79" s="327">
        <f>INDEX(服务费明细!$E:$E,MATCH(服务费底表!$K79,服务费明细!$B:$B,0))</f>
        <v>4</v>
      </c>
      <c r="D79" s="327" t="str">
        <f t="shared" si="71"/>
        <v>A013LDM</v>
      </c>
      <c r="E79" s="327" t="str">
        <f t="shared" si="72"/>
        <v>T0609LDM</v>
      </c>
      <c r="F79" s="328"/>
      <c r="G79" s="328" t="s">
        <v>684</v>
      </c>
      <c r="H79" s="326" t="str">
        <f>INDEX('Rate Card'!$B:$B,MATCH(服务费底表!$T79,'Rate Card'!$F:$F,0))</f>
        <v>数据管理</v>
      </c>
      <c r="I79" s="328" t="s">
        <v>917</v>
      </c>
      <c r="J79" s="328" t="str">
        <f>INDEX(二三级标准!$Q:$Q,MATCH(服务费底表!I79,二三级标准!$O:$O,0))</f>
        <v>试验准备</v>
      </c>
      <c r="K79" s="328" t="s">
        <v>123</v>
      </c>
      <c r="L79" s="328" t="str">
        <f>INDEX(二三级标准!C:C,MATCH(服务费底表!K79,二三级标准!$B:$B,0))</f>
        <v>首次伦理文件准备和递交</v>
      </c>
      <c r="M79" s="328" t="s">
        <v>1218</v>
      </c>
      <c r="N79" s="328" t="str">
        <f>INDEX(二三级标准!$M:$M,MATCH(服务费底表!$M79,二三级标准!$L:$L,0))</f>
        <v>首次伦理资料准备(Mock CRF)</v>
      </c>
      <c r="O79" s="338"/>
      <c r="P79" s="327">
        <f>IF(R79=1,INDEX(服务费明细!$E:$E,MATCH(服务费底表!$K79,服务费明细!$B:$B,0)),0)</f>
        <v>0</v>
      </c>
      <c r="Q79" s="328" t="s">
        <v>1178</v>
      </c>
      <c r="R79" s="520">
        <v>0</v>
      </c>
      <c r="S79" s="524" t="s">
        <v>573</v>
      </c>
      <c r="T79" s="328" t="s">
        <v>633</v>
      </c>
      <c r="U79" s="522" t="str">
        <f>INDEX('Rate Card'!$E:$E,MATCH(服务费底表!$T79,'Rate Card'!$F:$F,0))</f>
        <v>数据管理经理</v>
      </c>
      <c r="V79" s="331">
        <f>INDEX('Rate Card'!$J:$J,MATCH($T79,'Rate Card'!$F:$F,0))</f>
        <v>360</v>
      </c>
      <c r="W79" s="523">
        <f t="shared" si="73"/>
        <v>360</v>
      </c>
      <c r="X79" s="523">
        <f t="shared" si="74"/>
        <v>2</v>
      </c>
      <c r="Y79" s="327" cm="1">
        <f t="array" ref="Y79">_xlfn.IFS(报价场景=服务费底表!$AJ$2,服务费底表!$AJ79,报价场景=服务费底表!$AP$2,服务费底表!$AP79,报价场景=服务费底表!$AK$2,服务费底表!$AK79,报价场景=服务费底表!$AL$2,服务费底表!$AL79,报价场景=服务费底表!$AM$2,服务费底表!$AM79,报价场景=服务费底表!$AN$2,服务费底表!$AN79,报价场景=服务费底表!$AQ$2,服务费底表!$AQ79,报价场景=服务费底表!$AO$2,服务费底表!$AO79)</f>
        <v>2</v>
      </c>
      <c r="Z79" s="327"/>
      <c r="AA79" s="332">
        <f t="shared" si="75"/>
        <v>2</v>
      </c>
      <c r="AB79" s="333">
        <f t="shared" si="76"/>
        <v>0</v>
      </c>
      <c r="AC79" s="328">
        <f t="shared" si="77"/>
        <v>0</v>
      </c>
      <c r="AD79" s="334">
        <f t="shared" si="78"/>
        <v>0</v>
      </c>
      <c r="AE79" s="334">
        <f>$AB79*(1-INDEX(项目参数!$D$5:$D$14,MATCH(服务费底表!$S79,项目参数!$B$5:$B$14,0)))</f>
        <v>0</v>
      </c>
      <c r="AF79" s="334">
        <f>$AD79*INDEX(项目参数!$D$5:$D$14,MATCH(服务费底表!$S79,项目参数!$B$5:$B$14,0))</f>
        <v>0</v>
      </c>
      <c r="AG79" s="334">
        <f t="shared" si="83"/>
        <v>0</v>
      </c>
      <c r="AH79" s="328"/>
      <c r="AI79" s="328" t="s">
        <v>633</v>
      </c>
      <c r="AJ79" s="327">
        <v>2</v>
      </c>
      <c r="AK79" s="327">
        <v>2</v>
      </c>
      <c r="AL79" s="327">
        <v>2</v>
      </c>
      <c r="AM79" s="327">
        <v>2</v>
      </c>
      <c r="AN79" s="327">
        <v>2</v>
      </c>
      <c r="AO79" s="327">
        <v>2</v>
      </c>
      <c r="AP79" s="327">
        <v>2</v>
      </c>
      <c r="AQ79" s="327">
        <f t="shared" si="80"/>
        <v>3</v>
      </c>
      <c r="AR79" s="338"/>
      <c r="AS79" s="327">
        <f t="shared" si="81"/>
        <v>0</v>
      </c>
      <c r="AT79" s="327">
        <f t="shared" si="82"/>
        <v>0</v>
      </c>
      <c r="AU79" s="523">
        <v>2</v>
      </c>
      <c r="AV79" s="328"/>
      <c r="AW79" s="328"/>
      <c r="AX79" s="332">
        <v>2</v>
      </c>
      <c r="AY79" s="328" t="b">
        <f t="shared" si="85"/>
        <v>1</v>
      </c>
      <c r="AZ79" s="328" t="b">
        <f t="shared" si="86"/>
        <v>1</v>
      </c>
    </row>
    <row r="80" ht="27" customHeight="1" spans="1:52">
      <c r="A80" s="326" t="str">
        <f>INDEX('Rate Card'!$A:$A,MATCH(服务费底表!$T80,'Rate Card'!$F:$F,0))</f>
        <v>医学</v>
      </c>
      <c r="B80" s="327" t="str">
        <f>INDEX(二三级标准!$G:$G,MATCH(服务费底表!$K80,二三级标准!B:B,0))</f>
        <v>月</v>
      </c>
      <c r="C80" s="327">
        <f>INDEX(服务费明细!$E:$E,MATCH(服务费底表!$K80,服务费明细!$B:$B,0))</f>
        <v>16</v>
      </c>
      <c r="D80" s="327" t="str">
        <f t="shared" si="71"/>
        <v>A288MM</v>
      </c>
      <c r="E80" s="327" t="str">
        <f t="shared" si="72"/>
        <v>T0812MM</v>
      </c>
      <c r="F80" s="328"/>
      <c r="G80" s="328" t="s">
        <v>684</v>
      </c>
      <c r="H80" s="326" t="str">
        <f>INDEX('Rate Card'!$B:$B,MATCH(服务费底表!$T80,'Rate Card'!$F:$F,0))</f>
        <v>医学</v>
      </c>
      <c r="I80" s="328" t="s">
        <v>917</v>
      </c>
      <c r="J80" s="328" t="str">
        <f>INDEX(二三级标准!$Q:$Q,MATCH(服务费底表!I80,二三级标准!$O:$O,0))</f>
        <v>试验准备</v>
      </c>
      <c r="K80" s="328" t="s">
        <v>995</v>
      </c>
      <c r="L80" s="328" t="str">
        <f>INDEX(二三级标准!C:C,MATCH(服务费底表!K80,二三级标准!$B:$B,0))</f>
        <v>研究方案Q&amp;A回复</v>
      </c>
      <c r="M80" s="328" t="s">
        <v>1219</v>
      </c>
      <c r="N80" s="328" t="str">
        <f>INDEX(二三级标准!$M:$M,MATCH(服务费底表!$M80,二三级标准!$L:$L,0))</f>
        <v>研究方案Q&amp;A回复</v>
      </c>
      <c r="O80" s="328"/>
      <c r="P80" s="327">
        <f>IF(R80=1,INDEX(服务费明细!$E:$E,MATCH(服务费底表!$K80,服务费明细!$B:$B,0)),0)</f>
        <v>16</v>
      </c>
      <c r="Q80" s="328" t="s">
        <v>1220</v>
      </c>
      <c r="R80" s="520">
        <f>IF(AND(研究方案问题回复YN=1,医学监查YN=1),1,0)</f>
        <v>1</v>
      </c>
      <c r="S80" s="521" t="str">
        <f>IF(AND(H80="医学",OR(I80=二三级标准!$A$4,I80=二三级标准!$A$153)),"医学撰写","医学监查")</f>
        <v>医学监查</v>
      </c>
      <c r="T80" s="328" t="s">
        <v>615</v>
      </c>
      <c r="U80" s="522" t="str">
        <f>INDEX('Rate Card'!$E:$E,MATCH(服务费底表!$T80,'Rate Card'!$F:$F,0))</f>
        <v>医学经理</v>
      </c>
      <c r="V80" s="331">
        <f>INDEX('Rate Card'!$J:$J,MATCH($T80,'Rate Card'!$F:$F,0))</f>
        <v>650</v>
      </c>
      <c r="W80" s="523">
        <f t="shared" si="73"/>
        <v>650</v>
      </c>
      <c r="X80" s="523">
        <f t="shared" si="74"/>
        <v>2</v>
      </c>
      <c r="Y80" s="327" cm="1">
        <f t="array" ref="Y80">_xlfn.IFS(报价场景=服务费底表!$AJ$2,服务费底表!$AJ80,报价场景=服务费底表!$AP$2,服务费底表!$AP80,报价场景=服务费底表!$AK$2,服务费底表!$AK80,报价场景=服务费底表!$AL$2,服务费底表!$AL80,报价场景=服务费底表!$AM$2,服务费底表!$AM80,报价场景=服务费底表!$AN$2,服务费底表!$AN80,报价场景=服务费底表!$AQ$2,服务费底表!$AQ80,报价场景=服务费底表!$AO$2,服务费底表!$AO80)</f>
        <v>2</v>
      </c>
      <c r="Z80" s="327"/>
      <c r="AA80" s="332">
        <f t="shared" si="75"/>
        <v>2</v>
      </c>
      <c r="AB80" s="333">
        <f t="shared" si="76"/>
        <v>1300</v>
      </c>
      <c r="AC80" s="328">
        <f t="shared" si="77"/>
        <v>32</v>
      </c>
      <c r="AD80" s="334">
        <f t="shared" si="78"/>
        <v>20800</v>
      </c>
      <c r="AE80" s="334">
        <f>$AB80*(1-INDEX(项目参数!$D$5:$D$14,MATCH(服务费底表!$S80,项目参数!$B$5:$B$14,0)))</f>
        <v>1300</v>
      </c>
      <c r="AF80" s="334">
        <f>$AD80*INDEX(项目参数!$D$5:$D$14,MATCH(服务费底表!$S80,项目参数!$B$5:$B$14,0))</f>
        <v>0</v>
      </c>
      <c r="AG80" s="334">
        <f t="shared" si="83"/>
        <v>20800</v>
      </c>
      <c r="AH80" s="328"/>
      <c r="AI80" s="328" t="s">
        <v>615</v>
      </c>
      <c r="AJ80" s="327">
        <v>2</v>
      </c>
      <c r="AK80" s="327">
        <v>2</v>
      </c>
      <c r="AL80" s="327">
        <v>2</v>
      </c>
      <c r="AM80" s="327">
        <v>2</v>
      </c>
      <c r="AN80" s="327">
        <v>2</v>
      </c>
      <c r="AO80" s="327">
        <v>2</v>
      </c>
      <c r="AP80" s="327">
        <v>4</v>
      </c>
      <c r="AQ80" s="327">
        <f t="shared" si="80"/>
        <v>3</v>
      </c>
      <c r="AR80" s="338"/>
      <c r="AS80" s="327">
        <f t="shared" si="81"/>
        <v>32</v>
      </c>
      <c r="AT80" s="327">
        <f t="shared" si="82"/>
        <v>32</v>
      </c>
      <c r="AU80" s="523">
        <v>2</v>
      </c>
      <c r="AV80" s="328"/>
      <c r="AW80" s="328"/>
      <c r="AX80" s="332">
        <v>2</v>
      </c>
      <c r="AY80" s="328" t="b">
        <f t="shared" si="85"/>
        <v>1</v>
      </c>
      <c r="AZ80" s="328" t="b">
        <f t="shared" si="86"/>
        <v>0</v>
      </c>
    </row>
    <row r="81" ht="27" customHeight="1" spans="1:52">
      <c r="A81" s="326" t="str">
        <f>INDEX('Rate Card'!$A:$A,MATCH(服务费底表!$T81,'Rate Card'!$F:$F,0))</f>
        <v>临床运营</v>
      </c>
      <c r="B81" s="327" t="str">
        <f>INDEX(二三级标准!$G:$G,MATCH(服务费底表!$K81,二三级标准!B:B,0))</f>
        <v>份</v>
      </c>
      <c r="C81" s="327">
        <f>INDEX(服务费明细!$E:$E,MATCH(服务费底表!$K81,服务费明细!$B:$B,0))</f>
        <v>3</v>
      </c>
      <c r="D81" s="327" t="str">
        <f t="shared" ref="D81:D88" si="87">K81&amp;T81</f>
        <v>A014CRA</v>
      </c>
      <c r="E81" s="327" t="str">
        <f t="shared" ref="E81:E88" si="88">M81&amp;T81</f>
        <v>T0039CRA</v>
      </c>
      <c r="F81" s="328"/>
      <c r="G81" s="328" t="s">
        <v>684</v>
      </c>
      <c r="H81" s="326" t="str">
        <f>INDEX('Rate Card'!$B:$B,MATCH(服务费底表!$T81,'Rate Card'!$F:$F,0))</f>
        <v>临床运营</v>
      </c>
      <c r="I81" s="328" t="s">
        <v>917</v>
      </c>
      <c r="J81" s="328" t="str">
        <f>INDEX(二三级标准!$Q:$Q,MATCH(服务费底表!I81,二三级标准!$O:$O,0))</f>
        <v>试验准备</v>
      </c>
      <c r="K81" s="328" t="s">
        <v>125</v>
      </c>
      <c r="L81" s="328" t="str">
        <f>INDEX(二三级标准!C:C,MATCH(服务费底表!K81,二三级标准!$B:$B,0))</f>
        <v>中心知情同意书撰写</v>
      </c>
      <c r="M81" s="328" t="s">
        <v>1221</v>
      </c>
      <c r="N81" s="328" t="str">
        <f>INDEX(二三级标准!$M:$M,MATCH(服务费底表!$M81,二三级标准!$L:$L,0))</f>
        <v>中心知情同意书撰写</v>
      </c>
      <c r="O81" s="328"/>
      <c r="P81" s="327">
        <f>IF(R81=1,INDEX(服务费明细!$E:$E,MATCH(服务费底表!$K81,服务费明细!$B:$B,0)),0)</f>
        <v>3</v>
      </c>
      <c r="Q81" s="328" t="s">
        <v>1178</v>
      </c>
      <c r="R81" s="520">
        <f>IF(AND(中心知情同意书撰写YN=1,临床监查YN=1,启动中心数&gt;1),1,0)</f>
        <v>1</v>
      </c>
      <c r="S81" s="525" t="str">
        <f>INDEX('Rate Card'!$D:$D,MATCH(服务费底表!$T81,'Rate Card'!F:F,0))</f>
        <v>临床监查</v>
      </c>
      <c r="T81" s="328" t="s">
        <v>595</v>
      </c>
      <c r="U81" s="522" t="str">
        <f>INDEX('Rate Card'!$E:$E,MATCH(服务费底表!$T81,'Rate Card'!$F:$F,0))</f>
        <v>临床监查员</v>
      </c>
      <c r="V81" s="331">
        <f>INDEX('Rate Card'!$J:$J,MATCH($T81,'Rate Card'!$F:$F,0))</f>
        <v>340</v>
      </c>
      <c r="W81" s="523">
        <f t="shared" si="73"/>
        <v>340</v>
      </c>
      <c r="X81" s="523">
        <f t="shared" si="74"/>
        <v>1</v>
      </c>
      <c r="Y81" s="327" cm="1">
        <f t="array" ref="Y81">_xlfn.IFS(报价场景=服务费底表!$AJ$2,服务费底表!$AJ81,报价场景=服务费底表!$AP$2,服务费底表!$AP81,报价场景=服务费底表!$AK$2,服务费底表!$AK81,报价场景=服务费底表!$AL$2,服务费底表!$AL81,报价场景=服务费底表!$AM$2,服务费底表!$AM81,报价场景=服务费底表!$AN$2,服务费底表!$AN81,报价场景=服务费底表!$AQ$2,服务费底表!$AQ81,报价场景=服务费底表!$AO$2,服务费底表!$AO81)</f>
        <v>1</v>
      </c>
      <c r="Z81" s="327"/>
      <c r="AA81" s="332">
        <f t="shared" si="75"/>
        <v>1</v>
      </c>
      <c r="AB81" s="333">
        <f t="shared" ref="AB81:AB88" si="89">IFERROR(AD81/P81,0)</f>
        <v>340</v>
      </c>
      <c r="AC81" s="328">
        <f t="shared" ref="AC81:AC88" si="90">AA81*P81*R81</f>
        <v>3</v>
      </c>
      <c r="AD81" s="334">
        <f t="shared" ref="AD81:AD88" si="91">AC81*V81</f>
        <v>1020</v>
      </c>
      <c r="AE81" s="334">
        <f>$AB81*(1-INDEX(项目参数!$D$5:$D$14,MATCH(服务费底表!$S81,项目参数!$B$5:$B$14,0)))</f>
        <v>340</v>
      </c>
      <c r="AF81" s="334">
        <f>$AD81*INDEX(项目参数!$D$5:$D$14,MATCH(服务费底表!$S81,项目参数!$B$5:$B$14,0))</f>
        <v>0</v>
      </c>
      <c r="AG81" s="334">
        <f t="shared" ref="AG81:AG88" si="92">AD81-AF81</f>
        <v>1020</v>
      </c>
      <c r="AH81" s="328"/>
      <c r="AI81" s="328" t="s">
        <v>595</v>
      </c>
      <c r="AJ81" s="327">
        <v>1</v>
      </c>
      <c r="AK81" s="327">
        <f t="shared" ref="AK81:AK99" si="93">AJ81*1.5</f>
        <v>1.5</v>
      </c>
      <c r="AL81" s="327">
        <f t="shared" ref="AL81:AL86" si="94">AM81</f>
        <v>0.8</v>
      </c>
      <c r="AM81" s="327">
        <v>0.8</v>
      </c>
      <c r="AN81" s="327">
        <f t="shared" ref="AN81:AN89" si="95">AJ81</f>
        <v>1</v>
      </c>
      <c r="AO81" s="327">
        <f t="shared" ref="AO81:AO133" si="96">AL81</f>
        <v>0.8</v>
      </c>
      <c r="AP81" s="327">
        <v>1</v>
      </c>
      <c r="AQ81" s="327">
        <f t="shared" si="80"/>
        <v>1.5</v>
      </c>
      <c r="AR81" s="338"/>
      <c r="AS81" s="327">
        <f t="shared" si="81"/>
        <v>3</v>
      </c>
      <c r="AT81" s="327">
        <f t="shared" si="82"/>
        <v>3</v>
      </c>
      <c r="AU81" s="523">
        <v>1</v>
      </c>
      <c r="AV81" s="328"/>
      <c r="AW81" s="328"/>
      <c r="AX81" s="332">
        <v>1</v>
      </c>
      <c r="AY81" s="328" t="b">
        <f t="shared" si="85"/>
        <v>1</v>
      </c>
      <c r="AZ81" s="328" t="b">
        <f t="shared" si="86"/>
        <v>1</v>
      </c>
    </row>
    <row r="82" ht="27" customHeight="1" spans="1:52">
      <c r="A82" s="326" t="str">
        <f>INDEX('Rate Card'!$A:$A,MATCH(服务费底表!$T82,'Rate Card'!$F:$F,0))</f>
        <v>临床运营</v>
      </c>
      <c r="B82" s="327" t="str">
        <f>INDEX(二三级标准!$G:$G,MATCH(服务费底表!$K82,二三级标准!B:B,0))</f>
        <v>份</v>
      </c>
      <c r="C82" s="327">
        <f>INDEX(服务费明细!$E:$E,MATCH(服务费底表!$K82,服务费明细!$B:$B,0))</f>
        <v>3</v>
      </c>
      <c r="D82" s="327" t="str">
        <f t="shared" si="87"/>
        <v>A014PM</v>
      </c>
      <c r="E82" s="327" t="str">
        <f t="shared" si="88"/>
        <v>T0040PM</v>
      </c>
      <c r="F82" s="328"/>
      <c r="G82" s="328" t="s">
        <v>684</v>
      </c>
      <c r="H82" s="326" t="str">
        <f>INDEX('Rate Card'!$B:$B,MATCH(服务费底表!$T82,'Rate Card'!$F:$F,0))</f>
        <v>临床运营</v>
      </c>
      <c r="I82" s="328" t="s">
        <v>917</v>
      </c>
      <c r="J82" s="328" t="str">
        <f>INDEX(二三级标准!$Q:$Q,MATCH(服务费底表!I82,二三级标准!$O:$O,0))</f>
        <v>试验准备</v>
      </c>
      <c r="K82" s="328" t="s">
        <v>125</v>
      </c>
      <c r="L82" s="328" t="str">
        <f>INDEX(二三级标准!C:C,MATCH(服务费底表!K82,二三级标准!$B:$B,0))</f>
        <v>中心知情同意书撰写</v>
      </c>
      <c r="M82" s="328" t="s">
        <v>1222</v>
      </c>
      <c r="N82" s="328" t="str">
        <f>INDEX(二三级标准!$M:$M,MATCH(服务费底表!$M82,二三级标准!$L:$L,0))</f>
        <v>中心知情同意书审核</v>
      </c>
      <c r="O82" s="328"/>
      <c r="P82" s="327">
        <f>IF(R82=1,INDEX(服务费明细!$E:$E,MATCH(服务费底表!$K82,服务费明细!$B:$B,0)),0)</f>
        <v>3</v>
      </c>
      <c r="Q82" s="328" t="s">
        <v>1178</v>
      </c>
      <c r="R82" s="520">
        <f>IF(AND(中心知情同意书撰写YN=1,项目管理YN=1,启动中心数&gt;1),1,0)</f>
        <v>1</v>
      </c>
      <c r="S82" s="525" t="str">
        <f>INDEX('Rate Card'!$D:$D,MATCH(服务费底表!$T82,'Rate Card'!F:F,0))</f>
        <v>项目管理</v>
      </c>
      <c r="T82" s="328" t="s">
        <v>599</v>
      </c>
      <c r="U82" s="522" t="str">
        <f>INDEX('Rate Card'!$E:$E,MATCH(服务费底表!$T82,'Rate Card'!$F:$F,0))</f>
        <v>临床项目经理</v>
      </c>
      <c r="V82" s="331">
        <f>INDEX('Rate Card'!$J:$J,MATCH($T82,'Rate Card'!$F:$F,0))</f>
        <v>650</v>
      </c>
      <c r="W82" s="523">
        <f t="shared" si="73"/>
        <v>650</v>
      </c>
      <c r="X82" s="523">
        <f t="shared" si="74"/>
        <v>1</v>
      </c>
      <c r="Y82" s="327" cm="1">
        <f t="array" ref="Y82">_xlfn.IFS(报价场景=服务费底表!$AJ$2,服务费底表!$AJ82,报价场景=服务费底表!$AP$2,服务费底表!$AP82,报价场景=服务费底表!$AK$2,服务费底表!$AK82,报价场景=服务费底表!$AL$2,服务费底表!$AL82,报价场景=服务费底表!$AM$2,服务费底表!$AM82,报价场景=服务费底表!$AN$2,服务费底表!$AN82,报价场景=服务费底表!$AQ$2,服务费底表!$AQ82,报价场景=服务费底表!$AO$2,服务费底表!$AO82)</f>
        <v>1</v>
      </c>
      <c r="Z82" s="327"/>
      <c r="AA82" s="332">
        <f t="shared" si="75"/>
        <v>1</v>
      </c>
      <c r="AB82" s="333">
        <f t="shared" si="89"/>
        <v>650</v>
      </c>
      <c r="AC82" s="328">
        <f t="shared" si="90"/>
        <v>3</v>
      </c>
      <c r="AD82" s="334">
        <f t="shared" si="91"/>
        <v>1950</v>
      </c>
      <c r="AE82" s="334">
        <f>$AB82*(1-INDEX(项目参数!$D$5:$D$14,MATCH(服务费底表!$S82,项目参数!$B$5:$B$14,0)))</f>
        <v>650</v>
      </c>
      <c r="AF82" s="334">
        <f>$AD82*INDEX(项目参数!$D$5:$D$14,MATCH(服务费底表!$S82,项目参数!$B$5:$B$14,0))</f>
        <v>0</v>
      </c>
      <c r="AG82" s="334">
        <f t="shared" si="92"/>
        <v>1950</v>
      </c>
      <c r="AH82" s="328"/>
      <c r="AI82" s="328" t="s">
        <v>599</v>
      </c>
      <c r="AJ82" s="327">
        <v>1</v>
      </c>
      <c r="AK82" s="327">
        <f t="shared" si="93"/>
        <v>1.5</v>
      </c>
      <c r="AL82" s="327">
        <f t="shared" si="94"/>
        <v>0.8</v>
      </c>
      <c r="AM82" s="327">
        <v>0.8</v>
      </c>
      <c r="AN82" s="327">
        <f t="shared" si="95"/>
        <v>1</v>
      </c>
      <c r="AO82" s="327">
        <f t="shared" si="96"/>
        <v>0.8</v>
      </c>
      <c r="AP82" s="327">
        <v>1</v>
      </c>
      <c r="AQ82" s="327">
        <f t="shared" si="80"/>
        <v>1.5</v>
      </c>
      <c r="AR82" s="338"/>
      <c r="AS82" s="327">
        <f t="shared" si="81"/>
        <v>3</v>
      </c>
      <c r="AT82" s="327">
        <f t="shared" si="82"/>
        <v>3</v>
      </c>
      <c r="AU82" s="523">
        <v>1</v>
      </c>
      <c r="AV82" s="328"/>
      <c r="AW82" s="328"/>
      <c r="AX82" s="332">
        <v>1</v>
      </c>
      <c r="AY82" s="328" t="b">
        <f t="shared" si="85"/>
        <v>1</v>
      </c>
      <c r="AZ82" s="328" t="b">
        <f t="shared" si="86"/>
        <v>1</v>
      </c>
    </row>
    <row r="83" ht="27" customHeight="1" spans="1:52">
      <c r="A83" s="326" t="str">
        <f>INDEX('Rate Card'!$A:$A,MATCH(服务费底表!$T83,'Rate Card'!$F:$F,0))</f>
        <v>临床运营</v>
      </c>
      <c r="B83" s="327" t="str">
        <f>INDEX(二三级标准!$G:$G,MATCH(服务费底表!$K83,二三级标准!B:B,0))</f>
        <v>次</v>
      </c>
      <c r="C83" s="327">
        <f>INDEX(服务费明细!$E:$E,MATCH(服务费底表!$K83,服务费明细!$B:$B,0))</f>
        <v>1</v>
      </c>
      <c r="D83" s="327" t="str">
        <f t="shared" si="87"/>
        <v>A015CRA</v>
      </c>
      <c r="E83" s="327" t="str">
        <f t="shared" si="88"/>
        <v>T0041CRA</v>
      </c>
      <c r="F83" s="328"/>
      <c r="G83" s="328" t="s">
        <v>684</v>
      </c>
      <c r="H83" s="326" t="str">
        <f>INDEX('Rate Card'!$B:$B,MATCH(服务费底表!$T83,'Rate Card'!$F:$F,0))</f>
        <v>临床运营</v>
      </c>
      <c r="I83" s="328" t="s">
        <v>917</v>
      </c>
      <c r="J83" s="328" t="str">
        <f>INDEX(二三级标准!$Q:$Q,MATCH(服务费底表!I83,二三级标准!$O:$O,0))</f>
        <v>试验准备</v>
      </c>
      <c r="K83" s="328" t="s">
        <v>127</v>
      </c>
      <c r="L83" s="328" t="str">
        <f>INDEX(二三级标准!C:C,MATCH(服务费底表!K83,二三级标准!$B:$B,0))</f>
        <v>EDC上线前测试</v>
      </c>
      <c r="M83" s="328" t="s">
        <v>1223</v>
      </c>
      <c r="N83" s="328" t="str">
        <f>INDEX(二三级标准!$M:$M,MATCH(服务费底表!$M83,二三级标准!$L:$L,0))</f>
        <v>EDC上线前测试</v>
      </c>
      <c r="O83" s="328"/>
      <c r="P83" s="327">
        <f>IF(R83=1,INDEX(服务费明细!$E:$E,MATCH(服务费底表!$K83,服务费明细!$B:$B,0)),0)</f>
        <v>1</v>
      </c>
      <c r="Q83" s="328" t="s">
        <v>1178</v>
      </c>
      <c r="R83" s="520">
        <f>IF(AND(EDC上线前测试YN=1,临床监查YN=1),1,0)</f>
        <v>1</v>
      </c>
      <c r="S83" s="525" t="str">
        <f>INDEX('Rate Card'!$D:$D,MATCH(服务费底表!$T83,'Rate Card'!F:F,0))</f>
        <v>临床监查</v>
      </c>
      <c r="T83" s="328" t="s">
        <v>595</v>
      </c>
      <c r="U83" s="522" t="str">
        <f>INDEX('Rate Card'!$E:$E,MATCH(服务费底表!$T83,'Rate Card'!$F:$F,0))</f>
        <v>临床监查员</v>
      </c>
      <c r="V83" s="331">
        <f>INDEX('Rate Card'!$J:$J,MATCH($T83,'Rate Card'!$F:$F,0))</f>
        <v>340</v>
      </c>
      <c r="W83" s="523">
        <f t="shared" si="73"/>
        <v>340</v>
      </c>
      <c r="X83" s="523">
        <f t="shared" si="74"/>
        <v>0</v>
      </c>
      <c r="Y83" s="327" cm="1">
        <f t="array" ref="Y83">_xlfn.IFS(报价场景=服务费底表!$AJ$2,服务费底表!$AJ83,报价场景=服务费底表!$AP$2,服务费底表!$AP83,报价场景=服务费底表!$AK$2,服务费底表!$AK83,报价场景=服务费底表!$AL$2,服务费底表!$AL83,报价场景=服务费底表!$AM$2,服务费底表!$AM83,报价场景=服务费底表!$AN$2,服务费底表!$AN83,报价场景=服务费底表!$AQ$2,服务费底表!$AQ83,报价场景=服务费底表!$AO$2,服务费底表!$AO83)</f>
        <v>0</v>
      </c>
      <c r="Z83" s="327"/>
      <c r="AA83" s="332">
        <f t="shared" si="75"/>
        <v>0</v>
      </c>
      <c r="AB83" s="333">
        <f t="shared" si="89"/>
        <v>0</v>
      </c>
      <c r="AC83" s="328">
        <f t="shared" si="90"/>
        <v>0</v>
      </c>
      <c r="AD83" s="334">
        <f t="shared" si="91"/>
        <v>0</v>
      </c>
      <c r="AE83" s="334">
        <f>$AB83*(1-INDEX(项目参数!$D$5:$D$14,MATCH(服务费底表!$S83,项目参数!$B$5:$B$14,0)))</f>
        <v>0</v>
      </c>
      <c r="AF83" s="334">
        <f>$AD83*INDEX(项目参数!$D$5:$D$14,MATCH(服务费底表!$S83,项目参数!$B$5:$B$14,0))</f>
        <v>0</v>
      </c>
      <c r="AG83" s="334">
        <f t="shared" si="92"/>
        <v>0</v>
      </c>
      <c r="AH83" s="328"/>
      <c r="AI83" s="328" t="s">
        <v>595</v>
      </c>
      <c r="AJ83" s="327">
        <v>0</v>
      </c>
      <c r="AK83" s="327">
        <f t="shared" si="93"/>
        <v>0</v>
      </c>
      <c r="AL83" s="327">
        <f t="shared" si="94"/>
        <v>0</v>
      </c>
      <c r="AM83" s="327">
        <f>AJ83*0.7</f>
        <v>0</v>
      </c>
      <c r="AN83" s="327">
        <f t="shared" si="95"/>
        <v>0</v>
      </c>
      <c r="AO83" s="327">
        <f t="shared" si="96"/>
        <v>0</v>
      </c>
      <c r="AP83" s="327">
        <v>0</v>
      </c>
      <c r="AQ83" s="327">
        <f t="shared" si="80"/>
        <v>0</v>
      </c>
      <c r="AR83" s="338"/>
      <c r="AS83" s="327">
        <f t="shared" si="81"/>
        <v>0</v>
      </c>
      <c r="AT83" s="327">
        <f t="shared" si="82"/>
        <v>0</v>
      </c>
      <c r="AU83" s="523">
        <v>0</v>
      </c>
      <c r="AV83" s="328"/>
      <c r="AW83" s="328"/>
      <c r="AX83" s="332">
        <v>0</v>
      </c>
      <c r="AY83" s="328" t="b">
        <f t="shared" si="85"/>
        <v>1</v>
      </c>
      <c r="AZ83" s="328" t="b">
        <f t="shared" si="86"/>
        <v>0</v>
      </c>
    </row>
    <row r="84" ht="27" customHeight="1" spans="1:52">
      <c r="A84" s="326" t="str">
        <f>INDEX('Rate Card'!$A:$A,MATCH(服务费底表!$T84,'Rate Card'!$F:$F,0))</f>
        <v>临床运营</v>
      </c>
      <c r="B84" s="327" t="str">
        <f>INDEX(二三级标准!$G:$G,MATCH(服务费底表!$K84,二三级标准!B:B,0))</f>
        <v>次</v>
      </c>
      <c r="C84" s="327">
        <f>INDEX(服务费明细!$E:$E,MATCH(服务费底表!$K84,服务费明细!$B:$B,0))</f>
        <v>1</v>
      </c>
      <c r="D84" s="327" t="str">
        <f t="shared" si="87"/>
        <v>A015PM</v>
      </c>
      <c r="E84" s="327" t="str">
        <f t="shared" si="88"/>
        <v>T0041PM</v>
      </c>
      <c r="F84" s="328"/>
      <c r="G84" s="328" t="s">
        <v>684</v>
      </c>
      <c r="H84" s="326" t="str">
        <f>INDEX('Rate Card'!$B:$B,MATCH(服务费底表!$T84,'Rate Card'!$F:$F,0))</f>
        <v>临床运营</v>
      </c>
      <c r="I84" s="328" t="s">
        <v>917</v>
      </c>
      <c r="J84" s="328" t="str">
        <f>INDEX(二三级标准!$Q:$Q,MATCH(服务费底表!I84,二三级标准!$O:$O,0))</f>
        <v>试验准备</v>
      </c>
      <c r="K84" s="328" t="s">
        <v>127</v>
      </c>
      <c r="L84" s="328" t="str">
        <f>INDEX(二三级标准!C:C,MATCH(服务费底表!K84,二三级标准!$B:$B,0))</f>
        <v>EDC上线前测试</v>
      </c>
      <c r="M84" s="328" t="s">
        <v>1223</v>
      </c>
      <c r="N84" s="328" t="str">
        <f>INDEX(二三级标准!$M:$M,MATCH(服务费底表!$M84,二三级标准!$L:$L,0))</f>
        <v>EDC上线前测试</v>
      </c>
      <c r="O84" s="328"/>
      <c r="P84" s="327">
        <f>IF(R84=1,INDEX(服务费明细!$E:$E,MATCH(服务费底表!$K84,服务费明细!$B:$B,0)),0)</f>
        <v>1</v>
      </c>
      <c r="Q84" s="328" t="s">
        <v>1178</v>
      </c>
      <c r="R84" s="520">
        <f>IF(AND(EDC上线前测试YN=1,项目管理YN=1),1,0)</f>
        <v>1</v>
      </c>
      <c r="S84" s="525" t="str">
        <f>INDEX('Rate Card'!$D:$D,MATCH(服务费底表!$T84,'Rate Card'!F:F,0))</f>
        <v>项目管理</v>
      </c>
      <c r="T84" s="328" t="s">
        <v>599</v>
      </c>
      <c r="U84" s="522" t="str">
        <f>INDEX('Rate Card'!$E:$E,MATCH(服务费底表!$T84,'Rate Card'!$F:$F,0))</f>
        <v>临床项目经理</v>
      </c>
      <c r="V84" s="331">
        <f>INDEX('Rate Card'!$J:$J,MATCH($T84,'Rate Card'!$F:$F,0))</f>
        <v>650</v>
      </c>
      <c r="W84" s="523">
        <f t="shared" si="73"/>
        <v>650</v>
      </c>
      <c r="X84" s="523">
        <f t="shared" si="74"/>
        <v>2</v>
      </c>
      <c r="Y84" s="327" cm="1">
        <f t="array" ref="Y84">_xlfn.IFS(报价场景=服务费底表!$AJ$2,服务费底表!$AJ84,报价场景=服务费底表!$AP$2,服务费底表!$AP84,报价场景=服务费底表!$AK$2,服务费底表!$AK84,报价场景=服务费底表!$AL$2,服务费底表!$AL84,报价场景=服务费底表!$AM$2,服务费底表!$AM84,报价场景=服务费底表!$AN$2,服务费底表!$AN84,报价场景=服务费底表!$AQ$2,服务费底表!$AQ84,报价场景=服务费底表!$AO$2,服务费底表!$AO84)</f>
        <v>2</v>
      </c>
      <c r="Z84" s="327"/>
      <c r="AA84" s="332">
        <f t="shared" si="75"/>
        <v>2</v>
      </c>
      <c r="AB84" s="333">
        <f t="shared" si="89"/>
        <v>1300</v>
      </c>
      <c r="AC84" s="328">
        <f t="shared" si="90"/>
        <v>2</v>
      </c>
      <c r="AD84" s="334">
        <f t="shared" si="91"/>
        <v>1300</v>
      </c>
      <c r="AE84" s="334">
        <f>$AB84*(1-INDEX(项目参数!$D$5:$D$14,MATCH(服务费底表!$S84,项目参数!$B$5:$B$14,0)))</f>
        <v>1300</v>
      </c>
      <c r="AF84" s="334">
        <f>$AD84*INDEX(项目参数!$D$5:$D$14,MATCH(服务费底表!$S84,项目参数!$B$5:$B$14,0))</f>
        <v>0</v>
      </c>
      <c r="AG84" s="334">
        <f t="shared" si="92"/>
        <v>1300</v>
      </c>
      <c r="AH84" s="328"/>
      <c r="AI84" s="328" t="s">
        <v>599</v>
      </c>
      <c r="AJ84" s="327">
        <v>2</v>
      </c>
      <c r="AK84" s="327">
        <f t="shared" si="93"/>
        <v>3</v>
      </c>
      <c r="AL84" s="327">
        <f t="shared" si="94"/>
        <v>1.5</v>
      </c>
      <c r="AM84" s="327">
        <v>1.5</v>
      </c>
      <c r="AN84" s="327">
        <f t="shared" si="95"/>
        <v>2</v>
      </c>
      <c r="AO84" s="327">
        <f t="shared" si="96"/>
        <v>1.5</v>
      </c>
      <c r="AP84" s="327">
        <v>2</v>
      </c>
      <c r="AQ84" s="327">
        <f t="shared" si="80"/>
        <v>3</v>
      </c>
      <c r="AR84" s="338"/>
      <c r="AS84" s="327">
        <f t="shared" si="81"/>
        <v>2</v>
      </c>
      <c r="AT84" s="327">
        <f t="shared" si="82"/>
        <v>2</v>
      </c>
      <c r="AU84" s="523">
        <v>2</v>
      </c>
      <c r="AV84" s="328"/>
      <c r="AW84" s="328"/>
      <c r="AX84" s="332">
        <v>2</v>
      </c>
      <c r="AY84" s="328" t="b">
        <f t="shared" si="85"/>
        <v>1</v>
      </c>
      <c r="AZ84" s="328" t="b">
        <f t="shared" si="86"/>
        <v>0</v>
      </c>
    </row>
    <row r="85" ht="27" customHeight="1" spans="1:52">
      <c r="A85" s="326" t="str">
        <f>INDEX('Rate Card'!$A:$A,MATCH(服务费底表!$T85,'Rate Card'!$F:$F,0))</f>
        <v>临床运营</v>
      </c>
      <c r="B85" s="327" t="str">
        <f>INDEX(二三级标准!$G:$G,MATCH(服务费底表!$K85,二三级标准!B:B,0))</f>
        <v>次</v>
      </c>
      <c r="C85" s="327">
        <f>INDEX(服务费明细!$E:$E,MATCH(服务费底表!$K85,服务费明细!$B:$B,0))</f>
        <v>4</v>
      </c>
      <c r="D85" s="327" t="str">
        <f t="shared" si="87"/>
        <v>A016CRA</v>
      </c>
      <c r="E85" s="327" t="str">
        <f t="shared" si="88"/>
        <v>T0042CRA</v>
      </c>
      <c r="F85" s="328"/>
      <c r="G85" s="328" t="s">
        <v>684</v>
      </c>
      <c r="H85" s="326" t="str">
        <f>INDEX('Rate Card'!$B:$B,MATCH(服务费底表!$T85,'Rate Card'!$F:$F,0))</f>
        <v>临床运营</v>
      </c>
      <c r="I85" s="328" t="s">
        <v>917</v>
      </c>
      <c r="J85" s="328" t="str">
        <f>INDEX(二三级标准!$Q:$Q,MATCH(服务费底表!I85,二三级标准!$O:$O,0))</f>
        <v>试验准备</v>
      </c>
      <c r="K85" s="328" t="s">
        <v>129</v>
      </c>
      <c r="L85" s="328" t="str">
        <f>INDEX(二三级标准!C:C,MATCH(服务费底表!K85,二三级标准!$B:$B,0))</f>
        <v>研究中心启动文件准备和快递</v>
      </c>
      <c r="M85" s="328" t="s">
        <v>1224</v>
      </c>
      <c r="N85" s="328" t="str">
        <f>INDEX(二三级标准!$M:$M,MATCH(服务费底表!$M85,二三级标准!$L:$L,0))</f>
        <v>研究中心启动文件准备</v>
      </c>
      <c r="O85" s="328"/>
      <c r="P85" s="327">
        <f>IF(R85=1,INDEX(服务费明细!$E:$E,MATCH(服务费底表!$K85,服务费明细!$B:$B,0)),0)</f>
        <v>4</v>
      </c>
      <c r="Q85" s="328" t="s">
        <v>1178</v>
      </c>
      <c r="R85" s="520">
        <f>IF(AND(研究中心启动文件准备和快递YN=1,临床监查YN=1),1,0)</f>
        <v>1</v>
      </c>
      <c r="S85" s="525" t="str">
        <f>INDEX('Rate Card'!$D:$D,MATCH(服务费底表!$T85,'Rate Card'!F:F,0))</f>
        <v>临床监查</v>
      </c>
      <c r="T85" s="328" t="s">
        <v>595</v>
      </c>
      <c r="U85" s="522" t="str">
        <f>INDEX('Rate Card'!$E:$E,MATCH(服务费底表!$T85,'Rate Card'!$F:$F,0))</f>
        <v>临床监查员</v>
      </c>
      <c r="V85" s="331">
        <f>INDEX('Rate Card'!$J:$J,MATCH($T85,'Rate Card'!$F:$F,0))</f>
        <v>340</v>
      </c>
      <c r="W85" s="523">
        <f t="shared" si="73"/>
        <v>340</v>
      </c>
      <c r="X85" s="523">
        <f t="shared" si="74"/>
        <v>4</v>
      </c>
      <c r="Y85" s="327" cm="1">
        <f t="array" ref="Y85">_xlfn.IFS(报价场景=服务费底表!$AJ$2,服务费底表!$AJ85,报价场景=服务费底表!$AP$2,服务费底表!$AP85,报价场景=服务费底表!$AK$2,服务费底表!$AK85,报价场景=服务费底表!$AL$2,服务费底表!$AL85,报价场景=服务费底表!$AM$2,服务费底表!$AM85,报价场景=服务费底表!$AN$2,服务费底表!$AN85,报价场景=服务费底表!$AQ$2,服务费底表!$AQ85,报价场景=服务费底表!$AO$2,服务费底表!$AO85)</f>
        <v>4</v>
      </c>
      <c r="Z85" s="327"/>
      <c r="AA85" s="332">
        <f t="shared" si="75"/>
        <v>4</v>
      </c>
      <c r="AB85" s="333">
        <f t="shared" si="89"/>
        <v>1360</v>
      </c>
      <c r="AC85" s="328">
        <f t="shared" si="90"/>
        <v>16</v>
      </c>
      <c r="AD85" s="334">
        <f t="shared" si="91"/>
        <v>5440</v>
      </c>
      <c r="AE85" s="334">
        <f>$AB85*(1-INDEX(项目参数!$D$5:$D$14,MATCH(服务费底表!$S85,项目参数!$B$5:$B$14,0)))</f>
        <v>1360</v>
      </c>
      <c r="AF85" s="334">
        <f>$AD85*INDEX(项目参数!$D$5:$D$14,MATCH(服务费底表!$S85,项目参数!$B$5:$B$14,0))</f>
        <v>0</v>
      </c>
      <c r="AG85" s="334">
        <f t="shared" si="92"/>
        <v>5440</v>
      </c>
      <c r="AH85" s="328"/>
      <c r="AI85" s="328" t="s">
        <v>595</v>
      </c>
      <c r="AJ85" s="327">
        <v>4</v>
      </c>
      <c r="AK85" s="327">
        <v>4</v>
      </c>
      <c r="AL85" s="327">
        <v>4</v>
      </c>
      <c r="AM85" s="327">
        <v>4</v>
      </c>
      <c r="AN85" s="327">
        <v>4</v>
      </c>
      <c r="AO85" s="327">
        <v>4</v>
      </c>
      <c r="AP85" s="327">
        <v>4</v>
      </c>
      <c r="AQ85" s="327">
        <f t="shared" si="80"/>
        <v>6</v>
      </c>
      <c r="AR85" s="338"/>
      <c r="AS85" s="327">
        <f t="shared" si="81"/>
        <v>16</v>
      </c>
      <c r="AT85" s="327">
        <f t="shared" si="82"/>
        <v>16</v>
      </c>
      <c r="AU85" s="523">
        <v>4</v>
      </c>
      <c r="AV85" s="328"/>
      <c r="AW85" s="328"/>
      <c r="AX85" s="332">
        <v>4</v>
      </c>
      <c r="AY85" s="328" t="b">
        <f t="shared" si="85"/>
        <v>1</v>
      </c>
      <c r="AZ85" s="328" t="b">
        <f t="shared" si="86"/>
        <v>1</v>
      </c>
    </row>
    <row r="86" ht="27" customHeight="1" spans="1:52">
      <c r="A86" s="326" t="str">
        <f>INDEX('Rate Card'!$A:$A,MATCH(服务费底表!$T86,'Rate Card'!$F:$F,0))</f>
        <v>临床运营</v>
      </c>
      <c r="B86" s="327" t="str">
        <f>INDEX(二三级标准!$G:$G,MATCH(服务费底表!$K86,二三级标准!B:B,0))</f>
        <v>次</v>
      </c>
      <c r="C86" s="327">
        <f>INDEX(服务费明细!$E:$E,MATCH(服务费底表!$K86,服务费明细!$B:$B,0))</f>
        <v>4</v>
      </c>
      <c r="D86" s="327" t="str">
        <f t="shared" si="87"/>
        <v>A016CTA</v>
      </c>
      <c r="E86" s="327" t="str">
        <f t="shared" si="88"/>
        <v>T0043CTA</v>
      </c>
      <c r="F86" s="328"/>
      <c r="G86" s="328" t="s">
        <v>684</v>
      </c>
      <c r="H86" s="326" t="str">
        <f>INDEX('Rate Card'!$B:$B,MATCH(服务费底表!$T86,'Rate Card'!$F:$F,0))</f>
        <v>临床运营</v>
      </c>
      <c r="I86" s="328" t="s">
        <v>917</v>
      </c>
      <c r="J86" s="328" t="str">
        <f>INDEX(二三级标准!$Q:$Q,MATCH(服务费底表!I86,二三级标准!$O:$O,0))</f>
        <v>试验准备</v>
      </c>
      <c r="K86" s="328" t="s">
        <v>129</v>
      </c>
      <c r="L86" s="328" t="str">
        <f>INDEX(二三级标准!C:C,MATCH(服务费底表!K86,二三级标准!$B:$B,0))</f>
        <v>研究中心启动文件准备和快递</v>
      </c>
      <c r="M86" s="328" t="s">
        <v>1225</v>
      </c>
      <c r="N86" s="328" t="str">
        <f>INDEX(二三级标准!$M:$M,MATCH(服务费底表!$M86,二三级标准!$L:$L,0))</f>
        <v>研究中心启动文件整理和运送</v>
      </c>
      <c r="O86" s="328"/>
      <c r="P86" s="327">
        <f>IF(R86=1,INDEX(服务费明细!$E:$E,MATCH(服务费底表!$K86,服务费明细!$B:$B,0)),0)</f>
        <v>4</v>
      </c>
      <c r="Q86" s="328" t="s">
        <v>1178</v>
      </c>
      <c r="R86" s="520">
        <f>IF(AND(研究中心启动文件准备和快递YN=1,临床监查YN=1),1,0)</f>
        <v>1</v>
      </c>
      <c r="S86" s="525" t="str">
        <f>INDEX('Rate Card'!$D:$D,MATCH(服务费底表!$T86,'Rate Card'!F:F,0))</f>
        <v>临床监查</v>
      </c>
      <c r="T86" s="328" t="s">
        <v>597</v>
      </c>
      <c r="U86" s="522" t="str">
        <f>INDEX('Rate Card'!$E:$E,MATCH(服务费底表!$T86,'Rate Card'!$F:$F,0))</f>
        <v>临床试验助理</v>
      </c>
      <c r="V86" s="331">
        <f>INDEX('Rate Card'!$J:$J,MATCH($T86,'Rate Card'!$F:$F,0))</f>
        <v>220</v>
      </c>
      <c r="W86" s="523">
        <f t="shared" si="73"/>
        <v>220</v>
      </c>
      <c r="X86" s="523">
        <f t="shared" si="74"/>
        <v>4</v>
      </c>
      <c r="Y86" s="327" cm="1">
        <f t="array" ref="Y86">_xlfn.IFS(报价场景=服务费底表!$AJ$2,服务费底表!$AJ86,报价场景=服务费底表!$AP$2,服务费底表!$AP86,报价场景=服务费底表!$AK$2,服务费底表!$AK86,报价场景=服务费底表!$AL$2,服务费底表!$AL86,报价场景=服务费底表!$AM$2,服务费底表!$AM86,报价场景=服务费底表!$AN$2,服务费底表!$AN86,报价场景=服务费底表!$AQ$2,服务费底表!$AQ86,报价场景=服务费底表!$AO$2,服务费底表!$AO86)</f>
        <v>4</v>
      </c>
      <c r="Z86" s="327"/>
      <c r="AA86" s="332">
        <f t="shared" si="75"/>
        <v>4</v>
      </c>
      <c r="AB86" s="333">
        <f t="shared" si="89"/>
        <v>880</v>
      </c>
      <c r="AC86" s="328">
        <f t="shared" si="90"/>
        <v>16</v>
      </c>
      <c r="AD86" s="334">
        <f t="shared" si="91"/>
        <v>3520</v>
      </c>
      <c r="AE86" s="334">
        <f>$AB86*(1-INDEX(项目参数!$D$5:$D$14,MATCH(服务费底表!$S86,项目参数!$B$5:$B$14,0)))</f>
        <v>880</v>
      </c>
      <c r="AF86" s="334">
        <f>$AD86*INDEX(项目参数!$D$5:$D$14,MATCH(服务费底表!$S86,项目参数!$B$5:$B$14,0))</f>
        <v>0</v>
      </c>
      <c r="AG86" s="334">
        <f t="shared" si="92"/>
        <v>3520</v>
      </c>
      <c r="AH86" s="328"/>
      <c r="AI86" s="328" t="s">
        <v>597</v>
      </c>
      <c r="AJ86" s="327">
        <v>4</v>
      </c>
      <c r="AK86" s="327">
        <f t="shared" si="93"/>
        <v>6</v>
      </c>
      <c r="AL86" s="327">
        <f t="shared" si="94"/>
        <v>3</v>
      </c>
      <c r="AM86" s="327">
        <v>3</v>
      </c>
      <c r="AN86" s="327">
        <f t="shared" si="95"/>
        <v>4</v>
      </c>
      <c r="AO86" s="327">
        <f t="shared" si="96"/>
        <v>3</v>
      </c>
      <c r="AP86" s="327">
        <v>4</v>
      </c>
      <c r="AQ86" s="327">
        <f t="shared" si="80"/>
        <v>6</v>
      </c>
      <c r="AR86" s="338"/>
      <c r="AS86" s="327">
        <f t="shared" si="81"/>
        <v>16</v>
      </c>
      <c r="AT86" s="327">
        <f t="shared" si="82"/>
        <v>16</v>
      </c>
      <c r="AU86" s="523">
        <v>4</v>
      </c>
      <c r="AV86" s="328"/>
      <c r="AW86" s="328"/>
      <c r="AX86" s="332">
        <v>4</v>
      </c>
      <c r="AY86" s="328" t="b">
        <f t="shared" si="85"/>
        <v>1</v>
      </c>
      <c r="AZ86" s="328" t="b">
        <f t="shared" si="86"/>
        <v>1</v>
      </c>
    </row>
    <row r="87" ht="27" customHeight="1" spans="1:52">
      <c r="A87" s="326" t="str">
        <f>INDEX('Rate Card'!$A:$A,MATCH(服务费底表!$T87,'Rate Card'!$F:$F,0))</f>
        <v>临床运营</v>
      </c>
      <c r="B87" s="327" t="str">
        <f>INDEX(二三级标准!$G:$G,MATCH(服务费底表!$K87,二三级标准!B:B,0))</f>
        <v>次</v>
      </c>
      <c r="C87" s="327">
        <f>INDEX(服务费明细!$E:$E,MATCH(服务费底表!$K87,服务费明细!$B:$B,0))</f>
        <v>0</v>
      </c>
      <c r="D87" s="327" t="str">
        <f t="shared" si="87"/>
        <v>A017PM</v>
      </c>
      <c r="E87" s="327" t="str">
        <f t="shared" si="88"/>
        <v>T0044PM</v>
      </c>
      <c r="F87" s="328"/>
      <c r="G87" s="328" t="s">
        <v>684</v>
      </c>
      <c r="H87" s="326" t="str">
        <f>INDEX('Rate Card'!$B:$B,MATCH(服务费底表!$T87,'Rate Card'!$F:$F,0))</f>
        <v>临床运营</v>
      </c>
      <c r="I87" s="328" t="s">
        <v>917</v>
      </c>
      <c r="J87" s="328" t="str">
        <f>INDEX(二三级标准!$Q:$Q,MATCH(服务费底表!I87,二三级标准!$O:$O,0))</f>
        <v>试验准备</v>
      </c>
      <c r="K87" s="328" t="s">
        <v>131</v>
      </c>
      <c r="L87" s="328" t="str">
        <f>INDEX(二三级标准!C:C,MATCH(服务费底表!K87,二三级标准!$B:$B,0))</f>
        <v>临床试验国家局备案</v>
      </c>
      <c r="M87" s="328" t="s">
        <v>1226</v>
      </c>
      <c r="N87" s="328" t="str">
        <f>INDEX(二三级标准!$M:$M,MATCH(服务费底表!$M87,二三级标准!$L:$L,0))</f>
        <v>临床试验国家局备案</v>
      </c>
      <c r="O87" s="328"/>
      <c r="P87" s="327">
        <f>IF(R87=1,INDEX(服务费明细!$E:$E,MATCH(服务费底表!$K87,服务费明细!$B:$B,0)),0)</f>
        <v>0</v>
      </c>
      <c r="Q87" s="328" t="s">
        <v>1178</v>
      </c>
      <c r="R87" s="520">
        <f>IF(AND(临床试验国家局备案YN=1,项目管理YN=1),1,0)</f>
        <v>0</v>
      </c>
      <c r="S87" s="525" t="str">
        <f>INDEX('Rate Card'!$D:$D,MATCH(服务费底表!$T87,'Rate Card'!F:F,0))</f>
        <v>项目管理</v>
      </c>
      <c r="T87" s="328" t="s">
        <v>599</v>
      </c>
      <c r="U87" s="522" t="str">
        <f>INDEX('Rate Card'!$E:$E,MATCH(服务费底表!$T87,'Rate Card'!$F:$F,0))</f>
        <v>临床项目经理</v>
      </c>
      <c r="V87" s="331">
        <f>INDEX('Rate Card'!$J:$J,MATCH($T87,'Rate Card'!$F:$F,0))</f>
        <v>650</v>
      </c>
      <c r="W87" s="523">
        <f t="shared" si="73"/>
        <v>650</v>
      </c>
      <c r="X87" s="523">
        <f t="shared" si="74"/>
        <v>20</v>
      </c>
      <c r="Y87" s="327" cm="1">
        <f t="array" ref="Y87">_xlfn.IFS(报价场景=服务费底表!$AJ$2,服务费底表!$AJ87,报价场景=服务费底表!$AP$2,服务费底表!$AP87,报价场景=服务费底表!$AK$2,服务费底表!$AK87,报价场景=服务费底表!$AL$2,服务费底表!$AL87,报价场景=服务费底表!$AM$2,服务费底表!$AM87,报价场景=服务费底表!$AN$2,服务费底表!$AN87,报价场景=服务费底表!$AQ$2,服务费底表!$AQ87,报价场景=服务费底表!$AO$2,服务费底表!$AO87)</f>
        <v>20</v>
      </c>
      <c r="Z87" s="327"/>
      <c r="AA87" s="332">
        <f t="shared" si="75"/>
        <v>20</v>
      </c>
      <c r="AB87" s="333">
        <f t="shared" si="89"/>
        <v>0</v>
      </c>
      <c r="AC87" s="328">
        <f t="shared" si="90"/>
        <v>0</v>
      </c>
      <c r="AD87" s="334">
        <f t="shared" si="91"/>
        <v>0</v>
      </c>
      <c r="AE87" s="334">
        <f>$AB87*(1-INDEX(项目参数!$D$5:$D$14,MATCH(服务费底表!$S87,项目参数!$B$5:$B$14,0)))</f>
        <v>0</v>
      </c>
      <c r="AF87" s="334">
        <f>$AD87*INDEX(项目参数!$D$5:$D$14,MATCH(服务费底表!$S87,项目参数!$B$5:$B$14,0))</f>
        <v>0</v>
      </c>
      <c r="AG87" s="334">
        <f t="shared" si="92"/>
        <v>0</v>
      </c>
      <c r="AH87" s="328"/>
      <c r="AI87" s="328" t="s">
        <v>599</v>
      </c>
      <c r="AJ87" s="327">
        <v>20</v>
      </c>
      <c r="AK87" s="327">
        <f t="shared" si="93"/>
        <v>30</v>
      </c>
      <c r="AL87" s="327">
        <f t="shared" ref="AL87:AL91" si="97">AJ87*0.7</f>
        <v>14</v>
      </c>
      <c r="AM87" s="327">
        <f>AJ87*0.7</f>
        <v>14</v>
      </c>
      <c r="AN87" s="327">
        <f t="shared" si="95"/>
        <v>20</v>
      </c>
      <c r="AO87" s="327">
        <f t="shared" si="96"/>
        <v>14</v>
      </c>
      <c r="AP87" s="327">
        <v>20</v>
      </c>
      <c r="AQ87" s="327">
        <f t="shared" si="80"/>
        <v>30</v>
      </c>
      <c r="AR87" s="338"/>
      <c r="AS87" s="327">
        <f t="shared" si="81"/>
        <v>0</v>
      </c>
      <c r="AT87" s="327">
        <f t="shared" si="82"/>
        <v>0</v>
      </c>
      <c r="AU87" s="523">
        <v>20</v>
      </c>
      <c r="AV87" s="328"/>
      <c r="AW87" s="328"/>
      <c r="AX87" s="332">
        <v>20</v>
      </c>
      <c r="AY87" s="328" t="b">
        <f t="shared" si="85"/>
        <v>1</v>
      </c>
      <c r="AZ87" s="328" t="b">
        <f t="shared" si="86"/>
        <v>0</v>
      </c>
    </row>
    <row r="88" ht="27" customHeight="1" spans="1:52">
      <c r="A88" s="326" t="str">
        <f>INDEX('Rate Card'!$A:$A,MATCH(服务费底表!$T88,'Rate Card'!$F:$F,0))</f>
        <v>临床运营</v>
      </c>
      <c r="B88" s="327" t="str">
        <f>INDEX(二三级标准!$G:$G,MATCH(服务费底表!$K88,二三级标准!B:B,0))</f>
        <v>次</v>
      </c>
      <c r="C88" s="327">
        <f>INDEX(服务费明细!$E:$E,MATCH(服务费底表!$K88,服务费明细!$B:$B,0))</f>
        <v>0</v>
      </c>
      <c r="D88" s="327" t="str">
        <f t="shared" si="87"/>
        <v>A018CRA</v>
      </c>
      <c r="E88" s="327" t="str">
        <f t="shared" si="88"/>
        <v>T0045CRA</v>
      </c>
      <c r="F88" s="328"/>
      <c r="G88" s="328" t="s">
        <v>684</v>
      </c>
      <c r="H88" s="326" t="str">
        <f>INDEX('Rate Card'!$B:$B,MATCH(服务费底表!$T88,'Rate Card'!$F:$F,0))</f>
        <v>临床运营</v>
      </c>
      <c r="I88" s="328" t="s">
        <v>917</v>
      </c>
      <c r="J88" s="328" t="str">
        <f>INDEX(二三级标准!$Q:$Q,MATCH(服务费底表!I88,二三级标准!$O:$O,0))</f>
        <v>试验准备</v>
      </c>
      <c r="K88" s="328" t="s">
        <v>133</v>
      </c>
      <c r="L88" s="328" t="str">
        <f>INDEX(二三级标准!C:C,MATCH(服务费底表!K88,二三级标准!$B:$B,0))</f>
        <v>临床试验省局备案</v>
      </c>
      <c r="M88" s="328" t="s">
        <v>1227</v>
      </c>
      <c r="N88" s="328" t="str">
        <f>INDEX(二三级标准!$M:$M,MATCH(服务费底表!$M88,二三级标准!$L:$L,0))</f>
        <v>临床试验省局备案</v>
      </c>
      <c r="O88" s="328"/>
      <c r="P88" s="327">
        <f>IF(R88=1,INDEX(服务费明细!$E:$E,MATCH(服务费底表!$K88,服务费明细!$B:$B,0)),0)</f>
        <v>0</v>
      </c>
      <c r="Q88" s="328" t="s">
        <v>1178</v>
      </c>
      <c r="R88" s="520">
        <f>IF(AND(临床试验省局备案YN=1,临床监查YN=1),1,0)</f>
        <v>0</v>
      </c>
      <c r="S88" s="525" t="str">
        <f>INDEX('Rate Card'!$D:$D,MATCH(服务费底表!$T88,'Rate Card'!F:F,0))</f>
        <v>临床监查</v>
      </c>
      <c r="T88" s="328" t="s">
        <v>595</v>
      </c>
      <c r="U88" s="522" t="str">
        <f>INDEX('Rate Card'!$E:$E,MATCH(服务费底表!$T88,'Rate Card'!$F:$F,0))</f>
        <v>临床监查员</v>
      </c>
      <c r="V88" s="331">
        <f>INDEX('Rate Card'!$J:$J,MATCH($T88,'Rate Card'!$F:$F,0))</f>
        <v>340</v>
      </c>
      <c r="W88" s="523">
        <f t="shared" si="73"/>
        <v>340</v>
      </c>
      <c r="X88" s="523">
        <f t="shared" si="74"/>
        <v>6</v>
      </c>
      <c r="Y88" s="327" cm="1">
        <f t="array" ref="Y88">_xlfn.IFS(报价场景=服务费底表!$AJ$2,服务费底表!$AJ88,报价场景=服务费底表!$AP$2,服务费底表!$AP88,报价场景=服务费底表!$AK$2,服务费底表!$AK88,报价场景=服务费底表!$AL$2,服务费底表!$AL88,报价场景=服务费底表!$AM$2,服务费底表!$AM88,报价场景=服务费底表!$AN$2,服务费底表!$AN88,报价场景=服务费底表!$AQ$2,服务费底表!$AQ88,报价场景=服务费底表!$AO$2,服务费底表!$AO88)</f>
        <v>6</v>
      </c>
      <c r="Z88" s="327"/>
      <c r="AA88" s="332">
        <f t="shared" si="75"/>
        <v>6</v>
      </c>
      <c r="AB88" s="333">
        <f t="shared" si="89"/>
        <v>0</v>
      </c>
      <c r="AC88" s="328">
        <f t="shared" si="90"/>
        <v>0</v>
      </c>
      <c r="AD88" s="334">
        <f t="shared" si="91"/>
        <v>0</v>
      </c>
      <c r="AE88" s="334">
        <f>$AB88*(1-INDEX(项目参数!$D$5:$D$14,MATCH(服务费底表!$S88,项目参数!$B$5:$B$14,0)))</f>
        <v>0</v>
      </c>
      <c r="AF88" s="334">
        <f>$AD88*INDEX(项目参数!$D$5:$D$14,MATCH(服务费底表!$S88,项目参数!$B$5:$B$14,0))</f>
        <v>0</v>
      </c>
      <c r="AG88" s="334">
        <f t="shared" si="92"/>
        <v>0</v>
      </c>
      <c r="AH88" s="328"/>
      <c r="AI88" s="328" t="s">
        <v>595</v>
      </c>
      <c r="AJ88" s="327">
        <v>6</v>
      </c>
      <c r="AK88" s="327">
        <f t="shared" si="93"/>
        <v>9</v>
      </c>
      <c r="AL88" s="327">
        <f t="shared" si="97"/>
        <v>4.2</v>
      </c>
      <c r="AM88" s="327">
        <f>AJ88*0.7</f>
        <v>4.2</v>
      </c>
      <c r="AN88" s="327">
        <f t="shared" si="95"/>
        <v>6</v>
      </c>
      <c r="AO88" s="327">
        <f t="shared" si="96"/>
        <v>4.2</v>
      </c>
      <c r="AP88" s="327">
        <v>6</v>
      </c>
      <c r="AQ88" s="327">
        <f t="shared" si="80"/>
        <v>9</v>
      </c>
      <c r="AR88" s="338"/>
      <c r="AS88" s="327">
        <f t="shared" si="81"/>
        <v>0</v>
      </c>
      <c r="AT88" s="327">
        <f t="shared" si="82"/>
        <v>0</v>
      </c>
      <c r="AU88" s="523">
        <v>6</v>
      </c>
      <c r="AV88" s="328"/>
      <c r="AW88" s="328"/>
      <c r="AX88" s="332">
        <v>6</v>
      </c>
      <c r="AY88" s="328" t="b">
        <f t="shared" si="85"/>
        <v>1</v>
      </c>
      <c r="AZ88" s="328" t="b">
        <f t="shared" si="86"/>
        <v>1</v>
      </c>
    </row>
    <row r="89" ht="27" customHeight="1" spans="1:52">
      <c r="A89" s="326" t="str">
        <f>INDEX('Rate Card'!$A:$A,MATCH(服务费底表!$T89,'Rate Card'!$F:$F,0))</f>
        <v>临床运营</v>
      </c>
      <c r="B89" s="327" t="str">
        <f>INDEX(二三级标准!$G:$G,MATCH(服务费底表!$K89,二三级标准!B:B,0))</f>
        <v>次</v>
      </c>
      <c r="C89" s="327">
        <f>INDEX(服务费明细!$E:$E,MATCH(服务费底表!$K89,服务费明细!$B:$B,0))</f>
        <v>0</v>
      </c>
      <c r="D89" s="327" t="str">
        <f t="shared" ref="D89:D98" si="98">K89&amp;T89</f>
        <v>A209PM</v>
      </c>
      <c r="E89" s="327" t="str">
        <f t="shared" ref="E89:E98" si="99">M89&amp;T89</f>
        <v>T0608PM</v>
      </c>
      <c r="F89" s="328"/>
      <c r="G89" s="328" t="s">
        <v>684</v>
      </c>
      <c r="H89" s="326" t="str">
        <f>INDEX('Rate Card'!$B:$B,MATCH(服务费底表!$T89,'Rate Card'!$F:$F,0))</f>
        <v>临床运营</v>
      </c>
      <c r="I89" s="328" t="s">
        <v>917</v>
      </c>
      <c r="J89" s="328" t="str">
        <f>INDEX(二三级标准!$Q:$Q,MATCH(服务费底表!I89,二三级标准!$O:$O,0))</f>
        <v>试验准备</v>
      </c>
      <c r="K89" s="328" t="s">
        <v>997</v>
      </c>
      <c r="L89" s="328" t="str">
        <f>INDEX(二三级标准!C:C,MATCH(服务费底表!K89,二三级标准!$B:$B,0))</f>
        <v>卫健委备案</v>
      </c>
      <c r="M89" s="330" t="s">
        <v>1228</v>
      </c>
      <c r="N89" s="328" t="str">
        <f>INDEX(二三级标准!$M:$M,MATCH(服务费底表!$M89,二三级标准!$L:$L,0))</f>
        <v>卫健委备案</v>
      </c>
      <c r="O89" s="328"/>
      <c r="P89" s="327">
        <f>IF(R89=1,INDEX(服务费明细!$E:$E,MATCH(服务费底表!$K89,服务费明细!$B:$B,0)),0)</f>
        <v>0</v>
      </c>
      <c r="Q89" s="328" t="s">
        <v>1178</v>
      </c>
      <c r="R89" s="520">
        <f>IF(AND(卫健委备案YN=1,项目管理YN=1),1,0)</f>
        <v>0</v>
      </c>
      <c r="S89" s="525" t="str">
        <f>INDEX('Rate Card'!$D:$D,MATCH(服务费底表!$T89,'Rate Card'!F:F,0))</f>
        <v>项目管理</v>
      </c>
      <c r="T89" s="328" t="s">
        <v>599</v>
      </c>
      <c r="U89" s="522" t="str">
        <f>INDEX('Rate Card'!$E:$E,MATCH(服务费底表!$T89,'Rate Card'!$F:$F,0))</f>
        <v>临床项目经理</v>
      </c>
      <c r="V89" s="331">
        <f>INDEX('Rate Card'!$J:$J,MATCH($T89,'Rate Card'!$F:$F,0))</f>
        <v>650</v>
      </c>
      <c r="W89" s="523">
        <f t="shared" si="73"/>
        <v>650</v>
      </c>
      <c r="X89" s="523">
        <f t="shared" si="74"/>
        <v>8</v>
      </c>
      <c r="Y89" s="327" cm="1">
        <f t="array" ref="Y89">_xlfn.IFS(报价场景=服务费底表!$AJ$2,服务费底表!$AJ89,报价场景=服务费底表!$AP$2,服务费底表!$AP89,报价场景=服务费底表!$AK$2,服务费底表!$AK89,报价场景=服务费底表!$AL$2,服务费底表!$AL89,报价场景=服务费底表!$AM$2,服务费底表!$AM89,报价场景=服务费底表!$AN$2,服务费底表!$AN89,报价场景=服务费底表!$AQ$2,服务费底表!$AQ89,报价场景=服务费底表!$AO$2,服务费底表!$AO89)</f>
        <v>8</v>
      </c>
      <c r="Z89" s="327"/>
      <c r="AA89" s="332">
        <f t="shared" si="75"/>
        <v>8</v>
      </c>
      <c r="AB89" s="333">
        <f t="shared" ref="AB89:AB98" si="100">IFERROR(AD89/P89,0)</f>
        <v>0</v>
      </c>
      <c r="AC89" s="328">
        <f t="shared" ref="AC89:AC98" si="101">AA89*P89*R89</f>
        <v>0</v>
      </c>
      <c r="AD89" s="334">
        <f t="shared" ref="AD89:AD98" si="102">AC89*V89</f>
        <v>0</v>
      </c>
      <c r="AE89" s="334">
        <f>$AB89*(1-INDEX(项目参数!$D$5:$D$14,MATCH(服务费底表!$S89,项目参数!$B$5:$B$14,0)))</f>
        <v>0</v>
      </c>
      <c r="AF89" s="334">
        <f>$AD89*INDEX(项目参数!$D$5:$D$14,MATCH(服务费底表!$S89,项目参数!$B$5:$B$14,0))</f>
        <v>0</v>
      </c>
      <c r="AG89" s="334">
        <f t="shared" ref="AG89:AG97" si="103">AD89-AF89</f>
        <v>0</v>
      </c>
      <c r="AH89" s="328"/>
      <c r="AI89" s="328" t="s">
        <v>599</v>
      </c>
      <c r="AJ89" s="327">
        <v>8</v>
      </c>
      <c r="AK89" s="327">
        <v>8</v>
      </c>
      <c r="AL89" s="327">
        <v>8</v>
      </c>
      <c r="AM89" s="327">
        <v>8</v>
      </c>
      <c r="AN89" s="327">
        <v>8</v>
      </c>
      <c r="AO89" s="327">
        <v>8</v>
      </c>
      <c r="AP89" s="327">
        <v>8</v>
      </c>
      <c r="AQ89" s="327">
        <f t="shared" si="80"/>
        <v>12</v>
      </c>
      <c r="AR89" s="338"/>
      <c r="AS89" s="327">
        <f t="shared" si="81"/>
        <v>0</v>
      </c>
      <c r="AT89" s="327">
        <f t="shared" si="82"/>
        <v>0</v>
      </c>
      <c r="AU89" s="523">
        <v>0</v>
      </c>
      <c r="AV89" s="328"/>
      <c r="AW89" s="328"/>
      <c r="AX89" s="332">
        <v>0</v>
      </c>
      <c r="AY89" s="328" t="b">
        <f t="shared" si="85"/>
        <v>0</v>
      </c>
      <c r="AZ89" s="328" t="b">
        <f t="shared" si="86"/>
        <v>0</v>
      </c>
    </row>
    <row r="90" ht="27" customHeight="1" spans="1:52">
      <c r="A90" s="326" t="str">
        <f>INDEX('Rate Card'!$A:$A,MATCH(服务费底表!$T90,'Rate Card'!$F:$F,0))</f>
        <v>医学</v>
      </c>
      <c r="B90" s="327" t="str">
        <f>INDEX(二三级标准!$G:$G,MATCH(服务费底表!$K90,二三级标准!B:B,0))</f>
        <v>次</v>
      </c>
      <c r="C90" s="327">
        <f>INDEX(服务费明细!$E:$E,MATCH(服务费底表!$K90,服务费明细!$B:$B,0))</f>
        <v>0</v>
      </c>
      <c r="D90" s="327" t="str">
        <f t="shared" si="98"/>
        <v>A019MM</v>
      </c>
      <c r="E90" s="327" t="str">
        <f t="shared" si="99"/>
        <v>T0046MM</v>
      </c>
      <c r="F90" s="328"/>
      <c r="G90" s="328" t="s">
        <v>684</v>
      </c>
      <c r="H90" s="326" t="str">
        <f>INDEX('Rate Card'!$B:$B,MATCH(服务费底表!$T90,'Rate Card'!$F:$F,0))</f>
        <v>医学</v>
      </c>
      <c r="I90" s="328" t="s">
        <v>917</v>
      </c>
      <c r="J90" s="328" t="str">
        <f>INDEX(二三级标准!$Q:$Q,MATCH(服务费底表!I90,二三级标准!$O:$O,0))</f>
        <v>试验准备</v>
      </c>
      <c r="K90" s="328" t="s">
        <v>136</v>
      </c>
      <c r="L90" s="328" t="str">
        <f>INDEX(二三级标准!C:C,MATCH(服务费底表!K90,二三级标准!$B:$B,0))</f>
        <v>ClinicalTrials翻译</v>
      </c>
      <c r="M90" s="328" t="s">
        <v>1229</v>
      </c>
      <c r="N90" s="328" t="str">
        <f>INDEX(二三级标准!$M:$M,MATCH(服务费底表!$M90,二三级标准!$L:$L,0))</f>
        <v>ClinicalTrials翻译</v>
      </c>
      <c r="O90" s="328"/>
      <c r="P90" s="327">
        <f>IF(R90=1,INDEX(服务费明细!$E:$E,MATCH(服务费底表!$K90,服务费明细!$B:$B,0)),0)</f>
        <v>0</v>
      </c>
      <c r="Q90" s="328" t="s">
        <v>1178</v>
      </c>
      <c r="R90" s="520">
        <f>IF(AND(ClinicalTrials翻译YN=1,医学监查YN=1),1,0)</f>
        <v>0</v>
      </c>
      <c r="S90" s="521" t="str">
        <f>IF(AND(H90="医学",OR(I90=二三级标准!$A$4,I90=二三级标准!$A$153)),"医学撰写","医学监查")</f>
        <v>医学监查</v>
      </c>
      <c r="T90" s="328" t="s">
        <v>615</v>
      </c>
      <c r="U90" s="522" t="str">
        <f>INDEX('Rate Card'!$E:$E,MATCH(服务费底表!$T90,'Rate Card'!$F:$F,0))</f>
        <v>医学经理</v>
      </c>
      <c r="V90" s="331">
        <f>INDEX('Rate Card'!$J:$J,MATCH($T90,'Rate Card'!$F:$F,0))</f>
        <v>650</v>
      </c>
      <c r="W90" s="523">
        <f t="shared" si="73"/>
        <v>650</v>
      </c>
      <c r="X90" s="523">
        <f t="shared" si="74"/>
        <v>8</v>
      </c>
      <c r="Y90" s="327" cm="1">
        <f t="array" ref="Y90">_xlfn.IFS(报价场景=服务费底表!$AJ$2,服务费底表!$AJ90,报价场景=服务费底表!$AP$2,服务费底表!$AP90,报价场景=服务费底表!$AK$2,服务费底表!$AK90,报价场景=服务费底表!$AL$2,服务费底表!$AL90,报价场景=服务费底表!$AM$2,服务费底表!$AM90,报价场景=服务费底表!$AN$2,服务费底表!$AN90,报价场景=服务费底表!$AQ$2,服务费底表!$AQ90,报价场景=服务费底表!$AO$2,服务费底表!$AO90)</f>
        <v>8</v>
      </c>
      <c r="Z90" s="327"/>
      <c r="AA90" s="332">
        <f t="shared" si="75"/>
        <v>8</v>
      </c>
      <c r="AB90" s="333">
        <f t="shared" si="100"/>
        <v>0</v>
      </c>
      <c r="AC90" s="328">
        <f t="shared" si="101"/>
        <v>0</v>
      </c>
      <c r="AD90" s="334">
        <f t="shared" si="102"/>
        <v>0</v>
      </c>
      <c r="AE90" s="334">
        <f>$AB90*(1-INDEX(项目参数!$D$5:$D$14,MATCH(服务费底表!$S90,项目参数!$B$5:$B$14,0)))</f>
        <v>0</v>
      </c>
      <c r="AF90" s="334">
        <f>$AD90*INDEX(项目参数!$D$5:$D$14,MATCH(服务费底表!$S90,项目参数!$B$5:$B$14,0))</f>
        <v>0</v>
      </c>
      <c r="AG90" s="334">
        <f t="shared" si="103"/>
        <v>0</v>
      </c>
      <c r="AH90" s="328"/>
      <c r="AI90" s="328" t="s">
        <v>615</v>
      </c>
      <c r="AJ90" s="327">
        <v>8</v>
      </c>
      <c r="AK90" s="327">
        <f t="shared" si="93"/>
        <v>12</v>
      </c>
      <c r="AL90" s="327">
        <v>5.5</v>
      </c>
      <c r="AM90" s="327">
        <v>10</v>
      </c>
      <c r="AN90" s="327">
        <f>AL90</f>
        <v>5.5</v>
      </c>
      <c r="AO90" s="327">
        <f t="shared" si="96"/>
        <v>5.5</v>
      </c>
      <c r="AP90" s="327">
        <v>8</v>
      </c>
      <c r="AQ90" s="327">
        <f t="shared" si="80"/>
        <v>12</v>
      </c>
      <c r="AR90" s="338"/>
      <c r="AS90" s="327">
        <f t="shared" si="81"/>
        <v>0</v>
      </c>
      <c r="AT90" s="327">
        <f t="shared" si="82"/>
        <v>0</v>
      </c>
      <c r="AU90" s="523">
        <v>8</v>
      </c>
      <c r="AV90" s="328"/>
      <c r="AW90" s="328"/>
      <c r="AX90" s="332">
        <v>8</v>
      </c>
      <c r="AY90" s="328" t="b">
        <f t="shared" si="85"/>
        <v>1</v>
      </c>
      <c r="AZ90" s="328" t="b">
        <f t="shared" si="86"/>
        <v>1</v>
      </c>
    </row>
    <row r="91" ht="27" customHeight="1" spans="1:52">
      <c r="A91" s="326" t="str">
        <f>INDEX('Rate Card'!$A:$A,MATCH(服务费底表!$T91,'Rate Card'!$F:$F,0))</f>
        <v>医学</v>
      </c>
      <c r="B91" s="327" t="str">
        <f>INDEX(二三级标准!$G:$G,MATCH(服务费底表!$K91,二三级标准!B:B,0))</f>
        <v>次</v>
      </c>
      <c r="C91" s="327">
        <f>INDEX(服务费明细!$E:$E,MATCH(服务费底表!$K91,服务费明细!$B:$B,0))</f>
        <v>0</v>
      </c>
      <c r="D91" s="327" t="str">
        <f t="shared" si="98"/>
        <v>A019MD</v>
      </c>
      <c r="E91" s="327" t="str">
        <f t="shared" si="99"/>
        <v>T0047MD</v>
      </c>
      <c r="F91" s="328"/>
      <c r="G91" s="328" t="s">
        <v>684</v>
      </c>
      <c r="H91" s="326" t="str">
        <f>INDEX('Rate Card'!$B:$B,MATCH(服务费底表!$T91,'Rate Card'!$F:$F,0))</f>
        <v>医学</v>
      </c>
      <c r="I91" s="328" t="s">
        <v>917</v>
      </c>
      <c r="J91" s="328" t="str">
        <f>INDEX(二三级标准!$Q:$Q,MATCH(服务费底表!I91,二三级标准!$O:$O,0))</f>
        <v>试验准备</v>
      </c>
      <c r="K91" s="328" t="s">
        <v>136</v>
      </c>
      <c r="L91" s="328" t="str">
        <f>INDEX(二三级标准!C:C,MATCH(服务费底表!K91,二三级标准!$B:$B,0))</f>
        <v>ClinicalTrials翻译</v>
      </c>
      <c r="M91" s="328" t="s">
        <v>1230</v>
      </c>
      <c r="N91" s="328" t="str">
        <f>INDEX(二三级标准!$M:$M,MATCH(服务费底表!$M91,二三级标准!$L:$L,0))</f>
        <v>ClinicalTrials翻译审核</v>
      </c>
      <c r="O91" s="328"/>
      <c r="P91" s="327">
        <f>IF(R91=1,INDEX(服务费明细!$E:$E,MATCH(服务费底表!$K91,服务费明细!$B:$B,0)),0)</f>
        <v>0</v>
      </c>
      <c r="Q91" s="328" t="s">
        <v>1178</v>
      </c>
      <c r="R91" s="520">
        <f>IF(AND(ClinicalTrials翻译YN=1,医学监查YN=1),1,0)</f>
        <v>0</v>
      </c>
      <c r="S91" s="521" t="str">
        <f>IF(AND(H91="医学",OR(I91=二三级标准!$A$4,I91=二三级标准!$A$153)),"医学撰写","医学监查")</f>
        <v>医学监查</v>
      </c>
      <c r="T91" s="328" t="s">
        <v>613</v>
      </c>
      <c r="U91" s="522" t="str">
        <f>INDEX('Rate Card'!$E:$E,MATCH(服务费底表!$T91,'Rate Card'!$F:$F,0))</f>
        <v>医学总监</v>
      </c>
      <c r="V91" s="331">
        <f>INDEX('Rate Card'!$J:$J,MATCH($T91,'Rate Card'!$F:$F,0))</f>
        <v>990</v>
      </c>
      <c r="W91" s="523">
        <f t="shared" si="73"/>
        <v>990</v>
      </c>
      <c r="X91" s="523">
        <f t="shared" si="74"/>
        <v>4</v>
      </c>
      <c r="Y91" s="327" cm="1">
        <f t="array" ref="Y91">_xlfn.IFS(报价场景=服务费底表!$AJ$2,服务费底表!$AJ91,报价场景=服务费底表!$AP$2,服务费底表!$AP91,报价场景=服务费底表!$AK$2,服务费底表!$AK91,报价场景=服务费底表!$AL$2,服务费底表!$AL91,报价场景=服务费底表!$AM$2,服务费底表!$AM91,报价场景=服务费底表!$AN$2,服务费底表!$AN91,报价场景=服务费底表!$AQ$2,服务费底表!$AQ91,报价场景=服务费底表!$AO$2,服务费底表!$AO91)</f>
        <v>4</v>
      </c>
      <c r="Z91" s="327"/>
      <c r="AA91" s="332">
        <f t="shared" si="75"/>
        <v>4</v>
      </c>
      <c r="AB91" s="333">
        <f t="shared" si="100"/>
        <v>0</v>
      </c>
      <c r="AC91" s="328">
        <f t="shared" si="101"/>
        <v>0</v>
      </c>
      <c r="AD91" s="334">
        <f t="shared" si="102"/>
        <v>0</v>
      </c>
      <c r="AE91" s="334">
        <f>$AB91*(1-INDEX(项目参数!$D$5:$D$14,MATCH(服务费底表!$S91,项目参数!$B$5:$B$14,0)))</f>
        <v>0</v>
      </c>
      <c r="AF91" s="334">
        <f>$AD91*INDEX(项目参数!$D$5:$D$14,MATCH(服务费底表!$S91,项目参数!$B$5:$B$14,0))</f>
        <v>0</v>
      </c>
      <c r="AG91" s="334">
        <f t="shared" si="103"/>
        <v>0</v>
      </c>
      <c r="AH91" s="328"/>
      <c r="AI91" s="328" t="s">
        <v>613</v>
      </c>
      <c r="AJ91" s="327">
        <v>4</v>
      </c>
      <c r="AK91" s="327">
        <f t="shared" si="93"/>
        <v>6</v>
      </c>
      <c r="AL91" s="327">
        <v>3</v>
      </c>
      <c r="AM91" s="327">
        <v>5</v>
      </c>
      <c r="AN91" s="327">
        <f>AL91</f>
        <v>3</v>
      </c>
      <c r="AO91" s="327">
        <f t="shared" si="96"/>
        <v>3</v>
      </c>
      <c r="AP91" s="327">
        <v>4</v>
      </c>
      <c r="AQ91" s="327">
        <f t="shared" si="80"/>
        <v>6</v>
      </c>
      <c r="AR91" s="338"/>
      <c r="AS91" s="327">
        <f t="shared" si="81"/>
        <v>0</v>
      </c>
      <c r="AT91" s="327">
        <f t="shared" si="82"/>
        <v>0</v>
      </c>
      <c r="AU91" s="523">
        <v>4</v>
      </c>
      <c r="AV91" s="328"/>
      <c r="AW91" s="328"/>
      <c r="AX91" s="332">
        <v>4</v>
      </c>
      <c r="AY91" s="328" t="b">
        <f t="shared" si="85"/>
        <v>1</v>
      </c>
      <c r="AZ91" s="328" t="b">
        <f t="shared" si="86"/>
        <v>1</v>
      </c>
    </row>
    <row r="92" ht="27" customHeight="1" spans="1:52">
      <c r="A92" s="326" t="str">
        <f>INDEX('Rate Card'!$A:$A,MATCH(服务费底表!$T92,'Rate Card'!$F:$F,0))</f>
        <v>临床运营</v>
      </c>
      <c r="B92" s="327" t="str">
        <f>INDEX(二三级标准!$G:$G,MATCH(服务费底表!$K92,二三级标准!B:B,0))</f>
        <v>次</v>
      </c>
      <c r="C92" s="327">
        <f>INDEX(服务费明细!$E:$E,MATCH(服务费底表!$K92,服务费明细!$B:$B,0))</f>
        <v>1</v>
      </c>
      <c r="D92" s="327" t="str">
        <f t="shared" si="98"/>
        <v>A276PM</v>
      </c>
      <c r="E92" s="327" t="str">
        <f t="shared" si="99"/>
        <v>T0793PM</v>
      </c>
      <c r="F92" s="328"/>
      <c r="G92" s="328" t="s">
        <v>684</v>
      </c>
      <c r="H92" s="326" t="str">
        <f>INDEX('Rate Card'!$B:$B,MATCH(服务费底表!$T92,'Rate Card'!$F:$F,0))</f>
        <v>临床运营</v>
      </c>
      <c r="I92" s="328" t="s">
        <v>918</v>
      </c>
      <c r="J92" s="328" t="str">
        <f>INDEX(二三级标准!$Q:$Q,MATCH(服务费底表!I92,二三级标准!$O:$O,0))</f>
        <v>遗传办递交和跟进</v>
      </c>
      <c r="K92" s="328" t="s">
        <v>998</v>
      </c>
      <c r="L92" s="328" t="str">
        <f>INDEX(二三级标准!C:C,MATCH(服务费底表!K92,二三级标准!$B:$B,0))</f>
        <v>遗传办首次申报</v>
      </c>
      <c r="M92" s="328" t="s">
        <v>1231</v>
      </c>
      <c r="N92" s="328" t="str">
        <f>INDEX(二三级标准!$M:$M,MATCH(服务费底表!$M92,二三级标准!$L:$L,0))</f>
        <v>遗传办首次申报</v>
      </c>
      <c r="O92" s="328"/>
      <c r="P92" s="327">
        <f>IF(R92=1,INDEX(服务费明细!$E:$E,MATCH(服务费底表!$K92,服务费明细!$B:$B,0)),0)</f>
        <v>1</v>
      </c>
      <c r="Q92" s="328" t="s">
        <v>1178</v>
      </c>
      <c r="R92" s="520">
        <f>IF(AND(遗传办首次国际合作审批申报YN=1,项目管理YN=1),1,0)</f>
        <v>1</v>
      </c>
      <c r="S92" s="525" t="str">
        <f>INDEX('Rate Card'!$D:$D,MATCH(服务费底表!$T92,'Rate Card'!F:F,0))</f>
        <v>项目管理</v>
      </c>
      <c r="T92" s="328" t="s">
        <v>599</v>
      </c>
      <c r="U92" s="522" t="str">
        <f>INDEX('Rate Card'!$E:$E,MATCH(服务费底表!$T92,'Rate Card'!$F:$F,0))</f>
        <v>临床项目经理</v>
      </c>
      <c r="V92" s="331">
        <f>INDEX('Rate Card'!$J:$J,MATCH($T92,'Rate Card'!$F:$F,0))</f>
        <v>650</v>
      </c>
      <c r="W92" s="523">
        <f t="shared" si="73"/>
        <v>650</v>
      </c>
      <c r="X92" s="523">
        <f t="shared" si="74"/>
        <v>15</v>
      </c>
      <c r="Y92" s="327" cm="1">
        <f t="array" ref="Y92">_xlfn.IFS(报价场景=服务费底表!$AJ$2,服务费底表!$AJ92,报价场景=服务费底表!$AP$2,服务费底表!$AP92,报价场景=服务费底表!$AK$2,服务费底表!$AK92,报价场景=服务费底表!$AL$2,服务费底表!$AL92,报价场景=服务费底表!$AM$2,服务费底表!$AM92,报价场景=服务费底表!$AN$2,服务费底表!$AN92,报价场景=服务费底表!$AQ$2,服务费底表!$AQ92,报价场景=服务费底表!$AO$2,服务费底表!$AO92)</f>
        <v>15</v>
      </c>
      <c r="Z92" s="327"/>
      <c r="AA92" s="332">
        <f t="shared" si="75"/>
        <v>15</v>
      </c>
      <c r="AB92" s="333">
        <f t="shared" si="100"/>
        <v>9750</v>
      </c>
      <c r="AC92" s="328">
        <f t="shared" si="101"/>
        <v>15</v>
      </c>
      <c r="AD92" s="334">
        <f t="shared" si="102"/>
        <v>9750</v>
      </c>
      <c r="AE92" s="334">
        <f>$AB92*(1-INDEX(项目参数!$D$5:$D$14,MATCH(服务费底表!$S92,项目参数!$B$5:$B$14,0)))</f>
        <v>9750</v>
      </c>
      <c r="AF92" s="334">
        <f>$AD92*INDEX(项目参数!$D$5:$D$14,MATCH(服务费底表!$S92,项目参数!$B$5:$B$14,0))</f>
        <v>0</v>
      </c>
      <c r="AG92" s="334">
        <f t="shared" si="103"/>
        <v>9750</v>
      </c>
      <c r="AH92" s="328"/>
      <c r="AI92" s="328" t="s">
        <v>599</v>
      </c>
      <c r="AJ92" s="327">
        <v>15</v>
      </c>
      <c r="AK92" s="327">
        <v>15</v>
      </c>
      <c r="AL92" s="327">
        <v>15</v>
      </c>
      <c r="AM92" s="327">
        <v>15</v>
      </c>
      <c r="AN92" s="327">
        <v>15</v>
      </c>
      <c r="AO92" s="327">
        <v>15</v>
      </c>
      <c r="AP92" s="327">
        <v>15</v>
      </c>
      <c r="AQ92" s="327">
        <v>15</v>
      </c>
      <c r="AR92" s="338"/>
      <c r="AS92" s="327">
        <f t="shared" si="81"/>
        <v>15</v>
      </c>
      <c r="AT92" s="327">
        <f t="shared" si="82"/>
        <v>15</v>
      </c>
      <c r="AU92" s="523">
        <v>10</v>
      </c>
      <c r="AV92" s="328"/>
      <c r="AW92" s="328"/>
      <c r="AX92" s="332">
        <v>10</v>
      </c>
      <c r="AY92" s="328" t="b">
        <f t="shared" si="85"/>
        <v>0</v>
      </c>
      <c r="AZ92" s="328" t="b">
        <f t="shared" si="86"/>
        <v>0</v>
      </c>
    </row>
    <row r="93" ht="27" customHeight="1" spans="1:52">
      <c r="A93" s="326" t="str">
        <f>INDEX('Rate Card'!$A:$A,MATCH(服务费底表!$T93,'Rate Card'!$F:$F,0))</f>
        <v>临床运营</v>
      </c>
      <c r="B93" s="327" t="str">
        <f>INDEX(二三级标准!$G:$G,MATCH(服务费底表!$K93,二三级标准!B:B,0))</f>
        <v>次</v>
      </c>
      <c r="C93" s="327">
        <f>INDEX(服务费明细!$E:$E,MATCH(服务费底表!$K93,服务费明细!$B:$B,0))</f>
        <v>1</v>
      </c>
      <c r="D93" s="327" t="str">
        <f t="shared" si="98"/>
        <v>A276CTA</v>
      </c>
      <c r="E93" s="327" t="str">
        <f t="shared" si="99"/>
        <v>T0794CTA</v>
      </c>
      <c r="F93" s="328"/>
      <c r="G93" s="328" t="s">
        <v>684</v>
      </c>
      <c r="H93" s="326" t="str">
        <f>INDEX('Rate Card'!$B:$B,MATCH(服务费底表!$T93,'Rate Card'!$F:$F,0))</f>
        <v>临床运营</v>
      </c>
      <c r="I93" s="328" t="s">
        <v>918</v>
      </c>
      <c r="J93" s="328" t="str">
        <f>INDEX(二三级标准!$Q:$Q,MATCH(服务费底表!I93,二三级标准!$O:$O,0))</f>
        <v>遗传办递交和跟进</v>
      </c>
      <c r="K93" s="328" t="s">
        <v>998</v>
      </c>
      <c r="L93" s="328" t="str">
        <f>INDEX(二三级标准!C:C,MATCH(服务费底表!K93,二三级标准!$B:$B,0))</f>
        <v>遗传办首次申报</v>
      </c>
      <c r="M93" s="328" t="s">
        <v>1232</v>
      </c>
      <c r="N93" s="328" t="str">
        <f>INDEX(二三级标准!$M:$M,MATCH(服务费底表!$M93,二三级标准!$L:$L,0))</f>
        <v>遗传办首次申报支持</v>
      </c>
      <c r="O93" s="328"/>
      <c r="P93" s="327">
        <f>IF(R93=1,INDEX(服务费明细!$E:$E,MATCH(服务费底表!$K93,服务费明细!$B:$B,0)),0)</f>
        <v>1</v>
      </c>
      <c r="Q93" s="328" t="s">
        <v>1178</v>
      </c>
      <c r="R93" s="520">
        <f>IF(AND(遗传办首次国际合作审批申报YN=1,临床监查YN=1),1,0)</f>
        <v>1</v>
      </c>
      <c r="S93" s="525" t="str">
        <f>INDEX('Rate Card'!$D:$D,MATCH(服务费底表!$T93,'Rate Card'!F:F,0))</f>
        <v>临床监查</v>
      </c>
      <c r="T93" s="328" t="s">
        <v>597</v>
      </c>
      <c r="U93" s="522" t="str">
        <f>INDEX('Rate Card'!$E:$E,MATCH(服务费底表!$T93,'Rate Card'!$F:$F,0))</f>
        <v>临床试验助理</v>
      </c>
      <c r="V93" s="331">
        <f>INDEX('Rate Card'!$J:$J,MATCH($T93,'Rate Card'!$F:$F,0))</f>
        <v>220</v>
      </c>
      <c r="W93" s="523">
        <f t="shared" si="73"/>
        <v>220</v>
      </c>
      <c r="X93" s="523">
        <f t="shared" si="74"/>
        <v>3</v>
      </c>
      <c r="Y93" s="327" cm="1">
        <f t="array" ref="Y93">_xlfn.IFS(报价场景=服务费底表!$AJ$2,服务费底表!$AJ93,报价场景=服务费底表!$AP$2,服务费底表!$AP93,报价场景=服务费底表!$AK$2,服务费底表!$AK93,报价场景=服务费底表!$AL$2,服务费底表!$AL93,报价场景=服务费底表!$AM$2,服务费底表!$AM93,报价场景=服务费底表!$AN$2,服务费底表!$AN93,报价场景=服务费底表!$AQ$2,服务费底表!$AQ93,报价场景=服务费底表!$AO$2,服务费底表!$AO93)</f>
        <v>3</v>
      </c>
      <c r="Z93" s="327"/>
      <c r="AA93" s="332">
        <f t="shared" si="75"/>
        <v>3</v>
      </c>
      <c r="AB93" s="333">
        <f t="shared" si="100"/>
        <v>660</v>
      </c>
      <c r="AC93" s="328">
        <f t="shared" si="101"/>
        <v>3</v>
      </c>
      <c r="AD93" s="334">
        <f t="shared" si="102"/>
        <v>660</v>
      </c>
      <c r="AE93" s="334">
        <f>$AB93*(1-INDEX(项目参数!$D$5:$D$14,MATCH(服务费底表!$S93,项目参数!$B$5:$B$14,0)))</f>
        <v>660</v>
      </c>
      <c r="AF93" s="334">
        <f>$AD93*INDEX(项目参数!$D$5:$D$14,MATCH(服务费底表!$S93,项目参数!$B$5:$B$14,0))</f>
        <v>0</v>
      </c>
      <c r="AG93" s="334">
        <f t="shared" si="103"/>
        <v>660</v>
      </c>
      <c r="AH93" s="328"/>
      <c r="AI93" s="328" t="s">
        <v>597</v>
      </c>
      <c r="AJ93" s="327">
        <v>3</v>
      </c>
      <c r="AK93" s="327">
        <v>3</v>
      </c>
      <c r="AL93" s="327">
        <v>3</v>
      </c>
      <c r="AM93" s="327">
        <v>3</v>
      </c>
      <c r="AN93" s="327">
        <v>3</v>
      </c>
      <c r="AO93" s="327">
        <v>3</v>
      </c>
      <c r="AP93" s="327">
        <v>3</v>
      </c>
      <c r="AQ93" s="327">
        <v>3</v>
      </c>
      <c r="AR93" s="338"/>
      <c r="AS93" s="327">
        <f t="shared" si="81"/>
        <v>3</v>
      </c>
      <c r="AT93" s="327">
        <f t="shared" si="82"/>
        <v>3</v>
      </c>
      <c r="AU93" s="523">
        <v>2</v>
      </c>
      <c r="AV93" s="328"/>
      <c r="AW93" s="328"/>
      <c r="AX93" s="332">
        <v>2</v>
      </c>
      <c r="AY93" s="328" t="b">
        <f t="shared" si="85"/>
        <v>0</v>
      </c>
      <c r="AZ93" s="328" t="b">
        <f t="shared" si="86"/>
        <v>0</v>
      </c>
    </row>
    <row r="94" ht="27" customHeight="1" spans="1:52">
      <c r="A94" s="326" t="str">
        <f>INDEX('Rate Card'!$A:$A,MATCH(服务费底表!$T94,'Rate Card'!$F:$F,0))</f>
        <v>临床运营</v>
      </c>
      <c r="B94" s="327" t="str">
        <f>INDEX(二三级标准!$G:$G,MATCH(服务费底表!$K94,二三级标准!B:B,0))</f>
        <v>中心</v>
      </c>
      <c r="C94" s="327">
        <f>INDEX(服务费明细!$E:$E,MATCH(服务费底表!$K94,服务费明细!$B:$B,0))</f>
        <v>4</v>
      </c>
      <c r="D94" s="327" t="str">
        <f t="shared" si="98"/>
        <v>A277CRA</v>
      </c>
      <c r="E94" s="327" t="str">
        <f t="shared" si="99"/>
        <v>T0795CRA</v>
      </c>
      <c r="F94" s="328"/>
      <c r="G94" s="328" t="s">
        <v>684</v>
      </c>
      <c r="H94" s="326" t="str">
        <f>INDEX('Rate Card'!$B:$B,MATCH(服务费底表!$T94,'Rate Card'!$F:$F,0))</f>
        <v>临床运营</v>
      </c>
      <c r="I94" s="328" t="s">
        <v>918</v>
      </c>
      <c r="J94" s="328" t="str">
        <f>INDEX(二三级标准!$Q:$Q,MATCH(服务费底表!I94,二三级标准!$O:$O,0))</f>
        <v>遗传办递交和跟进</v>
      </c>
      <c r="K94" s="328" t="s">
        <v>999</v>
      </c>
      <c r="L94" s="328" t="str">
        <f>INDEX(二三级标准!C:C,MATCH(服务费底表!K94,二三级标准!$B:$B,0))</f>
        <v>遗传办合作签章和承诺书的获取</v>
      </c>
      <c r="M94" s="328" t="s">
        <v>1233</v>
      </c>
      <c r="N94" s="328" t="str">
        <f>INDEX(二三级标准!$M:$M,MATCH(服务费底表!$M94,二三级标准!$L:$L,0))</f>
        <v>遗传办合作签章和承诺书的获取</v>
      </c>
      <c r="O94" s="328"/>
      <c r="P94" s="327">
        <f>IF(R94=1,INDEX(服务费明细!$E:$E,MATCH(服务费底表!$K94,服务费明细!$B:$B,0)),0)</f>
        <v>4</v>
      </c>
      <c r="Q94" s="328" t="s">
        <v>1178</v>
      </c>
      <c r="R94" s="520">
        <f>IF(AND(遗传办国际合作备案申报YN=1,临床监查YN=1),1,0)</f>
        <v>1</v>
      </c>
      <c r="S94" s="525" t="str">
        <f>INDEX('Rate Card'!$D:$D,MATCH(服务费底表!$T94,'Rate Card'!F:F,0))</f>
        <v>临床监查</v>
      </c>
      <c r="T94" s="328" t="s">
        <v>595</v>
      </c>
      <c r="U94" s="522" t="str">
        <f>INDEX('Rate Card'!$E:$E,MATCH(服务费底表!$T94,'Rate Card'!$F:$F,0))</f>
        <v>临床监查员</v>
      </c>
      <c r="V94" s="331">
        <f>INDEX('Rate Card'!$J:$J,MATCH($T94,'Rate Card'!$F:$F,0))</f>
        <v>340</v>
      </c>
      <c r="W94" s="523">
        <f t="shared" si="73"/>
        <v>340</v>
      </c>
      <c r="X94" s="523">
        <f t="shared" si="74"/>
        <v>12</v>
      </c>
      <c r="Y94" s="327" cm="1">
        <f t="array" ref="Y94">_xlfn.IFS(报价场景=服务费底表!$AJ$2,服务费底表!$AJ94,报价场景=服务费底表!$AP$2,服务费底表!$AP94,报价场景=服务费底表!$AK$2,服务费底表!$AK94,报价场景=服务费底表!$AL$2,服务费底表!$AL94,报价场景=服务费底表!$AM$2,服务费底表!$AM94,报价场景=服务费底表!$AN$2,服务费底表!$AN94,报价场景=服务费底表!$AQ$2,服务费底表!$AQ94,报价场景=服务费底表!$AO$2,服务费底表!$AO94)</f>
        <v>12</v>
      </c>
      <c r="Z94" s="327"/>
      <c r="AA94" s="332">
        <f t="shared" si="75"/>
        <v>12</v>
      </c>
      <c r="AB94" s="333">
        <f t="shared" si="100"/>
        <v>4080</v>
      </c>
      <c r="AC94" s="328">
        <f t="shared" si="101"/>
        <v>48</v>
      </c>
      <c r="AD94" s="334">
        <f t="shared" si="102"/>
        <v>16320</v>
      </c>
      <c r="AE94" s="334">
        <f>$AB94*(1-INDEX(项目参数!$D$5:$D$14,MATCH(服务费底表!$S94,项目参数!$B$5:$B$14,0)))</f>
        <v>4080</v>
      </c>
      <c r="AF94" s="334">
        <f>$AD94*INDEX(项目参数!$D$5:$D$14,MATCH(服务费底表!$S94,项目参数!$B$5:$B$14,0))</f>
        <v>0</v>
      </c>
      <c r="AG94" s="334">
        <f t="shared" si="103"/>
        <v>16320</v>
      </c>
      <c r="AH94" s="328"/>
      <c r="AI94" s="328" t="s">
        <v>595</v>
      </c>
      <c r="AJ94" s="327">
        <v>12</v>
      </c>
      <c r="AK94" s="327">
        <v>12</v>
      </c>
      <c r="AL94" s="327">
        <v>12</v>
      </c>
      <c r="AM94" s="327">
        <v>12</v>
      </c>
      <c r="AN94" s="327">
        <v>12</v>
      </c>
      <c r="AO94" s="327">
        <v>12</v>
      </c>
      <c r="AP94" s="327">
        <v>12</v>
      </c>
      <c r="AQ94" s="327">
        <v>12</v>
      </c>
      <c r="AR94" s="338"/>
      <c r="AS94" s="327">
        <f t="shared" si="81"/>
        <v>48</v>
      </c>
      <c r="AT94" s="327">
        <f t="shared" si="82"/>
        <v>48</v>
      </c>
      <c r="AU94" s="523">
        <v>8</v>
      </c>
      <c r="AV94" s="328"/>
      <c r="AW94" s="328"/>
      <c r="AX94" s="332">
        <v>8</v>
      </c>
      <c r="AY94" s="328" t="b">
        <f t="shared" si="85"/>
        <v>0</v>
      </c>
      <c r="AZ94" s="328" t="b">
        <f t="shared" si="86"/>
        <v>1</v>
      </c>
    </row>
    <row r="95" ht="27" customHeight="1" spans="1:52">
      <c r="A95" s="326" t="str">
        <f>INDEX('Rate Card'!$A:$A,MATCH(服务费底表!$T95,'Rate Card'!$F:$F,0))</f>
        <v>临床运营</v>
      </c>
      <c r="B95" s="327" t="str">
        <f>INDEX(二三级标准!$G:$G,MATCH(服务费底表!$K95,二三级标准!B:B,0))</f>
        <v>次</v>
      </c>
      <c r="C95" s="327">
        <f>INDEX(服务费明细!$E:$E,MATCH(服务费底表!$K95,服务费明细!$B:$B,0))</f>
        <v>0</v>
      </c>
      <c r="D95" s="327" t="str">
        <f t="shared" si="98"/>
        <v>A278PM</v>
      </c>
      <c r="E95" s="327" t="str">
        <f t="shared" si="99"/>
        <v>T0796PM</v>
      </c>
      <c r="F95" s="328"/>
      <c r="G95" s="328" t="s">
        <v>684</v>
      </c>
      <c r="H95" s="326" t="str">
        <f>INDEX('Rate Card'!$B:$B,MATCH(服务费底表!$T95,'Rate Card'!$F:$F,0))</f>
        <v>临床运营</v>
      </c>
      <c r="I95" s="328" t="s">
        <v>918</v>
      </c>
      <c r="J95" s="328" t="str">
        <f>INDEX(二三级标准!$Q:$Q,MATCH(服务费底表!I95,二三级标准!$O:$O,0))</f>
        <v>遗传办递交和跟进</v>
      </c>
      <c r="K95" s="328" t="s">
        <v>1000</v>
      </c>
      <c r="L95" s="328" t="str">
        <f>INDEX(二三级标准!C:C,MATCH(服务费底表!K95,二三级标准!$B:$B,0))</f>
        <v>遗传办变更</v>
      </c>
      <c r="M95" s="328" t="s">
        <v>1234</v>
      </c>
      <c r="N95" s="328" t="str">
        <f>INDEX(二三级标准!$M:$M,MATCH(服务费底表!$M95,二三级标准!$L:$L,0))</f>
        <v>遗传办变更</v>
      </c>
      <c r="O95" s="328"/>
      <c r="P95" s="327">
        <f>IF(R95=1,INDEX(服务费明细!$E:$E,MATCH(服务费底表!$K95,服务费明细!$B:$B,0)),0)</f>
        <v>0</v>
      </c>
      <c r="Q95" s="328" t="s">
        <v>1178</v>
      </c>
      <c r="R95" s="520">
        <f>IF(AND(遗传办变更申报YN=1,项目管理YN=1),1,0)</f>
        <v>0</v>
      </c>
      <c r="S95" s="525" t="str">
        <f>INDEX('Rate Card'!$D:$D,MATCH(服务费底表!$T95,'Rate Card'!F:F,0))</f>
        <v>项目管理</v>
      </c>
      <c r="T95" s="328" t="s">
        <v>599</v>
      </c>
      <c r="U95" s="522" t="str">
        <f>INDEX('Rate Card'!$E:$E,MATCH(服务费底表!$T95,'Rate Card'!$F:$F,0))</f>
        <v>临床项目经理</v>
      </c>
      <c r="V95" s="331">
        <f>INDEX('Rate Card'!$J:$J,MATCH($T95,'Rate Card'!$F:$F,0))</f>
        <v>650</v>
      </c>
      <c r="W95" s="523">
        <f t="shared" si="73"/>
        <v>650</v>
      </c>
      <c r="X95" s="523">
        <f t="shared" si="74"/>
        <v>6</v>
      </c>
      <c r="Y95" s="327" cm="1">
        <f t="array" ref="Y95">_xlfn.IFS(报价场景=服务费底表!$AJ$2,服务费底表!$AJ95,报价场景=服务费底表!$AP$2,服务费底表!$AP95,报价场景=服务费底表!$AK$2,服务费底表!$AK95,报价场景=服务费底表!$AL$2,服务费底表!$AL95,报价场景=服务费底表!$AM$2,服务费底表!$AM95,报价场景=服务费底表!$AN$2,服务费底表!$AN95,报价场景=服务费底表!$AQ$2,服务费底表!$AQ95,报价场景=服务费底表!$AO$2,服务费底表!$AO95)</f>
        <v>6</v>
      </c>
      <c r="Z95" s="327"/>
      <c r="AA95" s="332">
        <f t="shared" si="75"/>
        <v>6</v>
      </c>
      <c r="AB95" s="333">
        <f t="shared" si="100"/>
        <v>0</v>
      </c>
      <c r="AC95" s="328">
        <f t="shared" si="101"/>
        <v>0</v>
      </c>
      <c r="AD95" s="334">
        <f t="shared" si="102"/>
        <v>0</v>
      </c>
      <c r="AE95" s="334">
        <f>$AB95*(1-INDEX(项目参数!$D$5:$D$14,MATCH(服务费底表!$S95,项目参数!$B$5:$B$14,0)))</f>
        <v>0</v>
      </c>
      <c r="AF95" s="334">
        <f>$AD95*INDEX(项目参数!$D$5:$D$14,MATCH(服务费底表!$S95,项目参数!$B$5:$B$14,0))</f>
        <v>0</v>
      </c>
      <c r="AG95" s="334">
        <f t="shared" si="103"/>
        <v>0</v>
      </c>
      <c r="AH95" s="328"/>
      <c r="AI95" s="328" t="s">
        <v>599</v>
      </c>
      <c r="AJ95" s="327">
        <v>6</v>
      </c>
      <c r="AK95" s="327">
        <v>6</v>
      </c>
      <c r="AL95" s="327">
        <v>6</v>
      </c>
      <c r="AM95" s="327">
        <v>6</v>
      </c>
      <c r="AN95" s="327">
        <v>6</v>
      </c>
      <c r="AO95" s="327">
        <v>6</v>
      </c>
      <c r="AP95" s="327">
        <v>6</v>
      </c>
      <c r="AQ95" s="327">
        <v>6</v>
      </c>
      <c r="AR95" s="338"/>
      <c r="AS95" s="327">
        <f t="shared" si="81"/>
        <v>0</v>
      </c>
      <c r="AT95" s="327">
        <f t="shared" si="82"/>
        <v>0</v>
      </c>
      <c r="AU95" s="523">
        <v>4</v>
      </c>
      <c r="AV95" s="328"/>
      <c r="AW95" s="328"/>
      <c r="AX95" s="332">
        <v>4</v>
      </c>
      <c r="AY95" s="328" t="b">
        <f t="shared" si="85"/>
        <v>0</v>
      </c>
      <c r="AZ95" s="328" t="b">
        <f t="shared" si="86"/>
        <v>0</v>
      </c>
    </row>
    <row r="96" ht="27" customHeight="1" spans="1:52">
      <c r="A96" s="326" t="str">
        <f>INDEX('Rate Card'!$A:$A,MATCH(服务费底表!$T96,'Rate Card'!$F:$F,0))</f>
        <v>临床运营</v>
      </c>
      <c r="B96" s="327" t="str">
        <f>INDEX(二三级标准!$G:$G,MATCH(服务费底表!$K96,二三级标准!B:B,0))</f>
        <v>次</v>
      </c>
      <c r="C96" s="327">
        <f>INDEX(服务费明细!$E:$E,MATCH(服务费底表!$K96,服务费明细!$B:$B,0))</f>
        <v>0</v>
      </c>
      <c r="D96" s="327" t="str">
        <f t="shared" si="98"/>
        <v>A278CTA</v>
      </c>
      <c r="E96" s="327" t="str">
        <f t="shared" si="99"/>
        <v>T0797CTA</v>
      </c>
      <c r="F96" s="328"/>
      <c r="G96" s="328" t="s">
        <v>684</v>
      </c>
      <c r="H96" s="326" t="str">
        <f>INDEX('Rate Card'!$B:$B,MATCH(服务费底表!$T96,'Rate Card'!$F:$F,0))</f>
        <v>临床运营</v>
      </c>
      <c r="I96" s="328" t="s">
        <v>918</v>
      </c>
      <c r="J96" s="328" t="str">
        <f>INDEX(二三级标准!$Q:$Q,MATCH(服务费底表!I96,二三级标准!$O:$O,0))</f>
        <v>遗传办递交和跟进</v>
      </c>
      <c r="K96" s="328" t="s">
        <v>1000</v>
      </c>
      <c r="L96" s="328" t="str">
        <f>INDEX(二三级标准!C:C,MATCH(服务费底表!K96,二三级标准!$B:$B,0))</f>
        <v>遗传办变更</v>
      </c>
      <c r="M96" s="328" t="s">
        <v>1235</v>
      </c>
      <c r="N96" s="328" t="str">
        <f>INDEX(二三级标准!$M:$M,MATCH(服务费底表!$M96,二三级标准!$L:$L,0))</f>
        <v>遗传办变更支持</v>
      </c>
      <c r="O96" s="328"/>
      <c r="P96" s="327">
        <f>IF(R96=1,INDEX(服务费明细!$E:$E,MATCH(服务费底表!$K96,服务费明细!$B:$B,0)),0)</f>
        <v>0</v>
      </c>
      <c r="Q96" s="328" t="s">
        <v>1178</v>
      </c>
      <c r="R96" s="520">
        <f>IF(AND(遗传办变更申报YN=1,临床监查YN=1),1,0)</f>
        <v>0</v>
      </c>
      <c r="S96" s="525" t="str">
        <f>INDEX('Rate Card'!$D:$D,MATCH(服务费底表!$T96,'Rate Card'!F:F,0))</f>
        <v>临床监查</v>
      </c>
      <c r="T96" s="328" t="s">
        <v>597</v>
      </c>
      <c r="U96" s="522" t="str">
        <f>INDEX('Rate Card'!$E:$E,MATCH(服务费底表!$T96,'Rate Card'!$F:$F,0))</f>
        <v>临床试验助理</v>
      </c>
      <c r="V96" s="331">
        <f>INDEX('Rate Card'!$J:$J,MATCH($T96,'Rate Card'!$F:$F,0))</f>
        <v>220</v>
      </c>
      <c r="W96" s="523">
        <f t="shared" si="73"/>
        <v>220</v>
      </c>
      <c r="X96" s="523">
        <f t="shared" si="74"/>
        <v>2</v>
      </c>
      <c r="Y96" s="327" cm="1">
        <f t="array" ref="Y96">_xlfn.IFS(报价场景=服务费底表!$AJ$2,服务费底表!$AJ96,报价场景=服务费底表!$AP$2,服务费底表!$AP96,报价场景=服务费底表!$AK$2,服务费底表!$AK96,报价场景=服务费底表!$AL$2,服务费底表!$AL96,报价场景=服务费底表!$AM$2,服务费底表!$AM96,报价场景=服务费底表!$AN$2,服务费底表!$AN96,报价场景=服务费底表!$AQ$2,服务费底表!$AQ96,报价场景=服务费底表!$AO$2,服务费底表!$AO96)</f>
        <v>2</v>
      </c>
      <c r="Z96" s="327"/>
      <c r="AA96" s="332">
        <f t="shared" si="75"/>
        <v>2</v>
      </c>
      <c r="AB96" s="333">
        <f t="shared" si="100"/>
        <v>0</v>
      </c>
      <c r="AC96" s="328">
        <f t="shared" si="101"/>
        <v>0</v>
      </c>
      <c r="AD96" s="334">
        <f t="shared" si="102"/>
        <v>0</v>
      </c>
      <c r="AE96" s="334">
        <f>$AB96*(1-INDEX(项目参数!$D$5:$D$14,MATCH(服务费底表!$S96,项目参数!$B$5:$B$14,0)))</f>
        <v>0</v>
      </c>
      <c r="AF96" s="334">
        <f>$AD96*INDEX(项目参数!$D$5:$D$14,MATCH(服务费底表!$S96,项目参数!$B$5:$B$14,0))</f>
        <v>0</v>
      </c>
      <c r="AG96" s="334">
        <f t="shared" si="103"/>
        <v>0</v>
      </c>
      <c r="AH96" s="328"/>
      <c r="AI96" s="328" t="s">
        <v>597</v>
      </c>
      <c r="AJ96" s="327">
        <v>2</v>
      </c>
      <c r="AK96" s="327">
        <v>2</v>
      </c>
      <c r="AL96" s="327">
        <v>2</v>
      </c>
      <c r="AM96" s="327">
        <v>2</v>
      </c>
      <c r="AN96" s="327">
        <v>2</v>
      </c>
      <c r="AO96" s="327">
        <v>2</v>
      </c>
      <c r="AP96" s="327">
        <v>2</v>
      </c>
      <c r="AQ96" s="327">
        <v>2</v>
      </c>
      <c r="AR96" s="338"/>
      <c r="AS96" s="327">
        <f t="shared" si="81"/>
        <v>0</v>
      </c>
      <c r="AT96" s="327">
        <f t="shared" si="82"/>
        <v>0</v>
      </c>
      <c r="AU96" s="523">
        <v>1</v>
      </c>
      <c r="AV96" s="328"/>
      <c r="AW96" s="328"/>
      <c r="AX96" s="332">
        <v>1</v>
      </c>
      <c r="AY96" s="328" t="b">
        <f t="shared" si="85"/>
        <v>0</v>
      </c>
      <c r="AZ96" s="328" t="b">
        <f t="shared" si="86"/>
        <v>0</v>
      </c>
    </row>
    <row r="97" ht="27" customHeight="1" spans="1:52">
      <c r="A97" s="326" t="str">
        <f>INDEX('Rate Card'!$A:$A,MATCH(服务费底表!$T97,'Rate Card'!$F:$F,0))</f>
        <v>临床运营</v>
      </c>
      <c r="B97" s="327" t="str">
        <f>INDEX(二三级标准!$G:$G,MATCH(服务费底表!$K97,二三级标准!B:B,0))</f>
        <v>次</v>
      </c>
      <c r="C97" s="327">
        <f>INDEX(服务费明细!$E:$E,MATCH(服务费底表!$K97,服务费明细!$B:$B,0))</f>
        <v>1</v>
      </c>
      <c r="D97" s="327" t="str">
        <f t="shared" si="98"/>
        <v>A279PM</v>
      </c>
      <c r="E97" s="327" t="str">
        <f t="shared" si="99"/>
        <v>T0798PM</v>
      </c>
      <c r="F97" s="328"/>
      <c r="G97" s="328" t="s">
        <v>684</v>
      </c>
      <c r="H97" s="326" t="str">
        <f>INDEX('Rate Card'!$B:$B,MATCH(服务费底表!$T97,'Rate Card'!$F:$F,0))</f>
        <v>临床运营</v>
      </c>
      <c r="I97" s="328" t="s">
        <v>918</v>
      </c>
      <c r="J97" s="328" t="str">
        <f>INDEX(二三级标准!$Q:$Q,MATCH(服务费底表!I97,二三级标准!$O:$O,0))</f>
        <v>遗传办递交和跟进</v>
      </c>
      <c r="K97" s="328" t="s">
        <v>1001</v>
      </c>
      <c r="L97" s="328" t="str">
        <f>INDEX(二三级标准!C:C,MATCH(服务费底表!K97,二三级标准!$B:$B,0))</f>
        <v>遗传办总结填报和跟踪</v>
      </c>
      <c r="M97" s="328" t="s">
        <v>1236</v>
      </c>
      <c r="N97" s="328" t="str">
        <f>INDEX(二三级标准!$M:$M,MATCH(服务费底表!$M97,二三级标准!$L:$L,0))</f>
        <v>总结填报和跟踪</v>
      </c>
      <c r="O97" s="328"/>
      <c r="P97" s="327">
        <f>IF(R97=1,INDEX(服务费明细!$E:$E,MATCH(服务费底表!$K97,服务费明细!$B:$B,0)),0)</f>
        <v>1</v>
      </c>
      <c r="Q97" s="328" t="s">
        <v>1178</v>
      </c>
      <c r="R97" s="520">
        <f>IF(AND(遗传办国际合作总结报告YN=1,项目管理YN=1),1,0)</f>
        <v>1</v>
      </c>
      <c r="S97" s="525" t="str">
        <f>INDEX('Rate Card'!$D:$D,MATCH(服务费底表!$T97,'Rate Card'!F:F,0))</f>
        <v>项目管理</v>
      </c>
      <c r="T97" s="328" t="s">
        <v>599</v>
      </c>
      <c r="U97" s="522" t="str">
        <f>INDEX('Rate Card'!$E:$E,MATCH(服务费底表!$T97,'Rate Card'!$F:$F,0))</f>
        <v>临床项目经理</v>
      </c>
      <c r="V97" s="331">
        <f>INDEX('Rate Card'!$J:$J,MATCH($T97,'Rate Card'!$F:$F,0))</f>
        <v>650</v>
      </c>
      <c r="W97" s="523">
        <f t="shared" si="73"/>
        <v>650</v>
      </c>
      <c r="X97" s="523">
        <f t="shared" si="74"/>
        <v>9</v>
      </c>
      <c r="Y97" s="327" cm="1">
        <f t="array" ref="Y97">_xlfn.IFS(报价场景=服务费底表!$AJ$2,服务费底表!$AJ97,报价场景=服务费底表!$AP$2,服务费底表!$AP97,报价场景=服务费底表!$AK$2,服务费底表!$AK97,报价场景=服务费底表!$AL$2,服务费底表!$AL97,报价场景=服务费底表!$AM$2,服务费底表!$AM97,报价场景=服务费底表!$AN$2,服务费底表!$AN97,报价场景=服务费底表!$AQ$2,服务费底表!$AQ97,报价场景=服务费底表!$AO$2,服务费底表!$AO97)</f>
        <v>9</v>
      </c>
      <c r="Z97" s="327"/>
      <c r="AA97" s="332">
        <f t="shared" si="75"/>
        <v>9</v>
      </c>
      <c r="AB97" s="333">
        <f t="shared" si="100"/>
        <v>5850</v>
      </c>
      <c r="AC97" s="328">
        <f t="shared" si="101"/>
        <v>9</v>
      </c>
      <c r="AD97" s="334">
        <f t="shared" si="102"/>
        <v>5850</v>
      </c>
      <c r="AE97" s="334">
        <f>$AB97*(1-INDEX(项目参数!$D$5:$D$14,MATCH(服务费底表!$S97,项目参数!$B$5:$B$14,0)))</f>
        <v>5850</v>
      </c>
      <c r="AF97" s="334">
        <f>$AD97*INDEX(项目参数!$D$5:$D$14,MATCH(服务费底表!$S97,项目参数!$B$5:$B$14,0))</f>
        <v>0</v>
      </c>
      <c r="AG97" s="334">
        <f t="shared" si="103"/>
        <v>5850</v>
      </c>
      <c r="AH97" s="328"/>
      <c r="AI97" s="328" t="s">
        <v>599</v>
      </c>
      <c r="AJ97" s="327">
        <v>9</v>
      </c>
      <c r="AK97" s="327">
        <v>9</v>
      </c>
      <c r="AL97" s="327">
        <v>9</v>
      </c>
      <c r="AM97" s="327">
        <v>9</v>
      </c>
      <c r="AN97" s="327">
        <v>9</v>
      </c>
      <c r="AO97" s="327">
        <v>9</v>
      </c>
      <c r="AP97" s="327">
        <v>9</v>
      </c>
      <c r="AQ97" s="327">
        <v>9</v>
      </c>
      <c r="AR97" s="338"/>
      <c r="AS97" s="327">
        <f t="shared" si="81"/>
        <v>9</v>
      </c>
      <c r="AT97" s="327">
        <f t="shared" si="82"/>
        <v>9</v>
      </c>
      <c r="AU97" s="523">
        <v>6</v>
      </c>
      <c r="AV97" s="328"/>
      <c r="AW97" s="328"/>
      <c r="AX97" s="332">
        <v>6</v>
      </c>
      <c r="AY97" s="328" t="b">
        <f t="shared" si="85"/>
        <v>0</v>
      </c>
      <c r="AZ97" s="328" t="b">
        <f t="shared" si="86"/>
        <v>1</v>
      </c>
    </row>
    <row r="98" ht="27" customHeight="1" spans="1:52">
      <c r="A98" s="326" t="str">
        <f>INDEX('Rate Card'!$A:$A,MATCH(服务费底表!$T98,'Rate Card'!$F:$F,0))</f>
        <v>临床运营</v>
      </c>
      <c r="B98" s="327" t="str">
        <f>INDEX(二三级标准!$G:$G,MATCH(服务费底表!$K98,二三级标准!B:B,0))</f>
        <v>次</v>
      </c>
      <c r="C98" s="327">
        <f>INDEX(服务费明细!$E:$E,MATCH(服务费底表!$K98,服务费明细!$B:$B,0))</f>
        <v>1</v>
      </c>
      <c r="D98" s="327" t="str">
        <f t="shared" si="98"/>
        <v>A279CTA</v>
      </c>
      <c r="E98" s="327" t="str">
        <f t="shared" si="99"/>
        <v>T0799CTA</v>
      </c>
      <c r="F98" s="328"/>
      <c r="G98" s="328" t="s">
        <v>684</v>
      </c>
      <c r="H98" s="326" t="str">
        <f>INDEX('Rate Card'!$B:$B,MATCH(服务费底表!$T98,'Rate Card'!$F:$F,0))</f>
        <v>临床运营</v>
      </c>
      <c r="I98" s="328" t="s">
        <v>918</v>
      </c>
      <c r="J98" s="328" t="str">
        <f>INDEX(二三级标准!$Q:$Q,MATCH(服务费底表!I98,二三级标准!$O:$O,0))</f>
        <v>遗传办递交和跟进</v>
      </c>
      <c r="K98" s="328" t="s">
        <v>1001</v>
      </c>
      <c r="L98" s="328" t="str">
        <f>INDEX(二三级标准!C:C,MATCH(服务费底表!K98,二三级标准!$B:$B,0))</f>
        <v>遗传办总结填报和跟踪</v>
      </c>
      <c r="M98" s="328" t="s">
        <v>1237</v>
      </c>
      <c r="N98" s="328" t="str">
        <f>INDEX(二三级标准!$M:$M,MATCH(服务费底表!$M98,二三级标准!$L:$L,0))</f>
        <v>总结填报和跟踪支持</v>
      </c>
      <c r="O98" s="328"/>
      <c r="P98" s="327">
        <f>IF(R98=1,INDEX(服务费明细!$E:$E,MATCH(服务费底表!$K98,服务费明细!$B:$B,0)),0)</f>
        <v>1</v>
      </c>
      <c r="Q98" s="328" t="s">
        <v>1176</v>
      </c>
      <c r="R98" s="520">
        <f>IF(AND(遗传办国际合作总结报告YN=1,临床监查YN=1),1,0)</f>
        <v>1</v>
      </c>
      <c r="S98" s="525" t="str">
        <f>INDEX('Rate Card'!$D:$D,MATCH(服务费底表!$T98,'Rate Card'!F:F,0))</f>
        <v>临床监查</v>
      </c>
      <c r="T98" s="328" t="s">
        <v>597</v>
      </c>
      <c r="U98" s="522" t="str">
        <f>INDEX('Rate Card'!$E:$E,MATCH(服务费底表!$T98,'Rate Card'!$F:$F,0))</f>
        <v>临床试验助理</v>
      </c>
      <c r="V98" s="331">
        <f>INDEX('Rate Card'!$J:$J,MATCH($T98,'Rate Card'!$F:$F,0))</f>
        <v>220</v>
      </c>
      <c r="W98" s="523">
        <f t="shared" si="73"/>
        <v>220</v>
      </c>
      <c r="X98" s="523">
        <f t="shared" si="74"/>
        <v>2</v>
      </c>
      <c r="Y98" s="327" cm="1">
        <f t="array" ref="Y98">_xlfn.IFS(报价场景=服务费底表!$AJ$2,服务费底表!$AJ98,报价场景=服务费底表!$AP$2,服务费底表!$AP98,报价场景=服务费底表!$AK$2,服务费底表!$AK98,报价场景=服务费底表!$AL$2,服务费底表!$AL98,报价场景=服务费底表!$AM$2,服务费底表!$AM98,报价场景=服务费底表!$AN$2,服务费底表!$AN98,报价场景=服务费底表!$AQ$2,服务费底表!$AQ98,报价场景=服务费底表!$AO$2,服务费底表!$AO98)</f>
        <v>2</v>
      </c>
      <c r="Z98" s="327"/>
      <c r="AA98" s="332">
        <f t="shared" si="75"/>
        <v>2</v>
      </c>
      <c r="AB98" s="333">
        <f t="shared" si="100"/>
        <v>440</v>
      </c>
      <c r="AC98" s="328">
        <f t="shared" si="101"/>
        <v>2</v>
      </c>
      <c r="AD98" s="334">
        <f t="shared" si="102"/>
        <v>440</v>
      </c>
      <c r="AE98" s="334">
        <f>$AB98*(1-INDEX(项目参数!$D$5:$D$14,MATCH(服务费底表!$S98,项目参数!$B$5:$B$14,0)))</f>
        <v>440</v>
      </c>
      <c r="AF98" s="334">
        <f>$AD98*INDEX(项目参数!$D$5:$D$14,MATCH(服务费底表!$S98,项目参数!$B$5:$B$14,0))</f>
        <v>0</v>
      </c>
      <c r="AG98" s="334">
        <f t="shared" ref="AG98:AG105" si="104">AD98-AF98</f>
        <v>440</v>
      </c>
      <c r="AH98" s="328"/>
      <c r="AI98" s="328" t="s">
        <v>597</v>
      </c>
      <c r="AJ98" s="327">
        <v>2</v>
      </c>
      <c r="AK98" s="327">
        <v>2</v>
      </c>
      <c r="AL98" s="327">
        <v>2</v>
      </c>
      <c r="AM98" s="327">
        <v>2</v>
      </c>
      <c r="AN98" s="327">
        <v>2</v>
      </c>
      <c r="AO98" s="327">
        <v>2</v>
      </c>
      <c r="AP98" s="327">
        <v>2</v>
      </c>
      <c r="AQ98" s="327">
        <v>2</v>
      </c>
      <c r="AR98" s="338"/>
      <c r="AS98" s="327">
        <f t="shared" si="81"/>
        <v>2</v>
      </c>
      <c r="AT98" s="327">
        <f t="shared" si="82"/>
        <v>2</v>
      </c>
      <c r="AU98" s="523">
        <v>1</v>
      </c>
      <c r="AV98" s="328"/>
      <c r="AW98" s="328"/>
      <c r="AX98" s="332">
        <v>1</v>
      </c>
      <c r="AY98" s="328" t="b">
        <f t="shared" si="85"/>
        <v>0</v>
      </c>
      <c r="AZ98" s="328" t="b">
        <f t="shared" si="86"/>
        <v>1</v>
      </c>
    </row>
    <row r="99" ht="27" customHeight="1" spans="1:52">
      <c r="A99" s="326" t="str">
        <f>INDEX('Rate Card'!$A:$A,MATCH(服务费底表!$T99,'Rate Card'!$F:$F,0))</f>
        <v>医学</v>
      </c>
      <c r="B99" s="327" t="str">
        <f>INDEX(二三级标准!$G:$G,MATCH(服务费底表!$K99,二三级标准!B:B,0))</f>
        <v>次</v>
      </c>
      <c r="C99" s="327">
        <f>INDEX(服务费明细!$E:$E,MATCH(服务费底表!$K99,服务费明细!$B:$B,0))</f>
        <v>1</v>
      </c>
      <c r="D99" s="327" t="str">
        <f t="shared" ref="D99:D104" si="105">K99&amp;T99</f>
        <v>A025MM</v>
      </c>
      <c r="E99" s="327" t="str">
        <f t="shared" ref="E99:E104" si="106">M99&amp;T99</f>
        <v>T0061MM</v>
      </c>
      <c r="F99" s="328"/>
      <c r="G99" s="328" t="s">
        <v>684</v>
      </c>
      <c r="H99" s="326" t="str">
        <f>INDEX('Rate Card'!$B:$B,MATCH(服务费底表!$T99,'Rate Card'!$F:$F,0))</f>
        <v>医学</v>
      </c>
      <c r="I99" s="328" t="s">
        <v>919</v>
      </c>
      <c r="J99" s="328" t="str">
        <f>INDEX(二三级标准!$Q:$Q,MATCH(服务费底表!I99,二三级标准!$O:$O,0))</f>
        <v>召开研究者会议</v>
      </c>
      <c r="K99" s="328" t="s">
        <v>151</v>
      </c>
      <c r="L99" s="328" t="str">
        <f>INDEX(二三级标准!C:C,MATCH(服务费底表!K99,二三级标准!$B:$B,0))</f>
        <v>召开方案讨论会</v>
      </c>
      <c r="M99" s="328" t="s">
        <v>1238</v>
      </c>
      <c r="N99" s="328" t="str">
        <f>INDEX(二三级标准!$M:$M,MATCH(服务费底表!$M99,二三级标准!$L:$L,0))</f>
        <v>准备方案讨论会</v>
      </c>
      <c r="O99" s="328"/>
      <c r="P99" s="327">
        <f>IF(R99=1,INDEX(服务费明细!$E:$E,MATCH(服务费底表!$K99,服务费明细!$B:$B,0)),0)</f>
        <v>1</v>
      </c>
      <c r="Q99" s="328" t="s">
        <v>1178</v>
      </c>
      <c r="R99" s="520">
        <f>IF(AND(召开方案讨论会YN=1,OR(医学撰写YN=1,医学监查YN=1)),1,0)</f>
        <v>1</v>
      </c>
      <c r="S99" s="521" t="str">
        <f>IF(AND(H99="医学",OR(I99=二三级标准!$A$4,I99=二三级标准!$A$153)),"医学撰写","医学监查")</f>
        <v>医学监查</v>
      </c>
      <c r="T99" s="328" t="s">
        <v>615</v>
      </c>
      <c r="U99" s="522" t="str">
        <f>INDEX('Rate Card'!$E:$E,MATCH(服务费底表!$T99,'Rate Card'!$F:$F,0))</f>
        <v>医学经理</v>
      </c>
      <c r="V99" s="331">
        <f>INDEX('Rate Card'!$J:$J,MATCH($T99,'Rate Card'!$F:$F,0))</f>
        <v>650</v>
      </c>
      <c r="W99" s="523">
        <f t="shared" ref="W99:W104" si="107">V99*(1-$W$1)</f>
        <v>650</v>
      </c>
      <c r="X99" s="523">
        <f t="shared" ref="X99:X104" si="108">Y99*$X$1</f>
        <v>12</v>
      </c>
      <c r="Y99" s="327" cm="1">
        <f t="array" ref="Y99">_xlfn.IFS(报价场景=服务费底表!$AJ$2,服务费底表!$AJ99,报价场景=服务费底表!$AP$2,服务费底表!$AP99,报价场景=服务费底表!$AK$2,服务费底表!$AK99,报价场景=服务费底表!$AL$2,服务费底表!$AL99,报价场景=服务费底表!$AM$2,服务费底表!$AM99,报价场景=服务费底表!$AN$2,服务费底表!$AN99,报价场景=服务费底表!$AQ$2,服务费底表!$AQ99,报价场景=服务费底表!$AO$2,服务费底表!$AO99)</f>
        <v>12</v>
      </c>
      <c r="Z99" s="327"/>
      <c r="AA99" s="332">
        <f t="shared" ref="AA99:AA104" si="109">IF(ISBLANK($Z99),$Y99,$Z99)</f>
        <v>12</v>
      </c>
      <c r="AB99" s="333">
        <f t="shared" ref="AB99:AB104" si="110">IFERROR(AD99/P99,0)</f>
        <v>7800</v>
      </c>
      <c r="AC99" s="328">
        <f t="shared" ref="AC99:AC104" si="111">AA99*P99*R99</f>
        <v>12</v>
      </c>
      <c r="AD99" s="334">
        <f t="shared" ref="AD99:AD104" si="112">AC99*V99</f>
        <v>7800</v>
      </c>
      <c r="AE99" s="334">
        <f>$AB99*(1-INDEX(项目参数!$D$5:$D$14,MATCH(服务费底表!$S99,项目参数!$B$5:$B$14,0)))</f>
        <v>7800</v>
      </c>
      <c r="AF99" s="334">
        <f>$AD99*INDEX(项目参数!$D$5:$D$14,MATCH(服务费底表!$S99,项目参数!$B$5:$B$14,0))</f>
        <v>0</v>
      </c>
      <c r="AG99" s="334">
        <f t="shared" si="104"/>
        <v>7800</v>
      </c>
      <c r="AH99" s="328"/>
      <c r="AI99" s="328" t="s">
        <v>615</v>
      </c>
      <c r="AJ99" s="327">
        <v>12</v>
      </c>
      <c r="AK99" s="327">
        <f t="shared" si="93"/>
        <v>18</v>
      </c>
      <c r="AL99" s="336">
        <v>8</v>
      </c>
      <c r="AM99" s="327">
        <v>8</v>
      </c>
      <c r="AN99" s="327">
        <f t="shared" ref="AN99:AN101" si="113">AL99</f>
        <v>8</v>
      </c>
      <c r="AO99" s="327">
        <f t="shared" si="96"/>
        <v>8</v>
      </c>
      <c r="AP99" s="327">
        <v>12</v>
      </c>
      <c r="AQ99" s="327">
        <f t="shared" ref="AQ99:AQ104" si="114">AJ99*$AQ$1</f>
        <v>18</v>
      </c>
      <c r="AR99" s="338"/>
      <c r="AS99" s="327">
        <f t="shared" ref="AS99:AS104" si="115">AC99</f>
        <v>12</v>
      </c>
      <c r="AT99" s="327">
        <f t="shared" ref="AT99:AT104" si="116">Y99*P99</f>
        <v>12</v>
      </c>
      <c r="AU99" s="523">
        <v>12</v>
      </c>
      <c r="AV99" s="328"/>
      <c r="AW99" s="328"/>
      <c r="AX99" s="332">
        <v>12</v>
      </c>
      <c r="AY99" s="328" t="b">
        <f t="shared" si="85"/>
        <v>1</v>
      </c>
      <c r="AZ99" s="328" t="b">
        <f t="shared" si="86"/>
        <v>0</v>
      </c>
    </row>
    <row r="100" ht="27" customHeight="1" spans="1:52">
      <c r="A100" s="326" t="str">
        <f>INDEX('Rate Card'!$A:$A,MATCH(服务费底表!$T100,'Rate Card'!$F:$F,0))</f>
        <v>医学</v>
      </c>
      <c r="B100" s="327" t="str">
        <f>INDEX(二三级标准!$G:$G,MATCH(服务费底表!$K100,二三级标准!B:B,0))</f>
        <v>次</v>
      </c>
      <c r="C100" s="327">
        <f>INDEX(服务费明细!$E:$E,MATCH(服务费底表!$K100,服务费明细!$B:$B,0))</f>
        <v>1</v>
      </c>
      <c r="D100" s="327" t="str">
        <f t="shared" si="105"/>
        <v>A025MD</v>
      </c>
      <c r="E100" s="327" t="str">
        <f t="shared" si="106"/>
        <v>T0061MD</v>
      </c>
      <c r="F100" s="328"/>
      <c r="G100" s="328" t="s">
        <v>684</v>
      </c>
      <c r="H100" s="326" t="str">
        <f>INDEX('Rate Card'!$B:$B,MATCH(服务费底表!$T100,'Rate Card'!$F:$F,0))</f>
        <v>医学</v>
      </c>
      <c r="I100" s="328" t="s">
        <v>919</v>
      </c>
      <c r="J100" s="328" t="str">
        <f>INDEX(二三级标准!$Q:$Q,MATCH(服务费底表!I100,二三级标准!$O:$O,0))</f>
        <v>召开研究者会议</v>
      </c>
      <c r="K100" s="328" t="s">
        <v>151</v>
      </c>
      <c r="L100" s="328" t="str">
        <f>INDEX(二三级标准!C:C,MATCH(服务费底表!K100,二三级标准!$B:$B,0))</f>
        <v>召开方案讨论会</v>
      </c>
      <c r="M100" s="328" t="s">
        <v>1238</v>
      </c>
      <c r="N100" s="328" t="str">
        <f>INDEX(二三级标准!$M:$M,MATCH(服务费底表!$M100,二三级标准!$L:$L,0))</f>
        <v>准备方案讨论会</v>
      </c>
      <c r="O100" s="328"/>
      <c r="P100" s="327">
        <f>IF(R100=1,INDEX(服务费明细!$E:$E,MATCH(服务费底表!$K100,服务费明细!$B:$B,0)),0)</f>
        <v>1</v>
      </c>
      <c r="Q100" s="328" t="s">
        <v>1178</v>
      </c>
      <c r="R100" s="520">
        <f>IF(AND(召开方案讨论会YN=1,OR(医学撰写YN=1,医学监查YN=1)),1,0)</f>
        <v>1</v>
      </c>
      <c r="S100" s="521" t="str">
        <f>IF(AND(H100="医学",OR(I100=二三级标准!$A$4,I100=二三级标准!$A$153)),"医学撰写","医学监查")</f>
        <v>医学监查</v>
      </c>
      <c r="T100" s="328" t="s">
        <v>613</v>
      </c>
      <c r="U100" s="522" t="str">
        <f>INDEX('Rate Card'!$E:$E,MATCH(服务费底表!$T100,'Rate Card'!$F:$F,0))</f>
        <v>医学总监</v>
      </c>
      <c r="V100" s="331">
        <f>INDEX('Rate Card'!$J:$J,MATCH($T100,'Rate Card'!$F:$F,0))</f>
        <v>990</v>
      </c>
      <c r="W100" s="523">
        <f t="shared" si="107"/>
        <v>990</v>
      </c>
      <c r="X100" s="523">
        <f t="shared" si="108"/>
        <v>2</v>
      </c>
      <c r="Y100" s="327" cm="1">
        <f t="array" ref="Y100">_xlfn.IFS(报价场景=服务费底表!$AJ$2,服务费底表!$AJ100,报价场景=服务费底表!$AP$2,服务费底表!$AP100,报价场景=服务费底表!$AK$2,服务费底表!$AK100,报价场景=服务费底表!$AL$2,服务费底表!$AL100,报价场景=服务费底表!$AM$2,服务费底表!$AM100,报价场景=服务费底表!$AN$2,服务费底表!$AN100,报价场景=服务费底表!$AQ$2,服务费底表!$AQ100,报价场景=服务费底表!$AO$2,服务费底表!$AO100)</f>
        <v>2</v>
      </c>
      <c r="Z100" s="327"/>
      <c r="AA100" s="332">
        <f t="shared" si="109"/>
        <v>2</v>
      </c>
      <c r="AB100" s="333">
        <f t="shared" si="110"/>
        <v>1980</v>
      </c>
      <c r="AC100" s="328">
        <f t="shared" si="111"/>
        <v>2</v>
      </c>
      <c r="AD100" s="334">
        <f t="shared" si="112"/>
        <v>1980</v>
      </c>
      <c r="AE100" s="334">
        <f>$AB100*(1-INDEX(项目参数!$D$5:$D$14,MATCH(服务费底表!$S100,项目参数!$B$5:$B$14,0)))</f>
        <v>1980</v>
      </c>
      <c r="AF100" s="334">
        <f>$AD100*INDEX(项目参数!$D$5:$D$14,MATCH(服务费底表!$S100,项目参数!$B$5:$B$14,0))</f>
        <v>0</v>
      </c>
      <c r="AG100" s="334">
        <f t="shared" si="104"/>
        <v>1980</v>
      </c>
      <c r="AH100" s="328"/>
      <c r="AI100" s="328" t="s">
        <v>613</v>
      </c>
      <c r="AJ100" s="327">
        <v>2</v>
      </c>
      <c r="AK100" s="327">
        <v>2</v>
      </c>
      <c r="AL100" s="336">
        <v>1</v>
      </c>
      <c r="AM100" s="327">
        <v>2</v>
      </c>
      <c r="AN100" s="327">
        <f t="shared" si="113"/>
        <v>1</v>
      </c>
      <c r="AO100" s="327">
        <f t="shared" si="96"/>
        <v>1</v>
      </c>
      <c r="AP100" s="327">
        <v>2</v>
      </c>
      <c r="AQ100" s="327">
        <f t="shared" si="114"/>
        <v>3</v>
      </c>
      <c r="AR100" s="338"/>
      <c r="AS100" s="327">
        <f t="shared" si="115"/>
        <v>2</v>
      </c>
      <c r="AT100" s="327">
        <f t="shared" si="116"/>
        <v>2</v>
      </c>
      <c r="AU100" s="523">
        <v>2</v>
      </c>
      <c r="AV100" s="328"/>
      <c r="AW100" s="328"/>
      <c r="AX100" s="332">
        <v>2</v>
      </c>
      <c r="AY100" s="328" t="b">
        <f t="shared" si="85"/>
        <v>1</v>
      </c>
      <c r="AZ100" s="328" t="b">
        <f t="shared" si="86"/>
        <v>0</v>
      </c>
    </row>
    <row r="101" ht="27" customHeight="1" spans="1:52">
      <c r="A101" s="326" t="str">
        <f>INDEX('Rate Card'!$A:$A,MATCH(服务费底表!$T101,'Rate Card'!$F:$F,0))</f>
        <v>医学</v>
      </c>
      <c r="B101" s="327" t="str">
        <f>INDEX(二三级标准!$G:$G,MATCH(服务费底表!$K101,二三级标准!B:B,0))</f>
        <v>次</v>
      </c>
      <c r="C101" s="327">
        <f>INDEX(服务费明细!$E:$E,MATCH(服务费底表!$K101,服务费明细!$B:$B,0))</f>
        <v>1</v>
      </c>
      <c r="D101" s="327" t="str">
        <f t="shared" si="105"/>
        <v>A025MM</v>
      </c>
      <c r="E101" s="327" t="str">
        <f t="shared" si="106"/>
        <v>T0062MM</v>
      </c>
      <c r="F101" s="328"/>
      <c r="G101" s="328" t="s">
        <v>684</v>
      </c>
      <c r="H101" s="326" t="str">
        <f>INDEX('Rate Card'!$B:$B,MATCH(服务费底表!$T101,'Rate Card'!$F:$F,0))</f>
        <v>医学</v>
      </c>
      <c r="I101" s="328" t="s">
        <v>919</v>
      </c>
      <c r="J101" s="328" t="str">
        <f>INDEX(二三级标准!$Q:$Q,MATCH(服务费底表!I101,二三级标准!$O:$O,0))</f>
        <v>召开研究者会议</v>
      </c>
      <c r="K101" s="328" t="s">
        <v>151</v>
      </c>
      <c r="L101" s="328" t="str">
        <f>INDEX(二三级标准!C:C,MATCH(服务费底表!K101,二三级标准!$B:$B,0))</f>
        <v>召开方案讨论会</v>
      </c>
      <c r="M101" s="328" t="s">
        <v>1239</v>
      </c>
      <c r="N101" s="328" t="str">
        <f>INDEX(二三级标准!$M:$M,MATCH(服务费底表!$M101,二三级标准!$L:$L,0))</f>
        <v>参加方案讨论会</v>
      </c>
      <c r="O101" s="328"/>
      <c r="P101" s="327">
        <f>IF(R101=1,INDEX(服务费明细!$E:$E,MATCH(服务费底表!$K101,服务费明细!$B:$B,0)),0)</f>
        <v>1</v>
      </c>
      <c r="Q101" s="328" t="s">
        <v>1178</v>
      </c>
      <c r="R101" s="520">
        <f>IF(AND(召开方案讨论会YN=1,OR(医学撰写YN=1,医学监查YN=1)),1,0)</f>
        <v>1</v>
      </c>
      <c r="S101" s="521" t="str">
        <f>IF(AND(H101="医学",OR(I101=二三级标准!$A$4,I101=二三级标准!$A$153)),"医学撰写","医学监查")</f>
        <v>医学监查</v>
      </c>
      <c r="T101" s="328" t="s">
        <v>615</v>
      </c>
      <c r="U101" s="522" t="str">
        <f>INDEX('Rate Card'!$E:$E,MATCH(服务费底表!$T101,'Rate Card'!$F:$F,0))</f>
        <v>医学经理</v>
      </c>
      <c r="V101" s="331">
        <f>INDEX('Rate Card'!$J:$J,MATCH($T101,'Rate Card'!$F:$F,0))</f>
        <v>650</v>
      </c>
      <c r="W101" s="523">
        <f t="shared" si="107"/>
        <v>650</v>
      </c>
      <c r="X101" s="523">
        <f t="shared" si="108"/>
        <v>1</v>
      </c>
      <c r="Y101" s="327" cm="1">
        <f t="array" ref="Y101">_xlfn.IFS(报价场景=服务费底表!$AJ$2,服务费底表!$AJ101,报价场景=服务费底表!$AP$2,服务费底表!$AP101,报价场景=服务费底表!$AK$2,服务费底表!$AK101,报价场景=服务费底表!$AL$2,服务费底表!$AL101,报价场景=服务费底表!$AM$2,服务费底表!$AM101,报价场景=服务费底表!$AN$2,服务费底表!$AN101,报价场景=服务费底表!$AQ$2,服务费底表!$AQ101,报价场景=服务费底表!$AO$2,服务费底表!$AO101)</f>
        <v>1</v>
      </c>
      <c r="Z101" s="327"/>
      <c r="AA101" s="332">
        <f t="shared" si="109"/>
        <v>1</v>
      </c>
      <c r="AB101" s="333">
        <f t="shared" si="110"/>
        <v>650</v>
      </c>
      <c r="AC101" s="328">
        <f t="shared" si="111"/>
        <v>1</v>
      </c>
      <c r="AD101" s="334">
        <f t="shared" si="112"/>
        <v>650</v>
      </c>
      <c r="AE101" s="334">
        <f>$AB101*(1-INDEX(项目参数!$D$5:$D$14,MATCH(服务费底表!$S101,项目参数!$B$5:$B$14,0)))</f>
        <v>650</v>
      </c>
      <c r="AF101" s="334">
        <f>$AD101*INDEX(项目参数!$D$5:$D$14,MATCH(服务费底表!$S101,项目参数!$B$5:$B$14,0))</f>
        <v>0</v>
      </c>
      <c r="AG101" s="334">
        <f t="shared" si="104"/>
        <v>650</v>
      </c>
      <c r="AH101" s="328"/>
      <c r="AI101" s="328" t="s">
        <v>615</v>
      </c>
      <c r="AJ101" s="327">
        <v>1</v>
      </c>
      <c r="AK101" s="327">
        <v>1</v>
      </c>
      <c r="AL101" s="327">
        <v>1</v>
      </c>
      <c r="AM101" s="327">
        <v>1</v>
      </c>
      <c r="AN101" s="327">
        <v>1</v>
      </c>
      <c r="AO101" s="327">
        <f t="shared" si="96"/>
        <v>1</v>
      </c>
      <c r="AP101" s="327">
        <v>1</v>
      </c>
      <c r="AQ101" s="327">
        <f t="shared" si="114"/>
        <v>1.5</v>
      </c>
      <c r="AR101" s="338"/>
      <c r="AS101" s="327">
        <f t="shared" si="115"/>
        <v>1</v>
      </c>
      <c r="AT101" s="327">
        <f t="shared" si="116"/>
        <v>1</v>
      </c>
      <c r="AU101" s="523">
        <v>1</v>
      </c>
      <c r="AV101" s="328"/>
      <c r="AW101" s="328"/>
      <c r="AX101" s="332">
        <v>1</v>
      </c>
      <c r="AY101" s="328" t="b">
        <f t="shared" si="85"/>
        <v>1</v>
      </c>
      <c r="AZ101" s="328" t="b">
        <f t="shared" si="86"/>
        <v>0</v>
      </c>
    </row>
    <row r="102" ht="27" customHeight="1" spans="1:52">
      <c r="A102" s="326" t="str">
        <f>INDEX('Rate Card'!$A:$A,MATCH(服务费底表!$T102,'Rate Card'!$F:$F,0))</f>
        <v>临床药理</v>
      </c>
      <c r="B102" s="327" t="str">
        <f>INDEX(二三级标准!$G:$G,MATCH(服务费底表!$K102,二三级标准!B:B,0))</f>
        <v>次</v>
      </c>
      <c r="C102" s="327">
        <f>INDEX(服务费明细!$E:$E,MATCH(服务费底表!$K102,服务费明细!$B:$B,0))</f>
        <v>1</v>
      </c>
      <c r="D102" s="336" t="str">
        <f t="shared" si="105"/>
        <v>A025CPS</v>
      </c>
      <c r="E102" s="327" t="str">
        <f t="shared" si="106"/>
        <v>T0062CPS</v>
      </c>
      <c r="F102" s="328"/>
      <c r="G102" s="328" t="s">
        <v>684</v>
      </c>
      <c r="H102" s="326" t="str">
        <f>INDEX('Rate Card'!$B:$B,MATCH(服务费底表!$T102,'Rate Card'!$F:$F,0))</f>
        <v>临床药理</v>
      </c>
      <c r="I102" s="328" t="s">
        <v>919</v>
      </c>
      <c r="J102" s="328" t="str">
        <f>INDEX(二三级标准!$Q:$Q,MATCH(服务费底表!I102,二三级标准!$O:$O,0))</f>
        <v>召开研究者会议</v>
      </c>
      <c r="K102" s="328" t="s">
        <v>151</v>
      </c>
      <c r="L102" s="328" t="str">
        <f>INDEX(二三级标准!C:C,MATCH(服务费底表!K102,二三级标准!$B:$B,0))</f>
        <v>召开方案讨论会</v>
      </c>
      <c r="M102" s="328" t="s">
        <v>1239</v>
      </c>
      <c r="N102" s="328" t="str">
        <f>INDEX(二三级标准!$M:$M,MATCH(服务费底表!$M102,二三级标准!$L:$L,0))</f>
        <v>参加方案讨论会</v>
      </c>
      <c r="O102" s="328"/>
      <c r="P102" s="327">
        <f>IF(R102=1,INDEX(服务费明细!$E:$E,MATCH(服务费底表!$K102,服务费明细!$B:$B,0)),0)</f>
        <v>1</v>
      </c>
      <c r="Q102" s="328" t="s">
        <v>1178</v>
      </c>
      <c r="R102" s="520">
        <f>IF(AND(召开方案讨论会YN=1,临床药理YN=1),1,0)</f>
        <v>1</v>
      </c>
      <c r="S102" s="328" t="str">
        <f>INDEX('Rate Card'!$D:$D,MATCH(服务费底表!$T102,'Rate Card'!F:F,0))</f>
        <v>临床药理</v>
      </c>
      <c r="T102" s="328" t="s">
        <v>652</v>
      </c>
      <c r="U102" s="522" t="str">
        <f>INDEX('Rate Card'!$E:$E,MATCH(服务费底表!$T102,'Rate Card'!$F:$F,0))</f>
        <v>临床药理专员</v>
      </c>
      <c r="V102" s="331">
        <f>INDEX('Rate Card'!$J:$J,MATCH($T102,'Rate Card'!$F:$F,0))</f>
        <v>580</v>
      </c>
      <c r="W102" s="523">
        <f t="shared" si="107"/>
        <v>580</v>
      </c>
      <c r="X102" s="523">
        <f t="shared" si="108"/>
        <v>1</v>
      </c>
      <c r="Y102" s="327" cm="1">
        <f t="array" ref="Y102">_xlfn.IFS(报价场景=服务费底表!$AJ$2,服务费底表!$AJ102,报价场景=服务费底表!$AP$2,服务费底表!$AP102,报价场景=服务费底表!$AK$2,服务费底表!$AK102,报价场景=服务费底表!$AL$2,服务费底表!$AL102,报价场景=服务费底表!$AM$2,服务费底表!$AM102,报价场景=服务费底表!$AN$2,服务费底表!$AN102,报价场景=服务费底表!$AQ$2,服务费底表!$AQ102,报价场景=服务费底表!$AO$2,服务费底表!$AO102)</f>
        <v>1</v>
      </c>
      <c r="Z102" s="327"/>
      <c r="AA102" s="332">
        <f t="shared" si="109"/>
        <v>1</v>
      </c>
      <c r="AB102" s="333">
        <f t="shared" si="110"/>
        <v>580</v>
      </c>
      <c r="AC102" s="328">
        <f t="shared" si="111"/>
        <v>1</v>
      </c>
      <c r="AD102" s="334">
        <f t="shared" si="112"/>
        <v>580</v>
      </c>
      <c r="AE102" s="334">
        <f>$AB102*(1-INDEX(项目参数!$D$5:$D$14,MATCH(服务费底表!$S102,项目参数!$B$5:$B$14,0)))</f>
        <v>580</v>
      </c>
      <c r="AF102" s="334">
        <f>$AD102*INDEX(项目参数!$D$5:$D$14,MATCH(服务费底表!$S102,项目参数!$B$5:$B$14,0))</f>
        <v>0</v>
      </c>
      <c r="AG102" s="334">
        <f t="shared" si="104"/>
        <v>580</v>
      </c>
      <c r="AH102" s="328"/>
      <c r="AI102" s="328" t="s">
        <v>652</v>
      </c>
      <c r="AJ102" s="327">
        <v>1</v>
      </c>
      <c r="AK102" s="327">
        <v>1</v>
      </c>
      <c r="AL102" s="327">
        <v>1</v>
      </c>
      <c r="AM102" s="327">
        <v>1</v>
      </c>
      <c r="AN102" s="327">
        <v>1</v>
      </c>
      <c r="AO102" s="327">
        <f t="shared" si="96"/>
        <v>1</v>
      </c>
      <c r="AP102" s="327">
        <v>1</v>
      </c>
      <c r="AQ102" s="327">
        <f t="shared" si="114"/>
        <v>1.5</v>
      </c>
      <c r="AR102" s="338"/>
      <c r="AS102" s="327">
        <f t="shared" si="115"/>
        <v>1</v>
      </c>
      <c r="AT102" s="327">
        <f t="shared" si="116"/>
        <v>1</v>
      </c>
      <c r="AU102" s="523">
        <v>1</v>
      </c>
      <c r="AV102" s="328"/>
      <c r="AW102" s="328"/>
      <c r="AX102" s="332">
        <v>1</v>
      </c>
      <c r="AY102" s="328" t="b">
        <f t="shared" si="85"/>
        <v>1</v>
      </c>
      <c r="AZ102" s="328" t="b">
        <f t="shared" si="86"/>
        <v>0</v>
      </c>
    </row>
    <row r="103" ht="27" customHeight="1" spans="1:52">
      <c r="A103" s="326" t="str">
        <f>INDEX('Rate Card'!$A:$A,MATCH(服务费底表!$T103,'Rate Card'!$F:$F,0))</f>
        <v>数统</v>
      </c>
      <c r="B103" s="327" t="str">
        <f>INDEX(二三级标准!$G:$G,MATCH(服务费底表!$K103,二三级标准!B:B,0))</f>
        <v>次</v>
      </c>
      <c r="C103" s="327">
        <f>INDEX(服务费明细!$E:$E,MATCH(服务费底表!$K103,服务费明细!$B:$B,0))</f>
        <v>1</v>
      </c>
      <c r="D103" s="327" t="str">
        <f t="shared" si="105"/>
        <v>A025ST</v>
      </c>
      <c r="E103" s="327" t="str">
        <f t="shared" si="106"/>
        <v>T0062ST</v>
      </c>
      <c r="F103" s="328"/>
      <c r="G103" s="328" t="s">
        <v>684</v>
      </c>
      <c r="H103" s="326" t="str">
        <f>INDEX('Rate Card'!$B:$B,MATCH(服务费底表!$T103,'Rate Card'!$F:$F,0))</f>
        <v>生物统计及分析</v>
      </c>
      <c r="I103" s="328" t="s">
        <v>919</v>
      </c>
      <c r="J103" s="328" t="str">
        <f>INDEX(二三级标准!$Q:$Q,MATCH(服务费底表!I103,二三级标准!$O:$O,0))</f>
        <v>召开研究者会议</v>
      </c>
      <c r="K103" s="328" t="s">
        <v>151</v>
      </c>
      <c r="L103" s="328" t="str">
        <f>INDEX(二三级标准!C:C,MATCH(服务费底表!K103,二三级标准!$B:$B,0))</f>
        <v>召开方案讨论会</v>
      </c>
      <c r="M103" s="328" t="s">
        <v>1239</v>
      </c>
      <c r="N103" s="328" t="str">
        <f>INDEX(二三级标准!$M:$M,MATCH(服务费底表!$M103,二三级标准!$L:$L,0))</f>
        <v>参加方案讨论会</v>
      </c>
      <c r="O103" s="328"/>
      <c r="P103" s="327">
        <f>IF(R103=1,INDEX(服务费明细!$E:$E,MATCH(服务费底表!$K103,服务费明细!$B:$B,0)),0)</f>
        <v>1</v>
      </c>
      <c r="Q103" s="328" t="s">
        <v>1178</v>
      </c>
      <c r="R103" s="520">
        <f>IF(AND(召开方案讨论会YN=1,生物统计YN=1),1,0)</f>
        <v>1</v>
      </c>
      <c r="S103" s="524" t="str">
        <f>INDEX('Rate Card'!$D:$D,MATCH(服务费底表!$T103,'Rate Card'!F:F,0))</f>
        <v>生物统计</v>
      </c>
      <c r="T103" s="328" t="s">
        <v>639</v>
      </c>
      <c r="U103" s="522" t="str">
        <f>INDEX('Rate Card'!$E:$E,MATCH(服务费底表!$T103,'Rate Card'!$F:$F,0))</f>
        <v>生物统计师</v>
      </c>
      <c r="V103" s="331">
        <f>INDEX('Rate Card'!$J:$J,MATCH($T103,'Rate Card'!$F:$F,0))</f>
        <v>400</v>
      </c>
      <c r="W103" s="523">
        <f t="shared" si="107"/>
        <v>400</v>
      </c>
      <c r="X103" s="523">
        <f t="shared" si="108"/>
        <v>1</v>
      </c>
      <c r="Y103" s="327" cm="1">
        <f t="array" ref="Y103">_xlfn.IFS(报价场景=服务费底表!$AJ$2,服务费底表!$AJ103,报价场景=服务费底表!$AP$2,服务费底表!$AP103,报价场景=服务费底表!$AK$2,服务费底表!$AK103,报价场景=服务费底表!$AL$2,服务费底表!$AL103,报价场景=服务费底表!$AM$2,服务费底表!$AM103,报价场景=服务费底表!$AN$2,服务费底表!$AN103,报价场景=服务费底表!$AQ$2,服务费底表!$AQ103,报价场景=服务费底表!$AO$2,服务费底表!$AO103)</f>
        <v>1</v>
      </c>
      <c r="Z103" s="327"/>
      <c r="AA103" s="332">
        <f t="shared" si="109"/>
        <v>1</v>
      </c>
      <c r="AB103" s="333">
        <f t="shared" si="110"/>
        <v>400</v>
      </c>
      <c r="AC103" s="328">
        <f t="shared" si="111"/>
        <v>1</v>
      </c>
      <c r="AD103" s="334">
        <f t="shared" si="112"/>
        <v>400</v>
      </c>
      <c r="AE103" s="334">
        <f>$AB103*(1-INDEX(项目参数!$D$5:$D$14,MATCH(服务费底表!$S103,项目参数!$B$5:$B$14,0)))</f>
        <v>400</v>
      </c>
      <c r="AF103" s="334">
        <f>$AD103*INDEX(项目参数!$D$5:$D$14,MATCH(服务费底表!$S103,项目参数!$B$5:$B$14,0))</f>
        <v>0</v>
      </c>
      <c r="AG103" s="334">
        <f t="shared" si="104"/>
        <v>400</v>
      </c>
      <c r="AH103" s="328"/>
      <c r="AI103" s="328" t="s">
        <v>639</v>
      </c>
      <c r="AJ103" s="327">
        <v>1</v>
      </c>
      <c r="AK103" s="327">
        <v>1</v>
      </c>
      <c r="AL103" s="327">
        <v>1</v>
      </c>
      <c r="AM103" s="327">
        <v>1</v>
      </c>
      <c r="AN103" s="327">
        <v>1</v>
      </c>
      <c r="AO103" s="327">
        <f t="shared" si="96"/>
        <v>1</v>
      </c>
      <c r="AP103" s="327">
        <v>1</v>
      </c>
      <c r="AQ103" s="327">
        <f t="shared" si="114"/>
        <v>1.5</v>
      </c>
      <c r="AR103" s="338"/>
      <c r="AS103" s="327">
        <f t="shared" si="115"/>
        <v>1</v>
      </c>
      <c r="AT103" s="327">
        <f t="shared" si="116"/>
        <v>1</v>
      </c>
      <c r="AU103" s="523">
        <v>1</v>
      </c>
      <c r="AV103" s="328"/>
      <c r="AW103" s="328"/>
      <c r="AX103" s="332">
        <v>1</v>
      </c>
      <c r="AY103" s="328" t="b">
        <f t="shared" si="85"/>
        <v>1</v>
      </c>
      <c r="AZ103" s="328" t="b">
        <f t="shared" si="86"/>
        <v>0</v>
      </c>
    </row>
    <row r="104" ht="27" customHeight="1" spans="1:52">
      <c r="A104" s="326" t="str">
        <f>INDEX('Rate Card'!$A:$A,MATCH(服务费底表!$T104,'Rate Card'!$F:$F,0))</f>
        <v>临床运营</v>
      </c>
      <c r="B104" s="327" t="str">
        <f>INDEX(二三级标准!$G:$G,MATCH(服务费底表!$K104,二三级标准!B:B,0))</f>
        <v>次</v>
      </c>
      <c r="C104" s="327">
        <f>INDEX(服务费明细!$E:$E,MATCH(服务费底表!$K104,服务费明细!$B:$B,0))</f>
        <v>1</v>
      </c>
      <c r="D104" s="327" t="str">
        <f t="shared" si="105"/>
        <v>A025PM</v>
      </c>
      <c r="E104" s="327" t="str">
        <f t="shared" si="106"/>
        <v>T0062PM</v>
      </c>
      <c r="F104" s="328"/>
      <c r="G104" s="328" t="s">
        <v>684</v>
      </c>
      <c r="H104" s="326" t="str">
        <f>INDEX('Rate Card'!$B:$B,MATCH(服务费底表!$T104,'Rate Card'!$F:$F,0))</f>
        <v>临床运营</v>
      </c>
      <c r="I104" s="328" t="s">
        <v>919</v>
      </c>
      <c r="J104" s="328" t="str">
        <f>INDEX(二三级标准!$Q:$Q,MATCH(服务费底表!I104,二三级标准!$O:$O,0))</f>
        <v>召开研究者会议</v>
      </c>
      <c r="K104" s="328" t="s">
        <v>151</v>
      </c>
      <c r="L104" s="328" t="str">
        <f>INDEX(二三级标准!C:C,MATCH(服务费底表!K104,二三级标准!$B:$B,0))</f>
        <v>召开方案讨论会</v>
      </c>
      <c r="M104" s="328" t="s">
        <v>1239</v>
      </c>
      <c r="N104" s="328" t="str">
        <f>INDEX(二三级标准!$M:$M,MATCH(服务费底表!$M104,二三级标准!$L:$L,0))</f>
        <v>参加方案讨论会</v>
      </c>
      <c r="O104" s="328"/>
      <c r="P104" s="327">
        <f>IF(R104=1,INDEX(服务费明细!$E:$E,MATCH(服务费底表!$K104,服务费明细!$B:$B,0)),0)</f>
        <v>1</v>
      </c>
      <c r="Q104" s="328" t="s">
        <v>1178</v>
      </c>
      <c r="R104" s="520">
        <f>IF(AND(召开方案讨论会YN=1,生物统计YN=1),1,0)</f>
        <v>1</v>
      </c>
      <c r="S104" s="524" t="s">
        <v>570</v>
      </c>
      <c r="T104" s="328" t="s">
        <v>599</v>
      </c>
      <c r="U104" s="522" t="str">
        <f>INDEX('Rate Card'!$E:$E,MATCH(服务费底表!$T104,'Rate Card'!$F:$F,0))</f>
        <v>临床项目经理</v>
      </c>
      <c r="V104" s="331">
        <f>INDEX('Rate Card'!$J:$J,MATCH($T104,'Rate Card'!$F:$F,0))</f>
        <v>650</v>
      </c>
      <c r="W104" s="523">
        <f t="shared" si="107"/>
        <v>650</v>
      </c>
      <c r="X104" s="523">
        <f t="shared" si="108"/>
        <v>1</v>
      </c>
      <c r="Y104" s="327" cm="1">
        <f t="array" ref="Y104">_xlfn.IFS(报价场景=服务费底表!$AJ$2,服务费底表!$AJ104,报价场景=服务费底表!$AP$2,服务费底表!$AP104,报价场景=服务费底表!$AK$2,服务费底表!$AK104,报价场景=服务费底表!$AL$2,服务费底表!$AL104,报价场景=服务费底表!$AM$2,服务费底表!$AM104,报价场景=服务费底表!$AN$2,服务费底表!$AN104,报价场景=服务费底表!$AQ$2,服务费底表!$AQ104,报价场景=服务费底表!$AO$2,服务费底表!$AO104)</f>
        <v>1</v>
      </c>
      <c r="Z104" s="327"/>
      <c r="AA104" s="332">
        <f t="shared" si="109"/>
        <v>1</v>
      </c>
      <c r="AB104" s="333">
        <f t="shared" si="110"/>
        <v>650</v>
      </c>
      <c r="AC104" s="328">
        <f t="shared" si="111"/>
        <v>1</v>
      </c>
      <c r="AD104" s="334">
        <f t="shared" si="112"/>
        <v>650</v>
      </c>
      <c r="AE104" s="334">
        <f>$AB104*(1-INDEX(项目参数!$D$5:$D$14,MATCH(服务费底表!$S104,项目参数!$B$5:$B$14,0)))</f>
        <v>650</v>
      </c>
      <c r="AF104" s="334">
        <f>$AD104*INDEX(项目参数!$D$5:$D$14,MATCH(服务费底表!$S104,项目参数!$B$5:$B$14,0))</f>
        <v>0</v>
      </c>
      <c r="AG104" s="334">
        <f t="shared" si="104"/>
        <v>650</v>
      </c>
      <c r="AH104" s="328"/>
      <c r="AI104" s="328" t="s">
        <v>599</v>
      </c>
      <c r="AJ104" s="327">
        <v>1</v>
      </c>
      <c r="AK104" s="327">
        <v>1</v>
      </c>
      <c r="AL104" s="327">
        <v>1</v>
      </c>
      <c r="AM104" s="327">
        <v>1</v>
      </c>
      <c r="AN104" s="327">
        <v>1</v>
      </c>
      <c r="AO104" s="327">
        <f t="shared" si="96"/>
        <v>1</v>
      </c>
      <c r="AP104" s="327">
        <v>1</v>
      </c>
      <c r="AQ104" s="327">
        <f t="shared" si="114"/>
        <v>1.5</v>
      </c>
      <c r="AR104" s="338"/>
      <c r="AS104" s="327">
        <f t="shared" si="115"/>
        <v>1</v>
      </c>
      <c r="AT104" s="327">
        <f t="shared" si="116"/>
        <v>1</v>
      </c>
      <c r="AU104" s="523">
        <v>1</v>
      </c>
      <c r="AV104" s="328"/>
      <c r="AW104" s="328"/>
      <c r="AX104" s="332">
        <v>1</v>
      </c>
      <c r="AY104" s="328" t="b">
        <f t="shared" si="85"/>
        <v>1</v>
      </c>
      <c r="AZ104" s="328" t="b">
        <f t="shared" si="86"/>
        <v>0</v>
      </c>
    </row>
    <row r="105" ht="27" customHeight="1" spans="1:52">
      <c r="A105" s="326" t="str">
        <f>INDEX('Rate Card'!$A:$A,MATCH(服务费底表!$T105,'Rate Card'!$F:$F,0))</f>
        <v>临床运营</v>
      </c>
      <c r="B105" s="327" t="str">
        <f>INDEX(二三级标准!$G:$G,MATCH(服务费底表!$K105,二三级标准!B:B,0))</f>
        <v>次</v>
      </c>
      <c r="C105" s="327">
        <f>INDEX(服务费明细!$E:$E,MATCH(服务费底表!$K105,服务费明细!$B:$B,0))</f>
        <v>1</v>
      </c>
      <c r="D105" s="327" t="str">
        <f t="shared" ref="D105:D131" si="117">K105&amp;T105</f>
        <v>A026PM</v>
      </c>
      <c r="E105" s="327" t="str">
        <f t="shared" ref="E105:E131" si="118">M105&amp;T105</f>
        <v>T0063PM</v>
      </c>
      <c r="F105" s="328"/>
      <c r="G105" s="328" t="s">
        <v>684</v>
      </c>
      <c r="H105" s="326" t="str">
        <f>INDEX('Rate Card'!$B:$B,MATCH(服务费底表!$T105,'Rate Card'!$F:$F,0))</f>
        <v>临床运营</v>
      </c>
      <c r="I105" s="328" t="s">
        <v>919</v>
      </c>
      <c r="J105" s="328" t="str">
        <f>INDEX(二三级标准!$Q:$Q,MATCH(服务费底表!I105,二三级标准!$O:$O,0))</f>
        <v>召开研究者会议</v>
      </c>
      <c r="K105" s="328" t="s">
        <v>154</v>
      </c>
      <c r="L105" s="328" t="str">
        <f>INDEX(二三级标准!C:C,MATCH(服务费底表!K105,二三级标准!$B:$B,0))</f>
        <v>召开首次研究者会</v>
      </c>
      <c r="M105" s="328" t="s">
        <v>1240</v>
      </c>
      <c r="N105" s="328" t="str">
        <f>INDEX(二三级标准!$M:$M,MATCH(服务费底表!$M105,二三级标准!$L:$L,0))</f>
        <v>准备首次研究者会</v>
      </c>
      <c r="O105" s="328"/>
      <c r="P105" s="327">
        <f>IF(R105=1,INDEX(服务费明细!$E:$E,MATCH(服务费底表!$K105,服务费明细!$B:$B,0)),0)</f>
        <v>1</v>
      </c>
      <c r="Q105" s="328" t="s">
        <v>1178</v>
      </c>
      <c r="R105" s="520">
        <f>IF(AND(召开首次研究者会YN=1,项目管理YN=1),1,0)</f>
        <v>1</v>
      </c>
      <c r="S105" s="525" t="str">
        <f>INDEX('Rate Card'!$D:$D,MATCH(服务费底表!$T105,'Rate Card'!F:F,0))</f>
        <v>项目管理</v>
      </c>
      <c r="T105" s="328" t="s">
        <v>599</v>
      </c>
      <c r="U105" s="522" t="str">
        <f>INDEX('Rate Card'!$E:$E,MATCH(服务费底表!$T105,'Rate Card'!$F:$F,0))</f>
        <v>临床项目经理</v>
      </c>
      <c r="V105" s="331">
        <f>INDEX('Rate Card'!$J:$J,MATCH($T105,'Rate Card'!$F:$F,0))</f>
        <v>650</v>
      </c>
      <c r="W105" s="523">
        <f t="shared" ref="W105:W143" si="119">V105*(1-$W$1)</f>
        <v>650</v>
      </c>
      <c r="X105" s="523">
        <f t="shared" ref="X105:X143" si="120">Y105*$X$1</f>
        <v>2</v>
      </c>
      <c r="Y105" s="327" cm="1">
        <f t="array" ref="Y105">_xlfn.IFS(报价场景=服务费底表!$AJ$2,服务费底表!$AJ105,报价场景=服务费底表!$AP$2,服务费底表!$AP105,报价场景=服务费底表!$AK$2,服务费底表!$AK105,报价场景=服务费底表!$AL$2,服务费底表!$AL105,报价场景=服务费底表!$AM$2,服务费底表!$AM105,报价场景=服务费底表!$AN$2,服务费底表!$AN105,报价场景=服务费底表!$AQ$2,服务费底表!$AQ105,报价场景=服务费底表!$AO$2,服务费底表!$AO105)</f>
        <v>2</v>
      </c>
      <c r="Z105" s="327"/>
      <c r="AA105" s="332">
        <f t="shared" ref="AA105:AA126" si="121">IF(ISBLANK($Z105),$Y105,$Z105)</f>
        <v>2</v>
      </c>
      <c r="AB105" s="333">
        <f t="shared" ref="AB105:AB131" si="122">IFERROR(AD105/P105,0)</f>
        <v>1300</v>
      </c>
      <c r="AC105" s="328">
        <f t="shared" ref="AC105:AC131" si="123">AA105*P105*R105</f>
        <v>2</v>
      </c>
      <c r="AD105" s="334">
        <f t="shared" ref="AD105:AD125" si="124">AC105*V105</f>
        <v>1300</v>
      </c>
      <c r="AE105" s="334">
        <f>$AB105*(1-INDEX(项目参数!$D$5:$D$14,MATCH(服务费底表!$S105,项目参数!$B$5:$B$14,0)))</f>
        <v>1300</v>
      </c>
      <c r="AF105" s="334">
        <f>$AD105*INDEX(项目参数!$D$5:$D$14,MATCH(服务费底表!$S105,项目参数!$B$5:$B$14,0))</f>
        <v>0</v>
      </c>
      <c r="AG105" s="334">
        <f t="shared" ref="AG105:AG125" si="125">AD105-AF105</f>
        <v>1300</v>
      </c>
      <c r="AH105" s="328"/>
      <c r="AI105" s="328" t="s">
        <v>599</v>
      </c>
      <c r="AJ105" s="327">
        <f>IF(首次IM形式="线下",8,2)</f>
        <v>2</v>
      </c>
      <c r="AK105" s="327">
        <f>AJ105*1.5</f>
        <v>3</v>
      </c>
      <c r="AL105" s="327">
        <f t="shared" ref="AL105:AL108" si="126">AM105</f>
        <v>1.5</v>
      </c>
      <c r="AM105" s="327">
        <v>1.5</v>
      </c>
      <c r="AN105" s="327">
        <f>AJ105</f>
        <v>2</v>
      </c>
      <c r="AO105" s="327">
        <f t="shared" si="96"/>
        <v>1.5</v>
      </c>
      <c r="AP105" s="327">
        <v>2</v>
      </c>
      <c r="AQ105" s="327">
        <f t="shared" ref="AQ105:AQ145" si="127">AJ105*$AQ$1</f>
        <v>3</v>
      </c>
      <c r="AR105" s="338"/>
      <c r="AS105" s="327">
        <f t="shared" ref="AS105:AS131" si="128">AC105</f>
        <v>2</v>
      </c>
      <c r="AT105" s="327">
        <f t="shared" ref="AT105:AT131" si="129">Y105*P105</f>
        <v>2</v>
      </c>
      <c r="AU105" s="523">
        <v>2</v>
      </c>
      <c r="AV105" s="328"/>
      <c r="AW105" s="328"/>
      <c r="AX105" s="332">
        <v>2</v>
      </c>
      <c r="AY105" s="328" t="b">
        <f t="shared" si="85"/>
        <v>1</v>
      </c>
      <c r="AZ105" s="328" t="b">
        <f t="shared" si="86"/>
        <v>1</v>
      </c>
    </row>
    <row r="106" ht="27" customHeight="1" spans="1:52">
      <c r="A106" s="326" t="str">
        <f>INDEX('Rate Card'!$A:$A,MATCH(服务费底表!$T106,'Rate Card'!$F:$F,0))</f>
        <v>临床运营</v>
      </c>
      <c r="B106" s="327" t="str">
        <f>INDEX(二三级标准!$G:$G,MATCH(服务费底表!$K106,二三级标准!B:B,0))</f>
        <v>次</v>
      </c>
      <c r="C106" s="327">
        <f>INDEX(服务费明细!$E:$E,MATCH(服务费底表!$K106,服务费明细!$B:$B,0))</f>
        <v>1</v>
      </c>
      <c r="D106" s="327" t="str">
        <f t="shared" si="117"/>
        <v>A026CRA</v>
      </c>
      <c r="E106" s="327" t="str">
        <f t="shared" si="118"/>
        <v>T0063CRA</v>
      </c>
      <c r="F106" s="328"/>
      <c r="G106" s="328" t="s">
        <v>684</v>
      </c>
      <c r="H106" s="326" t="str">
        <f>INDEX('Rate Card'!$B:$B,MATCH(服务费底表!$T106,'Rate Card'!$F:$F,0))</f>
        <v>临床运营</v>
      </c>
      <c r="I106" s="328" t="s">
        <v>919</v>
      </c>
      <c r="J106" s="328" t="str">
        <f>INDEX(二三级标准!$Q:$Q,MATCH(服务费底表!I106,二三级标准!$O:$O,0))</f>
        <v>召开研究者会议</v>
      </c>
      <c r="K106" s="328" t="s">
        <v>154</v>
      </c>
      <c r="L106" s="328" t="str">
        <f>INDEX(二三级标准!C:C,MATCH(服务费底表!K106,二三级标准!$B:$B,0))</f>
        <v>召开首次研究者会</v>
      </c>
      <c r="M106" s="328" t="s">
        <v>1240</v>
      </c>
      <c r="N106" s="328" t="str">
        <f>INDEX(二三级标准!$M:$M,MATCH(服务费底表!$M106,二三级标准!$L:$L,0))</f>
        <v>准备首次研究者会</v>
      </c>
      <c r="O106" s="328"/>
      <c r="P106" s="327">
        <f>IF(R106=1,INDEX(服务费明细!$E:$E,MATCH(服务费底表!$K106,服务费明细!$B:$B,0)),0)</f>
        <v>1</v>
      </c>
      <c r="Q106" s="328" t="s">
        <v>1178</v>
      </c>
      <c r="R106" s="520">
        <f>IF(AND(召开首次研究者会YN=1,临床监查YN=1),1,0)</f>
        <v>1</v>
      </c>
      <c r="S106" s="525" t="str">
        <f>INDEX('Rate Card'!$D:$D,MATCH(服务费底表!$T106,'Rate Card'!F:F,0))</f>
        <v>临床监查</v>
      </c>
      <c r="T106" s="328" t="s">
        <v>595</v>
      </c>
      <c r="U106" s="522" t="str">
        <f>INDEX('Rate Card'!$E:$E,MATCH(服务费底表!$T106,'Rate Card'!$F:$F,0))</f>
        <v>临床监查员</v>
      </c>
      <c r="V106" s="331">
        <f>INDEX('Rate Card'!$J:$J,MATCH($T106,'Rate Card'!$F:$F,0))</f>
        <v>340</v>
      </c>
      <c r="W106" s="523">
        <f t="shared" si="119"/>
        <v>340</v>
      </c>
      <c r="X106" s="523">
        <f t="shared" si="120"/>
        <v>2</v>
      </c>
      <c r="Y106" s="327" cm="1">
        <f t="array" ref="Y106">_xlfn.IFS(报价场景=服务费底表!$AJ$2,服务费底表!$AJ106,报价场景=服务费底表!$AP$2,服务费底表!$AP106,报价场景=服务费底表!$AK$2,服务费底表!$AK106,报价场景=服务费底表!$AL$2,服务费底表!$AL106,报价场景=服务费底表!$AM$2,服务费底表!$AM106,报价场景=服务费底表!$AN$2,服务费底表!$AN106,报价场景=服务费底表!$AQ$2,服务费底表!$AQ106,报价场景=服务费底表!$AO$2,服务费底表!$AO106)</f>
        <v>2</v>
      </c>
      <c r="Z106" s="327"/>
      <c r="AA106" s="332">
        <f t="shared" si="121"/>
        <v>2</v>
      </c>
      <c r="AB106" s="333">
        <f t="shared" si="122"/>
        <v>680</v>
      </c>
      <c r="AC106" s="328">
        <f t="shared" si="123"/>
        <v>2</v>
      </c>
      <c r="AD106" s="334">
        <f t="shared" si="124"/>
        <v>680</v>
      </c>
      <c r="AE106" s="334">
        <f>$AB106*(1-INDEX(项目参数!$D$5:$D$14,MATCH(服务费底表!$S106,项目参数!$B$5:$B$14,0)))</f>
        <v>680</v>
      </c>
      <c r="AF106" s="334">
        <f>$AD106*INDEX(项目参数!$D$5:$D$14,MATCH(服务费底表!$S106,项目参数!$B$5:$B$14,0))</f>
        <v>0</v>
      </c>
      <c r="AG106" s="334">
        <f t="shared" si="125"/>
        <v>680</v>
      </c>
      <c r="AH106" s="328"/>
      <c r="AI106" s="328" t="s">
        <v>595</v>
      </c>
      <c r="AJ106" s="327">
        <f>IF(首次IM形式="线下",2*启动中心数,0.5*启动中心数)</f>
        <v>2</v>
      </c>
      <c r="AK106" s="327">
        <f>AJ106*1.5</f>
        <v>3</v>
      </c>
      <c r="AL106" s="327">
        <f t="shared" si="126"/>
        <v>1.5</v>
      </c>
      <c r="AM106" s="327">
        <v>1.5</v>
      </c>
      <c r="AN106" s="327">
        <f>AJ106</f>
        <v>2</v>
      </c>
      <c r="AO106" s="327">
        <f t="shared" si="96"/>
        <v>1.5</v>
      </c>
      <c r="AP106" s="327">
        <v>0.5</v>
      </c>
      <c r="AQ106" s="327">
        <f t="shared" si="127"/>
        <v>3</v>
      </c>
      <c r="AR106" s="338"/>
      <c r="AS106" s="327">
        <f t="shared" si="128"/>
        <v>2</v>
      </c>
      <c r="AT106" s="327">
        <f t="shared" si="129"/>
        <v>2</v>
      </c>
      <c r="AU106" s="523">
        <v>2</v>
      </c>
      <c r="AV106" s="328"/>
      <c r="AW106" s="328"/>
      <c r="AX106" s="332">
        <v>2</v>
      </c>
      <c r="AY106" s="328" t="b">
        <f t="shared" si="85"/>
        <v>1</v>
      </c>
      <c r="AZ106" s="328" t="b">
        <f t="shared" si="86"/>
        <v>1</v>
      </c>
    </row>
    <row r="107" ht="27" customHeight="1" spans="1:52">
      <c r="A107" s="326" t="str">
        <f>INDEX('Rate Card'!$A:$A,MATCH(服务费底表!$T107,'Rate Card'!$F:$F,0))</f>
        <v>临床运营</v>
      </c>
      <c r="B107" s="327" t="str">
        <f>INDEX(二三级标准!$G:$G,MATCH(服务费底表!$K107,二三级标准!B:B,0))</f>
        <v>次</v>
      </c>
      <c r="C107" s="327">
        <f>INDEX(服务费明细!$E:$E,MATCH(服务费底表!$K107,服务费明细!$B:$B,0))</f>
        <v>1</v>
      </c>
      <c r="D107" s="327" t="str">
        <f t="shared" si="117"/>
        <v>A026CTA</v>
      </c>
      <c r="E107" s="327" t="str">
        <f t="shared" si="118"/>
        <v>T0063CTA</v>
      </c>
      <c r="F107" s="328"/>
      <c r="G107" s="328" t="s">
        <v>684</v>
      </c>
      <c r="H107" s="326" t="str">
        <f>INDEX('Rate Card'!$B:$B,MATCH(服务费底表!$T107,'Rate Card'!$F:$F,0))</f>
        <v>临床运营</v>
      </c>
      <c r="I107" s="328" t="s">
        <v>919</v>
      </c>
      <c r="J107" s="328" t="str">
        <f>INDEX(二三级标准!$Q:$Q,MATCH(服务费底表!I107,二三级标准!$O:$O,0))</f>
        <v>召开研究者会议</v>
      </c>
      <c r="K107" s="328" t="s">
        <v>154</v>
      </c>
      <c r="L107" s="328" t="str">
        <f>INDEX(二三级标准!C:C,MATCH(服务费底表!K107,二三级标准!$B:$B,0))</f>
        <v>召开首次研究者会</v>
      </c>
      <c r="M107" s="328" t="s">
        <v>1240</v>
      </c>
      <c r="N107" s="328" t="str">
        <f>INDEX(二三级标准!$M:$M,MATCH(服务费底表!$M107,二三级标准!$L:$L,0))</f>
        <v>准备首次研究者会</v>
      </c>
      <c r="O107" s="328"/>
      <c r="P107" s="327">
        <f>IF(R107=1,INDEX(服务费明细!$E:$E,MATCH(服务费底表!$K107,服务费明细!$B:$B,0)),0)</f>
        <v>1</v>
      </c>
      <c r="Q107" s="328" t="s">
        <v>1178</v>
      </c>
      <c r="R107" s="520">
        <f>IF(AND(召开首次研究者会YN=1,临床监查YN=1),1,0)</f>
        <v>1</v>
      </c>
      <c r="S107" s="525" t="str">
        <f>INDEX('Rate Card'!$D:$D,MATCH(服务费底表!$T107,'Rate Card'!F:F,0))</f>
        <v>临床监查</v>
      </c>
      <c r="T107" s="328" t="s">
        <v>597</v>
      </c>
      <c r="U107" s="522" t="str">
        <f>INDEX('Rate Card'!$E:$E,MATCH(服务费底表!$T107,'Rate Card'!$F:$F,0))</f>
        <v>临床试验助理</v>
      </c>
      <c r="V107" s="331">
        <f>INDEX('Rate Card'!$J:$J,MATCH($T107,'Rate Card'!$F:$F,0))</f>
        <v>220</v>
      </c>
      <c r="W107" s="523">
        <f t="shared" si="119"/>
        <v>220</v>
      </c>
      <c r="X107" s="523">
        <f t="shared" si="120"/>
        <v>2</v>
      </c>
      <c r="Y107" s="327" cm="1">
        <f t="array" ref="Y107">_xlfn.IFS(报价场景=服务费底表!$AJ$2,服务费底表!$AJ107,报价场景=服务费底表!$AP$2,服务费底表!$AP107,报价场景=服务费底表!$AK$2,服务费底表!$AK107,报价场景=服务费底表!$AL$2,服务费底表!$AL107,报价场景=服务费底表!$AM$2,服务费底表!$AM107,报价场景=服务费底表!$AN$2,服务费底表!$AN107,报价场景=服务费底表!$AQ$2,服务费底表!$AQ107,报价场景=服务费底表!$AO$2,服务费底表!$AO107)</f>
        <v>2</v>
      </c>
      <c r="Z107" s="327"/>
      <c r="AA107" s="332">
        <f t="shared" si="121"/>
        <v>2</v>
      </c>
      <c r="AB107" s="333">
        <f t="shared" si="122"/>
        <v>440</v>
      </c>
      <c r="AC107" s="328">
        <f t="shared" si="123"/>
        <v>2</v>
      </c>
      <c r="AD107" s="334">
        <f t="shared" si="124"/>
        <v>440</v>
      </c>
      <c r="AE107" s="334">
        <f>$AB107*(1-INDEX(项目参数!$D$5:$D$14,MATCH(服务费底表!$S107,项目参数!$B$5:$B$14,0)))</f>
        <v>440</v>
      </c>
      <c r="AF107" s="334">
        <f>$AD107*INDEX(项目参数!$D$5:$D$14,MATCH(服务费底表!$S107,项目参数!$B$5:$B$14,0))</f>
        <v>0</v>
      </c>
      <c r="AG107" s="334">
        <f t="shared" si="125"/>
        <v>440</v>
      </c>
      <c r="AH107" s="328"/>
      <c r="AI107" s="328" t="s">
        <v>597</v>
      </c>
      <c r="AJ107" s="327">
        <f t="array" ref="AJ107">_xlfn.IFS(AND(首次IM形式="线下",启动中心数&lt;=5),4,AND(首次IM形式="线下",启动中心数&lt;=10),8,AND(首次IM形式="线下",启动中心数&gt;10),12,首次IM形式&lt;&gt;"线下",2)</f>
        <v>2</v>
      </c>
      <c r="AK107" s="327">
        <f>AJ107*1.5</f>
        <v>3</v>
      </c>
      <c r="AL107" s="327">
        <f t="shared" si="126"/>
        <v>1.5</v>
      </c>
      <c r="AM107" s="327">
        <v>1.5</v>
      </c>
      <c r="AN107" s="327">
        <f>AJ107</f>
        <v>2</v>
      </c>
      <c r="AO107" s="327">
        <f t="shared" si="96"/>
        <v>1.5</v>
      </c>
      <c r="AP107" s="327">
        <v>2</v>
      </c>
      <c r="AQ107" s="327">
        <f t="shared" si="127"/>
        <v>3</v>
      </c>
      <c r="AR107" s="338"/>
      <c r="AS107" s="327">
        <f t="shared" si="128"/>
        <v>2</v>
      </c>
      <c r="AT107" s="327">
        <f t="shared" si="129"/>
        <v>2</v>
      </c>
      <c r="AU107" s="523">
        <v>2</v>
      </c>
      <c r="AV107" s="328"/>
      <c r="AW107" s="328"/>
      <c r="AX107" s="332">
        <v>2</v>
      </c>
      <c r="AY107" s="328" t="b">
        <f t="shared" si="85"/>
        <v>1</v>
      </c>
      <c r="AZ107" s="328" t="b">
        <f t="shared" si="86"/>
        <v>1</v>
      </c>
    </row>
    <row r="108" ht="27" customHeight="1" spans="1:52">
      <c r="A108" s="326" t="str">
        <f>INDEX('Rate Card'!$A:$A,MATCH(服务费底表!$T108,'Rate Card'!$F:$F,0))</f>
        <v>医学</v>
      </c>
      <c r="B108" s="327" t="str">
        <f>INDEX(二三级标准!$G:$G,MATCH(服务费底表!$K108,二三级标准!B:B,0))</f>
        <v>次</v>
      </c>
      <c r="C108" s="327">
        <f>INDEX(服务费明细!$E:$E,MATCH(服务费底表!$K108,服务费明细!$B:$B,0))</f>
        <v>1</v>
      </c>
      <c r="D108" s="327" t="str">
        <f t="shared" si="117"/>
        <v>A026MM</v>
      </c>
      <c r="E108" s="327" t="str">
        <f t="shared" si="118"/>
        <v>T0063MM</v>
      </c>
      <c r="F108" s="328"/>
      <c r="G108" s="328" t="s">
        <v>684</v>
      </c>
      <c r="H108" s="326" t="str">
        <f>INDEX('Rate Card'!$B:$B,MATCH(服务费底表!$T108,'Rate Card'!$F:$F,0))</f>
        <v>医学</v>
      </c>
      <c r="I108" s="328" t="s">
        <v>919</v>
      </c>
      <c r="J108" s="328" t="str">
        <f>INDEX(二三级标准!$Q:$Q,MATCH(服务费底表!I108,二三级标准!$O:$O,0))</f>
        <v>召开研究者会议</v>
      </c>
      <c r="K108" s="328" t="s">
        <v>154</v>
      </c>
      <c r="L108" s="328" t="str">
        <f>INDEX(二三级标准!C:C,MATCH(服务费底表!K108,二三级标准!$B:$B,0))</f>
        <v>召开首次研究者会</v>
      </c>
      <c r="M108" s="328" t="s">
        <v>1240</v>
      </c>
      <c r="N108" s="328" t="str">
        <f>INDEX(二三级标准!$M:$M,MATCH(服务费底表!$M108,二三级标准!$L:$L,0))</f>
        <v>准备首次研究者会</v>
      </c>
      <c r="O108" s="328"/>
      <c r="P108" s="327">
        <f>IF(R108=1,INDEX(服务费明细!$E:$E,MATCH(服务费底表!$K108,服务费明细!$B:$B,0)),0)</f>
        <v>1</v>
      </c>
      <c r="Q108" s="328" t="s">
        <v>1178</v>
      </c>
      <c r="R108" s="520">
        <f>IF(AND(召开首次研究者会YN=1,医学监查YN=1),1,0)</f>
        <v>1</v>
      </c>
      <c r="S108" s="521" t="str">
        <f>IF(AND(H108="医学",OR(I108=二三级标准!$A$4,I108=二三级标准!$A$153)),"医学撰写","医学监查")</f>
        <v>医学监查</v>
      </c>
      <c r="T108" s="328" t="s">
        <v>615</v>
      </c>
      <c r="U108" s="522" t="str">
        <f>INDEX('Rate Card'!$E:$E,MATCH(服务费底表!$T108,'Rate Card'!$F:$F,0))</f>
        <v>医学经理</v>
      </c>
      <c r="V108" s="331">
        <f>INDEX('Rate Card'!$J:$J,MATCH($T108,'Rate Card'!$F:$F,0))</f>
        <v>650</v>
      </c>
      <c r="W108" s="523">
        <f t="shared" si="119"/>
        <v>650</v>
      </c>
      <c r="X108" s="523">
        <f t="shared" si="120"/>
        <v>4</v>
      </c>
      <c r="Y108" s="327" cm="1">
        <f t="array" ref="Y108">_xlfn.IFS(报价场景=服务费底表!$AJ$2,服务费底表!$AJ108,报价场景=服务费底表!$AP$2,服务费底表!$AP108,报价场景=服务费底表!$AK$2,服务费底表!$AK108,报价场景=服务费底表!$AL$2,服务费底表!$AL108,报价场景=服务费底表!$AM$2,服务费底表!$AM108,报价场景=服务费底表!$AN$2,服务费底表!$AN108,报价场景=服务费底表!$AQ$2,服务费底表!$AQ108,报价场景=服务费底表!$AO$2,服务费底表!$AO108)</f>
        <v>4</v>
      </c>
      <c r="Z108" s="327"/>
      <c r="AA108" s="332">
        <f t="shared" si="121"/>
        <v>4</v>
      </c>
      <c r="AB108" s="333">
        <f t="shared" si="122"/>
        <v>2600</v>
      </c>
      <c r="AC108" s="328">
        <f t="shared" si="123"/>
        <v>4</v>
      </c>
      <c r="AD108" s="334">
        <f t="shared" si="124"/>
        <v>2600</v>
      </c>
      <c r="AE108" s="334">
        <f>$AB108*(1-INDEX(项目参数!$D$5:$D$14,MATCH(服务费底表!$S108,项目参数!$B$5:$B$14,0)))</f>
        <v>2600</v>
      </c>
      <c r="AF108" s="334">
        <f>$AD108*INDEX(项目参数!$D$5:$D$14,MATCH(服务费底表!$S108,项目参数!$B$5:$B$14,0))</f>
        <v>0</v>
      </c>
      <c r="AG108" s="334">
        <f t="shared" si="125"/>
        <v>2600</v>
      </c>
      <c r="AH108" s="328"/>
      <c r="AI108" s="328" t="s">
        <v>615</v>
      </c>
      <c r="AJ108" s="327">
        <v>4</v>
      </c>
      <c r="AK108" s="327">
        <f>AJ108*1.5</f>
        <v>6</v>
      </c>
      <c r="AL108" s="336">
        <v>3</v>
      </c>
      <c r="AM108" s="327">
        <v>4</v>
      </c>
      <c r="AN108" s="327">
        <f>AL108</f>
        <v>3</v>
      </c>
      <c r="AO108" s="327">
        <f t="shared" si="96"/>
        <v>3</v>
      </c>
      <c r="AP108" s="327">
        <v>4</v>
      </c>
      <c r="AQ108" s="327">
        <f t="shared" si="127"/>
        <v>6</v>
      </c>
      <c r="AR108" s="338"/>
      <c r="AS108" s="327">
        <f t="shared" si="128"/>
        <v>4</v>
      </c>
      <c r="AT108" s="327">
        <f t="shared" si="129"/>
        <v>4</v>
      </c>
      <c r="AU108" s="523">
        <v>4</v>
      </c>
      <c r="AV108" s="328"/>
      <c r="AW108" s="328"/>
      <c r="AX108" s="332">
        <v>4</v>
      </c>
      <c r="AY108" s="328" t="b">
        <f t="shared" si="85"/>
        <v>1</v>
      </c>
      <c r="AZ108" s="328" t="b">
        <f t="shared" si="86"/>
        <v>1</v>
      </c>
    </row>
    <row r="109" ht="27" customHeight="1" spans="1:52">
      <c r="A109" s="326" t="str">
        <f>INDEX('Rate Card'!$A:$A,MATCH(服务费底表!$T109,'Rate Card'!$F:$F,0))</f>
        <v>临床运营</v>
      </c>
      <c r="B109" s="327" t="str">
        <f>INDEX(二三级标准!$G:$G,MATCH(服务费底表!$K109,二三级标准!B:B,0))</f>
        <v>次</v>
      </c>
      <c r="C109" s="327">
        <f>INDEX(服务费明细!$E:$E,MATCH(服务费底表!$K109,服务费明细!$B:$B,0))</f>
        <v>1</v>
      </c>
      <c r="D109" s="327" t="str">
        <f t="shared" si="117"/>
        <v>A026PM</v>
      </c>
      <c r="E109" s="327" t="str">
        <f t="shared" si="118"/>
        <v>T0064PM</v>
      </c>
      <c r="F109" s="328"/>
      <c r="G109" s="328" t="s">
        <v>684</v>
      </c>
      <c r="H109" s="326" t="str">
        <f>INDEX('Rate Card'!$B:$B,MATCH(服务费底表!$T109,'Rate Card'!$F:$F,0))</f>
        <v>临床运营</v>
      </c>
      <c r="I109" s="328" t="s">
        <v>919</v>
      </c>
      <c r="J109" s="328" t="str">
        <f>INDEX(二三级标准!$Q:$Q,MATCH(服务费底表!I109,二三级标准!$O:$O,0))</f>
        <v>召开研究者会议</v>
      </c>
      <c r="K109" s="328" t="s">
        <v>154</v>
      </c>
      <c r="L109" s="328" t="str">
        <f>INDEX(二三级标准!C:C,MATCH(服务费底表!K109,二三级标准!$B:$B,0))</f>
        <v>召开首次研究者会</v>
      </c>
      <c r="M109" s="328" t="s">
        <v>1241</v>
      </c>
      <c r="N109" s="328" t="str">
        <f>INDEX(二三级标准!$M:$M,MATCH(服务费底表!$M109,二三级标准!$L:$L,0))</f>
        <v>参加首次研究者会</v>
      </c>
      <c r="O109" s="328"/>
      <c r="P109" s="327">
        <f>IF(R109=1,INDEX(服务费明细!$E:$E,MATCH(服务费底表!$K109,服务费明细!$B:$B,0)),0)</f>
        <v>1</v>
      </c>
      <c r="Q109" s="328" t="s">
        <v>1178</v>
      </c>
      <c r="R109" s="520">
        <f>IF(AND(召开首次研究者会YN=1,项目管理YN=1),1,0)</f>
        <v>1</v>
      </c>
      <c r="S109" s="525" t="str">
        <f>INDEX('Rate Card'!$D:$D,MATCH(服务费底表!$T109,'Rate Card'!F:F,0))</f>
        <v>项目管理</v>
      </c>
      <c r="T109" s="328" t="s">
        <v>599</v>
      </c>
      <c r="U109" s="522" t="str">
        <f>INDEX('Rate Card'!$E:$E,MATCH(服务费底表!$T109,'Rate Card'!$F:$F,0))</f>
        <v>临床项目经理</v>
      </c>
      <c r="V109" s="331">
        <f>INDEX('Rate Card'!$J:$J,MATCH($T109,'Rate Card'!$F:$F,0))</f>
        <v>650</v>
      </c>
      <c r="W109" s="523">
        <f t="shared" si="119"/>
        <v>650</v>
      </c>
      <c r="X109" s="523">
        <f t="shared" si="120"/>
        <v>1</v>
      </c>
      <c r="Y109" s="327" cm="1">
        <f t="array" ref="Y109">_xlfn.IFS(报价场景=服务费底表!$AJ$2,服务费底表!$AJ109,报价场景=服务费底表!$AP$2,服务费底表!$AP109,报价场景=服务费底表!$AK$2,服务费底表!$AK109,报价场景=服务费底表!$AL$2,服务费底表!$AL109,报价场景=服务费底表!$AM$2,服务费底表!$AM109,报价场景=服务费底表!$AN$2,服务费底表!$AN109,报价场景=服务费底表!$AQ$2,服务费底表!$AQ109,报价场景=服务费底表!$AO$2,服务费底表!$AO109)</f>
        <v>1</v>
      </c>
      <c r="Z109" s="327"/>
      <c r="AA109" s="332">
        <f t="shared" si="121"/>
        <v>1</v>
      </c>
      <c r="AB109" s="333">
        <f t="shared" si="122"/>
        <v>650</v>
      </c>
      <c r="AC109" s="328">
        <f t="shared" si="123"/>
        <v>1</v>
      </c>
      <c r="AD109" s="334">
        <f t="shared" si="124"/>
        <v>650</v>
      </c>
      <c r="AE109" s="334">
        <f>$AB109*(1-INDEX(项目参数!$D$5:$D$14,MATCH(服务费底表!$S109,项目参数!$B$5:$B$14,0)))</f>
        <v>650</v>
      </c>
      <c r="AF109" s="334">
        <f>$AD109*INDEX(项目参数!$D$5:$D$14,MATCH(服务费底表!$S109,项目参数!$B$5:$B$14,0))</f>
        <v>0</v>
      </c>
      <c r="AG109" s="334">
        <f t="shared" si="125"/>
        <v>650</v>
      </c>
      <c r="AH109" s="328"/>
      <c r="AI109" s="328" t="s">
        <v>599</v>
      </c>
      <c r="AJ109" s="327">
        <v>1</v>
      </c>
      <c r="AK109" s="327">
        <v>1</v>
      </c>
      <c r="AL109" s="327">
        <v>1</v>
      </c>
      <c r="AM109" s="327">
        <v>1</v>
      </c>
      <c r="AN109" s="327">
        <v>1</v>
      </c>
      <c r="AO109" s="327">
        <f t="shared" si="96"/>
        <v>1</v>
      </c>
      <c r="AP109" s="327">
        <v>1</v>
      </c>
      <c r="AQ109" s="327">
        <f t="shared" si="127"/>
        <v>1.5</v>
      </c>
      <c r="AR109" s="338"/>
      <c r="AS109" s="327">
        <f t="shared" si="128"/>
        <v>1</v>
      </c>
      <c r="AT109" s="327">
        <f t="shared" si="129"/>
        <v>1</v>
      </c>
      <c r="AU109" s="523">
        <v>1</v>
      </c>
      <c r="AV109" s="328"/>
      <c r="AW109" s="328"/>
      <c r="AX109" s="332">
        <v>1</v>
      </c>
      <c r="AY109" s="328" t="b">
        <f t="shared" si="85"/>
        <v>1</v>
      </c>
      <c r="AZ109" s="328" t="b">
        <f t="shared" si="86"/>
        <v>1</v>
      </c>
    </row>
    <row r="110" ht="27" customHeight="1" spans="1:52">
      <c r="A110" s="326" t="str">
        <f>INDEX('Rate Card'!$A:$A,MATCH(服务费底表!$T110,'Rate Card'!$F:$F,0))</f>
        <v>临床运营</v>
      </c>
      <c r="B110" s="327" t="str">
        <f>INDEX(二三级标准!$G:$G,MATCH(服务费底表!$K110,二三级标准!B:B,0))</f>
        <v>次</v>
      </c>
      <c r="C110" s="327">
        <f>INDEX(服务费明细!$E:$E,MATCH(服务费底表!$K110,服务费明细!$B:$B,0))</f>
        <v>1</v>
      </c>
      <c r="D110" s="327" t="str">
        <f t="shared" si="117"/>
        <v>A026CRA</v>
      </c>
      <c r="E110" s="327" t="str">
        <f t="shared" si="118"/>
        <v>T0064CRA</v>
      </c>
      <c r="F110" s="328"/>
      <c r="G110" s="328" t="s">
        <v>684</v>
      </c>
      <c r="H110" s="326" t="str">
        <f>INDEX('Rate Card'!$B:$B,MATCH(服务费底表!$T110,'Rate Card'!$F:$F,0))</f>
        <v>临床运营</v>
      </c>
      <c r="I110" s="328" t="s">
        <v>919</v>
      </c>
      <c r="J110" s="328" t="str">
        <f>INDEX(二三级标准!$Q:$Q,MATCH(服务费底表!I110,二三级标准!$O:$O,0))</f>
        <v>召开研究者会议</v>
      </c>
      <c r="K110" s="328" t="s">
        <v>154</v>
      </c>
      <c r="L110" s="328" t="str">
        <f>INDEX(二三级标准!C:C,MATCH(服务费底表!K110,二三级标准!$B:$B,0))</f>
        <v>召开首次研究者会</v>
      </c>
      <c r="M110" s="328" t="s">
        <v>1241</v>
      </c>
      <c r="N110" s="328" t="str">
        <f>INDEX(二三级标准!$M:$M,MATCH(服务费底表!$M110,二三级标准!$L:$L,0))</f>
        <v>参加首次研究者会</v>
      </c>
      <c r="O110" s="328"/>
      <c r="P110" s="327">
        <f>IF(R110=1,INDEX(服务费明细!$E:$E,MATCH(服务费底表!$K110,服务费明细!$B:$B,0)),0)</f>
        <v>1</v>
      </c>
      <c r="Q110" s="328" t="s">
        <v>1178</v>
      </c>
      <c r="R110" s="520">
        <f>IF(AND(召开首次研究者会YN=1,临床监查YN=1),1,0)</f>
        <v>1</v>
      </c>
      <c r="S110" s="525" t="str">
        <f>INDEX('Rate Card'!$D:$D,MATCH(服务费底表!$T110,'Rate Card'!F:F,0))</f>
        <v>临床监查</v>
      </c>
      <c r="T110" s="328" t="s">
        <v>595</v>
      </c>
      <c r="U110" s="522" t="str">
        <f>INDEX('Rate Card'!$E:$E,MATCH(服务费底表!$T110,'Rate Card'!$F:$F,0))</f>
        <v>临床监查员</v>
      </c>
      <c r="V110" s="331">
        <f>INDEX('Rate Card'!$J:$J,MATCH($T110,'Rate Card'!$F:$F,0))</f>
        <v>340</v>
      </c>
      <c r="W110" s="523">
        <f t="shared" si="119"/>
        <v>340</v>
      </c>
      <c r="X110" s="523">
        <f t="shared" si="120"/>
        <v>2</v>
      </c>
      <c r="Y110" s="327" cm="1">
        <f t="array" ref="Y110">_xlfn.IFS(报价场景=服务费底表!$AJ$2,服务费底表!$AJ110,报价场景=服务费底表!$AP$2,服务费底表!$AP110,报价场景=服务费底表!$AK$2,服务费底表!$AK110,报价场景=服务费底表!$AL$2,服务费底表!$AL110,报价场景=服务费底表!$AM$2,服务费底表!$AM110,报价场景=服务费底表!$AN$2,服务费底表!$AN110,报价场景=服务费底表!$AQ$2,服务费底表!$AQ110,报价场景=服务费底表!$AO$2,服务费底表!$AO110)</f>
        <v>2</v>
      </c>
      <c r="Z110" s="327"/>
      <c r="AA110" s="332">
        <f t="shared" si="121"/>
        <v>2</v>
      </c>
      <c r="AB110" s="333">
        <f t="shared" si="122"/>
        <v>680</v>
      </c>
      <c r="AC110" s="328">
        <f t="shared" si="123"/>
        <v>2</v>
      </c>
      <c r="AD110" s="334">
        <f t="shared" si="124"/>
        <v>680</v>
      </c>
      <c r="AE110" s="334">
        <f>$AB110*(1-INDEX(项目参数!$D$5:$D$14,MATCH(服务费底表!$S110,项目参数!$B$5:$B$14,0)))</f>
        <v>680</v>
      </c>
      <c r="AF110" s="334">
        <f>$AD110*INDEX(项目参数!$D$5:$D$14,MATCH(服务费底表!$S110,项目参数!$B$5:$B$14,0))</f>
        <v>0</v>
      </c>
      <c r="AG110" s="334">
        <f t="shared" si="125"/>
        <v>680</v>
      </c>
      <c r="AH110" s="328"/>
      <c r="AI110" s="328" t="s">
        <v>595</v>
      </c>
      <c r="AJ110" s="327">
        <f>1*CRA人数</f>
        <v>2</v>
      </c>
      <c r="AK110" s="327">
        <f>1*CRA人数</f>
        <v>2</v>
      </c>
      <c r="AL110" s="327">
        <f>1*CRA人数</f>
        <v>2</v>
      </c>
      <c r="AM110" s="327">
        <f>1*CRA人数</f>
        <v>2</v>
      </c>
      <c r="AN110" s="327">
        <f>1*CRA人数</f>
        <v>2</v>
      </c>
      <c r="AO110" s="327">
        <f t="shared" si="96"/>
        <v>2</v>
      </c>
      <c r="AP110" s="327">
        <v>1</v>
      </c>
      <c r="AQ110" s="327">
        <f t="shared" si="127"/>
        <v>3</v>
      </c>
      <c r="AR110" s="338"/>
      <c r="AS110" s="327">
        <f t="shared" si="128"/>
        <v>2</v>
      </c>
      <c r="AT110" s="327">
        <f t="shared" si="129"/>
        <v>2</v>
      </c>
      <c r="AU110" s="523">
        <v>2</v>
      </c>
      <c r="AV110" s="328"/>
      <c r="AW110" s="328"/>
      <c r="AX110" s="332">
        <v>2</v>
      </c>
      <c r="AY110" s="328" t="b">
        <f t="shared" si="85"/>
        <v>1</v>
      </c>
      <c r="AZ110" s="328" t="b">
        <f t="shared" si="86"/>
        <v>1</v>
      </c>
    </row>
    <row r="111" ht="27" customHeight="1" spans="1:52">
      <c r="A111" s="326" t="str">
        <f>INDEX('Rate Card'!$A:$A,MATCH(服务费底表!$T111,'Rate Card'!$F:$F,0))</f>
        <v>临床运营</v>
      </c>
      <c r="B111" s="327" t="str">
        <f>INDEX(二三级标准!$G:$G,MATCH(服务费底表!$K111,二三级标准!B:B,0))</f>
        <v>次</v>
      </c>
      <c r="C111" s="327">
        <f>INDEX(服务费明细!$E:$E,MATCH(服务费底表!$K111,服务费明细!$B:$B,0))</f>
        <v>1</v>
      </c>
      <c r="D111" s="327" t="str">
        <f t="shared" si="117"/>
        <v>A026CTA</v>
      </c>
      <c r="E111" s="327" t="str">
        <f t="shared" si="118"/>
        <v>T0064CTA</v>
      </c>
      <c r="F111" s="328"/>
      <c r="G111" s="328" t="s">
        <v>684</v>
      </c>
      <c r="H111" s="326" t="str">
        <f>INDEX('Rate Card'!$B:$B,MATCH(服务费底表!$T111,'Rate Card'!$F:$F,0))</f>
        <v>临床运营</v>
      </c>
      <c r="I111" s="328" t="s">
        <v>919</v>
      </c>
      <c r="J111" s="328" t="str">
        <f>INDEX(二三级标准!$Q:$Q,MATCH(服务费底表!I111,二三级标准!$O:$O,0))</f>
        <v>召开研究者会议</v>
      </c>
      <c r="K111" s="328" t="s">
        <v>154</v>
      </c>
      <c r="L111" s="328" t="str">
        <f>INDEX(二三级标准!C:C,MATCH(服务费底表!K111,二三级标准!$B:$B,0))</f>
        <v>召开首次研究者会</v>
      </c>
      <c r="M111" s="328" t="s">
        <v>1241</v>
      </c>
      <c r="N111" s="328" t="str">
        <f>INDEX(二三级标准!$M:$M,MATCH(服务费底表!$M111,二三级标准!$L:$L,0))</f>
        <v>参加首次研究者会</v>
      </c>
      <c r="O111" s="328"/>
      <c r="P111" s="327">
        <f>IF(R111=1,INDEX(服务费明细!$E:$E,MATCH(服务费底表!$K111,服务费明细!$B:$B,0)),0)</f>
        <v>1</v>
      </c>
      <c r="Q111" s="328" t="s">
        <v>1178</v>
      </c>
      <c r="R111" s="520">
        <f>IF(AND(召开首次研究者会YN=1,临床监查YN=1),1,0)</f>
        <v>1</v>
      </c>
      <c r="S111" s="525" t="str">
        <f>INDEX('Rate Card'!$D:$D,MATCH(服务费底表!$T111,'Rate Card'!F:F,0))</f>
        <v>临床监查</v>
      </c>
      <c r="T111" s="328" t="s">
        <v>597</v>
      </c>
      <c r="U111" s="522" t="str">
        <f>INDEX('Rate Card'!$E:$E,MATCH(服务费底表!$T111,'Rate Card'!$F:$F,0))</f>
        <v>临床试验助理</v>
      </c>
      <c r="V111" s="331">
        <f>INDEX('Rate Card'!$J:$J,MATCH($T111,'Rate Card'!$F:$F,0))</f>
        <v>220</v>
      </c>
      <c r="W111" s="523">
        <f t="shared" si="119"/>
        <v>220</v>
      </c>
      <c r="X111" s="523">
        <f t="shared" si="120"/>
        <v>1</v>
      </c>
      <c r="Y111" s="327" cm="1">
        <f t="array" ref="Y111">_xlfn.IFS(报价场景=服务费底表!$AJ$2,服务费底表!$AJ111,报价场景=服务费底表!$AP$2,服务费底表!$AP111,报价场景=服务费底表!$AK$2,服务费底表!$AK111,报价场景=服务费底表!$AL$2,服务费底表!$AL111,报价场景=服务费底表!$AM$2,服务费底表!$AM111,报价场景=服务费底表!$AN$2,服务费底表!$AN111,报价场景=服务费底表!$AQ$2,服务费底表!$AQ111,报价场景=服务费底表!$AO$2,服务费底表!$AO111)</f>
        <v>1</v>
      </c>
      <c r="Z111" s="327"/>
      <c r="AA111" s="332">
        <f t="shared" si="121"/>
        <v>1</v>
      </c>
      <c r="AB111" s="333">
        <f t="shared" si="122"/>
        <v>220</v>
      </c>
      <c r="AC111" s="328">
        <f t="shared" si="123"/>
        <v>1</v>
      </c>
      <c r="AD111" s="334">
        <f t="shared" si="124"/>
        <v>220</v>
      </c>
      <c r="AE111" s="334">
        <f>$AB111*(1-INDEX(项目参数!$D$5:$D$14,MATCH(服务费底表!$S111,项目参数!$B$5:$B$14,0)))</f>
        <v>220</v>
      </c>
      <c r="AF111" s="334">
        <f>$AD111*INDEX(项目参数!$D$5:$D$14,MATCH(服务费底表!$S111,项目参数!$B$5:$B$14,0))</f>
        <v>0</v>
      </c>
      <c r="AG111" s="334">
        <f t="shared" si="125"/>
        <v>220</v>
      </c>
      <c r="AH111" s="328"/>
      <c r="AI111" s="328" t="s">
        <v>597</v>
      </c>
      <c r="AJ111" s="327">
        <v>1</v>
      </c>
      <c r="AK111" s="327">
        <v>1</v>
      </c>
      <c r="AL111" s="327">
        <v>1</v>
      </c>
      <c r="AM111" s="327">
        <v>1</v>
      </c>
      <c r="AN111" s="327">
        <v>1</v>
      </c>
      <c r="AO111" s="327">
        <f t="shared" si="96"/>
        <v>1</v>
      </c>
      <c r="AP111" s="327">
        <v>1</v>
      </c>
      <c r="AQ111" s="327">
        <f t="shared" si="127"/>
        <v>1.5</v>
      </c>
      <c r="AR111" s="338"/>
      <c r="AS111" s="327">
        <f t="shared" si="128"/>
        <v>1</v>
      </c>
      <c r="AT111" s="327">
        <f t="shared" si="129"/>
        <v>1</v>
      </c>
      <c r="AU111" s="523">
        <v>1</v>
      </c>
      <c r="AV111" s="328"/>
      <c r="AW111" s="328"/>
      <c r="AX111" s="332">
        <v>1</v>
      </c>
      <c r="AY111" s="328" t="b">
        <f t="shared" si="85"/>
        <v>1</v>
      </c>
      <c r="AZ111" s="328" t="b">
        <f t="shared" si="86"/>
        <v>1</v>
      </c>
    </row>
    <row r="112" ht="27" customHeight="1" spans="1:52">
      <c r="A112" s="326" t="str">
        <f>INDEX('Rate Card'!$A:$A,MATCH(服务费底表!$T112,'Rate Card'!$F:$F,0))</f>
        <v>医学</v>
      </c>
      <c r="B112" s="327" t="str">
        <f>INDEX(二三级标准!$G:$G,MATCH(服务费底表!$K112,二三级标准!B:B,0))</f>
        <v>次</v>
      </c>
      <c r="C112" s="327">
        <f>INDEX(服务费明细!$E:$E,MATCH(服务费底表!$K112,服务费明细!$B:$B,0))</f>
        <v>1</v>
      </c>
      <c r="D112" s="327" t="str">
        <f t="shared" si="117"/>
        <v>A026MM</v>
      </c>
      <c r="E112" s="327" t="str">
        <f t="shared" si="118"/>
        <v>T0064MM</v>
      </c>
      <c r="F112" s="328"/>
      <c r="G112" s="328" t="s">
        <v>684</v>
      </c>
      <c r="H112" s="326" t="str">
        <f>INDEX('Rate Card'!$B:$B,MATCH(服务费底表!$T112,'Rate Card'!$F:$F,0))</f>
        <v>医学</v>
      </c>
      <c r="I112" s="328" t="s">
        <v>919</v>
      </c>
      <c r="J112" s="328" t="str">
        <f>INDEX(二三级标准!$Q:$Q,MATCH(服务费底表!I112,二三级标准!$O:$O,0))</f>
        <v>召开研究者会议</v>
      </c>
      <c r="K112" s="328" t="s">
        <v>154</v>
      </c>
      <c r="L112" s="328" t="str">
        <f>INDEX(二三级标准!C:C,MATCH(服务费底表!K112,二三级标准!$B:$B,0))</f>
        <v>召开首次研究者会</v>
      </c>
      <c r="M112" s="328" t="s">
        <v>1241</v>
      </c>
      <c r="N112" s="328" t="str">
        <f>INDEX(二三级标准!$M:$M,MATCH(服务费底表!$M112,二三级标准!$L:$L,0))</f>
        <v>参加首次研究者会</v>
      </c>
      <c r="O112" s="328"/>
      <c r="P112" s="327">
        <f>IF(R112=1,INDEX(服务费明细!$E:$E,MATCH(服务费底表!$K112,服务费明细!$B:$B,0)),0)</f>
        <v>1</v>
      </c>
      <c r="Q112" s="328" t="s">
        <v>1178</v>
      </c>
      <c r="R112" s="520">
        <f>IF(AND(召开首次研究者会YN=1,医学监查YN=1),1,0)</f>
        <v>1</v>
      </c>
      <c r="S112" s="521" t="str">
        <f>IF(AND(H112="医学",OR(I112=二三级标准!$A$4,I112=二三级标准!$A$153)),"医学撰写","医学监查")</f>
        <v>医学监查</v>
      </c>
      <c r="T112" s="328" t="s">
        <v>615</v>
      </c>
      <c r="U112" s="522" t="str">
        <f>INDEX('Rate Card'!$E:$E,MATCH(服务费底表!$T112,'Rate Card'!$F:$F,0))</f>
        <v>医学经理</v>
      </c>
      <c r="V112" s="331">
        <f>INDEX('Rate Card'!$J:$J,MATCH($T112,'Rate Card'!$F:$F,0))</f>
        <v>650</v>
      </c>
      <c r="W112" s="523">
        <f t="shared" si="119"/>
        <v>650</v>
      </c>
      <c r="X112" s="523">
        <f t="shared" si="120"/>
        <v>1</v>
      </c>
      <c r="Y112" s="327" cm="1">
        <f t="array" ref="Y112">_xlfn.IFS(报价场景=服务费底表!$AJ$2,服务费底表!$AJ112,报价场景=服务费底表!$AP$2,服务费底表!$AP112,报价场景=服务费底表!$AK$2,服务费底表!$AK112,报价场景=服务费底表!$AL$2,服务费底表!$AL112,报价场景=服务费底表!$AM$2,服务费底表!$AM112,报价场景=服务费底表!$AN$2,服务费底表!$AN112,报价场景=服务费底表!$AQ$2,服务费底表!$AQ112,报价场景=服务费底表!$AO$2,服务费底表!$AO112)</f>
        <v>1</v>
      </c>
      <c r="Z112" s="327"/>
      <c r="AA112" s="332">
        <f t="shared" si="121"/>
        <v>1</v>
      </c>
      <c r="AB112" s="333">
        <f t="shared" si="122"/>
        <v>650</v>
      </c>
      <c r="AC112" s="328">
        <f t="shared" si="123"/>
        <v>1</v>
      </c>
      <c r="AD112" s="334">
        <f t="shared" si="124"/>
        <v>650</v>
      </c>
      <c r="AE112" s="334">
        <f>$AB112*(1-INDEX(项目参数!$D$5:$D$14,MATCH(服务费底表!$S112,项目参数!$B$5:$B$14,0)))</f>
        <v>650</v>
      </c>
      <c r="AF112" s="334">
        <f>$AD112*INDEX(项目参数!$D$5:$D$14,MATCH(服务费底表!$S112,项目参数!$B$5:$B$14,0))</f>
        <v>0</v>
      </c>
      <c r="AG112" s="334">
        <f t="shared" si="125"/>
        <v>650</v>
      </c>
      <c r="AH112" s="328"/>
      <c r="AI112" s="328" t="s">
        <v>615</v>
      </c>
      <c r="AJ112" s="327">
        <v>1</v>
      </c>
      <c r="AK112" s="327">
        <v>1</v>
      </c>
      <c r="AL112" s="327">
        <v>1</v>
      </c>
      <c r="AM112" s="327">
        <v>1</v>
      </c>
      <c r="AN112" s="327">
        <v>1</v>
      </c>
      <c r="AO112" s="327">
        <f t="shared" si="96"/>
        <v>1</v>
      </c>
      <c r="AP112" s="327">
        <v>1</v>
      </c>
      <c r="AQ112" s="327">
        <f t="shared" si="127"/>
        <v>1.5</v>
      </c>
      <c r="AR112" s="338"/>
      <c r="AS112" s="327">
        <f t="shared" si="128"/>
        <v>1</v>
      </c>
      <c r="AT112" s="327">
        <f t="shared" si="129"/>
        <v>1</v>
      </c>
      <c r="AU112" s="523">
        <v>1</v>
      </c>
      <c r="AV112" s="328"/>
      <c r="AW112" s="328"/>
      <c r="AX112" s="332">
        <v>1</v>
      </c>
      <c r="AY112" s="328" t="b">
        <f t="shared" si="85"/>
        <v>1</v>
      </c>
      <c r="AZ112" s="328" t="b">
        <f t="shared" si="86"/>
        <v>1</v>
      </c>
    </row>
    <row r="113" ht="27" customHeight="1" spans="1:52">
      <c r="A113" s="326" t="str">
        <f>INDEX('Rate Card'!$A:$A,MATCH(服务费底表!$T113,'Rate Card'!$F:$F,0))</f>
        <v>医学</v>
      </c>
      <c r="B113" s="327" t="str">
        <f>INDEX(二三级标准!$G:$G,MATCH(服务费底表!$K113,二三级标准!B:B,0))</f>
        <v>次</v>
      </c>
      <c r="C113" s="327">
        <f>INDEX(服务费明细!$E:$E,MATCH(服务费底表!$K113,服务费明细!$B:$B,0))</f>
        <v>1</v>
      </c>
      <c r="D113" s="327" t="str">
        <f t="shared" si="117"/>
        <v>A026MD</v>
      </c>
      <c r="E113" s="327" t="str">
        <f t="shared" si="118"/>
        <v>T0064MD</v>
      </c>
      <c r="F113" s="328"/>
      <c r="G113" s="328" t="s">
        <v>684</v>
      </c>
      <c r="H113" s="326" t="str">
        <f>INDEX('Rate Card'!$B:$B,MATCH(服务费底表!$T113,'Rate Card'!$F:$F,0))</f>
        <v>医学</v>
      </c>
      <c r="I113" s="328" t="s">
        <v>919</v>
      </c>
      <c r="J113" s="328" t="str">
        <f>INDEX(二三级标准!$Q:$Q,MATCH(服务费底表!I113,二三级标准!$O:$O,0))</f>
        <v>召开研究者会议</v>
      </c>
      <c r="K113" s="328" t="s">
        <v>154</v>
      </c>
      <c r="L113" s="328" t="str">
        <f>INDEX(二三级标准!C:C,MATCH(服务费底表!K113,二三级标准!$B:$B,0))</f>
        <v>召开首次研究者会</v>
      </c>
      <c r="M113" s="328" t="s">
        <v>1241</v>
      </c>
      <c r="N113" s="328" t="str">
        <f>INDEX(二三级标准!$M:$M,MATCH(服务费底表!$M113,二三级标准!$L:$L,0))</f>
        <v>参加首次研究者会</v>
      </c>
      <c r="O113" s="328"/>
      <c r="P113" s="327">
        <f>IF(R113=1,INDEX(服务费明细!$E:$E,MATCH(服务费底表!$K113,服务费明细!$B:$B,0)),0)</f>
        <v>1</v>
      </c>
      <c r="Q113" s="328" t="s">
        <v>1178</v>
      </c>
      <c r="R113" s="520">
        <f>IF(AND(召开首次研究者会YN=1,医学监查YN=1),1,0)</f>
        <v>1</v>
      </c>
      <c r="S113" s="521" t="str">
        <f>IF(AND(H113="医学",OR(I113=二三级标准!$A$4,I113=二三级标准!$A$153)),"医学撰写","医学监查")</f>
        <v>医学监查</v>
      </c>
      <c r="T113" s="328" t="s">
        <v>613</v>
      </c>
      <c r="U113" s="522" t="str">
        <f>INDEX('Rate Card'!$E:$E,MATCH(服务费底表!$T113,'Rate Card'!$F:$F,0))</f>
        <v>医学总监</v>
      </c>
      <c r="V113" s="331">
        <f>INDEX('Rate Card'!$J:$J,MATCH($T113,'Rate Card'!$F:$F,0))</f>
        <v>990</v>
      </c>
      <c r="W113" s="523">
        <f t="shared" si="119"/>
        <v>990</v>
      </c>
      <c r="X113" s="523">
        <f t="shared" si="120"/>
        <v>1</v>
      </c>
      <c r="Y113" s="327" cm="1">
        <f t="array" ref="Y113">_xlfn.IFS(报价场景=服务费底表!$AJ$2,服务费底表!$AJ113,报价场景=服务费底表!$AP$2,服务费底表!$AP113,报价场景=服务费底表!$AK$2,服务费底表!$AK113,报价场景=服务费底表!$AL$2,服务费底表!$AL113,报价场景=服务费底表!$AM$2,服务费底表!$AM113,报价场景=服务费底表!$AN$2,服务费底表!$AN113,报价场景=服务费底表!$AQ$2,服务费底表!$AQ113,报价场景=服务费底表!$AO$2,服务费底表!$AO113)</f>
        <v>1</v>
      </c>
      <c r="Z113" s="327"/>
      <c r="AA113" s="332">
        <f t="shared" si="121"/>
        <v>1</v>
      </c>
      <c r="AB113" s="333">
        <f t="shared" si="122"/>
        <v>990</v>
      </c>
      <c r="AC113" s="328">
        <f t="shared" si="123"/>
        <v>1</v>
      </c>
      <c r="AD113" s="334">
        <f t="shared" si="124"/>
        <v>990</v>
      </c>
      <c r="AE113" s="334">
        <f>$AB113*(1-INDEX(项目参数!$D$5:$D$14,MATCH(服务费底表!$S113,项目参数!$B$5:$B$14,0)))</f>
        <v>990</v>
      </c>
      <c r="AF113" s="334">
        <f>$AD113*INDEX(项目参数!$D$5:$D$14,MATCH(服务费底表!$S113,项目参数!$B$5:$B$14,0))</f>
        <v>0</v>
      </c>
      <c r="AG113" s="334">
        <f t="shared" si="125"/>
        <v>990</v>
      </c>
      <c r="AH113" s="328"/>
      <c r="AI113" s="328" t="s">
        <v>613</v>
      </c>
      <c r="AJ113" s="327">
        <v>1</v>
      </c>
      <c r="AK113" s="327">
        <v>1</v>
      </c>
      <c r="AL113" s="327">
        <v>1</v>
      </c>
      <c r="AM113" s="327">
        <v>1</v>
      </c>
      <c r="AN113" s="327">
        <v>1</v>
      </c>
      <c r="AO113" s="327">
        <f t="shared" si="96"/>
        <v>1</v>
      </c>
      <c r="AP113" s="327">
        <v>1</v>
      </c>
      <c r="AQ113" s="327">
        <f t="shared" si="127"/>
        <v>1.5</v>
      </c>
      <c r="AR113" s="338"/>
      <c r="AS113" s="327">
        <f t="shared" si="128"/>
        <v>1</v>
      </c>
      <c r="AT113" s="327">
        <f t="shared" si="129"/>
        <v>1</v>
      </c>
      <c r="AU113" s="523">
        <v>1</v>
      </c>
      <c r="AV113" s="328"/>
      <c r="AW113" s="328"/>
      <c r="AX113" s="332">
        <v>1</v>
      </c>
      <c r="AY113" s="328" t="b">
        <f t="shared" si="85"/>
        <v>1</v>
      </c>
      <c r="AZ113" s="328" t="b">
        <f t="shared" si="86"/>
        <v>1</v>
      </c>
    </row>
    <row r="114" ht="27" customHeight="1" spans="1:52">
      <c r="A114" s="326" t="str">
        <f>INDEX('Rate Card'!$A:$A,MATCH(服务费底表!$T114,'Rate Card'!$F:$F,0))</f>
        <v>数统</v>
      </c>
      <c r="B114" s="327" t="str">
        <f>INDEX(二三级标准!$G:$G,MATCH(服务费底表!$K114,二三级标准!B:B,0))</f>
        <v>次</v>
      </c>
      <c r="C114" s="327">
        <f>INDEX(服务费明细!$E:$E,MATCH(服务费底表!$K114,服务费明细!$B:$B,0))</f>
        <v>1</v>
      </c>
      <c r="D114" s="327" t="str">
        <f t="shared" si="117"/>
        <v>A026ST</v>
      </c>
      <c r="E114" s="327" t="str">
        <f t="shared" si="118"/>
        <v>T0064ST</v>
      </c>
      <c r="F114" s="328"/>
      <c r="G114" s="328" t="s">
        <v>684</v>
      </c>
      <c r="H114" s="326" t="str">
        <f>INDEX('Rate Card'!$B:$B,MATCH(服务费底表!$T114,'Rate Card'!$F:$F,0))</f>
        <v>生物统计及分析</v>
      </c>
      <c r="I114" s="328" t="s">
        <v>919</v>
      </c>
      <c r="J114" s="328" t="str">
        <f>INDEX(二三级标准!$Q:$Q,MATCH(服务费底表!I114,二三级标准!$O:$O,0))</f>
        <v>召开研究者会议</v>
      </c>
      <c r="K114" s="328" t="s">
        <v>154</v>
      </c>
      <c r="L114" s="328" t="str">
        <f>INDEX(二三级标准!C:C,MATCH(服务费底表!K114,二三级标准!$B:$B,0))</f>
        <v>召开首次研究者会</v>
      </c>
      <c r="M114" s="328" t="s">
        <v>1241</v>
      </c>
      <c r="N114" s="328" t="str">
        <f>INDEX(二三级标准!$M:$M,MATCH(服务费底表!$M114,二三级标准!$L:$L,0))</f>
        <v>参加首次研究者会</v>
      </c>
      <c r="O114" s="328"/>
      <c r="P114" s="327">
        <f>IF(R114=1,INDEX(服务费明细!$E:$E,MATCH(服务费底表!$K114,服务费明细!$B:$B,0)),0)</f>
        <v>1</v>
      </c>
      <c r="Q114" s="328" t="s">
        <v>1178</v>
      </c>
      <c r="R114" s="520">
        <f>IF(AND(召开首次研究者会YN=1,生物统计YN=1),1,0)</f>
        <v>1</v>
      </c>
      <c r="S114" s="524" t="str">
        <f>INDEX('Rate Card'!$D:$D,MATCH(服务费底表!$T114,'Rate Card'!F:F,0))</f>
        <v>生物统计</v>
      </c>
      <c r="T114" s="328" t="s">
        <v>639</v>
      </c>
      <c r="U114" s="522" t="str">
        <f>INDEX('Rate Card'!$E:$E,MATCH(服务费底表!$T114,'Rate Card'!$F:$F,0))</f>
        <v>生物统计师</v>
      </c>
      <c r="V114" s="331">
        <f>INDEX('Rate Card'!$J:$J,MATCH($T114,'Rate Card'!$F:$F,0))</f>
        <v>400</v>
      </c>
      <c r="W114" s="523">
        <f t="shared" si="119"/>
        <v>400</v>
      </c>
      <c r="X114" s="523">
        <f t="shared" si="120"/>
        <v>1</v>
      </c>
      <c r="Y114" s="327" cm="1">
        <f t="array" ref="Y114">_xlfn.IFS(报价场景=服务费底表!$AJ$2,服务费底表!$AJ114,报价场景=服务费底表!$AP$2,服务费底表!$AP114,报价场景=服务费底表!$AK$2,服务费底表!$AK114,报价场景=服务费底表!$AL$2,服务费底表!$AL114,报价场景=服务费底表!$AM$2,服务费底表!$AM114,报价场景=服务费底表!$AN$2,服务费底表!$AN114,报价场景=服务费底表!$AQ$2,服务费底表!$AQ114,报价场景=服务费底表!$AO$2,服务费底表!$AO114)</f>
        <v>1</v>
      </c>
      <c r="Z114" s="327"/>
      <c r="AA114" s="332">
        <f t="shared" si="121"/>
        <v>1</v>
      </c>
      <c r="AB114" s="333">
        <f t="shared" si="122"/>
        <v>400</v>
      </c>
      <c r="AC114" s="328">
        <f t="shared" si="123"/>
        <v>1</v>
      </c>
      <c r="AD114" s="334">
        <f t="shared" si="124"/>
        <v>400</v>
      </c>
      <c r="AE114" s="334">
        <f>$AB114*(1-INDEX(项目参数!$D$5:$D$14,MATCH(服务费底表!$S114,项目参数!$B$5:$B$14,0)))</f>
        <v>400</v>
      </c>
      <c r="AF114" s="334">
        <f>$AD114*INDEX(项目参数!$D$5:$D$14,MATCH(服务费底表!$S114,项目参数!$B$5:$B$14,0))</f>
        <v>0</v>
      </c>
      <c r="AG114" s="334">
        <f t="shared" si="125"/>
        <v>400</v>
      </c>
      <c r="AH114" s="328"/>
      <c r="AI114" s="328" t="s">
        <v>639</v>
      </c>
      <c r="AJ114" s="327">
        <v>1</v>
      </c>
      <c r="AK114" s="327">
        <v>1</v>
      </c>
      <c r="AL114" s="327">
        <v>1</v>
      </c>
      <c r="AM114" s="327">
        <v>1</v>
      </c>
      <c r="AN114" s="327">
        <v>1</v>
      </c>
      <c r="AO114" s="327">
        <f t="shared" si="96"/>
        <v>1</v>
      </c>
      <c r="AP114" s="327">
        <v>1</v>
      </c>
      <c r="AQ114" s="327">
        <f t="shared" si="127"/>
        <v>1.5</v>
      </c>
      <c r="AR114" s="338"/>
      <c r="AS114" s="327">
        <f t="shared" si="128"/>
        <v>1</v>
      </c>
      <c r="AT114" s="327">
        <f t="shared" si="129"/>
        <v>1</v>
      </c>
      <c r="AU114" s="523">
        <v>1</v>
      </c>
      <c r="AV114" s="328"/>
      <c r="AW114" s="328"/>
      <c r="AX114" s="332">
        <v>1</v>
      </c>
      <c r="AY114" s="328" t="b">
        <f t="shared" si="85"/>
        <v>1</v>
      </c>
      <c r="AZ114" s="328" t="b">
        <f t="shared" si="86"/>
        <v>1</v>
      </c>
    </row>
    <row r="115" ht="27" customHeight="1" spans="1:52">
      <c r="A115" s="326" t="str">
        <f>INDEX('Rate Card'!$A:$A,MATCH(服务费底表!$T115,'Rate Card'!$F:$F,0))</f>
        <v>医学</v>
      </c>
      <c r="B115" s="327" t="str">
        <f>INDEX(二三级标准!$G:$G,MATCH(服务费底表!$K115,二三级标准!B:B,0))</f>
        <v>次</v>
      </c>
      <c r="C115" s="327">
        <f>INDEX(服务费明细!$E:$E,MATCH(服务费底表!$K115,服务费明细!$B:$B,0))</f>
        <v>1</v>
      </c>
      <c r="D115" s="327" t="str">
        <f t="shared" si="117"/>
        <v>A027MM</v>
      </c>
      <c r="E115" s="327" t="str">
        <f t="shared" si="118"/>
        <v>T0066MM</v>
      </c>
      <c r="F115" s="328"/>
      <c r="G115" s="328" t="s">
        <v>684</v>
      </c>
      <c r="H115" s="326" t="str">
        <f>INDEX('Rate Card'!$B:$B,MATCH(服务费底表!$T115,'Rate Card'!$F:$F,0))</f>
        <v>医学</v>
      </c>
      <c r="I115" s="328" t="s">
        <v>919</v>
      </c>
      <c r="J115" s="328" t="str">
        <f>INDEX(二三级标准!$Q:$Q,MATCH(服务费底表!I115,二三级标准!$O:$O,0))</f>
        <v>召开研究者会议</v>
      </c>
      <c r="K115" s="328" t="s">
        <v>157</v>
      </c>
      <c r="L115" s="328" t="str">
        <f>INDEX(二三级标准!C:C,MATCH(服务费底表!K115,二三级标准!$B:$B,0))</f>
        <v>SRC/SMC章程撰写</v>
      </c>
      <c r="M115" s="328" t="s">
        <v>1242</v>
      </c>
      <c r="N115" s="328" t="str">
        <f>INDEX(二三级标准!$M:$M,MATCH(服务费底表!$M115,二三级标准!$L:$L,0))</f>
        <v>SRC/SMC章程撰写</v>
      </c>
      <c r="O115" s="328"/>
      <c r="P115" s="327">
        <f>IF(R115=1,INDEX(服务费明细!$E:$E,MATCH(服务费底表!$K115,服务费明细!$B:$B,0)),0)</f>
        <v>1</v>
      </c>
      <c r="Q115" s="328" t="s">
        <v>1178</v>
      </c>
      <c r="R115" s="520">
        <f>IF(AND(SRC_SMC章程撰写YN=1,医学监查YN=1),1,0)</f>
        <v>1</v>
      </c>
      <c r="S115" s="521" t="s">
        <v>579</v>
      </c>
      <c r="T115" s="328" t="s">
        <v>615</v>
      </c>
      <c r="U115" s="522" t="str">
        <f>INDEX('Rate Card'!$E:$E,MATCH(服务费底表!$T115,'Rate Card'!$F:$F,0))</f>
        <v>医学经理</v>
      </c>
      <c r="V115" s="331">
        <f>INDEX('Rate Card'!$J:$J,MATCH($T115,'Rate Card'!$F:$F,0))</f>
        <v>650</v>
      </c>
      <c r="W115" s="523">
        <f t="shared" si="119"/>
        <v>650</v>
      </c>
      <c r="X115" s="523">
        <f t="shared" si="120"/>
        <v>8</v>
      </c>
      <c r="Y115" s="327" cm="1">
        <f t="array" ref="Y115">_xlfn.IFS(报价场景=服务费底表!$AJ$2,服务费底表!$AJ115,报价场景=服务费底表!$AP$2,服务费底表!$AP115,报价场景=服务费底表!$AK$2,服务费底表!$AK115,报价场景=服务费底表!$AL$2,服务费底表!$AL115,报价场景=服务费底表!$AM$2,服务费底表!$AM115,报价场景=服务费底表!$AN$2,服务费底表!$AN115,报价场景=服务费底表!$AQ$2,服务费底表!$AQ115,报价场景=服务费底表!$AO$2,服务费底表!$AO115)</f>
        <v>8</v>
      </c>
      <c r="Z115" s="327"/>
      <c r="AA115" s="332">
        <f t="shared" si="121"/>
        <v>8</v>
      </c>
      <c r="AB115" s="333">
        <f t="shared" si="122"/>
        <v>5200</v>
      </c>
      <c r="AC115" s="328">
        <f t="shared" si="123"/>
        <v>8</v>
      </c>
      <c r="AD115" s="334">
        <f t="shared" si="124"/>
        <v>5200</v>
      </c>
      <c r="AE115" s="334">
        <f>$AB115*(1-INDEX(项目参数!$D$5:$D$14,MATCH(服务费底表!$S115,项目参数!$B$5:$B$14,0)))</f>
        <v>5200</v>
      </c>
      <c r="AF115" s="334">
        <f>$AD115*INDEX(项目参数!$D$5:$D$14,MATCH(服务费底表!$S115,项目参数!$B$5:$B$14,0))</f>
        <v>0</v>
      </c>
      <c r="AG115" s="334">
        <f t="shared" si="125"/>
        <v>5200</v>
      </c>
      <c r="AH115" s="328"/>
      <c r="AI115" s="328" t="s">
        <v>615</v>
      </c>
      <c r="AJ115" s="327">
        <v>8</v>
      </c>
      <c r="AK115" s="327">
        <f t="shared" ref="AK115:AK117" si="130">AJ115*1.5</f>
        <v>12</v>
      </c>
      <c r="AL115" s="327">
        <v>6</v>
      </c>
      <c r="AM115" s="327">
        <v>10</v>
      </c>
      <c r="AN115" s="327">
        <f t="shared" ref="AN115:AN117" si="131">AL115</f>
        <v>6</v>
      </c>
      <c r="AO115" s="327">
        <f t="shared" si="96"/>
        <v>6</v>
      </c>
      <c r="AP115" s="327">
        <v>8</v>
      </c>
      <c r="AQ115" s="327">
        <f t="shared" si="127"/>
        <v>12</v>
      </c>
      <c r="AR115" s="338"/>
      <c r="AS115" s="327">
        <f t="shared" si="128"/>
        <v>8</v>
      </c>
      <c r="AT115" s="327">
        <f t="shared" si="129"/>
        <v>8</v>
      </c>
      <c r="AU115" s="523">
        <v>8</v>
      </c>
      <c r="AV115" s="328"/>
      <c r="AW115" s="328"/>
      <c r="AX115" s="332">
        <v>8</v>
      </c>
      <c r="AY115" s="328" t="b">
        <f t="shared" si="85"/>
        <v>1</v>
      </c>
      <c r="AZ115" s="328" t="b">
        <f t="shared" si="86"/>
        <v>0</v>
      </c>
    </row>
    <row r="116" ht="27" customHeight="1" spans="1:52">
      <c r="A116" s="326" t="str">
        <f>INDEX('Rate Card'!$A:$A,MATCH(服务费底表!$T116,'Rate Card'!$F:$F,0))</f>
        <v>医学</v>
      </c>
      <c r="B116" s="327" t="str">
        <f>INDEX(二三级标准!$G:$G,MATCH(服务费底表!$K116,二三级标准!B:B,0))</f>
        <v>次</v>
      </c>
      <c r="C116" s="327">
        <f>INDEX(服务费明细!$E:$E,MATCH(服务费底表!$K116,服务费明细!$B:$B,0))</f>
        <v>1</v>
      </c>
      <c r="D116" s="327" t="str">
        <f t="shared" si="117"/>
        <v>A027MD</v>
      </c>
      <c r="E116" s="327" t="str">
        <f t="shared" si="118"/>
        <v>T0067MD</v>
      </c>
      <c r="F116" s="328"/>
      <c r="G116" s="328" t="s">
        <v>684</v>
      </c>
      <c r="H116" s="326" t="str">
        <f>INDEX('Rate Card'!$B:$B,MATCH(服务费底表!$T116,'Rate Card'!$F:$F,0))</f>
        <v>医学</v>
      </c>
      <c r="I116" s="328" t="s">
        <v>919</v>
      </c>
      <c r="J116" s="328" t="str">
        <f>INDEX(二三级标准!$Q:$Q,MATCH(服务费底表!I116,二三级标准!$O:$O,0))</f>
        <v>召开研究者会议</v>
      </c>
      <c r="K116" s="328" t="s">
        <v>157</v>
      </c>
      <c r="L116" s="328" t="str">
        <f>INDEX(二三级标准!C:C,MATCH(服务费底表!K116,二三级标准!$B:$B,0))</f>
        <v>SRC/SMC章程撰写</v>
      </c>
      <c r="M116" s="328" t="s">
        <v>1243</v>
      </c>
      <c r="N116" s="328" t="str">
        <f>INDEX(二三级标准!$M:$M,MATCH(服务费底表!$M116,二三级标准!$L:$L,0))</f>
        <v>SRC/SMC章程审阅</v>
      </c>
      <c r="O116" s="328"/>
      <c r="P116" s="327">
        <f>IF(R116=1,INDEX(服务费明细!$E:$E,MATCH(服务费底表!$K116,服务费明细!$B:$B,0)),0)</f>
        <v>1</v>
      </c>
      <c r="Q116" s="328" t="s">
        <v>1178</v>
      </c>
      <c r="R116" s="520">
        <f>IF(AND(SRC_SMC章程撰写YN=1,医学监查YN=1),1,0)</f>
        <v>1</v>
      </c>
      <c r="S116" s="521" t="s">
        <v>579</v>
      </c>
      <c r="T116" s="328" t="s">
        <v>613</v>
      </c>
      <c r="U116" s="522" t="str">
        <f>INDEX('Rate Card'!$E:$E,MATCH(服务费底表!$T116,'Rate Card'!$F:$F,0))</f>
        <v>医学总监</v>
      </c>
      <c r="V116" s="331">
        <f>INDEX('Rate Card'!$J:$J,MATCH($T116,'Rate Card'!$F:$F,0))</f>
        <v>990</v>
      </c>
      <c r="W116" s="523">
        <f t="shared" si="119"/>
        <v>990</v>
      </c>
      <c r="X116" s="523">
        <f t="shared" si="120"/>
        <v>2</v>
      </c>
      <c r="Y116" s="327" cm="1">
        <f t="array" ref="Y116">_xlfn.IFS(报价场景=服务费底表!$AJ$2,服务费底表!$AJ116,报价场景=服务费底表!$AP$2,服务费底表!$AP116,报价场景=服务费底表!$AK$2,服务费底表!$AK116,报价场景=服务费底表!$AL$2,服务费底表!$AL116,报价场景=服务费底表!$AM$2,服务费底表!$AM116,报价场景=服务费底表!$AN$2,服务费底表!$AN116,报价场景=服务费底表!$AQ$2,服务费底表!$AQ116,报价场景=服务费底表!$AO$2,服务费底表!$AO116)</f>
        <v>2</v>
      </c>
      <c r="Z116" s="327"/>
      <c r="AA116" s="332">
        <f t="shared" si="121"/>
        <v>2</v>
      </c>
      <c r="AB116" s="333">
        <f t="shared" si="122"/>
        <v>1980</v>
      </c>
      <c r="AC116" s="328">
        <f t="shared" si="123"/>
        <v>2</v>
      </c>
      <c r="AD116" s="334">
        <f t="shared" si="124"/>
        <v>1980</v>
      </c>
      <c r="AE116" s="334">
        <f>$AB116*(1-INDEX(项目参数!$D$5:$D$14,MATCH(服务费底表!$S116,项目参数!$B$5:$B$14,0)))</f>
        <v>1980</v>
      </c>
      <c r="AF116" s="334">
        <f>$AD116*INDEX(项目参数!$D$5:$D$14,MATCH(服务费底表!$S116,项目参数!$B$5:$B$14,0))</f>
        <v>0</v>
      </c>
      <c r="AG116" s="334">
        <f t="shared" si="125"/>
        <v>1980</v>
      </c>
      <c r="AH116" s="328"/>
      <c r="AI116" s="328" t="s">
        <v>613</v>
      </c>
      <c r="AJ116" s="327">
        <v>2</v>
      </c>
      <c r="AK116" s="327">
        <f t="shared" si="130"/>
        <v>3</v>
      </c>
      <c r="AL116" s="327">
        <v>1.5</v>
      </c>
      <c r="AM116" s="327">
        <v>3</v>
      </c>
      <c r="AN116" s="327">
        <f t="shared" si="131"/>
        <v>1.5</v>
      </c>
      <c r="AO116" s="327">
        <f t="shared" si="96"/>
        <v>1.5</v>
      </c>
      <c r="AP116" s="327">
        <v>2</v>
      </c>
      <c r="AQ116" s="327">
        <f t="shared" si="127"/>
        <v>3</v>
      </c>
      <c r="AR116" s="338"/>
      <c r="AS116" s="327">
        <f t="shared" si="128"/>
        <v>2</v>
      </c>
      <c r="AT116" s="327">
        <f t="shared" si="129"/>
        <v>2</v>
      </c>
      <c r="AU116" s="523">
        <v>2</v>
      </c>
      <c r="AV116" s="328"/>
      <c r="AW116" s="328"/>
      <c r="AX116" s="332">
        <v>2</v>
      </c>
      <c r="AY116" s="328" t="b">
        <f t="shared" si="85"/>
        <v>1</v>
      </c>
      <c r="AZ116" s="328" t="b">
        <f t="shared" si="86"/>
        <v>0</v>
      </c>
    </row>
    <row r="117" ht="27" customHeight="1" spans="1:52">
      <c r="A117" s="326" t="str">
        <f>INDEX('Rate Card'!$A:$A,MATCH(服务费底表!$T117,'Rate Card'!$F:$F,0))</f>
        <v>医学</v>
      </c>
      <c r="B117" s="327" t="str">
        <f>INDEX(二三级标准!$G:$G,MATCH(服务费底表!$K117,二三级标准!B:B,0))</f>
        <v>次</v>
      </c>
      <c r="C117" s="327">
        <f>INDEX(服务费明细!$E:$E,MATCH(服务费底表!$K117,服务费明细!$B:$B,0))</f>
        <v>6</v>
      </c>
      <c r="D117" s="327" t="str">
        <f t="shared" si="117"/>
        <v>A028MM</v>
      </c>
      <c r="E117" s="327" t="str">
        <f t="shared" si="118"/>
        <v>T0068MM</v>
      </c>
      <c r="F117" s="328"/>
      <c r="G117" s="328" t="s">
        <v>684</v>
      </c>
      <c r="H117" s="326" t="str">
        <f>INDEX('Rate Card'!$B:$B,MATCH(服务费底表!$T117,'Rate Card'!$F:$F,0))</f>
        <v>医学</v>
      </c>
      <c r="I117" s="328" t="s">
        <v>919</v>
      </c>
      <c r="J117" s="328" t="str">
        <f>INDEX(二三级标准!$Q:$Q,MATCH(服务费底表!I117,二三级标准!$O:$O,0))</f>
        <v>召开研究者会议</v>
      </c>
      <c r="K117" s="328" t="s">
        <v>159</v>
      </c>
      <c r="L117" s="328" t="str">
        <f>INDEX(二三级标准!C:C,MATCH(服务费底表!K117,二三级标准!$B:$B,0))</f>
        <v>召开SRC/SMC会</v>
      </c>
      <c r="M117" s="328" t="s">
        <v>1244</v>
      </c>
      <c r="N117" s="328" t="str">
        <f>INDEX(二三级标准!$M:$M,MATCH(服务费底表!$M117,二三级标准!$L:$L,0))</f>
        <v>准备SRC/SMC会</v>
      </c>
      <c r="O117" s="328"/>
      <c r="P117" s="327">
        <f>IF(R117=1,INDEX(服务费明细!$E:$E,MATCH(服务费底表!$K117,服务费明细!$B:$B,0)),0)</f>
        <v>6</v>
      </c>
      <c r="Q117" s="328" t="s">
        <v>1178</v>
      </c>
      <c r="R117" s="520">
        <f>IF(AND(召开SRC_SMC会YN=1,医学监查YN=1),1,0)</f>
        <v>1</v>
      </c>
      <c r="S117" s="521" t="str">
        <f>IF(AND(H117="医学",OR(I117=二三级标准!$A$4,I117=二三级标准!$A$153)),"医学撰写","医学监查")</f>
        <v>医学监查</v>
      </c>
      <c r="T117" s="328" t="s">
        <v>615</v>
      </c>
      <c r="U117" s="522" t="str">
        <f>INDEX('Rate Card'!$E:$E,MATCH(服务费底表!$T117,'Rate Card'!$F:$F,0))</f>
        <v>医学经理</v>
      </c>
      <c r="V117" s="331">
        <f>INDEX('Rate Card'!$J:$J,MATCH($T117,'Rate Card'!$F:$F,0))</f>
        <v>650</v>
      </c>
      <c r="W117" s="523">
        <f t="shared" si="119"/>
        <v>650</v>
      </c>
      <c r="X117" s="523">
        <f t="shared" si="120"/>
        <v>6</v>
      </c>
      <c r="Y117" s="327" cm="1">
        <f t="array" ref="Y117">_xlfn.IFS(报价场景=服务费底表!$AJ$2,服务费底表!$AJ117,报价场景=服务费底表!$AP$2,服务费底表!$AP117,报价场景=服务费底表!$AK$2,服务费底表!$AK117,报价场景=服务费底表!$AL$2,服务费底表!$AL117,报价场景=服务费底表!$AM$2,服务费底表!$AM117,报价场景=服务费底表!$AN$2,服务费底表!$AN117,报价场景=服务费底表!$AQ$2,服务费底表!$AQ117,报价场景=服务费底表!$AO$2,服务费底表!$AO117)</f>
        <v>6</v>
      </c>
      <c r="Z117" s="327"/>
      <c r="AA117" s="332">
        <f t="shared" si="121"/>
        <v>6</v>
      </c>
      <c r="AB117" s="333">
        <f t="shared" si="122"/>
        <v>3900</v>
      </c>
      <c r="AC117" s="328">
        <f t="shared" si="123"/>
        <v>36</v>
      </c>
      <c r="AD117" s="334">
        <f t="shared" si="124"/>
        <v>23400</v>
      </c>
      <c r="AE117" s="334">
        <f>$AB117*(1-INDEX(项目参数!$D$5:$D$14,MATCH(服务费底表!$S117,项目参数!$B$5:$B$14,0)))</f>
        <v>3900</v>
      </c>
      <c r="AF117" s="334">
        <f>$AD117*INDEX(项目参数!$D$5:$D$14,MATCH(服务费底表!$S117,项目参数!$B$5:$B$14,0))</f>
        <v>0</v>
      </c>
      <c r="AG117" s="334">
        <f t="shared" si="125"/>
        <v>23400</v>
      </c>
      <c r="AH117" s="328"/>
      <c r="AI117" s="328" t="s">
        <v>615</v>
      </c>
      <c r="AJ117" s="327">
        <v>6</v>
      </c>
      <c r="AK117" s="327">
        <f t="shared" si="130"/>
        <v>9</v>
      </c>
      <c r="AL117" s="336">
        <f t="shared" ref="AL115:AL117" si="132">AM117</f>
        <v>4</v>
      </c>
      <c r="AM117" s="327">
        <v>4</v>
      </c>
      <c r="AN117" s="327">
        <f t="shared" si="131"/>
        <v>4</v>
      </c>
      <c r="AO117" s="327">
        <f t="shared" si="96"/>
        <v>4</v>
      </c>
      <c r="AP117" s="327">
        <v>6</v>
      </c>
      <c r="AQ117" s="327">
        <f t="shared" si="127"/>
        <v>9</v>
      </c>
      <c r="AR117" s="338"/>
      <c r="AS117" s="327">
        <f t="shared" si="128"/>
        <v>36</v>
      </c>
      <c r="AT117" s="327">
        <f t="shared" si="129"/>
        <v>36</v>
      </c>
      <c r="AU117" s="523">
        <v>6</v>
      </c>
      <c r="AV117" s="328"/>
      <c r="AW117" s="328"/>
      <c r="AX117" s="332">
        <v>6</v>
      </c>
      <c r="AY117" s="328" t="b">
        <f t="shared" si="85"/>
        <v>1</v>
      </c>
      <c r="AZ117" s="328" t="b">
        <f t="shared" si="86"/>
        <v>1</v>
      </c>
    </row>
    <row r="118" ht="27" customHeight="1" spans="1:52">
      <c r="A118" s="326" t="str">
        <f>INDEX('Rate Card'!$A:$A,MATCH(服务费底表!$T118,'Rate Card'!$F:$F,0))</f>
        <v>临床药理</v>
      </c>
      <c r="B118" s="327" t="str">
        <f>INDEX(二三级标准!$G:$G,MATCH(服务费底表!$K118,二三级标准!B:B,0))</f>
        <v>次</v>
      </c>
      <c r="C118" s="327">
        <f>INDEX(服务费明细!$E:$E,MATCH(服务费底表!$K118,服务费明细!$B:$B,0))</f>
        <v>6</v>
      </c>
      <c r="D118" s="327" t="str">
        <f t="shared" si="117"/>
        <v>A028CPSS</v>
      </c>
      <c r="E118" s="327" t="str">
        <f t="shared" si="118"/>
        <v>T0068CPSS</v>
      </c>
      <c r="F118" s="328"/>
      <c r="G118" s="328" t="s">
        <v>684</v>
      </c>
      <c r="H118" s="326" t="str">
        <f>INDEX('Rate Card'!$B:$B,MATCH(服务费底表!$T118,'Rate Card'!$F:$F,0))</f>
        <v>临床药理</v>
      </c>
      <c r="I118" s="328" t="s">
        <v>919</v>
      </c>
      <c r="J118" s="328" t="str">
        <f>INDEX(二三级标准!$Q:$Q,MATCH(服务费底表!I118,二三级标准!$O:$O,0))</f>
        <v>召开研究者会议</v>
      </c>
      <c r="K118" s="328" t="s">
        <v>159</v>
      </c>
      <c r="L118" s="328" t="str">
        <f>INDEX(二三级标准!C:C,MATCH(服务费底表!K118,二三级标准!$B:$B,0))</f>
        <v>召开SRC/SMC会</v>
      </c>
      <c r="M118" s="328" t="s">
        <v>1244</v>
      </c>
      <c r="N118" s="328" t="str">
        <f>INDEX(二三级标准!$M:$M,MATCH(服务费底表!$M118,二三级标准!$L:$L,0))</f>
        <v>准备SRC/SMC会</v>
      </c>
      <c r="O118" s="328"/>
      <c r="P118" s="327">
        <f>IF(R118=1,INDEX(服务费明细!$E:$E,MATCH(服务费底表!$K118,服务费明细!$B:$B,0)),0)</f>
        <v>6</v>
      </c>
      <c r="Q118" s="328" t="s">
        <v>1178</v>
      </c>
      <c r="R118" s="520">
        <f>IF(AND(召开SRC_SMC会YN=1,临床药理YN=1),1,0)</f>
        <v>1</v>
      </c>
      <c r="S118" s="330" t="s">
        <v>568</v>
      </c>
      <c r="T118" s="328" t="s">
        <v>654</v>
      </c>
      <c r="U118" s="522" t="str">
        <f>INDEX('Rate Card'!$E:$E,MATCH(服务费底表!$T118,'Rate Card'!$F:$F,0))</f>
        <v>临床药理高级专员</v>
      </c>
      <c r="V118" s="331">
        <f>INDEX('Rate Card'!$J:$J,MATCH($T118,'Rate Card'!$F:$F,0))</f>
        <v>700</v>
      </c>
      <c r="W118" s="523">
        <f t="shared" si="119"/>
        <v>700</v>
      </c>
      <c r="X118" s="523">
        <f t="shared" si="120"/>
        <v>2</v>
      </c>
      <c r="Y118" s="327" cm="1">
        <f t="array" ref="Y118">_xlfn.IFS(报价场景=服务费底表!$AJ$2,服务费底表!$AJ118,报价场景=服务费底表!$AP$2,服务费底表!$AP118,报价场景=服务费底表!$AK$2,服务费底表!$AK118,报价场景=服务费底表!$AL$2,服务费底表!$AL118,报价场景=服务费底表!$AM$2,服务费底表!$AM118,报价场景=服务费底表!$AN$2,服务费底表!$AN118,报价场景=服务费底表!$AQ$2,服务费底表!$AQ118,报价场景=服务费底表!$AO$2,服务费底表!$AO118)</f>
        <v>2</v>
      </c>
      <c r="Z118" s="327"/>
      <c r="AA118" s="332">
        <f t="shared" si="121"/>
        <v>2</v>
      </c>
      <c r="AB118" s="333">
        <f t="shared" si="122"/>
        <v>1400</v>
      </c>
      <c r="AC118" s="328">
        <f t="shared" si="123"/>
        <v>12</v>
      </c>
      <c r="AD118" s="334">
        <f t="shared" si="124"/>
        <v>8400</v>
      </c>
      <c r="AE118" s="334">
        <f>$AB118*(1-INDEX(项目参数!$D$5:$D$14,MATCH(服务费底表!$S118,项目参数!$B$5:$B$14,0)))</f>
        <v>1400</v>
      </c>
      <c r="AF118" s="334">
        <f>$AD118*INDEX(项目参数!$D$5:$D$14,MATCH(服务费底表!$S118,项目参数!$B$5:$B$14,0))</f>
        <v>0</v>
      </c>
      <c r="AG118" s="334">
        <f t="shared" si="125"/>
        <v>8400</v>
      </c>
      <c r="AH118" s="328"/>
      <c r="AI118" s="328" t="s">
        <v>654</v>
      </c>
      <c r="AJ118" s="327">
        <v>2</v>
      </c>
      <c r="AK118" s="327">
        <v>2</v>
      </c>
      <c r="AL118" s="327">
        <v>2</v>
      </c>
      <c r="AM118" s="327">
        <v>2</v>
      </c>
      <c r="AN118" s="327">
        <v>2</v>
      </c>
      <c r="AO118" s="327">
        <f t="shared" si="96"/>
        <v>2</v>
      </c>
      <c r="AP118" s="327">
        <v>2</v>
      </c>
      <c r="AQ118" s="327">
        <f t="shared" si="127"/>
        <v>3</v>
      </c>
      <c r="AR118" s="338"/>
      <c r="AS118" s="327">
        <f t="shared" si="128"/>
        <v>12</v>
      </c>
      <c r="AT118" s="327">
        <f t="shared" si="129"/>
        <v>12</v>
      </c>
      <c r="AU118" s="523">
        <v>2</v>
      </c>
      <c r="AV118" s="328"/>
      <c r="AW118" s="328"/>
      <c r="AX118" s="332">
        <v>2</v>
      </c>
      <c r="AY118" s="328" t="b">
        <f t="shared" si="85"/>
        <v>1</v>
      </c>
      <c r="AZ118" s="328" t="b">
        <f t="shared" si="86"/>
        <v>1</v>
      </c>
    </row>
    <row r="119" ht="27" customHeight="1" spans="1:52">
      <c r="A119" s="326" t="str">
        <f>INDEX('Rate Card'!$A:$A,MATCH(服务费底表!$T119,'Rate Card'!$F:$F,0))</f>
        <v>数统</v>
      </c>
      <c r="B119" s="327" t="str">
        <f>INDEX(二三级标准!$G:$G,MATCH(服务费底表!$K119,二三级标准!B:B,0))</f>
        <v>次</v>
      </c>
      <c r="C119" s="327">
        <f>INDEX(服务费明细!$E:$E,MATCH(服务费底表!$K119,服务费明细!$B:$B,0))</f>
        <v>6</v>
      </c>
      <c r="D119" s="327" t="str">
        <f t="shared" si="117"/>
        <v>A028DM</v>
      </c>
      <c r="E119" s="327" t="str">
        <f t="shared" si="118"/>
        <v>T0069DM</v>
      </c>
      <c r="F119" s="328"/>
      <c r="G119" s="328" t="s">
        <v>684</v>
      </c>
      <c r="H119" s="326" t="str">
        <f>INDEX('Rate Card'!$B:$B,MATCH(服务费底表!$T119,'Rate Card'!$F:$F,0))</f>
        <v>数据管理</v>
      </c>
      <c r="I119" s="328" t="s">
        <v>919</v>
      </c>
      <c r="J119" s="328" t="str">
        <f>INDEX(二三级标准!$Q:$Q,MATCH(服务费底表!I119,二三级标准!$O:$O,0))</f>
        <v>召开研究者会议</v>
      </c>
      <c r="K119" s="328" t="s">
        <v>159</v>
      </c>
      <c r="L119" s="328" t="str">
        <f>INDEX(二三级标准!C:C,MATCH(服务费底表!K119,二三级标准!$B:$B,0))</f>
        <v>召开SRC/SMC会</v>
      </c>
      <c r="M119" s="328" t="s">
        <v>1245</v>
      </c>
      <c r="N119" s="328" t="str">
        <f>INDEX(二三级标准!$M:$M,MATCH(服务费底表!$M119,二三级标准!$L:$L,0))</f>
        <v>SRC/SMC数据清理和导出</v>
      </c>
      <c r="O119" s="328"/>
      <c r="P119" s="327">
        <f>IF(R119=1,INDEX(服务费明细!$E:$E,MATCH(服务费底表!$K119,服务费明细!$B:$B,0)),0)</f>
        <v>6</v>
      </c>
      <c r="Q119" s="328" t="s">
        <v>1178</v>
      </c>
      <c r="R119" s="520">
        <f>IF(AND(召开SRC_SMC会YN=1,数据管理YN=1),1,0)</f>
        <v>1</v>
      </c>
      <c r="S119" s="524" t="str">
        <f>INDEX('Rate Card'!$D:$D,MATCH(服务费底表!$T119,'Rate Card'!F:F,0))</f>
        <v>数据管理</v>
      </c>
      <c r="T119" s="328" t="s">
        <v>631</v>
      </c>
      <c r="U119" s="522" t="str">
        <f>INDEX('Rate Card'!$E:$E,MATCH(服务费底表!$T119,'Rate Card'!$F:$F,0))</f>
        <v>数据管理专员</v>
      </c>
      <c r="V119" s="331">
        <f>INDEX('Rate Card'!$J:$J,MATCH($T119,'Rate Card'!$F:$F,0))</f>
        <v>200</v>
      </c>
      <c r="W119" s="523">
        <f t="shared" si="119"/>
        <v>200</v>
      </c>
      <c r="X119" s="523">
        <f t="shared" si="120"/>
        <v>2</v>
      </c>
      <c r="Y119" s="327" cm="1">
        <f t="array" ref="Y119">_xlfn.IFS(报价场景=服务费底表!$AJ$2,服务费底表!$AJ119,报价场景=服务费底表!$AP$2,服务费底表!$AP119,报价场景=服务费底表!$AK$2,服务费底表!$AK119,报价场景=服务费底表!$AL$2,服务费底表!$AL119,报价场景=服务费底表!$AM$2,服务费底表!$AM119,报价场景=服务费底表!$AN$2,服务费底表!$AN119,报价场景=服务费底表!$AQ$2,服务费底表!$AQ119,报价场景=服务费底表!$AO$2,服务费底表!$AO119)</f>
        <v>2</v>
      </c>
      <c r="Z119" s="327"/>
      <c r="AA119" s="332">
        <f t="shared" si="121"/>
        <v>2</v>
      </c>
      <c r="AB119" s="333">
        <f t="shared" si="122"/>
        <v>400</v>
      </c>
      <c r="AC119" s="328">
        <f t="shared" si="123"/>
        <v>12</v>
      </c>
      <c r="AD119" s="334">
        <f t="shared" si="124"/>
        <v>2400</v>
      </c>
      <c r="AE119" s="334">
        <f>$AB119*(1-INDEX(项目参数!$D$5:$D$14,MATCH(服务费底表!$S119,项目参数!$B$5:$B$14,0)))</f>
        <v>400</v>
      </c>
      <c r="AF119" s="334">
        <f>$AD119*INDEX(项目参数!$D$5:$D$14,MATCH(服务费底表!$S119,项目参数!$B$5:$B$14,0))</f>
        <v>0</v>
      </c>
      <c r="AG119" s="334">
        <f t="shared" si="125"/>
        <v>2400</v>
      </c>
      <c r="AH119" s="328"/>
      <c r="AI119" s="328" t="s">
        <v>631</v>
      </c>
      <c r="AJ119" s="327">
        <v>2</v>
      </c>
      <c r="AK119" s="327">
        <v>2</v>
      </c>
      <c r="AL119" s="327">
        <v>2</v>
      </c>
      <c r="AM119" s="327">
        <v>2</v>
      </c>
      <c r="AN119" s="327">
        <v>2</v>
      </c>
      <c r="AO119" s="327">
        <f t="shared" si="96"/>
        <v>2</v>
      </c>
      <c r="AP119" s="327">
        <v>2</v>
      </c>
      <c r="AQ119" s="327">
        <f t="shared" si="127"/>
        <v>3</v>
      </c>
      <c r="AR119" s="338"/>
      <c r="AS119" s="327">
        <f t="shared" si="128"/>
        <v>12</v>
      </c>
      <c r="AT119" s="327">
        <f t="shared" si="129"/>
        <v>12</v>
      </c>
      <c r="AU119" s="523">
        <v>2</v>
      </c>
      <c r="AV119" s="328"/>
      <c r="AW119" s="328"/>
      <c r="AX119" s="332">
        <v>2</v>
      </c>
      <c r="AY119" s="328" t="b">
        <f t="shared" si="85"/>
        <v>1</v>
      </c>
      <c r="AZ119" s="328" t="b">
        <f t="shared" si="86"/>
        <v>1</v>
      </c>
    </row>
    <row r="120" ht="27" customHeight="1" spans="1:52">
      <c r="A120" s="326" t="str">
        <f>INDEX('Rate Card'!$A:$A,MATCH(服务费底表!$T120,'Rate Card'!$F:$F,0))</f>
        <v>数统</v>
      </c>
      <c r="B120" s="327" t="str">
        <f>INDEX(二三级标准!$G:$G,MATCH(服务费底表!$K120,二三级标准!B:B,0))</f>
        <v>次</v>
      </c>
      <c r="C120" s="327">
        <f>INDEX(服务费明细!$E:$E,MATCH(服务费底表!$K120,服务费明细!$B:$B,0))</f>
        <v>6</v>
      </c>
      <c r="D120" s="327" t="str">
        <f t="shared" si="117"/>
        <v>A028SAM</v>
      </c>
      <c r="E120" s="327" t="str">
        <f t="shared" si="118"/>
        <v>T0072SAM</v>
      </c>
      <c r="F120" s="328"/>
      <c r="G120" s="328" t="s">
        <v>684</v>
      </c>
      <c r="H120" s="326" t="str">
        <f>INDEX('Rate Card'!$B:$B,MATCH(服务费底表!$T120,'Rate Card'!$F:$F,0))</f>
        <v>生物统计及分析</v>
      </c>
      <c r="I120" s="328" t="s">
        <v>919</v>
      </c>
      <c r="J120" s="328" t="str">
        <f>INDEX(二三级标准!$Q:$Q,MATCH(服务费底表!I120,二三级标准!$O:$O,0))</f>
        <v>召开研究者会议</v>
      </c>
      <c r="K120" s="328" t="s">
        <v>159</v>
      </c>
      <c r="L120" s="328" t="str">
        <f>INDEX(二三级标准!C:C,MATCH(服务费底表!K120,二三级标准!$B:$B,0))</f>
        <v>召开SRC/SMC会</v>
      </c>
      <c r="M120" s="328" t="s">
        <v>1246</v>
      </c>
      <c r="N120" s="328" t="str">
        <f>INDEX(二三级标准!$M:$M,MATCH(服务费底表!$M120,二三级标准!$L:$L,0))</f>
        <v>运行SRC/SMC统计TFLs</v>
      </c>
      <c r="O120" s="328"/>
      <c r="P120" s="327">
        <f>IF(R120=1,INDEX(服务费明细!$E:$E,MATCH(服务费底表!$K120,服务费明细!$B:$B,0)),0)</f>
        <v>0</v>
      </c>
      <c r="Q120" s="328" t="s">
        <v>1178</v>
      </c>
      <c r="R120" s="520">
        <v>0</v>
      </c>
      <c r="S120" s="524" t="str">
        <f>INDEX('Rate Card'!$D:$D,MATCH(服务费底表!$T120,'Rate Card'!F:F,0))</f>
        <v>统计分析</v>
      </c>
      <c r="T120" s="328" t="s">
        <v>638</v>
      </c>
      <c r="U120" s="522" t="str">
        <f>INDEX('Rate Card'!$E:$E,MATCH(服务费底表!$T120,'Rate Card'!$F:$F,0))</f>
        <v>统计分析经理</v>
      </c>
      <c r="V120" s="331">
        <f>INDEX('Rate Card'!$J:$J,MATCH($T120,'Rate Card'!$F:$F,0))</f>
        <v>450</v>
      </c>
      <c r="W120" s="523">
        <f t="shared" si="119"/>
        <v>450</v>
      </c>
      <c r="X120" s="523">
        <f t="shared" si="120"/>
        <v>12</v>
      </c>
      <c r="Y120" s="327" cm="1">
        <f t="array" ref="Y120">_xlfn.IFS(报价场景=服务费底表!$AJ$2,服务费底表!$AJ120,报价场景=服务费底表!$AP$2,服务费底表!$AP120,报价场景=服务费底表!$AK$2,服务费底表!$AK120,报价场景=服务费底表!$AL$2,服务费底表!$AL120,报价场景=服务费底表!$AM$2,服务费底表!$AM120,报价场景=服务费底表!$AN$2,服务费底表!$AN120,报价场景=服务费底表!$AQ$2,服务费底表!$AQ120,报价场景=服务费底表!$AO$2,服务费底表!$AO120)</f>
        <v>12</v>
      </c>
      <c r="Z120" s="327"/>
      <c r="AA120" s="332">
        <f t="shared" si="121"/>
        <v>12</v>
      </c>
      <c r="AB120" s="333">
        <f t="shared" si="122"/>
        <v>0</v>
      </c>
      <c r="AC120" s="328">
        <f t="shared" si="123"/>
        <v>0</v>
      </c>
      <c r="AD120" s="334">
        <f t="shared" si="124"/>
        <v>0</v>
      </c>
      <c r="AE120" s="334">
        <f>$AB120*(1-INDEX(项目参数!$D$5:$D$14,MATCH(服务费底表!$S120,项目参数!$B$5:$B$14,0)))</f>
        <v>0</v>
      </c>
      <c r="AF120" s="334">
        <f>$AD120*INDEX(项目参数!$D$5:$D$14,MATCH(服务费底表!$S120,项目参数!$B$5:$B$14,0))</f>
        <v>0</v>
      </c>
      <c r="AG120" s="334">
        <f t="shared" si="125"/>
        <v>0</v>
      </c>
      <c r="AH120" s="328"/>
      <c r="AI120" s="328" t="s">
        <v>638</v>
      </c>
      <c r="AJ120" s="327">
        <v>12</v>
      </c>
      <c r="AK120" s="327">
        <v>12</v>
      </c>
      <c r="AL120" s="327">
        <v>8</v>
      </c>
      <c r="AM120" s="327">
        <v>12</v>
      </c>
      <c r="AN120" s="327">
        <v>8</v>
      </c>
      <c r="AO120" s="327">
        <f t="shared" si="96"/>
        <v>8</v>
      </c>
      <c r="AP120" s="327">
        <v>12</v>
      </c>
      <c r="AQ120" s="327">
        <f t="shared" si="127"/>
        <v>18</v>
      </c>
      <c r="AR120" s="338"/>
      <c r="AS120" s="327">
        <f t="shared" si="128"/>
        <v>0</v>
      </c>
      <c r="AT120" s="327">
        <f t="shared" si="129"/>
        <v>0</v>
      </c>
      <c r="AU120" s="523">
        <v>12</v>
      </c>
      <c r="AV120" s="328"/>
      <c r="AW120" s="328"/>
      <c r="AX120" s="332">
        <v>12</v>
      </c>
      <c r="AY120" s="328" t="b">
        <f t="shared" si="85"/>
        <v>1</v>
      </c>
      <c r="AZ120" s="328" t="b">
        <f t="shared" si="86"/>
        <v>1</v>
      </c>
    </row>
    <row r="121" ht="27" customHeight="1" spans="1:52">
      <c r="A121" s="326" t="str">
        <f>INDEX('Rate Card'!$A:$A,MATCH(服务费底表!$T121,'Rate Card'!$F:$F,0))</f>
        <v>医学</v>
      </c>
      <c r="B121" s="327" t="str">
        <f>INDEX(二三级标准!$G:$G,MATCH(服务费底表!$K121,二三级标准!B:B,0))</f>
        <v>次</v>
      </c>
      <c r="C121" s="327">
        <f>INDEX(服务费明细!$E:$E,MATCH(服务费底表!$K121,服务费明细!$B:$B,0))</f>
        <v>6</v>
      </c>
      <c r="D121" s="327" t="str">
        <f t="shared" si="117"/>
        <v>A028MM</v>
      </c>
      <c r="E121" s="327" t="str">
        <f t="shared" si="118"/>
        <v>T0074MM</v>
      </c>
      <c r="F121" s="328"/>
      <c r="G121" s="328" t="s">
        <v>684</v>
      </c>
      <c r="H121" s="326" t="str">
        <f>INDEX('Rate Card'!$B:$B,MATCH(服务费底表!$T121,'Rate Card'!$F:$F,0))</f>
        <v>医学</v>
      </c>
      <c r="I121" s="328" t="s">
        <v>919</v>
      </c>
      <c r="J121" s="328" t="str">
        <f>INDEX(二三级标准!$Q:$Q,MATCH(服务费底表!I121,二三级标准!$O:$O,0))</f>
        <v>召开研究者会议</v>
      </c>
      <c r="K121" s="328" t="s">
        <v>159</v>
      </c>
      <c r="L121" s="328" t="str">
        <f>INDEX(二三级标准!C:C,MATCH(服务费底表!K121,二三级标准!$B:$B,0))</f>
        <v>召开SRC/SMC会</v>
      </c>
      <c r="M121" s="328" t="s">
        <v>1247</v>
      </c>
      <c r="N121" s="328" t="str">
        <f>INDEX(二三级标准!$M:$M,MATCH(服务费底表!$M121,二三级标准!$L:$L,0))</f>
        <v>参加SRC/SMC会</v>
      </c>
      <c r="O121" s="328"/>
      <c r="P121" s="327">
        <f>IF(R121=1,INDEX(服务费明细!$E:$E,MATCH(服务费底表!$K121,服务费明细!$B:$B,0)),0)</f>
        <v>6</v>
      </c>
      <c r="Q121" s="328" t="s">
        <v>1178</v>
      </c>
      <c r="R121" s="520">
        <f>IF(AND(召开SRC_SMC会YN=1,医学监查YN=1),1,0)</f>
        <v>1</v>
      </c>
      <c r="S121" s="521" t="str">
        <f>IF(AND(H121="医学",OR(I121=二三级标准!$A$4,I121=二三级标准!$A$153)),"医学撰写","医学监查")</f>
        <v>医学监查</v>
      </c>
      <c r="T121" s="328" t="s">
        <v>615</v>
      </c>
      <c r="U121" s="522" t="str">
        <f>INDEX('Rate Card'!$E:$E,MATCH(服务费底表!$T121,'Rate Card'!$F:$F,0))</f>
        <v>医学经理</v>
      </c>
      <c r="V121" s="331">
        <f>INDEX('Rate Card'!$J:$J,MATCH($T121,'Rate Card'!$F:$F,0))</f>
        <v>650</v>
      </c>
      <c r="W121" s="523">
        <f t="shared" si="119"/>
        <v>650</v>
      </c>
      <c r="X121" s="523">
        <f t="shared" si="120"/>
        <v>1</v>
      </c>
      <c r="Y121" s="327" cm="1">
        <f t="array" ref="Y121">_xlfn.IFS(报价场景=服务费底表!$AJ$2,服务费底表!$AJ121,报价场景=服务费底表!$AP$2,服务费底表!$AP121,报价场景=服务费底表!$AK$2,服务费底表!$AK121,报价场景=服务费底表!$AL$2,服务费底表!$AL121,报价场景=服务费底表!$AM$2,服务费底表!$AM121,报价场景=服务费底表!$AN$2,服务费底表!$AN121,报价场景=服务费底表!$AQ$2,服务费底表!$AQ121,报价场景=服务费底表!$AO$2,服务费底表!$AO121)</f>
        <v>1</v>
      </c>
      <c r="Z121" s="327"/>
      <c r="AA121" s="332">
        <f t="shared" si="121"/>
        <v>1</v>
      </c>
      <c r="AB121" s="333">
        <f t="shared" si="122"/>
        <v>650</v>
      </c>
      <c r="AC121" s="328">
        <f t="shared" si="123"/>
        <v>6</v>
      </c>
      <c r="AD121" s="334">
        <f t="shared" si="124"/>
        <v>3900</v>
      </c>
      <c r="AE121" s="334">
        <f>$AB121*(1-INDEX(项目参数!$D$5:$D$14,MATCH(服务费底表!$S121,项目参数!$B$5:$B$14,0)))</f>
        <v>650</v>
      </c>
      <c r="AF121" s="334">
        <f>$AD121*INDEX(项目参数!$D$5:$D$14,MATCH(服务费底表!$S121,项目参数!$B$5:$B$14,0))</f>
        <v>0</v>
      </c>
      <c r="AG121" s="334">
        <f t="shared" si="125"/>
        <v>3900</v>
      </c>
      <c r="AH121" s="328"/>
      <c r="AI121" s="328" t="s">
        <v>615</v>
      </c>
      <c r="AJ121" s="327">
        <v>1</v>
      </c>
      <c r="AK121" s="327">
        <v>1</v>
      </c>
      <c r="AL121" s="336">
        <v>1</v>
      </c>
      <c r="AM121" s="327">
        <v>1</v>
      </c>
      <c r="AN121" s="327">
        <f>AJ121</f>
        <v>1</v>
      </c>
      <c r="AO121" s="327">
        <f t="shared" si="96"/>
        <v>1</v>
      </c>
      <c r="AP121" s="327">
        <v>1</v>
      </c>
      <c r="AQ121" s="327">
        <f t="shared" si="127"/>
        <v>1.5</v>
      </c>
      <c r="AR121" s="338"/>
      <c r="AS121" s="327">
        <f t="shared" si="128"/>
        <v>6</v>
      </c>
      <c r="AT121" s="327">
        <f t="shared" si="129"/>
        <v>6</v>
      </c>
      <c r="AU121" s="523">
        <v>1</v>
      </c>
      <c r="AV121" s="328"/>
      <c r="AW121" s="328"/>
      <c r="AX121" s="332">
        <v>1</v>
      </c>
      <c r="AY121" s="328" t="b">
        <f t="shared" si="85"/>
        <v>1</v>
      </c>
      <c r="AZ121" s="328" t="b">
        <f t="shared" si="86"/>
        <v>1</v>
      </c>
    </row>
    <row r="122" ht="27" customHeight="1" spans="1:52">
      <c r="A122" s="326" t="str">
        <f>INDEX('Rate Card'!$A:$A,MATCH(服务费底表!$T122,'Rate Card'!$F:$F,0))</f>
        <v>临床运营</v>
      </c>
      <c r="B122" s="327" t="str">
        <f>INDEX(二三级标准!$G:$G,MATCH(服务费底表!$K122,二三级标准!B:B,0))</f>
        <v>次</v>
      </c>
      <c r="C122" s="327">
        <f>INDEX(服务费明细!$E:$E,MATCH(服务费底表!$K122,服务费明细!$B:$B,0))</f>
        <v>6</v>
      </c>
      <c r="D122" s="327" t="str">
        <f t="shared" si="117"/>
        <v>A028PM</v>
      </c>
      <c r="E122" s="327" t="str">
        <f t="shared" si="118"/>
        <v>T0074PM</v>
      </c>
      <c r="F122" s="328"/>
      <c r="G122" s="328" t="s">
        <v>684</v>
      </c>
      <c r="H122" s="326" t="str">
        <f>INDEX('Rate Card'!$B:$B,MATCH(服务费底表!$T122,'Rate Card'!$F:$F,0))</f>
        <v>临床运营</v>
      </c>
      <c r="I122" s="328" t="s">
        <v>919</v>
      </c>
      <c r="J122" s="328" t="str">
        <f>INDEX(二三级标准!$Q:$Q,MATCH(服务费底表!I122,二三级标准!$O:$O,0))</f>
        <v>召开研究者会议</v>
      </c>
      <c r="K122" s="328" t="s">
        <v>159</v>
      </c>
      <c r="L122" s="328" t="str">
        <f>INDEX(二三级标准!C:C,MATCH(服务费底表!K122,二三级标准!$B:$B,0))</f>
        <v>召开SRC/SMC会</v>
      </c>
      <c r="M122" s="328" t="s">
        <v>1247</v>
      </c>
      <c r="N122" s="328" t="str">
        <f>INDEX(二三级标准!$M:$M,MATCH(服务费底表!$M122,二三级标准!$L:$L,0))</f>
        <v>参加SRC/SMC会</v>
      </c>
      <c r="O122" s="328"/>
      <c r="P122" s="327">
        <f>IF(R122=1,INDEX(服务费明细!$E:$E,MATCH(服务费底表!$K122,服务费明细!$B:$B,0)),0)</f>
        <v>6</v>
      </c>
      <c r="Q122" s="328" t="s">
        <v>1178</v>
      </c>
      <c r="R122" s="520">
        <f>IF(AND(召开SRC_SMC会YN=1,项目管理YN=1),1,0)</f>
        <v>1</v>
      </c>
      <c r="S122" s="525" t="str">
        <f>INDEX('Rate Card'!$D:$D,MATCH(服务费底表!$T122,'Rate Card'!F:F,0))</f>
        <v>项目管理</v>
      </c>
      <c r="T122" s="328" t="s">
        <v>599</v>
      </c>
      <c r="U122" s="522" t="str">
        <f>INDEX('Rate Card'!$E:$E,MATCH(服务费底表!$T122,'Rate Card'!$F:$F,0))</f>
        <v>临床项目经理</v>
      </c>
      <c r="V122" s="331">
        <f>INDEX('Rate Card'!$J:$J,MATCH($T122,'Rate Card'!$F:$F,0))</f>
        <v>650</v>
      </c>
      <c r="W122" s="523">
        <f t="shared" si="119"/>
        <v>650</v>
      </c>
      <c r="X122" s="523">
        <f t="shared" si="120"/>
        <v>1</v>
      </c>
      <c r="Y122" s="327" cm="1">
        <f t="array" ref="Y122">_xlfn.IFS(报价场景=服务费底表!$AJ$2,服务费底表!$AJ122,报价场景=服务费底表!$AP$2,服务费底表!$AP122,报价场景=服务费底表!$AK$2,服务费底表!$AK122,报价场景=服务费底表!$AL$2,服务费底表!$AL122,报价场景=服务费底表!$AM$2,服务费底表!$AM122,报价场景=服务费底表!$AN$2,服务费底表!$AN122,报价场景=服务费底表!$AQ$2,服务费底表!$AQ122,报价场景=服务费底表!$AO$2,服务费底表!$AO122)</f>
        <v>1</v>
      </c>
      <c r="Z122" s="327"/>
      <c r="AA122" s="332">
        <f t="shared" ref="AA122:AA140" si="133">IF(ISBLANK($Z122),$Y122,$Z122)</f>
        <v>1</v>
      </c>
      <c r="AB122" s="333">
        <f t="shared" si="122"/>
        <v>650</v>
      </c>
      <c r="AC122" s="328">
        <f t="shared" si="123"/>
        <v>6</v>
      </c>
      <c r="AD122" s="334">
        <f t="shared" ref="AD122:AD129" si="134">AC122*V122</f>
        <v>3900</v>
      </c>
      <c r="AE122" s="334">
        <f>$AB122*(1-INDEX(项目参数!$D$5:$D$14,MATCH(服务费底表!$S122,项目参数!$B$5:$B$14,0)))</f>
        <v>650</v>
      </c>
      <c r="AF122" s="334">
        <f>$AD122*INDEX(项目参数!$D$5:$D$14,MATCH(服务费底表!$S122,项目参数!$B$5:$B$14,0))</f>
        <v>0</v>
      </c>
      <c r="AG122" s="334">
        <f t="shared" ref="AG122:AG140" si="135">AD122-AF122</f>
        <v>3900</v>
      </c>
      <c r="AH122" s="328"/>
      <c r="AI122" s="328" t="s">
        <v>599</v>
      </c>
      <c r="AJ122" s="327">
        <v>1</v>
      </c>
      <c r="AK122" s="327">
        <v>1</v>
      </c>
      <c r="AL122" s="336">
        <v>1</v>
      </c>
      <c r="AM122" s="327">
        <v>1</v>
      </c>
      <c r="AN122" s="327">
        <f t="shared" ref="AN122:AN126" si="136">AJ122</f>
        <v>1</v>
      </c>
      <c r="AO122" s="327">
        <f t="shared" si="96"/>
        <v>1</v>
      </c>
      <c r="AP122" s="327">
        <v>1</v>
      </c>
      <c r="AQ122" s="327">
        <f t="shared" si="127"/>
        <v>1.5</v>
      </c>
      <c r="AR122" s="338"/>
      <c r="AS122" s="327">
        <f t="shared" si="128"/>
        <v>6</v>
      </c>
      <c r="AT122" s="327">
        <f t="shared" si="129"/>
        <v>6</v>
      </c>
      <c r="AU122" s="523">
        <v>1</v>
      </c>
      <c r="AV122" s="328"/>
      <c r="AW122" s="328"/>
      <c r="AX122" s="332">
        <v>1</v>
      </c>
      <c r="AY122" s="328" t="b">
        <f t="shared" si="85"/>
        <v>1</v>
      </c>
      <c r="AZ122" s="328" t="b">
        <f t="shared" si="86"/>
        <v>1</v>
      </c>
    </row>
    <row r="123" ht="27" customHeight="1" spans="1:52">
      <c r="A123" s="326" t="str">
        <f>INDEX('Rate Card'!$A:$A,MATCH(服务费底表!$T123,'Rate Card'!$F:$F,0))</f>
        <v>临床药理</v>
      </c>
      <c r="B123" s="327" t="str">
        <f>INDEX(二三级标准!$G:$G,MATCH(服务费底表!$K123,二三级标准!B:B,0))</f>
        <v>次</v>
      </c>
      <c r="C123" s="327">
        <f>INDEX(服务费明细!$E:$E,MATCH(服务费底表!$K123,服务费明细!$B:$B,0))</f>
        <v>6</v>
      </c>
      <c r="D123" s="327" t="str">
        <f t="shared" si="117"/>
        <v>A028CPS</v>
      </c>
      <c r="E123" s="327" t="str">
        <f t="shared" si="118"/>
        <v>T0074CPS</v>
      </c>
      <c r="F123" s="328"/>
      <c r="G123" s="328" t="s">
        <v>684</v>
      </c>
      <c r="H123" s="326" t="str">
        <f>INDEX('Rate Card'!$B:$B,MATCH(服务费底表!$T123,'Rate Card'!$F:$F,0))</f>
        <v>临床药理</v>
      </c>
      <c r="I123" s="328" t="s">
        <v>919</v>
      </c>
      <c r="J123" s="328" t="str">
        <f>INDEX(二三级标准!$Q:$Q,MATCH(服务费底表!I123,二三级标准!$O:$O,0))</f>
        <v>召开研究者会议</v>
      </c>
      <c r="K123" s="328" t="s">
        <v>159</v>
      </c>
      <c r="L123" s="328" t="str">
        <f>INDEX(二三级标准!C:C,MATCH(服务费底表!K123,二三级标准!$B:$B,0))</f>
        <v>召开SRC/SMC会</v>
      </c>
      <c r="M123" s="328" t="s">
        <v>1247</v>
      </c>
      <c r="N123" s="328" t="str">
        <f>INDEX(二三级标准!$M:$M,MATCH(服务费底表!$M123,二三级标准!$L:$L,0))</f>
        <v>参加SRC/SMC会</v>
      </c>
      <c r="O123" s="328"/>
      <c r="P123" s="327">
        <f>IF(R123=1,INDEX(服务费明细!$E:$E,MATCH(服务费底表!$K123,服务费明细!$B:$B,0)),0)</f>
        <v>6</v>
      </c>
      <c r="Q123" s="328" t="s">
        <v>1178</v>
      </c>
      <c r="R123" s="520">
        <f>IF(AND(召开SRC_SMC会YN=1,临床药理YN=1),1,0)</f>
        <v>1</v>
      </c>
      <c r="S123" s="330" t="s">
        <v>568</v>
      </c>
      <c r="T123" s="328" t="s">
        <v>652</v>
      </c>
      <c r="U123" s="522" t="str">
        <f>INDEX('Rate Card'!$E:$E,MATCH(服务费底表!$T123,'Rate Card'!$F:$F,0))</f>
        <v>临床药理专员</v>
      </c>
      <c r="V123" s="331">
        <f>INDEX('Rate Card'!$J:$J,MATCH($T123,'Rate Card'!$F:$F,0))</f>
        <v>580</v>
      </c>
      <c r="W123" s="523">
        <f t="shared" si="119"/>
        <v>580</v>
      </c>
      <c r="X123" s="523">
        <f t="shared" si="120"/>
        <v>1</v>
      </c>
      <c r="Y123" s="327" cm="1">
        <f t="array" ref="Y123">_xlfn.IFS(报价场景=服务费底表!$AJ$2,服务费底表!$AJ123,报价场景=服务费底表!$AP$2,服务费底表!$AP123,报价场景=服务费底表!$AK$2,服务费底表!$AK123,报价场景=服务费底表!$AL$2,服务费底表!$AL123,报价场景=服务费底表!$AM$2,服务费底表!$AM123,报价场景=服务费底表!$AN$2,服务费底表!$AN123,报价场景=服务费底表!$AQ$2,服务费底表!$AQ123,报价场景=服务费底表!$AO$2,服务费底表!$AO123)</f>
        <v>1</v>
      </c>
      <c r="Z123" s="327"/>
      <c r="AA123" s="332">
        <f t="shared" si="133"/>
        <v>1</v>
      </c>
      <c r="AB123" s="333">
        <f t="shared" si="122"/>
        <v>580</v>
      </c>
      <c r="AC123" s="328">
        <f t="shared" si="123"/>
        <v>6</v>
      </c>
      <c r="AD123" s="334">
        <f t="shared" si="134"/>
        <v>3480</v>
      </c>
      <c r="AE123" s="334">
        <f>$AB123*(1-INDEX(项目参数!$D$5:$D$14,MATCH(服务费底表!$S123,项目参数!$B$5:$B$14,0)))</f>
        <v>580</v>
      </c>
      <c r="AF123" s="334">
        <f>$AD123*INDEX(项目参数!$D$5:$D$14,MATCH(服务费底表!$S123,项目参数!$B$5:$B$14,0))</f>
        <v>0</v>
      </c>
      <c r="AG123" s="334">
        <f t="shared" si="135"/>
        <v>3480</v>
      </c>
      <c r="AH123" s="328"/>
      <c r="AI123" s="328" t="s">
        <v>652</v>
      </c>
      <c r="AJ123" s="327">
        <v>1</v>
      </c>
      <c r="AK123" s="327">
        <v>1</v>
      </c>
      <c r="AL123" s="327">
        <v>1</v>
      </c>
      <c r="AM123" s="327">
        <v>1</v>
      </c>
      <c r="AN123" s="327">
        <f t="shared" si="136"/>
        <v>1</v>
      </c>
      <c r="AO123" s="327">
        <f t="shared" si="96"/>
        <v>1</v>
      </c>
      <c r="AP123" s="327">
        <v>1</v>
      </c>
      <c r="AQ123" s="327">
        <f t="shared" si="127"/>
        <v>1.5</v>
      </c>
      <c r="AR123" s="338"/>
      <c r="AS123" s="327">
        <f t="shared" si="128"/>
        <v>6</v>
      </c>
      <c r="AT123" s="327">
        <f t="shared" si="129"/>
        <v>6</v>
      </c>
      <c r="AU123" s="523">
        <v>1</v>
      </c>
      <c r="AV123" s="328"/>
      <c r="AW123" s="328"/>
      <c r="AX123" s="332">
        <v>1</v>
      </c>
      <c r="AY123" s="328" t="b">
        <f t="shared" si="85"/>
        <v>1</v>
      </c>
      <c r="AZ123" s="328" t="b">
        <f t="shared" si="86"/>
        <v>1</v>
      </c>
    </row>
    <row r="124" ht="27" customHeight="1" spans="1:52">
      <c r="A124" s="326" t="str">
        <f>INDEX('Rate Card'!$A:$A,MATCH(服务费底表!$T124,'Rate Card'!$F:$F,0))</f>
        <v>临床运营</v>
      </c>
      <c r="B124" s="327" t="str">
        <f>INDEX(二三级标准!$G:$G,MATCH(服务费底表!$K124,二三级标准!B:B,0))</f>
        <v>次</v>
      </c>
      <c r="C124" s="327">
        <f>INDEX(服务费明细!$E:$E,MATCH(服务费底表!$K124,服务费明细!$B:$B,0))</f>
        <v>0</v>
      </c>
      <c r="D124" s="327" t="str">
        <f t="shared" si="117"/>
        <v>A029PM</v>
      </c>
      <c r="E124" s="327" t="str">
        <f t="shared" si="118"/>
        <v>T0075PM</v>
      </c>
      <c r="F124" s="328"/>
      <c r="G124" s="328" t="s">
        <v>684</v>
      </c>
      <c r="H124" s="326" t="str">
        <f>INDEX('Rate Card'!$B:$B,MATCH(服务费底表!$T124,'Rate Card'!$F:$F,0))</f>
        <v>临床运营</v>
      </c>
      <c r="I124" s="328" t="s">
        <v>919</v>
      </c>
      <c r="J124" s="328" t="str">
        <f>INDEX(二三级标准!$Q:$Q,MATCH(服务费底表!I124,二三级标准!$O:$O,0))</f>
        <v>召开研究者会议</v>
      </c>
      <c r="K124" s="328" t="s">
        <v>161</v>
      </c>
      <c r="L124" s="328" t="str">
        <f>INDEX(二三级标准!C:C,MATCH(服务费底表!K124,二三级标准!$B:$B,0))</f>
        <v>召开中期研究者会</v>
      </c>
      <c r="M124" s="328" t="s">
        <v>1248</v>
      </c>
      <c r="N124" s="328" t="str">
        <f>INDEX(二三级标准!$M:$M,MATCH(服务费底表!$M124,二三级标准!$L:$L,0))</f>
        <v>准备中期研究者会</v>
      </c>
      <c r="O124" s="328"/>
      <c r="P124" s="327">
        <f>IF(R124=1,INDEX(服务费明细!$E:$E,MATCH(服务费底表!$K124,服务费明细!$B:$B,0)),0)</f>
        <v>0</v>
      </c>
      <c r="Q124" s="328" t="s">
        <v>1178</v>
      </c>
      <c r="R124" s="520">
        <f>IF(AND(召开中期研究者会YN=1,项目管理YN=1),1,0)</f>
        <v>0</v>
      </c>
      <c r="S124" s="525" t="str">
        <f>INDEX('Rate Card'!$D:$D,MATCH(服务费底表!$T124,'Rate Card'!F:F,0))</f>
        <v>项目管理</v>
      </c>
      <c r="T124" s="328" t="s">
        <v>599</v>
      </c>
      <c r="U124" s="522" t="str">
        <f>INDEX('Rate Card'!$E:$E,MATCH(服务费底表!$T124,'Rate Card'!$F:$F,0))</f>
        <v>临床项目经理</v>
      </c>
      <c r="V124" s="331">
        <f>INDEX('Rate Card'!$J:$J,MATCH($T124,'Rate Card'!$F:$F,0))</f>
        <v>650</v>
      </c>
      <c r="W124" s="523">
        <f t="shared" si="119"/>
        <v>650</v>
      </c>
      <c r="X124" s="523">
        <f t="shared" si="120"/>
        <v>4</v>
      </c>
      <c r="Y124" s="327" cm="1">
        <f t="array" ref="Y124">_xlfn.IFS(报价场景=服务费底表!$AJ$2,服务费底表!$AJ124,报价场景=服务费底表!$AP$2,服务费底表!$AP124,报价场景=服务费底表!$AK$2,服务费底表!$AK124,报价场景=服务费底表!$AL$2,服务费底表!$AL124,报价场景=服务费底表!$AM$2,服务费底表!$AM124,报价场景=服务费底表!$AN$2,服务费底表!$AN124,报价场景=服务费底表!$AQ$2,服务费底表!$AQ124,报价场景=服务费底表!$AO$2,服务费底表!$AO124)</f>
        <v>4</v>
      </c>
      <c r="Z124" s="327"/>
      <c r="AA124" s="332">
        <f t="shared" si="133"/>
        <v>4</v>
      </c>
      <c r="AB124" s="333">
        <f t="shared" si="122"/>
        <v>0</v>
      </c>
      <c r="AC124" s="328">
        <f t="shared" si="123"/>
        <v>0</v>
      </c>
      <c r="AD124" s="334">
        <f t="shared" si="134"/>
        <v>0</v>
      </c>
      <c r="AE124" s="334">
        <f>$AB124*(1-INDEX(项目参数!$D$5:$D$14,MATCH(服务费底表!$S124,项目参数!$B$5:$B$14,0)))</f>
        <v>0</v>
      </c>
      <c r="AF124" s="334">
        <f>$AD124*INDEX(项目参数!$D$5:$D$14,MATCH(服务费底表!$S124,项目参数!$B$5:$B$14,0))</f>
        <v>0</v>
      </c>
      <c r="AG124" s="334">
        <f t="shared" si="135"/>
        <v>0</v>
      </c>
      <c r="AH124" s="328"/>
      <c r="AI124" s="328" t="s">
        <v>599</v>
      </c>
      <c r="AJ124" s="327">
        <v>4</v>
      </c>
      <c r="AK124" s="327">
        <f t="shared" ref="AK121:AK127" si="137">AJ124*1.5</f>
        <v>6</v>
      </c>
      <c r="AL124" s="327">
        <f t="shared" ref="AL122:AL126" si="138">AJ124*0.7</f>
        <v>2.8</v>
      </c>
      <c r="AM124" s="327">
        <f t="shared" ref="AM122:AM126" si="139">AJ124*0.7</f>
        <v>2.8</v>
      </c>
      <c r="AN124" s="327">
        <f t="shared" si="136"/>
        <v>4</v>
      </c>
      <c r="AO124" s="327">
        <f t="shared" si="96"/>
        <v>2.8</v>
      </c>
      <c r="AP124" s="327">
        <v>4</v>
      </c>
      <c r="AQ124" s="327">
        <f t="shared" si="127"/>
        <v>6</v>
      </c>
      <c r="AR124" s="338"/>
      <c r="AS124" s="327">
        <f t="shared" si="128"/>
        <v>0</v>
      </c>
      <c r="AT124" s="327">
        <f t="shared" si="129"/>
        <v>0</v>
      </c>
      <c r="AU124" s="523">
        <v>4</v>
      </c>
      <c r="AV124" s="328"/>
      <c r="AW124" s="328"/>
      <c r="AX124" s="332">
        <v>4</v>
      </c>
      <c r="AY124" s="328" t="b">
        <f t="shared" si="85"/>
        <v>1</v>
      </c>
      <c r="AZ124" s="328" t="b">
        <f t="shared" si="86"/>
        <v>0</v>
      </c>
    </row>
    <row r="125" ht="27" customHeight="1" spans="1:52">
      <c r="A125" s="326" t="str">
        <f>INDEX('Rate Card'!$A:$A,MATCH(服务费底表!$T125,'Rate Card'!$F:$F,0))</f>
        <v>临床运营</v>
      </c>
      <c r="B125" s="327" t="str">
        <f>INDEX(二三级标准!$G:$G,MATCH(服务费底表!$K125,二三级标准!B:B,0))</f>
        <v>次</v>
      </c>
      <c r="C125" s="327">
        <f>INDEX(服务费明细!$E:$E,MATCH(服务费底表!$K125,服务费明细!$B:$B,0))</f>
        <v>0</v>
      </c>
      <c r="D125" s="327" t="str">
        <f t="shared" si="117"/>
        <v>A029CRA</v>
      </c>
      <c r="E125" s="327" t="str">
        <f t="shared" si="118"/>
        <v>T0075CRA</v>
      </c>
      <c r="F125" s="328"/>
      <c r="G125" s="328" t="s">
        <v>684</v>
      </c>
      <c r="H125" s="326" t="str">
        <f>INDEX('Rate Card'!$B:$B,MATCH(服务费底表!$T125,'Rate Card'!$F:$F,0))</f>
        <v>临床运营</v>
      </c>
      <c r="I125" s="328" t="s">
        <v>919</v>
      </c>
      <c r="J125" s="328" t="str">
        <f>INDEX(二三级标准!$Q:$Q,MATCH(服务费底表!I125,二三级标准!$O:$O,0))</f>
        <v>召开研究者会议</v>
      </c>
      <c r="K125" s="328" t="s">
        <v>161</v>
      </c>
      <c r="L125" s="328" t="str">
        <f>INDEX(二三级标准!C:C,MATCH(服务费底表!K125,二三级标准!$B:$B,0))</f>
        <v>召开中期研究者会</v>
      </c>
      <c r="M125" s="328" t="s">
        <v>1248</v>
      </c>
      <c r="N125" s="328" t="str">
        <f>INDEX(二三级标准!$M:$M,MATCH(服务费底表!$M125,二三级标准!$L:$L,0))</f>
        <v>准备中期研究者会</v>
      </c>
      <c r="O125" s="328"/>
      <c r="P125" s="327">
        <f>IF(R125=1,INDEX(服务费明细!$E:$E,MATCH(服务费底表!$K125,服务费明细!$B:$B,0)),0)</f>
        <v>0</v>
      </c>
      <c r="Q125" s="328" t="s">
        <v>1178</v>
      </c>
      <c r="R125" s="520">
        <f>IF(AND(召开中期研究者会YN=1,临床监查YN=1),1,0)</f>
        <v>0</v>
      </c>
      <c r="S125" s="525" t="str">
        <f>INDEX('Rate Card'!$D:$D,MATCH(服务费底表!$T125,'Rate Card'!F:F,0))</f>
        <v>临床监查</v>
      </c>
      <c r="T125" s="328" t="s">
        <v>595</v>
      </c>
      <c r="U125" s="522" t="str">
        <f>INDEX('Rate Card'!$E:$E,MATCH(服务费底表!$T125,'Rate Card'!$F:$F,0))</f>
        <v>临床监查员</v>
      </c>
      <c r="V125" s="331">
        <f>INDEX('Rate Card'!$J:$J,MATCH($T125,'Rate Card'!$F:$F,0))</f>
        <v>340</v>
      </c>
      <c r="W125" s="523">
        <f t="shared" si="119"/>
        <v>340</v>
      </c>
      <c r="X125" s="523">
        <f t="shared" si="120"/>
        <v>6</v>
      </c>
      <c r="Y125" s="327" cm="1">
        <f t="array" ref="Y125">_xlfn.IFS(报价场景=服务费底表!$AJ$2,服务费底表!$AJ125,报价场景=服务费底表!$AP$2,服务费底表!$AP125,报价场景=服务费底表!$AK$2,服务费底表!$AK125,报价场景=服务费底表!$AL$2,服务费底表!$AL125,报价场景=服务费底表!$AM$2,服务费底表!$AM125,报价场景=服务费底表!$AN$2,服务费底表!$AN125,报价场景=服务费底表!$AQ$2,服务费底表!$AQ125,报价场景=服务费底表!$AO$2,服务费底表!$AO125)</f>
        <v>6</v>
      </c>
      <c r="Z125" s="327"/>
      <c r="AA125" s="332">
        <f t="shared" si="133"/>
        <v>6</v>
      </c>
      <c r="AB125" s="333">
        <f t="shared" si="122"/>
        <v>0</v>
      </c>
      <c r="AC125" s="328">
        <f t="shared" si="123"/>
        <v>0</v>
      </c>
      <c r="AD125" s="334">
        <f t="shared" si="134"/>
        <v>0</v>
      </c>
      <c r="AE125" s="334">
        <f>$AB125*(1-INDEX(项目参数!$D$5:$D$14,MATCH(服务费底表!$S125,项目参数!$B$5:$B$14,0)))</f>
        <v>0</v>
      </c>
      <c r="AF125" s="334">
        <f>$AD125*INDEX(项目参数!$D$5:$D$14,MATCH(服务费底表!$S125,项目参数!$B$5:$B$14,0))</f>
        <v>0</v>
      </c>
      <c r="AG125" s="334">
        <f t="shared" si="135"/>
        <v>0</v>
      </c>
      <c r="AH125" s="328"/>
      <c r="AI125" s="328" t="s">
        <v>595</v>
      </c>
      <c r="AJ125" s="327">
        <f>IF(中期IM形式="线下",1.5*启动中心数,0.5*启动中心数)</f>
        <v>6</v>
      </c>
      <c r="AK125" s="327">
        <f t="shared" si="137"/>
        <v>9</v>
      </c>
      <c r="AL125" s="327">
        <f t="shared" si="138"/>
        <v>4.2</v>
      </c>
      <c r="AM125" s="327">
        <f t="shared" si="139"/>
        <v>4.2</v>
      </c>
      <c r="AN125" s="327">
        <f t="shared" si="136"/>
        <v>6</v>
      </c>
      <c r="AO125" s="327">
        <f t="shared" si="96"/>
        <v>4.2</v>
      </c>
      <c r="AP125" s="327">
        <v>1.5</v>
      </c>
      <c r="AQ125" s="327">
        <f t="shared" si="127"/>
        <v>9</v>
      </c>
      <c r="AR125" s="338"/>
      <c r="AS125" s="327">
        <f t="shared" si="128"/>
        <v>0</v>
      </c>
      <c r="AT125" s="327">
        <f t="shared" si="129"/>
        <v>0</v>
      </c>
      <c r="AU125" s="523">
        <v>6</v>
      </c>
      <c r="AV125" s="328"/>
      <c r="AW125" s="328"/>
      <c r="AX125" s="332">
        <v>6</v>
      </c>
      <c r="AY125" s="328" t="b">
        <f t="shared" si="85"/>
        <v>1</v>
      </c>
      <c r="AZ125" s="328" t="b">
        <f t="shared" si="86"/>
        <v>0</v>
      </c>
    </row>
    <row r="126" ht="27" customHeight="1" spans="1:52">
      <c r="A126" s="326" t="str">
        <f>INDEX('Rate Card'!$A:$A,MATCH(服务费底表!$T126,'Rate Card'!$F:$F,0))</f>
        <v>临床运营</v>
      </c>
      <c r="B126" s="327" t="str">
        <f>INDEX(二三级标准!$G:$G,MATCH(服务费底表!$K126,二三级标准!B:B,0))</f>
        <v>次</v>
      </c>
      <c r="C126" s="327">
        <f>INDEX(服务费明细!$E:$E,MATCH(服务费底表!$K126,服务费明细!$B:$B,0))</f>
        <v>0</v>
      </c>
      <c r="D126" s="327" t="str">
        <f t="shared" si="117"/>
        <v>A029CTA</v>
      </c>
      <c r="E126" s="327" t="str">
        <f t="shared" si="118"/>
        <v>T0075CTA</v>
      </c>
      <c r="F126" s="328"/>
      <c r="G126" s="328" t="s">
        <v>684</v>
      </c>
      <c r="H126" s="326" t="str">
        <f>INDEX('Rate Card'!$B:$B,MATCH(服务费底表!$T126,'Rate Card'!$F:$F,0))</f>
        <v>临床运营</v>
      </c>
      <c r="I126" s="328" t="s">
        <v>919</v>
      </c>
      <c r="J126" s="328" t="str">
        <f>INDEX(二三级标准!$Q:$Q,MATCH(服务费底表!I126,二三级标准!$O:$O,0))</f>
        <v>召开研究者会议</v>
      </c>
      <c r="K126" s="328" t="s">
        <v>161</v>
      </c>
      <c r="L126" s="328" t="str">
        <f>INDEX(二三级标准!C:C,MATCH(服务费底表!K126,二三级标准!$B:$B,0))</f>
        <v>召开中期研究者会</v>
      </c>
      <c r="M126" s="328" t="s">
        <v>1248</v>
      </c>
      <c r="N126" s="328" t="str">
        <f>INDEX(二三级标准!$M:$M,MATCH(服务费底表!$M126,二三级标准!$L:$L,0))</f>
        <v>准备中期研究者会</v>
      </c>
      <c r="O126" s="328"/>
      <c r="P126" s="327">
        <f>IF(R126=1,INDEX(服务费明细!$E:$E,MATCH(服务费底表!$K126,服务费明细!$B:$B,0)),0)</f>
        <v>0</v>
      </c>
      <c r="Q126" s="328" t="s">
        <v>1178</v>
      </c>
      <c r="R126" s="520">
        <f>IF(AND(召开中期研究者会YN=1,临床监查YN=1),1,0)</f>
        <v>0</v>
      </c>
      <c r="S126" s="525" t="str">
        <f>INDEX('Rate Card'!$D:$D,MATCH(服务费底表!$T126,'Rate Card'!F:F,0))</f>
        <v>临床监查</v>
      </c>
      <c r="T126" s="328" t="s">
        <v>597</v>
      </c>
      <c r="U126" s="522" t="str">
        <f>INDEX('Rate Card'!$E:$E,MATCH(服务费底表!$T126,'Rate Card'!$F:$F,0))</f>
        <v>临床试验助理</v>
      </c>
      <c r="V126" s="331">
        <f>INDEX('Rate Card'!$J:$J,MATCH($T126,'Rate Card'!$F:$F,0))</f>
        <v>220</v>
      </c>
      <c r="W126" s="523">
        <f t="shared" si="119"/>
        <v>220</v>
      </c>
      <c r="X126" s="523">
        <f t="shared" si="120"/>
        <v>4</v>
      </c>
      <c r="Y126" s="327" cm="1">
        <f t="array" ref="Y126">_xlfn.IFS(报价场景=服务费底表!$AJ$2,服务费底表!$AJ126,报价场景=服务费底表!$AP$2,服务费底表!$AP126,报价场景=服务费底表!$AK$2,服务费底表!$AK126,报价场景=服务费底表!$AL$2,服务费底表!$AL126,报价场景=服务费底表!$AM$2,服务费底表!$AM126,报价场景=服务费底表!$AN$2,服务费底表!$AN126,报价场景=服务费底表!$AQ$2,服务费底表!$AQ126,报价场景=服务费底表!$AO$2,服务费底表!$AO126)</f>
        <v>4</v>
      </c>
      <c r="Z126" s="327"/>
      <c r="AA126" s="332">
        <f t="shared" si="133"/>
        <v>4</v>
      </c>
      <c r="AB126" s="333">
        <f t="shared" si="122"/>
        <v>0</v>
      </c>
      <c r="AC126" s="328">
        <f t="shared" si="123"/>
        <v>0</v>
      </c>
      <c r="AD126" s="334">
        <f t="shared" si="134"/>
        <v>0</v>
      </c>
      <c r="AE126" s="334">
        <f>$AB126*(1-INDEX(项目参数!$D$5:$D$14,MATCH(服务费底表!$S126,项目参数!$B$5:$B$14,0)))</f>
        <v>0</v>
      </c>
      <c r="AF126" s="334">
        <f>$AD126*INDEX(项目参数!$D$5:$D$14,MATCH(服务费底表!$S126,项目参数!$B$5:$B$14,0))</f>
        <v>0</v>
      </c>
      <c r="AG126" s="334">
        <f t="shared" si="135"/>
        <v>0</v>
      </c>
      <c r="AH126" s="328"/>
      <c r="AI126" s="328" t="s">
        <v>597</v>
      </c>
      <c r="AJ126" s="327">
        <f t="array" ref="AJ126">_xlfn.IFS(AND(中期IM形式="线下",启动中心数&lt;=5),4,AND(中期IM形式="线下",启动中心数&lt;=10),8,AND(中期IM形式="线下",启动中心数&gt;10),12,中期IM形式&lt;&gt;"线下",2)</f>
        <v>4</v>
      </c>
      <c r="AK126" s="327">
        <f t="shared" si="137"/>
        <v>6</v>
      </c>
      <c r="AL126" s="327">
        <f t="shared" si="138"/>
        <v>2.8</v>
      </c>
      <c r="AM126" s="327">
        <f t="shared" si="139"/>
        <v>2.8</v>
      </c>
      <c r="AN126" s="327">
        <f t="shared" si="136"/>
        <v>4</v>
      </c>
      <c r="AO126" s="327">
        <f t="shared" si="96"/>
        <v>2.8</v>
      </c>
      <c r="AP126" s="327">
        <v>4</v>
      </c>
      <c r="AQ126" s="327">
        <f t="shared" si="127"/>
        <v>6</v>
      </c>
      <c r="AR126" s="338"/>
      <c r="AS126" s="327">
        <f t="shared" si="128"/>
        <v>0</v>
      </c>
      <c r="AT126" s="327">
        <f t="shared" si="129"/>
        <v>0</v>
      </c>
      <c r="AU126" s="523">
        <v>4</v>
      </c>
      <c r="AV126" s="328"/>
      <c r="AW126" s="328"/>
      <c r="AX126" s="332">
        <v>4</v>
      </c>
      <c r="AY126" s="328" t="b">
        <f t="shared" si="85"/>
        <v>1</v>
      </c>
      <c r="AZ126" s="328" t="b">
        <f t="shared" si="86"/>
        <v>0</v>
      </c>
    </row>
    <row r="127" ht="27" customHeight="1" spans="1:52">
      <c r="A127" s="326" t="str">
        <f>INDEX('Rate Card'!$A:$A,MATCH(服务费底表!$T127,'Rate Card'!$F:$F,0))</f>
        <v>医学</v>
      </c>
      <c r="B127" s="327" t="str">
        <f>INDEX(二三级标准!$G:$G,MATCH(服务费底表!$K127,二三级标准!B:B,0))</f>
        <v>次</v>
      </c>
      <c r="C127" s="327">
        <f>INDEX(服务费明细!$E:$E,MATCH(服务费底表!$K127,服务费明细!$B:$B,0))</f>
        <v>0</v>
      </c>
      <c r="D127" s="327" t="str">
        <f t="shared" ref="D127:D152" si="140">K127&amp;T127</f>
        <v>A029MM</v>
      </c>
      <c r="E127" s="327" t="str">
        <f t="shared" ref="E127:E152" si="141">M127&amp;T127</f>
        <v>T0075MM</v>
      </c>
      <c r="F127" s="328"/>
      <c r="G127" s="328" t="s">
        <v>684</v>
      </c>
      <c r="H127" s="326" t="str">
        <f>INDEX('Rate Card'!$B:$B,MATCH(服务费底表!$T127,'Rate Card'!$F:$F,0))</f>
        <v>医学</v>
      </c>
      <c r="I127" s="328" t="s">
        <v>919</v>
      </c>
      <c r="J127" s="328" t="str">
        <f>INDEX(二三级标准!$Q:$Q,MATCH(服务费底表!I127,二三级标准!$O:$O,0))</f>
        <v>召开研究者会议</v>
      </c>
      <c r="K127" s="328" t="s">
        <v>161</v>
      </c>
      <c r="L127" s="328" t="str">
        <f>INDEX(二三级标准!C:C,MATCH(服务费底表!K127,二三级标准!$B:$B,0))</f>
        <v>召开中期研究者会</v>
      </c>
      <c r="M127" s="328" t="s">
        <v>1248</v>
      </c>
      <c r="N127" s="328" t="str">
        <f>INDEX(二三级标准!$M:$M,MATCH(服务费底表!$M127,二三级标准!$L:$L,0))</f>
        <v>准备中期研究者会</v>
      </c>
      <c r="O127" s="328"/>
      <c r="P127" s="327">
        <f>IF(R127=1,INDEX(服务费明细!$E:$E,MATCH(服务费底表!$K127,服务费明细!$B:$B,0)),0)</f>
        <v>0</v>
      </c>
      <c r="Q127" s="328" t="s">
        <v>1178</v>
      </c>
      <c r="R127" s="520">
        <f>IF(AND(召开中期研究者会YN=1,医学监查YN=1),1,0)</f>
        <v>0</v>
      </c>
      <c r="S127" s="521" t="str">
        <f>IF(AND(H127="医学",OR(I127=二三级标准!$A$4,I127=二三级标准!$A$153)),"医学撰写","医学监查")</f>
        <v>医学监查</v>
      </c>
      <c r="T127" s="328" t="s">
        <v>615</v>
      </c>
      <c r="U127" s="522" t="str">
        <f>INDEX('Rate Card'!$E:$E,MATCH(服务费底表!$T127,'Rate Card'!$F:$F,0))</f>
        <v>医学经理</v>
      </c>
      <c r="V127" s="331">
        <f>INDEX('Rate Card'!$J:$J,MATCH($T127,'Rate Card'!$F:$F,0))</f>
        <v>650</v>
      </c>
      <c r="W127" s="523">
        <f t="shared" si="119"/>
        <v>650</v>
      </c>
      <c r="X127" s="523">
        <f t="shared" si="120"/>
        <v>4</v>
      </c>
      <c r="Y127" s="327" cm="1">
        <f t="array" ref="Y127">_xlfn.IFS(报价场景=服务费底表!$AJ$2,服务费底表!$AJ127,报价场景=服务费底表!$AP$2,服务费底表!$AP127,报价场景=服务费底表!$AK$2,服务费底表!$AK127,报价场景=服务费底表!$AL$2,服务费底表!$AL127,报价场景=服务费底表!$AM$2,服务费底表!$AM127,报价场景=服务费底表!$AN$2,服务费底表!$AN127,报价场景=服务费底表!$AQ$2,服务费底表!$AQ127,报价场景=服务费底表!$AO$2,服务费底表!$AO127)</f>
        <v>4</v>
      </c>
      <c r="Z127" s="327"/>
      <c r="AA127" s="332">
        <f t="shared" si="133"/>
        <v>4</v>
      </c>
      <c r="AB127" s="333">
        <f t="shared" ref="AB127:AB152" si="142">IFERROR(AD127/P127,0)</f>
        <v>0</v>
      </c>
      <c r="AC127" s="328">
        <f t="shared" ref="AC127:AC152" si="143">AA127*P127*R127</f>
        <v>0</v>
      </c>
      <c r="AD127" s="334">
        <f t="shared" si="134"/>
        <v>0</v>
      </c>
      <c r="AE127" s="334">
        <f>$AB127*(1-INDEX(项目参数!$D$5:$D$14,MATCH(服务费底表!$S127,项目参数!$B$5:$B$14,0)))</f>
        <v>0</v>
      </c>
      <c r="AF127" s="334">
        <f>$AD127*INDEX(项目参数!$D$5:$D$14,MATCH(服务费底表!$S127,项目参数!$B$5:$B$14,0))</f>
        <v>0</v>
      </c>
      <c r="AG127" s="334">
        <f t="shared" si="135"/>
        <v>0</v>
      </c>
      <c r="AH127" s="328"/>
      <c r="AI127" s="328" t="s">
        <v>615</v>
      </c>
      <c r="AJ127" s="327">
        <v>4</v>
      </c>
      <c r="AK127" s="327">
        <f t="shared" si="137"/>
        <v>6</v>
      </c>
      <c r="AL127" s="327">
        <v>3</v>
      </c>
      <c r="AM127" s="327">
        <v>4</v>
      </c>
      <c r="AN127" s="327">
        <f>AL127</f>
        <v>3</v>
      </c>
      <c r="AO127" s="327">
        <f t="shared" si="96"/>
        <v>3</v>
      </c>
      <c r="AP127" s="327">
        <v>4</v>
      </c>
      <c r="AQ127" s="327">
        <f t="shared" si="127"/>
        <v>6</v>
      </c>
      <c r="AR127" s="338"/>
      <c r="AS127" s="327">
        <f t="shared" ref="AS127:AS152" si="144">AC127</f>
        <v>0</v>
      </c>
      <c r="AT127" s="327">
        <f t="shared" ref="AT127:AT152" si="145">Y127*P127</f>
        <v>0</v>
      </c>
      <c r="AU127" s="523">
        <v>4</v>
      </c>
      <c r="AV127" s="328"/>
      <c r="AW127" s="328"/>
      <c r="AX127" s="332">
        <v>4</v>
      </c>
      <c r="AY127" s="328" t="b">
        <f t="shared" si="85"/>
        <v>1</v>
      </c>
      <c r="AZ127" s="328" t="b">
        <f t="shared" si="86"/>
        <v>0</v>
      </c>
    </row>
    <row r="128" ht="27" customHeight="1" spans="1:52">
      <c r="A128" s="326" t="str">
        <f>INDEX('Rate Card'!$A:$A,MATCH(服务费底表!$T128,'Rate Card'!$F:$F,0))</f>
        <v>临床运营</v>
      </c>
      <c r="B128" s="327" t="str">
        <f>INDEX(二三级标准!$G:$G,MATCH(服务费底表!$K128,二三级标准!B:B,0))</f>
        <v>次</v>
      </c>
      <c r="C128" s="327">
        <f>INDEX(服务费明细!$E:$E,MATCH(服务费底表!$K128,服务费明细!$B:$B,0))</f>
        <v>0</v>
      </c>
      <c r="D128" s="327" t="str">
        <f t="shared" si="140"/>
        <v>A029PM</v>
      </c>
      <c r="E128" s="327" t="str">
        <f t="shared" si="141"/>
        <v>T0076PM</v>
      </c>
      <c r="F128" s="328"/>
      <c r="G128" s="328" t="s">
        <v>684</v>
      </c>
      <c r="H128" s="326" t="str">
        <f>INDEX('Rate Card'!$B:$B,MATCH(服务费底表!$T128,'Rate Card'!$F:$F,0))</f>
        <v>临床运营</v>
      </c>
      <c r="I128" s="328" t="s">
        <v>919</v>
      </c>
      <c r="J128" s="328" t="str">
        <f>INDEX(二三级标准!$Q:$Q,MATCH(服务费底表!I128,二三级标准!$O:$O,0))</f>
        <v>召开研究者会议</v>
      </c>
      <c r="K128" s="328" t="s">
        <v>161</v>
      </c>
      <c r="L128" s="328" t="str">
        <f>INDEX(二三级标准!C:C,MATCH(服务费底表!K128,二三级标准!$B:$B,0))</f>
        <v>召开中期研究者会</v>
      </c>
      <c r="M128" s="328" t="s">
        <v>1249</v>
      </c>
      <c r="N128" s="328" t="str">
        <f>INDEX(二三级标准!$M:$M,MATCH(服务费底表!$M128,二三级标准!$L:$L,0))</f>
        <v>参加中期研究者会</v>
      </c>
      <c r="O128" s="328"/>
      <c r="P128" s="327">
        <f>IF(R128=1,INDEX(服务费明细!$E:$E,MATCH(服务费底表!$K128,服务费明细!$B:$B,0)),0)</f>
        <v>0</v>
      </c>
      <c r="Q128" s="328" t="s">
        <v>1178</v>
      </c>
      <c r="R128" s="520">
        <f>IF(AND(召开中期研究者会YN=1,项目管理YN=1),1,0)</f>
        <v>0</v>
      </c>
      <c r="S128" s="525" t="str">
        <f>INDEX('Rate Card'!$D:$D,MATCH(服务费底表!$T128,'Rate Card'!F:F,0))</f>
        <v>项目管理</v>
      </c>
      <c r="T128" s="328" t="s">
        <v>599</v>
      </c>
      <c r="U128" s="522" t="str">
        <f>INDEX('Rate Card'!$E:$E,MATCH(服务费底表!$T128,'Rate Card'!$F:$F,0))</f>
        <v>临床项目经理</v>
      </c>
      <c r="V128" s="331">
        <f>INDEX('Rate Card'!$J:$J,MATCH($T128,'Rate Card'!$F:$F,0))</f>
        <v>650</v>
      </c>
      <c r="W128" s="523">
        <f t="shared" si="119"/>
        <v>650</v>
      </c>
      <c r="X128" s="523">
        <f t="shared" si="120"/>
        <v>1</v>
      </c>
      <c r="Y128" s="327" cm="1">
        <f t="array" ref="Y128">_xlfn.IFS(报价场景=服务费底表!$AJ$2,服务费底表!$AJ128,报价场景=服务费底表!$AP$2,服务费底表!$AP128,报价场景=服务费底表!$AK$2,服务费底表!$AK128,报价场景=服务费底表!$AL$2,服务费底表!$AL128,报价场景=服务费底表!$AM$2,服务费底表!$AM128,报价场景=服务费底表!$AN$2,服务费底表!$AN128,报价场景=服务费底表!$AQ$2,服务费底表!$AQ128,报价场景=服务费底表!$AO$2,服务费底表!$AO128)</f>
        <v>1</v>
      </c>
      <c r="Z128" s="327"/>
      <c r="AA128" s="332">
        <f t="shared" si="133"/>
        <v>1</v>
      </c>
      <c r="AB128" s="333">
        <f t="shared" si="142"/>
        <v>0</v>
      </c>
      <c r="AC128" s="328">
        <f t="shared" si="143"/>
        <v>0</v>
      </c>
      <c r="AD128" s="334">
        <f t="shared" si="134"/>
        <v>0</v>
      </c>
      <c r="AE128" s="334">
        <f>$AB128*(1-INDEX(项目参数!$D$5:$D$14,MATCH(服务费底表!$S128,项目参数!$B$5:$B$14,0)))</f>
        <v>0</v>
      </c>
      <c r="AF128" s="334">
        <f>$AD128*INDEX(项目参数!$D$5:$D$14,MATCH(服务费底表!$S128,项目参数!$B$5:$B$14,0))</f>
        <v>0</v>
      </c>
      <c r="AG128" s="334">
        <f t="shared" si="135"/>
        <v>0</v>
      </c>
      <c r="AH128" s="328"/>
      <c r="AI128" s="328" t="s">
        <v>599</v>
      </c>
      <c r="AJ128" s="327">
        <v>1</v>
      </c>
      <c r="AK128" s="327">
        <v>1</v>
      </c>
      <c r="AL128" s="327">
        <v>1</v>
      </c>
      <c r="AM128" s="327">
        <v>1</v>
      </c>
      <c r="AN128" s="327">
        <v>1</v>
      </c>
      <c r="AO128" s="327">
        <f t="shared" si="96"/>
        <v>1</v>
      </c>
      <c r="AP128" s="327">
        <v>1</v>
      </c>
      <c r="AQ128" s="327">
        <f t="shared" si="127"/>
        <v>1.5</v>
      </c>
      <c r="AR128" s="338"/>
      <c r="AS128" s="327">
        <f t="shared" si="144"/>
        <v>0</v>
      </c>
      <c r="AT128" s="327">
        <f t="shared" si="145"/>
        <v>0</v>
      </c>
      <c r="AU128" s="523">
        <v>1</v>
      </c>
      <c r="AV128" s="328"/>
      <c r="AW128" s="328"/>
      <c r="AX128" s="332">
        <v>1</v>
      </c>
      <c r="AY128" s="328" t="b">
        <f t="shared" si="85"/>
        <v>1</v>
      </c>
      <c r="AZ128" s="328" t="b">
        <f t="shared" si="86"/>
        <v>0</v>
      </c>
    </row>
    <row r="129" ht="27" customHeight="1" spans="1:52">
      <c r="A129" s="326" t="str">
        <f>INDEX('Rate Card'!$A:$A,MATCH(服务费底表!$T129,'Rate Card'!$F:$F,0))</f>
        <v>临床运营</v>
      </c>
      <c r="B129" s="327" t="str">
        <f>INDEX(二三级标准!$G:$G,MATCH(服务费底表!$K129,二三级标准!B:B,0))</f>
        <v>次</v>
      </c>
      <c r="C129" s="327">
        <f>INDEX(服务费明细!$E:$E,MATCH(服务费底表!$K129,服务费明细!$B:$B,0))</f>
        <v>0</v>
      </c>
      <c r="D129" s="327" t="str">
        <f t="shared" si="140"/>
        <v>A029CTA</v>
      </c>
      <c r="E129" s="327" t="str">
        <f t="shared" si="141"/>
        <v>T0076CTA</v>
      </c>
      <c r="F129" s="328"/>
      <c r="G129" s="328" t="s">
        <v>684</v>
      </c>
      <c r="H129" s="326" t="str">
        <f>INDEX('Rate Card'!$B:$B,MATCH(服务费底表!$T129,'Rate Card'!$F:$F,0))</f>
        <v>临床运营</v>
      </c>
      <c r="I129" s="328" t="s">
        <v>919</v>
      </c>
      <c r="J129" s="328" t="str">
        <f>INDEX(二三级标准!$Q:$Q,MATCH(服务费底表!I129,二三级标准!$O:$O,0))</f>
        <v>召开研究者会议</v>
      </c>
      <c r="K129" s="328" t="s">
        <v>161</v>
      </c>
      <c r="L129" s="328" t="str">
        <f>INDEX(二三级标准!C:C,MATCH(服务费底表!K129,二三级标准!$B:$B,0))</f>
        <v>召开中期研究者会</v>
      </c>
      <c r="M129" s="328" t="s">
        <v>1249</v>
      </c>
      <c r="N129" s="328" t="str">
        <f>INDEX(二三级标准!$M:$M,MATCH(服务费底表!$M129,二三级标准!$L:$L,0))</f>
        <v>参加中期研究者会</v>
      </c>
      <c r="O129" s="328"/>
      <c r="P129" s="327">
        <f>IF(R129=1,INDEX(服务费明细!$E:$E,MATCH(服务费底表!$K129,服务费明细!$B:$B,0)),0)</f>
        <v>0</v>
      </c>
      <c r="Q129" s="328" t="s">
        <v>1178</v>
      </c>
      <c r="R129" s="520">
        <f>IF(AND(召开中期研究者会YN=1,临床监查YN=1),1,0)</f>
        <v>0</v>
      </c>
      <c r="S129" s="525" t="str">
        <f>INDEX('Rate Card'!$D:$D,MATCH(服务费底表!$T129,'Rate Card'!F:F,0))</f>
        <v>临床监查</v>
      </c>
      <c r="T129" s="328" t="s">
        <v>597</v>
      </c>
      <c r="U129" s="522" t="str">
        <f>INDEX('Rate Card'!$E:$E,MATCH(服务费底表!$T129,'Rate Card'!$F:$F,0))</f>
        <v>临床试验助理</v>
      </c>
      <c r="V129" s="331">
        <f>INDEX('Rate Card'!$J:$J,MATCH($T129,'Rate Card'!$F:$F,0))</f>
        <v>220</v>
      </c>
      <c r="W129" s="523">
        <f t="shared" si="119"/>
        <v>220</v>
      </c>
      <c r="X129" s="523">
        <f t="shared" si="120"/>
        <v>1</v>
      </c>
      <c r="Y129" s="327" cm="1">
        <f t="array" ref="Y129">_xlfn.IFS(报价场景=服务费底表!$AJ$2,服务费底表!$AJ129,报价场景=服务费底表!$AP$2,服务费底表!$AP129,报价场景=服务费底表!$AK$2,服务费底表!$AK129,报价场景=服务费底表!$AL$2,服务费底表!$AL129,报价场景=服务费底表!$AM$2,服务费底表!$AM129,报价场景=服务费底表!$AN$2,服务费底表!$AN129,报价场景=服务费底表!$AQ$2,服务费底表!$AQ129,报价场景=服务费底表!$AO$2,服务费底表!$AO129)</f>
        <v>1</v>
      </c>
      <c r="Z129" s="327"/>
      <c r="AA129" s="332">
        <f t="shared" si="133"/>
        <v>1</v>
      </c>
      <c r="AB129" s="333">
        <f t="shared" si="142"/>
        <v>0</v>
      </c>
      <c r="AC129" s="328">
        <f t="shared" si="143"/>
        <v>0</v>
      </c>
      <c r="AD129" s="334">
        <f t="shared" si="134"/>
        <v>0</v>
      </c>
      <c r="AE129" s="334">
        <f>$AB129*(1-INDEX(项目参数!$D$5:$D$14,MATCH(服务费底表!$S129,项目参数!$B$5:$B$14,0)))</f>
        <v>0</v>
      </c>
      <c r="AF129" s="334">
        <f>$AD129*INDEX(项目参数!$D$5:$D$14,MATCH(服务费底表!$S129,项目参数!$B$5:$B$14,0))</f>
        <v>0</v>
      </c>
      <c r="AG129" s="334">
        <f t="shared" si="135"/>
        <v>0</v>
      </c>
      <c r="AH129" s="328"/>
      <c r="AI129" s="328" t="s">
        <v>597</v>
      </c>
      <c r="AJ129" s="327">
        <v>1</v>
      </c>
      <c r="AK129" s="327">
        <v>1</v>
      </c>
      <c r="AL129" s="327">
        <v>1</v>
      </c>
      <c r="AM129" s="327">
        <v>1</v>
      </c>
      <c r="AN129" s="327">
        <v>1</v>
      </c>
      <c r="AO129" s="327">
        <f t="shared" si="96"/>
        <v>1</v>
      </c>
      <c r="AP129" s="327">
        <v>1</v>
      </c>
      <c r="AQ129" s="327">
        <f t="shared" si="127"/>
        <v>1.5</v>
      </c>
      <c r="AR129" s="338"/>
      <c r="AS129" s="327">
        <f t="shared" si="144"/>
        <v>0</v>
      </c>
      <c r="AT129" s="327">
        <f t="shared" si="145"/>
        <v>0</v>
      </c>
      <c r="AU129" s="523">
        <v>1</v>
      </c>
      <c r="AV129" s="328"/>
      <c r="AW129" s="328"/>
      <c r="AX129" s="332">
        <v>1</v>
      </c>
      <c r="AY129" s="328" t="b">
        <f t="shared" si="85"/>
        <v>1</v>
      </c>
      <c r="AZ129" s="328" t="b">
        <f t="shared" si="86"/>
        <v>0</v>
      </c>
    </row>
    <row r="130" ht="27" customHeight="1" spans="1:52">
      <c r="A130" s="326" t="str">
        <f>INDEX('Rate Card'!$A:$A,MATCH(服务费底表!$T130,'Rate Card'!$F:$F,0))</f>
        <v>临床运营</v>
      </c>
      <c r="B130" s="327" t="str">
        <f>INDEX(二三级标准!$G:$G,MATCH(服务费底表!$K130,二三级标准!B:B,0))</f>
        <v>次</v>
      </c>
      <c r="C130" s="327">
        <f>INDEX(服务费明细!$E:$E,MATCH(服务费底表!$K130,服务费明细!$B:$B,0))</f>
        <v>0</v>
      </c>
      <c r="D130" s="327" t="str">
        <f t="shared" si="140"/>
        <v>A029CRA</v>
      </c>
      <c r="E130" s="327" t="str">
        <f t="shared" si="141"/>
        <v>T0076CRA</v>
      </c>
      <c r="F130" s="328"/>
      <c r="G130" s="328" t="s">
        <v>684</v>
      </c>
      <c r="H130" s="326" t="str">
        <f>INDEX('Rate Card'!$B:$B,MATCH(服务费底表!$T130,'Rate Card'!$F:$F,0))</f>
        <v>临床运营</v>
      </c>
      <c r="I130" s="328" t="s">
        <v>919</v>
      </c>
      <c r="J130" s="328" t="str">
        <f>INDEX(二三级标准!$Q:$Q,MATCH(服务费底表!I130,二三级标准!$O:$O,0))</f>
        <v>召开研究者会议</v>
      </c>
      <c r="K130" s="328" t="s">
        <v>161</v>
      </c>
      <c r="L130" s="328" t="str">
        <f>INDEX(二三级标准!C:C,MATCH(服务费底表!K130,二三级标准!$B:$B,0))</f>
        <v>召开中期研究者会</v>
      </c>
      <c r="M130" s="328" t="s">
        <v>1249</v>
      </c>
      <c r="N130" s="328" t="str">
        <f>INDEX(二三级标准!$M:$M,MATCH(服务费底表!$M130,二三级标准!$L:$L,0))</f>
        <v>参加中期研究者会</v>
      </c>
      <c r="O130" s="328"/>
      <c r="P130" s="327">
        <f>IF(R130=1,INDEX(服务费明细!$E:$E,MATCH(服务费底表!$K130,服务费明细!$B:$B,0)),0)</f>
        <v>0</v>
      </c>
      <c r="Q130" s="328" t="s">
        <v>1178</v>
      </c>
      <c r="R130" s="520">
        <f>IF(AND(召开中期研究者会YN=1,临床监查YN=1),1,0)</f>
        <v>0</v>
      </c>
      <c r="S130" s="525" t="str">
        <f>INDEX('Rate Card'!$D:$D,MATCH(服务费底表!$T130,'Rate Card'!F:F,0))</f>
        <v>临床监查</v>
      </c>
      <c r="T130" s="328" t="s">
        <v>595</v>
      </c>
      <c r="U130" s="522" t="str">
        <f>INDEX('Rate Card'!$E:$E,MATCH(服务费底表!$T130,'Rate Card'!$F:$F,0))</f>
        <v>临床监查员</v>
      </c>
      <c r="V130" s="331">
        <f>INDEX('Rate Card'!$J:$J,MATCH($T130,'Rate Card'!$F:$F,0))</f>
        <v>340</v>
      </c>
      <c r="W130" s="523">
        <f t="shared" si="119"/>
        <v>340</v>
      </c>
      <c r="X130" s="523">
        <f t="shared" si="120"/>
        <v>2</v>
      </c>
      <c r="Y130" s="327" cm="1">
        <f t="array" ref="Y130">_xlfn.IFS(报价场景=服务费底表!$AJ$2,服务费底表!$AJ130,报价场景=服务费底表!$AP$2,服务费底表!$AP130,报价场景=服务费底表!$AK$2,服务费底表!$AK130,报价场景=服务费底表!$AL$2,服务费底表!$AL130,报价场景=服务费底表!$AM$2,服务费底表!$AM130,报价场景=服务费底表!$AN$2,服务费底表!$AN130,报价场景=服务费底表!$AQ$2,服务费底表!$AQ130,报价场景=服务费底表!$AO$2,服务费底表!$AO130)</f>
        <v>2</v>
      </c>
      <c r="Z130" s="327"/>
      <c r="AA130" s="332">
        <f t="shared" si="133"/>
        <v>2</v>
      </c>
      <c r="AB130" s="333">
        <f t="shared" si="142"/>
        <v>0</v>
      </c>
      <c r="AC130" s="328">
        <f t="shared" si="143"/>
        <v>0</v>
      </c>
      <c r="AD130" s="334">
        <f t="shared" ref="AD130:AD152" si="146">AC130*V130</f>
        <v>0</v>
      </c>
      <c r="AE130" s="334">
        <f>$AB130*(1-INDEX(项目参数!$D$5:$D$14,MATCH(服务费底表!$S130,项目参数!$B$5:$B$14,0)))</f>
        <v>0</v>
      </c>
      <c r="AF130" s="334">
        <f>$AD130*INDEX(项目参数!$D$5:$D$14,MATCH(服务费底表!$S130,项目参数!$B$5:$B$14,0))</f>
        <v>0</v>
      </c>
      <c r="AG130" s="334">
        <f t="shared" si="135"/>
        <v>0</v>
      </c>
      <c r="AH130" s="328"/>
      <c r="AI130" s="328" t="s">
        <v>595</v>
      </c>
      <c r="AJ130" s="327">
        <f>1*CRA人数</f>
        <v>2</v>
      </c>
      <c r="AK130" s="327">
        <f>1*CRA人数</f>
        <v>2</v>
      </c>
      <c r="AL130" s="327">
        <f>1*CRA人数</f>
        <v>2</v>
      </c>
      <c r="AM130" s="327">
        <f>1*CRA人数</f>
        <v>2</v>
      </c>
      <c r="AN130" s="327">
        <f>1*CRA人数</f>
        <v>2</v>
      </c>
      <c r="AO130" s="327">
        <f t="shared" si="96"/>
        <v>2</v>
      </c>
      <c r="AP130" s="327">
        <v>1</v>
      </c>
      <c r="AQ130" s="327">
        <f t="shared" si="127"/>
        <v>3</v>
      </c>
      <c r="AR130" s="338"/>
      <c r="AS130" s="327">
        <f t="shared" si="144"/>
        <v>0</v>
      </c>
      <c r="AT130" s="327">
        <f t="shared" si="145"/>
        <v>0</v>
      </c>
      <c r="AU130" s="523">
        <v>2</v>
      </c>
      <c r="AV130" s="328"/>
      <c r="AW130" s="328"/>
      <c r="AX130" s="332">
        <v>2</v>
      </c>
      <c r="AY130" s="328" t="b">
        <f t="shared" si="85"/>
        <v>1</v>
      </c>
      <c r="AZ130" s="328" t="b">
        <f t="shared" si="86"/>
        <v>0</v>
      </c>
    </row>
    <row r="131" ht="27" customHeight="1" spans="1:52">
      <c r="A131" s="326" t="str">
        <f>INDEX('Rate Card'!$A:$A,MATCH(服务费底表!$T131,'Rate Card'!$F:$F,0))</f>
        <v>医学</v>
      </c>
      <c r="B131" s="327" t="str">
        <f>INDEX(二三级标准!$G:$G,MATCH(服务费底表!$K131,二三级标准!B:B,0))</f>
        <v>次</v>
      </c>
      <c r="C131" s="327">
        <f>INDEX(服务费明细!$E:$E,MATCH(服务费底表!$K131,服务费明细!$B:$B,0))</f>
        <v>0</v>
      </c>
      <c r="D131" s="327" t="str">
        <f t="shared" si="140"/>
        <v>A029MM</v>
      </c>
      <c r="E131" s="327" t="str">
        <f t="shared" si="141"/>
        <v>T0076MM</v>
      </c>
      <c r="F131" s="328"/>
      <c r="G131" s="328" t="s">
        <v>684</v>
      </c>
      <c r="H131" s="326" t="str">
        <f>INDEX('Rate Card'!$B:$B,MATCH(服务费底表!$T131,'Rate Card'!$F:$F,0))</f>
        <v>医学</v>
      </c>
      <c r="I131" s="328" t="s">
        <v>919</v>
      </c>
      <c r="J131" s="328" t="str">
        <f>INDEX(二三级标准!$Q:$Q,MATCH(服务费底表!I131,二三级标准!$O:$O,0))</f>
        <v>召开研究者会议</v>
      </c>
      <c r="K131" s="328" t="s">
        <v>161</v>
      </c>
      <c r="L131" s="328" t="str">
        <f>INDEX(二三级标准!C:C,MATCH(服务费底表!K131,二三级标准!$B:$B,0))</f>
        <v>召开中期研究者会</v>
      </c>
      <c r="M131" s="328" t="s">
        <v>1249</v>
      </c>
      <c r="N131" s="328" t="str">
        <f>INDEX(二三级标准!$M:$M,MATCH(服务费底表!$M131,二三级标准!$L:$L,0))</f>
        <v>参加中期研究者会</v>
      </c>
      <c r="O131" s="328"/>
      <c r="P131" s="327">
        <f>IF(R131=1,INDEX(服务费明细!$E:$E,MATCH(服务费底表!$K131,服务费明细!$B:$B,0)),0)</f>
        <v>0</v>
      </c>
      <c r="Q131" s="328" t="s">
        <v>1178</v>
      </c>
      <c r="R131" s="520">
        <f>IF(AND(召开中期研究者会YN=1,医学监查YN=1),1,0)</f>
        <v>0</v>
      </c>
      <c r="S131" s="521" t="str">
        <f>IF(AND(H131="医学",OR(I131=二三级标准!$A$4,I131=二三级标准!$A$153)),"医学撰写","医学监查")</f>
        <v>医学监查</v>
      </c>
      <c r="T131" s="328" t="s">
        <v>615</v>
      </c>
      <c r="U131" s="522" t="str">
        <f>INDEX('Rate Card'!$E:$E,MATCH(服务费底表!$T131,'Rate Card'!$F:$F,0))</f>
        <v>医学经理</v>
      </c>
      <c r="V131" s="331">
        <f>INDEX('Rate Card'!$J:$J,MATCH($T131,'Rate Card'!$F:$F,0))</f>
        <v>650</v>
      </c>
      <c r="W131" s="523">
        <f t="shared" si="119"/>
        <v>650</v>
      </c>
      <c r="X131" s="523">
        <f t="shared" si="120"/>
        <v>1</v>
      </c>
      <c r="Y131" s="327" cm="1">
        <f t="array" ref="Y131">_xlfn.IFS(报价场景=服务费底表!$AJ$2,服务费底表!$AJ131,报价场景=服务费底表!$AP$2,服务费底表!$AP131,报价场景=服务费底表!$AK$2,服务费底表!$AK131,报价场景=服务费底表!$AL$2,服务费底表!$AL131,报价场景=服务费底表!$AM$2,服务费底表!$AM131,报价场景=服务费底表!$AN$2,服务费底表!$AN131,报价场景=服务费底表!$AQ$2,服务费底表!$AQ131,报价场景=服务费底表!$AO$2,服务费底表!$AO131)</f>
        <v>1</v>
      </c>
      <c r="Z131" s="327"/>
      <c r="AA131" s="332">
        <f t="shared" si="133"/>
        <v>1</v>
      </c>
      <c r="AB131" s="333">
        <f t="shared" si="142"/>
        <v>0</v>
      </c>
      <c r="AC131" s="328">
        <f t="shared" si="143"/>
        <v>0</v>
      </c>
      <c r="AD131" s="334">
        <f t="shared" si="146"/>
        <v>0</v>
      </c>
      <c r="AE131" s="334">
        <f>$AB131*(1-INDEX(项目参数!$D$5:$D$14,MATCH(服务费底表!$S131,项目参数!$B$5:$B$14,0)))</f>
        <v>0</v>
      </c>
      <c r="AF131" s="334">
        <f>$AD131*INDEX(项目参数!$D$5:$D$14,MATCH(服务费底表!$S131,项目参数!$B$5:$B$14,0))</f>
        <v>0</v>
      </c>
      <c r="AG131" s="334">
        <f t="shared" si="135"/>
        <v>0</v>
      </c>
      <c r="AH131" s="328"/>
      <c r="AI131" s="328" t="s">
        <v>615</v>
      </c>
      <c r="AJ131" s="327">
        <v>1</v>
      </c>
      <c r="AK131" s="327">
        <v>1</v>
      </c>
      <c r="AL131" s="327">
        <v>1</v>
      </c>
      <c r="AM131" s="327">
        <v>1</v>
      </c>
      <c r="AN131" s="327">
        <v>1</v>
      </c>
      <c r="AO131" s="327">
        <f t="shared" si="96"/>
        <v>1</v>
      </c>
      <c r="AP131" s="327">
        <v>1</v>
      </c>
      <c r="AQ131" s="327">
        <f t="shared" si="127"/>
        <v>1.5</v>
      </c>
      <c r="AR131" s="338"/>
      <c r="AS131" s="327">
        <f t="shared" si="144"/>
        <v>0</v>
      </c>
      <c r="AT131" s="327">
        <f t="shared" si="145"/>
        <v>0</v>
      </c>
      <c r="AU131" s="523">
        <v>1</v>
      </c>
      <c r="AV131" s="328"/>
      <c r="AW131" s="328"/>
      <c r="AX131" s="332">
        <v>1</v>
      </c>
      <c r="AY131" s="328" t="b">
        <f t="shared" si="85"/>
        <v>1</v>
      </c>
      <c r="AZ131" s="328" t="b">
        <f t="shared" si="86"/>
        <v>0</v>
      </c>
    </row>
    <row r="132" ht="27" customHeight="1" spans="1:52">
      <c r="A132" s="326" t="str">
        <f>INDEX('Rate Card'!$A:$A,MATCH(服务费底表!$T132,'Rate Card'!$F:$F,0))</f>
        <v>临床运营</v>
      </c>
      <c r="B132" s="327" t="str">
        <f>INDEX(二三级标准!$G:$G,MATCH(服务费底表!$K132,二三级标准!B:B,0))</f>
        <v>次</v>
      </c>
      <c r="C132" s="327">
        <f>INDEX(服务费明细!$E:$E,MATCH(服务费底表!$K132,服务费明细!$B:$B,0))</f>
        <v>0</v>
      </c>
      <c r="D132" s="327" t="str">
        <f t="shared" si="140"/>
        <v>A030PM</v>
      </c>
      <c r="E132" s="327" t="str">
        <f t="shared" si="141"/>
        <v>T0077PM</v>
      </c>
      <c r="F132" s="328"/>
      <c r="G132" s="328" t="s">
        <v>684</v>
      </c>
      <c r="H132" s="326" t="str">
        <f>INDEX('Rate Card'!$B:$B,MATCH(服务费底表!$T132,'Rate Card'!$F:$F,0))</f>
        <v>临床运营</v>
      </c>
      <c r="I132" s="328" t="s">
        <v>919</v>
      </c>
      <c r="J132" s="328" t="str">
        <f>INDEX(二三级标准!$Q:$Q,MATCH(服务费底表!I132,二三级标准!$O:$O,0))</f>
        <v>召开研究者会议</v>
      </c>
      <c r="K132" s="328" t="s">
        <v>163</v>
      </c>
      <c r="L132" s="328" t="str">
        <f>INDEX(二三级标准!C:C,MATCH(服务费底表!K132,二三级标准!$B:$B,0))</f>
        <v>召开研究总结会</v>
      </c>
      <c r="M132" s="328" t="s">
        <v>1250</v>
      </c>
      <c r="N132" s="328" t="str">
        <f>INDEX(二三级标准!$M:$M,MATCH(服务费底表!$M132,二三级标准!$L:$L,0))</f>
        <v>准备研究总结会</v>
      </c>
      <c r="O132" s="328"/>
      <c r="P132" s="327">
        <f>IF(R132=1,INDEX(服务费明细!$E:$E,MATCH(服务费底表!$K132,服务费明细!$B:$B,0)),0)</f>
        <v>0</v>
      </c>
      <c r="Q132" s="328" t="s">
        <v>1178</v>
      </c>
      <c r="R132" s="520">
        <f>IF(AND(召开研究总结会YN=1,项目管理YN=1),1,0)</f>
        <v>0</v>
      </c>
      <c r="S132" s="525" t="str">
        <f>INDEX('Rate Card'!$D:$D,MATCH(服务费底表!$T132,'Rate Card'!F:F,0))</f>
        <v>项目管理</v>
      </c>
      <c r="T132" s="328" t="s">
        <v>599</v>
      </c>
      <c r="U132" s="522" t="str">
        <f>INDEX('Rate Card'!$E:$E,MATCH(服务费底表!$T132,'Rate Card'!$F:$F,0))</f>
        <v>临床项目经理</v>
      </c>
      <c r="V132" s="331">
        <f>INDEX('Rate Card'!$J:$J,MATCH($T132,'Rate Card'!$F:$F,0))</f>
        <v>650</v>
      </c>
      <c r="W132" s="523">
        <f t="shared" si="119"/>
        <v>650</v>
      </c>
      <c r="X132" s="523">
        <f t="shared" si="120"/>
        <v>4</v>
      </c>
      <c r="Y132" s="327" cm="1">
        <f t="array" ref="Y132">_xlfn.IFS(报价场景=服务费底表!$AJ$2,服务费底表!$AJ132,报价场景=服务费底表!$AP$2,服务费底表!$AP132,报价场景=服务费底表!$AK$2,服务费底表!$AK132,报价场景=服务费底表!$AL$2,服务费底表!$AL132,报价场景=服务费底表!$AM$2,服务费底表!$AM132,报价场景=服务费底表!$AN$2,服务费底表!$AN132,报价场景=服务费底表!$AQ$2,服务费底表!$AQ132,报价场景=服务费底表!$AO$2,服务费底表!$AO132)</f>
        <v>4</v>
      </c>
      <c r="Z132" s="327"/>
      <c r="AA132" s="332">
        <f t="shared" si="133"/>
        <v>4</v>
      </c>
      <c r="AB132" s="333">
        <f t="shared" si="142"/>
        <v>0</v>
      </c>
      <c r="AC132" s="328">
        <f t="shared" si="143"/>
        <v>0</v>
      </c>
      <c r="AD132" s="334">
        <f t="shared" si="146"/>
        <v>0</v>
      </c>
      <c r="AE132" s="334">
        <f>$AB132*(1-INDEX(项目参数!$D$5:$D$14,MATCH(服务费底表!$S132,项目参数!$B$5:$B$14,0)))</f>
        <v>0</v>
      </c>
      <c r="AF132" s="334">
        <f>$AD132*INDEX(项目参数!$D$5:$D$14,MATCH(服务费底表!$S132,项目参数!$B$5:$B$14,0))</f>
        <v>0</v>
      </c>
      <c r="AG132" s="334">
        <f t="shared" si="135"/>
        <v>0</v>
      </c>
      <c r="AH132" s="328"/>
      <c r="AI132" s="328" t="s">
        <v>599</v>
      </c>
      <c r="AJ132" s="327">
        <v>4</v>
      </c>
      <c r="AK132" s="327">
        <f t="shared" ref="AK131:AK135" si="147">AJ132*1.5</f>
        <v>6</v>
      </c>
      <c r="AL132" s="327">
        <f t="shared" ref="AL132:AL134" si="148">AJ132*0.7</f>
        <v>2.8</v>
      </c>
      <c r="AM132" s="327">
        <f t="shared" ref="AM132:AM134" si="149">AJ132*0.7</f>
        <v>2.8</v>
      </c>
      <c r="AN132" s="327">
        <f t="shared" ref="AN132:AN134" si="150">AJ132</f>
        <v>4</v>
      </c>
      <c r="AO132" s="327">
        <f t="shared" si="96"/>
        <v>2.8</v>
      </c>
      <c r="AP132" s="327">
        <v>4</v>
      </c>
      <c r="AQ132" s="327">
        <f t="shared" si="127"/>
        <v>6</v>
      </c>
      <c r="AR132" s="338"/>
      <c r="AS132" s="327">
        <f t="shared" si="144"/>
        <v>0</v>
      </c>
      <c r="AT132" s="327">
        <f t="shared" si="145"/>
        <v>0</v>
      </c>
      <c r="AU132" s="523">
        <v>4</v>
      </c>
      <c r="AV132" s="328"/>
      <c r="AW132" s="328"/>
      <c r="AX132" s="332">
        <v>4</v>
      </c>
      <c r="AY132" s="328" t="b">
        <f t="shared" ref="AY132:AY195" si="151">IF(AX132=AJ132,TRUE,FALSE)</f>
        <v>1</v>
      </c>
      <c r="AZ132" s="328" t="b">
        <f t="shared" ref="AZ132:AZ195" si="152">IF(K132&lt;&gt;K131,IF(AZ131=TRUE,FALSE,TRUE),AZ131)</f>
        <v>1</v>
      </c>
    </row>
    <row r="133" ht="27" customHeight="1" spans="1:52">
      <c r="A133" s="326" t="str">
        <f>INDEX('Rate Card'!$A:$A,MATCH(服务费底表!$T133,'Rate Card'!$F:$F,0))</f>
        <v>临床运营</v>
      </c>
      <c r="B133" s="327" t="str">
        <f>INDEX(二三级标准!$G:$G,MATCH(服务费底表!$K133,二三级标准!B:B,0))</f>
        <v>次</v>
      </c>
      <c r="C133" s="327">
        <f>INDEX(服务费明细!$E:$E,MATCH(服务费底表!$K133,服务费明细!$B:$B,0))</f>
        <v>0</v>
      </c>
      <c r="D133" s="327" t="str">
        <f t="shared" si="140"/>
        <v>A030CRA</v>
      </c>
      <c r="E133" s="327" t="str">
        <f t="shared" si="141"/>
        <v>T0077CRA</v>
      </c>
      <c r="F133" s="328"/>
      <c r="G133" s="328" t="s">
        <v>684</v>
      </c>
      <c r="H133" s="326" t="str">
        <f>INDEX('Rate Card'!$B:$B,MATCH(服务费底表!$T133,'Rate Card'!$F:$F,0))</f>
        <v>临床运营</v>
      </c>
      <c r="I133" s="328" t="s">
        <v>919</v>
      </c>
      <c r="J133" s="328" t="str">
        <f>INDEX(二三级标准!$Q:$Q,MATCH(服务费底表!I133,二三级标准!$O:$O,0))</f>
        <v>召开研究者会议</v>
      </c>
      <c r="K133" s="328" t="s">
        <v>163</v>
      </c>
      <c r="L133" s="328" t="str">
        <f>INDEX(二三级标准!C:C,MATCH(服务费底表!K133,二三级标准!$B:$B,0))</f>
        <v>召开研究总结会</v>
      </c>
      <c r="M133" s="328" t="s">
        <v>1250</v>
      </c>
      <c r="N133" s="328" t="str">
        <f>INDEX(二三级标准!$M:$M,MATCH(服务费底表!$M133,二三级标准!$L:$L,0))</f>
        <v>准备研究总结会</v>
      </c>
      <c r="O133" s="328"/>
      <c r="P133" s="327">
        <f>IF(R133=1,INDEX(服务费明细!$E:$E,MATCH(服务费底表!$K133,服务费明细!$B:$B,0)),0)</f>
        <v>0</v>
      </c>
      <c r="Q133" s="328" t="s">
        <v>1178</v>
      </c>
      <c r="R133" s="520">
        <f>IF(AND(召开研究总结会YN=1,临床监查YN=1),1,0)</f>
        <v>0</v>
      </c>
      <c r="S133" s="525" t="str">
        <f>INDEX('Rate Card'!$D:$D,MATCH(服务费底表!$T133,'Rate Card'!F:F,0))</f>
        <v>临床监查</v>
      </c>
      <c r="T133" s="328" t="s">
        <v>595</v>
      </c>
      <c r="U133" s="522" t="str">
        <f>INDEX('Rate Card'!$E:$E,MATCH(服务费底表!$T133,'Rate Card'!$F:$F,0))</f>
        <v>临床监查员</v>
      </c>
      <c r="V133" s="331">
        <f>INDEX('Rate Card'!$J:$J,MATCH($T133,'Rate Card'!$F:$F,0))</f>
        <v>340</v>
      </c>
      <c r="W133" s="523">
        <f t="shared" si="119"/>
        <v>340</v>
      </c>
      <c r="X133" s="523">
        <f t="shared" si="120"/>
        <v>6</v>
      </c>
      <c r="Y133" s="327" cm="1">
        <f t="array" ref="Y133">_xlfn.IFS(报价场景=服务费底表!$AJ$2,服务费底表!$AJ133,报价场景=服务费底表!$AP$2,服务费底表!$AP133,报价场景=服务费底表!$AK$2,服务费底表!$AK133,报价场景=服务费底表!$AL$2,服务费底表!$AL133,报价场景=服务费底表!$AM$2,服务费底表!$AM133,报价场景=服务费底表!$AN$2,服务费底表!$AN133,报价场景=服务费底表!$AQ$2,服务费底表!$AQ133,报价场景=服务费底表!$AO$2,服务费底表!$AO133)</f>
        <v>6</v>
      </c>
      <c r="Z133" s="327"/>
      <c r="AA133" s="332">
        <f t="shared" si="133"/>
        <v>6</v>
      </c>
      <c r="AB133" s="333">
        <f t="shared" si="142"/>
        <v>0</v>
      </c>
      <c r="AC133" s="328">
        <f t="shared" si="143"/>
        <v>0</v>
      </c>
      <c r="AD133" s="334">
        <f t="shared" si="146"/>
        <v>0</v>
      </c>
      <c r="AE133" s="334">
        <f>$AB133*(1-INDEX(项目参数!$D$5:$D$14,MATCH(服务费底表!$S133,项目参数!$B$5:$B$14,0)))</f>
        <v>0</v>
      </c>
      <c r="AF133" s="334">
        <f>$AD133*INDEX(项目参数!$D$5:$D$14,MATCH(服务费底表!$S133,项目参数!$B$5:$B$14,0))</f>
        <v>0</v>
      </c>
      <c r="AG133" s="334">
        <f t="shared" si="135"/>
        <v>0</v>
      </c>
      <c r="AH133" s="328"/>
      <c r="AI133" s="328" t="s">
        <v>595</v>
      </c>
      <c r="AJ133" s="327">
        <f>IF(中期IM形式="线下",1.5*启动中心数,0.5*启动中心数)</f>
        <v>6</v>
      </c>
      <c r="AK133" s="327">
        <f t="shared" si="147"/>
        <v>9</v>
      </c>
      <c r="AL133" s="327">
        <f t="shared" si="148"/>
        <v>4.2</v>
      </c>
      <c r="AM133" s="327">
        <f t="shared" si="149"/>
        <v>4.2</v>
      </c>
      <c r="AN133" s="327">
        <f t="shared" si="150"/>
        <v>6</v>
      </c>
      <c r="AO133" s="327">
        <f t="shared" si="96"/>
        <v>4.2</v>
      </c>
      <c r="AP133" s="327">
        <v>1.5</v>
      </c>
      <c r="AQ133" s="327">
        <f t="shared" si="127"/>
        <v>9</v>
      </c>
      <c r="AR133" s="338"/>
      <c r="AS133" s="327">
        <f t="shared" si="144"/>
        <v>0</v>
      </c>
      <c r="AT133" s="327">
        <f t="shared" si="145"/>
        <v>0</v>
      </c>
      <c r="AU133" s="523">
        <v>6</v>
      </c>
      <c r="AV133" s="328"/>
      <c r="AW133" s="328"/>
      <c r="AX133" s="332">
        <v>6</v>
      </c>
      <c r="AY133" s="328" t="b">
        <f t="shared" si="151"/>
        <v>1</v>
      </c>
      <c r="AZ133" s="328" t="b">
        <f t="shared" si="152"/>
        <v>1</v>
      </c>
    </row>
    <row r="134" ht="27" customHeight="1" spans="1:52">
      <c r="A134" s="326" t="str">
        <f>INDEX('Rate Card'!$A:$A,MATCH(服务费底表!$T134,'Rate Card'!$F:$F,0))</f>
        <v>临床运营</v>
      </c>
      <c r="B134" s="327" t="str">
        <f>INDEX(二三级标准!$G:$G,MATCH(服务费底表!$K134,二三级标准!B:B,0))</f>
        <v>次</v>
      </c>
      <c r="C134" s="327">
        <f>INDEX(服务费明细!$E:$E,MATCH(服务费底表!$K134,服务费明细!$B:$B,0))</f>
        <v>0</v>
      </c>
      <c r="D134" s="327" t="str">
        <f t="shared" si="140"/>
        <v>A030CTA</v>
      </c>
      <c r="E134" s="327" t="str">
        <f t="shared" si="141"/>
        <v>T0077CTA</v>
      </c>
      <c r="F134" s="328"/>
      <c r="G134" s="328" t="s">
        <v>684</v>
      </c>
      <c r="H134" s="326" t="str">
        <f>INDEX('Rate Card'!$B:$B,MATCH(服务费底表!$T134,'Rate Card'!$F:$F,0))</f>
        <v>临床运营</v>
      </c>
      <c r="I134" s="328" t="s">
        <v>919</v>
      </c>
      <c r="J134" s="328" t="str">
        <f>INDEX(二三级标准!$Q:$Q,MATCH(服务费底表!I134,二三级标准!$O:$O,0))</f>
        <v>召开研究者会议</v>
      </c>
      <c r="K134" s="328" t="s">
        <v>163</v>
      </c>
      <c r="L134" s="328" t="str">
        <f>INDEX(二三级标准!C:C,MATCH(服务费底表!K134,二三级标准!$B:$B,0))</f>
        <v>召开研究总结会</v>
      </c>
      <c r="M134" s="328" t="s">
        <v>1250</v>
      </c>
      <c r="N134" s="328" t="str">
        <f>INDEX(二三级标准!$M:$M,MATCH(服务费底表!$M134,二三级标准!$L:$L,0))</f>
        <v>准备研究总结会</v>
      </c>
      <c r="O134" s="328"/>
      <c r="P134" s="327">
        <f>IF(R134=1,INDEX(服务费明细!$E:$E,MATCH(服务费底表!$K134,服务费明细!$B:$B,0)),0)</f>
        <v>0</v>
      </c>
      <c r="Q134" s="328" t="s">
        <v>1178</v>
      </c>
      <c r="R134" s="520">
        <f>IF(AND(召开研究总结会YN=1,临床监查YN=1),1,0)</f>
        <v>0</v>
      </c>
      <c r="S134" s="525" t="str">
        <f>INDEX('Rate Card'!$D:$D,MATCH(服务费底表!$T134,'Rate Card'!F:F,0))</f>
        <v>临床监查</v>
      </c>
      <c r="T134" s="328" t="s">
        <v>597</v>
      </c>
      <c r="U134" s="522" t="str">
        <f>INDEX('Rate Card'!$E:$E,MATCH(服务费底表!$T134,'Rate Card'!$F:$F,0))</f>
        <v>临床试验助理</v>
      </c>
      <c r="V134" s="331">
        <f>INDEX('Rate Card'!$J:$J,MATCH($T134,'Rate Card'!$F:$F,0))</f>
        <v>220</v>
      </c>
      <c r="W134" s="523">
        <f t="shared" si="119"/>
        <v>220</v>
      </c>
      <c r="X134" s="523">
        <f t="shared" si="120"/>
        <v>4</v>
      </c>
      <c r="Y134" s="327" cm="1">
        <f t="array" ref="Y134">_xlfn.IFS(报价场景=服务费底表!$AJ$2,服务费底表!$AJ134,报价场景=服务费底表!$AP$2,服务费底表!$AP134,报价场景=服务费底表!$AK$2,服务费底表!$AK134,报价场景=服务费底表!$AL$2,服务费底表!$AL134,报价场景=服务费底表!$AM$2,服务费底表!$AM134,报价场景=服务费底表!$AN$2,服务费底表!$AN134,报价场景=服务费底表!$AQ$2,服务费底表!$AQ134,报价场景=服务费底表!$AO$2,服务费底表!$AO134)</f>
        <v>4</v>
      </c>
      <c r="Z134" s="327"/>
      <c r="AA134" s="332">
        <f t="shared" si="133"/>
        <v>4</v>
      </c>
      <c r="AB134" s="333">
        <f t="shared" si="142"/>
        <v>0</v>
      </c>
      <c r="AC134" s="328">
        <f t="shared" si="143"/>
        <v>0</v>
      </c>
      <c r="AD134" s="334">
        <f t="shared" si="146"/>
        <v>0</v>
      </c>
      <c r="AE134" s="334">
        <f>$AB134*(1-INDEX(项目参数!$D$5:$D$14,MATCH(服务费底表!$S134,项目参数!$B$5:$B$14,0)))</f>
        <v>0</v>
      </c>
      <c r="AF134" s="334">
        <f>$AD134*INDEX(项目参数!$D$5:$D$14,MATCH(服务费底表!$S134,项目参数!$B$5:$B$14,0))</f>
        <v>0</v>
      </c>
      <c r="AG134" s="334">
        <f t="shared" si="135"/>
        <v>0</v>
      </c>
      <c r="AH134" s="328"/>
      <c r="AI134" s="328" t="s">
        <v>597</v>
      </c>
      <c r="AJ134" s="327">
        <f t="array" ref="AJ134">_xlfn.IFS(AND(总结IM形式="线下",启动中心数&lt;=5),4,AND(总结IM形式="线下",启动中心数&lt;=10),8,AND(总结IM形式="线下",启动中心数&gt;10),12,总结IM形式&lt;&gt;"线下",2)</f>
        <v>4</v>
      </c>
      <c r="AK134" s="327">
        <f t="shared" si="147"/>
        <v>6</v>
      </c>
      <c r="AL134" s="327">
        <f t="shared" si="148"/>
        <v>2.8</v>
      </c>
      <c r="AM134" s="327">
        <f t="shared" si="149"/>
        <v>2.8</v>
      </c>
      <c r="AN134" s="327">
        <f t="shared" si="150"/>
        <v>4</v>
      </c>
      <c r="AO134" s="327">
        <f t="shared" ref="AO134:AO149" si="153">AL134</f>
        <v>2.8</v>
      </c>
      <c r="AP134" s="327">
        <v>4</v>
      </c>
      <c r="AQ134" s="327">
        <f t="shared" si="127"/>
        <v>6</v>
      </c>
      <c r="AR134" s="338"/>
      <c r="AS134" s="327">
        <f t="shared" si="144"/>
        <v>0</v>
      </c>
      <c r="AT134" s="327">
        <f t="shared" si="145"/>
        <v>0</v>
      </c>
      <c r="AU134" s="523">
        <v>4</v>
      </c>
      <c r="AV134" s="328"/>
      <c r="AW134" s="328"/>
      <c r="AX134" s="332">
        <v>4</v>
      </c>
      <c r="AY134" s="328" t="b">
        <f t="shared" si="151"/>
        <v>1</v>
      </c>
      <c r="AZ134" s="328" t="b">
        <f t="shared" si="152"/>
        <v>1</v>
      </c>
    </row>
    <row r="135" ht="27" customHeight="1" spans="1:52">
      <c r="A135" s="326" t="str">
        <f>INDEX('Rate Card'!$A:$A,MATCH(服务费底表!$T135,'Rate Card'!$F:$F,0))</f>
        <v>医学</v>
      </c>
      <c r="B135" s="327" t="str">
        <f>INDEX(二三级标准!$G:$G,MATCH(服务费底表!$K135,二三级标准!B:B,0))</f>
        <v>次</v>
      </c>
      <c r="C135" s="327">
        <f>INDEX(服务费明细!$E:$E,MATCH(服务费底表!$K135,服务费明细!$B:$B,0))</f>
        <v>0</v>
      </c>
      <c r="D135" s="327" t="str">
        <f t="shared" si="140"/>
        <v>A030MM</v>
      </c>
      <c r="E135" s="327" t="str">
        <f t="shared" si="141"/>
        <v>T0077MM</v>
      </c>
      <c r="F135" s="328"/>
      <c r="G135" s="328" t="s">
        <v>684</v>
      </c>
      <c r="H135" s="326" t="str">
        <f>INDEX('Rate Card'!$B:$B,MATCH(服务费底表!$T135,'Rate Card'!$F:$F,0))</f>
        <v>医学</v>
      </c>
      <c r="I135" s="328" t="s">
        <v>919</v>
      </c>
      <c r="J135" s="328" t="str">
        <f>INDEX(二三级标准!$Q:$Q,MATCH(服务费底表!I135,二三级标准!$O:$O,0))</f>
        <v>召开研究者会议</v>
      </c>
      <c r="K135" s="328" t="s">
        <v>163</v>
      </c>
      <c r="L135" s="328" t="str">
        <f>INDEX(二三级标准!C:C,MATCH(服务费底表!K135,二三级标准!$B:$B,0))</f>
        <v>召开研究总结会</v>
      </c>
      <c r="M135" s="328" t="s">
        <v>1250</v>
      </c>
      <c r="N135" s="328" t="str">
        <f>INDEX(二三级标准!$M:$M,MATCH(服务费底表!$M135,二三级标准!$L:$L,0))</f>
        <v>准备研究总结会</v>
      </c>
      <c r="O135" s="328"/>
      <c r="P135" s="327">
        <f>IF(R135=1,INDEX(服务费明细!$E:$E,MATCH(服务费底表!$K135,服务费明细!$B:$B,0)),0)</f>
        <v>0</v>
      </c>
      <c r="Q135" s="328" t="s">
        <v>1178</v>
      </c>
      <c r="R135" s="520">
        <f>IF(AND(召开研究总结会YN=1,医学监查YN=1),1,0)</f>
        <v>0</v>
      </c>
      <c r="S135" s="521" t="str">
        <f>IF(AND(H135="医学",OR(I135=二三级标准!$A$4,I135=二三级标准!$A$153)),"医学撰写","医学监查")</f>
        <v>医学监查</v>
      </c>
      <c r="T135" s="328" t="s">
        <v>615</v>
      </c>
      <c r="U135" s="522" t="str">
        <f>INDEX('Rate Card'!$E:$E,MATCH(服务费底表!$T135,'Rate Card'!$F:$F,0))</f>
        <v>医学经理</v>
      </c>
      <c r="V135" s="331">
        <f>INDEX('Rate Card'!$J:$J,MATCH($T135,'Rate Card'!$F:$F,0))</f>
        <v>650</v>
      </c>
      <c r="W135" s="523">
        <f t="shared" si="119"/>
        <v>650</v>
      </c>
      <c r="X135" s="523">
        <f t="shared" si="120"/>
        <v>4</v>
      </c>
      <c r="Y135" s="327" cm="1">
        <f t="array" ref="Y135">_xlfn.IFS(报价场景=服务费底表!$AJ$2,服务费底表!$AJ135,报价场景=服务费底表!$AP$2,服务费底表!$AP135,报价场景=服务费底表!$AK$2,服务费底表!$AK135,报价场景=服务费底表!$AL$2,服务费底表!$AL135,报价场景=服务费底表!$AM$2,服务费底表!$AM135,报价场景=服务费底表!$AN$2,服务费底表!$AN135,报价场景=服务费底表!$AQ$2,服务费底表!$AQ135,报价场景=服务费底表!$AO$2,服务费底表!$AO135)</f>
        <v>4</v>
      </c>
      <c r="Z135" s="327"/>
      <c r="AA135" s="332">
        <f t="shared" si="133"/>
        <v>4</v>
      </c>
      <c r="AB135" s="333">
        <f t="shared" si="142"/>
        <v>0</v>
      </c>
      <c r="AC135" s="328">
        <f t="shared" si="143"/>
        <v>0</v>
      </c>
      <c r="AD135" s="334">
        <f t="shared" si="146"/>
        <v>0</v>
      </c>
      <c r="AE135" s="334">
        <f>$AB135*(1-INDEX(项目参数!$D$5:$D$14,MATCH(服务费底表!$S135,项目参数!$B$5:$B$14,0)))</f>
        <v>0</v>
      </c>
      <c r="AF135" s="334">
        <f>$AD135*INDEX(项目参数!$D$5:$D$14,MATCH(服务费底表!$S135,项目参数!$B$5:$B$14,0))</f>
        <v>0</v>
      </c>
      <c r="AG135" s="334">
        <f t="shared" si="135"/>
        <v>0</v>
      </c>
      <c r="AH135" s="328"/>
      <c r="AI135" s="328" t="s">
        <v>615</v>
      </c>
      <c r="AJ135" s="327">
        <v>4</v>
      </c>
      <c r="AK135" s="327">
        <f t="shared" si="147"/>
        <v>6</v>
      </c>
      <c r="AL135" s="327">
        <v>3</v>
      </c>
      <c r="AM135" s="327">
        <v>4</v>
      </c>
      <c r="AN135" s="327">
        <f>AL135</f>
        <v>3</v>
      </c>
      <c r="AO135" s="327">
        <f t="shared" si="153"/>
        <v>3</v>
      </c>
      <c r="AP135" s="327">
        <v>4</v>
      </c>
      <c r="AQ135" s="327">
        <f t="shared" si="127"/>
        <v>6</v>
      </c>
      <c r="AR135" s="338"/>
      <c r="AS135" s="327">
        <f t="shared" si="144"/>
        <v>0</v>
      </c>
      <c r="AT135" s="327">
        <f t="shared" si="145"/>
        <v>0</v>
      </c>
      <c r="AU135" s="523">
        <v>4</v>
      </c>
      <c r="AV135" s="328"/>
      <c r="AW135" s="328"/>
      <c r="AX135" s="332">
        <v>4</v>
      </c>
      <c r="AY135" s="328" t="b">
        <f t="shared" si="151"/>
        <v>1</v>
      </c>
      <c r="AZ135" s="328" t="b">
        <f t="shared" si="152"/>
        <v>1</v>
      </c>
    </row>
    <row r="136" ht="27" customHeight="1" spans="1:52">
      <c r="A136" s="326" t="str">
        <f>INDEX('Rate Card'!$A:$A,MATCH(服务费底表!$T136,'Rate Card'!$F:$F,0))</f>
        <v>临床运营</v>
      </c>
      <c r="B136" s="327" t="str">
        <f>INDEX(二三级标准!$G:$G,MATCH(服务费底表!$K136,二三级标准!B:B,0))</f>
        <v>次</v>
      </c>
      <c r="C136" s="327">
        <f>INDEX(服务费明细!$E:$E,MATCH(服务费底表!$K136,服务费明细!$B:$B,0))</f>
        <v>0</v>
      </c>
      <c r="D136" s="327" t="str">
        <f t="shared" si="140"/>
        <v>A030PM</v>
      </c>
      <c r="E136" s="327" t="str">
        <f t="shared" si="141"/>
        <v>T0078PM</v>
      </c>
      <c r="F136" s="328"/>
      <c r="G136" s="328" t="s">
        <v>684</v>
      </c>
      <c r="H136" s="326" t="str">
        <f>INDEX('Rate Card'!$B:$B,MATCH(服务费底表!$T136,'Rate Card'!$F:$F,0))</f>
        <v>临床运营</v>
      </c>
      <c r="I136" s="328" t="s">
        <v>919</v>
      </c>
      <c r="J136" s="328" t="str">
        <f>INDEX(二三级标准!$Q:$Q,MATCH(服务费底表!I136,二三级标准!$O:$O,0))</f>
        <v>召开研究者会议</v>
      </c>
      <c r="K136" s="328" t="s">
        <v>163</v>
      </c>
      <c r="L136" s="328" t="str">
        <f>INDEX(二三级标准!C:C,MATCH(服务费底表!K136,二三级标准!$B:$B,0))</f>
        <v>召开研究总结会</v>
      </c>
      <c r="M136" s="328" t="s">
        <v>1251</v>
      </c>
      <c r="N136" s="328" t="str">
        <f>INDEX(二三级标准!$M:$M,MATCH(服务费底表!$M136,二三级标准!$L:$L,0))</f>
        <v>参加研究总结会</v>
      </c>
      <c r="O136" s="328"/>
      <c r="P136" s="327">
        <f>IF(R136=1,INDEX(服务费明细!$E:$E,MATCH(服务费底表!$K136,服务费明细!$B:$B,0)),0)</f>
        <v>0</v>
      </c>
      <c r="Q136" s="328" t="s">
        <v>1178</v>
      </c>
      <c r="R136" s="520">
        <f>IF(AND(召开研究总结会YN=1,项目管理YN=1),1,0)</f>
        <v>0</v>
      </c>
      <c r="S136" s="525" t="str">
        <f>INDEX('Rate Card'!$D:$D,MATCH(服务费底表!$T136,'Rate Card'!F:F,0))</f>
        <v>项目管理</v>
      </c>
      <c r="T136" s="328" t="s">
        <v>599</v>
      </c>
      <c r="U136" s="522" t="str">
        <f>INDEX('Rate Card'!$E:$E,MATCH(服务费底表!$T136,'Rate Card'!$F:$F,0))</f>
        <v>临床项目经理</v>
      </c>
      <c r="V136" s="331">
        <f>INDEX('Rate Card'!$J:$J,MATCH($T136,'Rate Card'!$F:$F,0))</f>
        <v>650</v>
      </c>
      <c r="W136" s="523">
        <f t="shared" si="119"/>
        <v>650</v>
      </c>
      <c r="X136" s="523">
        <f t="shared" si="120"/>
        <v>1</v>
      </c>
      <c r="Y136" s="327" cm="1">
        <f t="array" ref="Y136">_xlfn.IFS(报价场景=服务费底表!$AJ$2,服务费底表!$AJ136,报价场景=服务费底表!$AP$2,服务费底表!$AP136,报价场景=服务费底表!$AK$2,服务费底表!$AK136,报价场景=服务费底表!$AL$2,服务费底表!$AL136,报价场景=服务费底表!$AM$2,服务费底表!$AM136,报价场景=服务费底表!$AN$2,服务费底表!$AN136,报价场景=服务费底表!$AQ$2,服务费底表!$AQ136,报价场景=服务费底表!$AO$2,服务费底表!$AO136)</f>
        <v>1</v>
      </c>
      <c r="Z136" s="327"/>
      <c r="AA136" s="332">
        <f t="shared" si="133"/>
        <v>1</v>
      </c>
      <c r="AB136" s="333">
        <f t="shared" si="142"/>
        <v>0</v>
      </c>
      <c r="AC136" s="328">
        <f t="shared" si="143"/>
        <v>0</v>
      </c>
      <c r="AD136" s="334">
        <f t="shared" si="146"/>
        <v>0</v>
      </c>
      <c r="AE136" s="334">
        <f>$AB136*(1-INDEX(项目参数!$D$5:$D$14,MATCH(服务费底表!$S136,项目参数!$B$5:$B$14,0)))</f>
        <v>0</v>
      </c>
      <c r="AF136" s="334">
        <f>$AD136*INDEX(项目参数!$D$5:$D$14,MATCH(服务费底表!$S136,项目参数!$B$5:$B$14,0))</f>
        <v>0</v>
      </c>
      <c r="AG136" s="334">
        <f t="shared" si="135"/>
        <v>0</v>
      </c>
      <c r="AH136" s="328"/>
      <c r="AI136" s="328" t="s">
        <v>599</v>
      </c>
      <c r="AJ136" s="327">
        <v>1</v>
      </c>
      <c r="AK136" s="327">
        <v>1</v>
      </c>
      <c r="AL136" s="327">
        <v>1</v>
      </c>
      <c r="AM136" s="327">
        <v>1</v>
      </c>
      <c r="AN136" s="327">
        <v>1</v>
      </c>
      <c r="AO136" s="327">
        <f t="shared" si="153"/>
        <v>1</v>
      </c>
      <c r="AP136" s="327">
        <v>1</v>
      </c>
      <c r="AQ136" s="327">
        <f t="shared" si="127"/>
        <v>1.5</v>
      </c>
      <c r="AR136" s="338"/>
      <c r="AS136" s="327">
        <f t="shared" si="144"/>
        <v>0</v>
      </c>
      <c r="AT136" s="327">
        <f t="shared" si="145"/>
        <v>0</v>
      </c>
      <c r="AU136" s="523">
        <v>1</v>
      </c>
      <c r="AV136" s="328"/>
      <c r="AW136" s="328"/>
      <c r="AX136" s="332">
        <v>1</v>
      </c>
      <c r="AY136" s="328" t="b">
        <f t="shared" si="151"/>
        <v>1</v>
      </c>
      <c r="AZ136" s="328" t="b">
        <f t="shared" si="152"/>
        <v>1</v>
      </c>
    </row>
    <row r="137" ht="27" customHeight="1" spans="1:52">
      <c r="A137" s="326" t="str">
        <f>INDEX('Rate Card'!$A:$A,MATCH(服务费底表!$T137,'Rate Card'!$F:$F,0))</f>
        <v>临床运营</v>
      </c>
      <c r="B137" s="327" t="str">
        <f>INDEX(二三级标准!$G:$G,MATCH(服务费底表!$K137,二三级标准!B:B,0))</f>
        <v>次</v>
      </c>
      <c r="C137" s="327">
        <f>INDEX(服务费明细!$E:$E,MATCH(服务费底表!$K137,服务费明细!$B:$B,0))</f>
        <v>0</v>
      </c>
      <c r="D137" s="327" t="str">
        <f t="shared" si="140"/>
        <v>A030CRA</v>
      </c>
      <c r="E137" s="327" t="str">
        <f t="shared" si="141"/>
        <v>T0078CRA</v>
      </c>
      <c r="F137" s="328"/>
      <c r="G137" s="328" t="s">
        <v>684</v>
      </c>
      <c r="H137" s="326" t="str">
        <f>INDEX('Rate Card'!$B:$B,MATCH(服务费底表!$T137,'Rate Card'!$F:$F,0))</f>
        <v>临床运营</v>
      </c>
      <c r="I137" s="328" t="s">
        <v>919</v>
      </c>
      <c r="J137" s="328" t="str">
        <f>INDEX(二三级标准!$Q:$Q,MATCH(服务费底表!I137,二三级标准!$O:$O,0))</f>
        <v>召开研究者会议</v>
      </c>
      <c r="K137" s="328" t="s">
        <v>163</v>
      </c>
      <c r="L137" s="328" t="str">
        <f>INDEX(二三级标准!C:C,MATCH(服务费底表!K137,二三级标准!$B:$B,0))</f>
        <v>召开研究总结会</v>
      </c>
      <c r="M137" s="328" t="s">
        <v>1251</v>
      </c>
      <c r="N137" s="328" t="str">
        <f>INDEX(二三级标准!$M:$M,MATCH(服务费底表!$M137,二三级标准!$L:$L,0))</f>
        <v>参加研究总结会</v>
      </c>
      <c r="O137" s="328"/>
      <c r="P137" s="327">
        <f>IF(R137=1,INDEX(服务费明细!$E:$E,MATCH(服务费底表!$K137,服务费明细!$B:$B,0)),0)</f>
        <v>0</v>
      </c>
      <c r="Q137" s="328" t="s">
        <v>1178</v>
      </c>
      <c r="R137" s="520">
        <f>IF(AND(召开研究总结会YN=1,临床监查YN=1),1,0)</f>
        <v>0</v>
      </c>
      <c r="S137" s="525" t="str">
        <f>INDEX('Rate Card'!$D:$D,MATCH(服务费底表!$T137,'Rate Card'!F:F,0))</f>
        <v>临床监查</v>
      </c>
      <c r="T137" s="328" t="s">
        <v>595</v>
      </c>
      <c r="U137" s="522" t="str">
        <f>INDEX('Rate Card'!$E:$E,MATCH(服务费底表!$T137,'Rate Card'!$F:$F,0))</f>
        <v>临床监查员</v>
      </c>
      <c r="V137" s="331">
        <f>INDEX('Rate Card'!$J:$J,MATCH($T137,'Rate Card'!$F:$F,0))</f>
        <v>340</v>
      </c>
      <c r="W137" s="523">
        <f t="shared" si="119"/>
        <v>340</v>
      </c>
      <c r="X137" s="523">
        <f t="shared" si="120"/>
        <v>2</v>
      </c>
      <c r="Y137" s="327" cm="1">
        <f t="array" ref="Y137">_xlfn.IFS(报价场景=服务费底表!$AJ$2,服务费底表!$AJ137,报价场景=服务费底表!$AP$2,服务费底表!$AP137,报价场景=服务费底表!$AK$2,服务费底表!$AK137,报价场景=服务费底表!$AL$2,服务费底表!$AL137,报价场景=服务费底表!$AM$2,服务费底表!$AM137,报价场景=服务费底表!$AN$2,服务费底表!$AN137,报价场景=服务费底表!$AQ$2,服务费底表!$AQ137,报价场景=服务费底表!$AO$2,服务费底表!$AO137)</f>
        <v>2</v>
      </c>
      <c r="Z137" s="327"/>
      <c r="AA137" s="332">
        <f t="shared" si="133"/>
        <v>2</v>
      </c>
      <c r="AB137" s="333">
        <f t="shared" si="142"/>
        <v>0</v>
      </c>
      <c r="AC137" s="328">
        <f t="shared" si="143"/>
        <v>0</v>
      </c>
      <c r="AD137" s="334">
        <f t="shared" si="146"/>
        <v>0</v>
      </c>
      <c r="AE137" s="334">
        <f>$AB137*(1-INDEX(项目参数!$D$5:$D$14,MATCH(服务费底表!$S137,项目参数!$B$5:$B$14,0)))</f>
        <v>0</v>
      </c>
      <c r="AF137" s="334">
        <f>$AD137*INDEX(项目参数!$D$5:$D$14,MATCH(服务费底表!$S137,项目参数!$B$5:$B$14,0))</f>
        <v>0</v>
      </c>
      <c r="AG137" s="334">
        <f t="shared" si="135"/>
        <v>0</v>
      </c>
      <c r="AH137" s="328"/>
      <c r="AI137" s="328" t="s">
        <v>595</v>
      </c>
      <c r="AJ137" s="327">
        <f>1*CRA人数</f>
        <v>2</v>
      </c>
      <c r="AK137" s="327">
        <f>1*CRA人数</f>
        <v>2</v>
      </c>
      <c r="AL137" s="327">
        <f>1*CRA人数</f>
        <v>2</v>
      </c>
      <c r="AM137" s="327">
        <f>1*CRA人数</f>
        <v>2</v>
      </c>
      <c r="AN137" s="327">
        <f t="shared" ref="AN136:AN138" si="154">AJ137</f>
        <v>2</v>
      </c>
      <c r="AO137" s="327">
        <f t="shared" si="153"/>
        <v>2</v>
      </c>
      <c r="AP137" s="327">
        <v>1</v>
      </c>
      <c r="AQ137" s="327">
        <f t="shared" si="127"/>
        <v>3</v>
      </c>
      <c r="AR137" s="338"/>
      <c r="AS137" s="327">
        <f t="shared" si="144"/>
        <v>0</v>
      </c>
      <c r="AT137" s="327">
        <f t="shared" si="145"/>
        <v>0</v>
      </c>
      <c r="AU137" s="523">
        <v>2</v>
      </c>
      <c r="AV137" s="328"/>
      <c r="AW137" s="328"/>
      <c r="AX137" s="332">
        <v>2</v>
      </c>
      <c r="AY137" s="328" t="b">
        <f t="shared" si="151"/>
        <v>1</v>
      </c>
      <c r="AZ137" s="328" t="b">
        <f t="shared" si="152"/>
        <v>1</v>
      </c>
    </row>
    <row r="138" ht="27" customHeight="1" spans="1:52">
      <c r="A138" s="326" t="str">
        <f>INDEX('Rate Card'!$A:$A,MATCH(服务费底表!$T138,'Rate Card'!$F:$F,0))</f>
        <v>临床运营</v>
      </c>
      <c r="B138" s="327" t="str">
        <f>INDEX(二三级标准!$G:$G,MATCH(服务费底表!$K138,二三级标准!B:B,0))</f>
        <v>次</v>
      </c>
      <c r="C138" s="327">
        <f>INDEX(服务费明细!$E:$E,MATCH(服务费底表!$K138,服务费明细!$B:$B,0))</f>
        <v>0</v>
      </c>
      <c r="D138" s="327" t="str">
        <f t="shared" si="140"/>
        <v>A030CTA</v>
      </c>
      <c r="E138" s="327" t="str">
        <f t="shared" si="141"/>
        <v>T0078CTA</v>
      </c>
      <c r="F138" s="328"/>
      <c r="G138" s="328" t="s">
        <v>684</v>
      </c>
      <c r="H138" s="326" t="str">
        <f>INDEX('Rate Card'!$B:$B,MATCH(服务费底表!$T138,'Rate Card'!$F:$F,0))</f>
        <v>临床运营</v>
      </c>
      <c r="I138" s="328" t="s">
        <v>919</v>
      </c>
      <c r="J138" s="328" t="str">
        <f>INDEX(二三级标准!$Q:$Q,MATCH(服务费底表!I138,二三级标准!$O:$O,0))</f>
        <v>召开研究者会议</v>
      </c>
      <c r="K138" s="328" t="s">
        <v>163</v>
      </c>
      <c r="L138" s="328" t="str">
        <f>INDEX(二三级标准!C:C,MATCH(服务费底表!K138,二三级标准!$B:$B,0))</f>
        <v>召开研究总结会</v>
      </c>
      <c r="M138" s="328" t="s">
        <v>1251</v>
      </c>
      <c r="N138" s="328" t="str">
        <f>INDEX(二三级标准!$M:$M,MATCH(服务费底表!$M138,二三级标准!$L:$L,0))</f>
        <v>参加研究总结会</v>
      </c>
      <c r="O138" s="328"/>
      <c r="P138" s="327">
        <f>IF(R138=1,INDEX(服务费明细!$E:$E,MATCH(服务费底表!$K138,服务费明细!$B:$B,0)),0)</f>
        <v>0</v>
      </c>
      <c r="Q138" s="328" t="s">
        <v>1178</v>
      </c>
      <c r="R138" s="520">
        <f>IF(AND(召开研究总结会YN=1,临床监查YN=1),1,0)</f>
        <v>0</v>
      </c>
      <c r="S138" s="525" t="str">
        <f>INDEX('Rate Card'!$D:$D,MATCH(服务费底表!$T138,'Rate Card'!F:F,0))</f>
        <v>临床监查</v>
      </c>
      <c r="T138" s="328" t="s">
        <v>597</v>
      </c>
      <c r="U138" s="522" t="str">
        <f>INDEX('Rate Card'!$E:$E,MATCH(服务费底表!$T138,'Rate Card'!$F:$F,0))</f>
        <v>临床试验助理</v>
      </c>
      <c r="V138" s="331">
        <f>INDEX('Rate Card'!$J:$J,MATCH($T138,'Rate Card'!$F:$F,0))</f>
        <v>220</v>
      </c>
      <c r="W138" s="523">
        <f t="shared" si="119"/>
        <v>220</v>
      </c>
      <c r="X138" s="523">
        <f t="shared" si="120"/>
        <v>1</v>
      </c>
      <c r="Y138" s="327" cm="1">
        <f t="array" ref="Y138">_xlfn.IFS(报价场景=服务费底表!$AJ$2,服务费底表!$AJ138,报价场景=服务费底表!$AP$2,服务费底表!$AP138,报价场景=服务费底表!$AK$2,服务费底表!$AK138,报价场景=服务费底表!$AL$2,服务费底表!$AL138,报价场景=服务费底表!$AM$2,服务费底表!$AM138,报价场景=服务费底表!$AN$2,服务费底表!$AN138,报价场景=服务费底表!$AQ$2,服务费底表!$AQ138,报价场景=服务费底表!$AO$2,服务费底表!$AO138)</f>
        <v>1</v>
      </c>
      <c r="Z138" s="327"/>
      <c r="AA138" s="332">
        <f t="shared" si="133"/>
        <v>1</v>
      </c>
      <c r="AB138" s="333">
        <f t="shared" si="142"/>
        <v>0</v>
      </c>
      <c r="AC138" s="328">
        <f t="shared" si="143"/>
        <v>0</v>
      </c>
      <c r="AD138" s="334">
        <f t="shared" si="146"/>
        <v>0</v>
      </c>
      <c r="AE138" s="334">
        <f>$AB138*(1-INDEX(项目参数!$D$5:$D$14,MATCH(服务费底表!$S138,项目参数!$B$5:$B$14,0)))</f>
        <v>0</v>
      </c>
      <c r="AF138" s="334">
        <f>$AD138*INDEX(项目参数!$D$5:$D$14,MATCH(服务费底表!$S138,项目参数!$B$5:$B$14,0))</f>
        <v>0</v>
      </c>
      <c r="AG138" s="334">
        <f t="shared" si="135"/>
        <v>0</v>
      </c>
      <c r="AH138" s="328"/>
      <c r="AI138" s="328" t="s">
        <v>597</v>
      </c>
      <c r="AJ138" s="327">
        <v>1</v>
      </c>
      <c r="AK138" s="327">
        <v>1</v>
      </c>
      <c r="AL138" s="327">
        <v>1</v>
      </c>
      <c r="AM138" s="327">
        <v>1</v>
      </c>
      <c r="AN138" s="327">
        <v>1</v>
      </c>
      <c r="AO138" s="327">
        <f t="shared" si="153"/>
        <v>1</v>
      </c>
      <c r="AP138" s="327">
        <v>1</v>
      </c>
      <c r="AQ138" s="327">
        <f t="shared" si="127"/>
        <v>1.5</v>
      </c>
      <c r="AR138" s="338"/>
      <c r="AS138" s="327">
        <f t="shared" si="144"/>
        <v>0</v>
      </c>
      <c r="AT138" s="327">
        <f t="shared" si="145"/>
        <v>0</v>
      </c>
      <c r="AU138" s="523">
        <v>1</v>
      </c>
      <c r="AV138" s="328"/>
      <c r="AW138" s="328"/>
      <c r="AX138" s="332">
        <v>1</v>
      </c>
      <c r="AY138" s="328" t="b">
        <f t="shared" si="151"/>
        <v>1</v>
      </c>
      <c r="AZ138" s="328" t="b">
        <f t="shared" si="152"/>
        <v>1</v>
      </c>
    </row>
    <row r="139" ht="27" customHeight="1" spans="1:52">
      <c r="A139" s="326" t="str">
        <f>INDEX('Rate Card'!$A:$A,MATCH(服务费底表!$T139,'Rate Card'!$F:$F,0))</f>
        <v>医学</v>
      </c>
      <c r="B139" s="327" t="str">
        <f>INDEX(二三级标准!$G:$G,MATCH(服务费底表!$K139,二三级标准!B:B,0))</f>
        <v>次</v>
      </c>
      <c r="C139" s="327">
        <f>INDEX(服务费明细!$E:$E,MATCH(服务费底表!$K139,服务费明细!$B:$B,0))</f>
        <v>0</v>
      </c>
      <c r="D139" s="327" t="str">
        <f t="shared" si="140"/>
        <v>A030MM</v>
      </c>
      <c r="E139" s="327" t="str">
        <f t="shared" si="141"/>
        <v>T0078MM</v>
      </c>
      <c r="F139" s="328"/>
      <c r="G139" s="328" t="s">
        <v>684</v>
      </c>
      <c r="H139" s="326" t="str">
        <f>INDEX('Rate Card'!$B:$B,MATCH(服务费底表!$T139,'Rate Card'!$F:$F,0))</f>
        <v>医学</v>
      </c>
      <c r="I139" s="328" t="s">
        <v>919</v>
      </c>
      <c r="J139" s="328" t="str">
        <f>INDEX(二三级标准!$Q:$Q,MATCH(服务费底表!I139,二三级标准!$O:$O,0))</f>
        <v>召开研究者会议</v>
      </c>
      <c r="K139" s="328" t="s">
        <v>163</v>
      </c>
      <c r="L139" s="328" t="str">
        <f>INDEX(二三级标准!C:C,MATCH(服务费底表!K139,二三级标准!$B:$B,0))</f>
        <v>召开研究总结会</v>
      </c>
      <c r="M139" s="328" t="s">
        <v>1251</v>
      </c>
      <c r="N139" s="328" t="str">
        <f>INDEX(二三级标准!$M:$M,MATCH(服务费底表!$M139,二三级标准!$L:$L,0))</f>
        <v>参加研究总结会</v>
      </c>
      <c r="O139" s="328"/>
      <c r="P139" s="327">
        <f>IF(R139=1,INDEX(服务费明细!$E:$E,MATCH(服务费底表!$K139,服务费明细!$B:$B,0)),0)</f>
        <v>0</v>
      </c>
      <c r="Q139" s="328" t="s">
        <v>1178</v>
      </c>
      <c r="R139" s="520">
        <f>IF(AND(召开研究总结会YN=1,医学监查YN=1),1,0)</f>
        <v>0</v>
      </c>
      <c r="S139" s="521" t="str">
        <f>IF(AND(H139="医学",OR(I139=二三级标准!$A$4,I139=二三级标准!$A$153)),"医学撰写","医学监查")</f>
        <v>医学监查</v>
      </c>
      <c r="T139" s="328" t="s">
        <v>615</v>
      </c>
      <c r="U139" s="522" t="str">
        <f>INDEX('Rate Card'!$E:$E,MATCH(服务费底表!$T139,'Rate Card'!$F:$F,0))</f>
        <v>医学经理</v>
      </c>
      <c r="V139" s="331">
        <f>INDEX('Rate Card'!$J:$J,MATCH($T139,'Rate Card'!$F:$F,0))</f>
        <v>650</v>
      </c>
      <c r="W139" s="523">
        <f t="shared" si="119"/>
        <v>650</v>
      </c>
      <c r="X139" s="523">
        <f t="shared" si="120"/>
        <v>1</v>
      </c>
      <c r="Y139" s="327" cm="1">
        <f t="array" ref="Y139">_xlfn.IFS(报价场景=服务费底表!$AJ$2,服务费底表!$AJ139,报价场景=服务费底表!$AP$2,服务费底表!$AP139,报价场景=服务费底表!$AK$2,服务费底表!$AK139,报价场景=服务费底表!$AL$2,服务费底表!$AL139,报价场景=服务费底表!$AM$2,服务费底表!$AM139,报价场景=服务费底表!$AN$2,服务费底表!$AN139,报价场景=服务费底表!$AQ$2,服务费底表!$AQ139,报价场景=服务费底表!$AO$2,服务费底表!$AO139)</f>
        <v>1</v>
      </c>
      <c r="Z139" s="327"/>
      <c r="AA139" s="332">
        <f t="shared" si="133"/>
        <v>1</v>
      </c>
      <c r="AB139" s="333">
        <f t="shared" si="142"/>
        <v>0</v>
      </c>
      <c r="AC139" s="328">
        <f t="shared" si="143"/>
        <v>0</v>
      </c>
      <c r="AD139" s="334">
        <f t="shared" si="146"/>
        <v>0</v>
      </c>
      <c r="AE139" s="334">
        <f>$AB139*(1-INDEX(项目参数!$D$5:$D$14,MATCH(服务费底表!$S139,项目参数!$B$5:$B$14,0)))</f>
        <v>0</v>
      </c>
      <c r="AF139" s="334">
        <f>$AD139*INDEX(项目参数!$D$5:$D$14,MATCH(服务费底表!$S139,项目参数!$B$5:$B$14,0))</f>
        <v>0</v>
      </c>
      <c r="AG139" s="334">
        <f t="shared" si="135"/>
        <v>0</v>
      </c>
      <c r="AH139" s="328"/>
      <c r="AI139" s="328" t="s">
        <v>615</v>
      </c>
      <c r="AJ139" s="327">
        <v>1</v>
      </c>
      <c r="AK139" s="327">
        <v>1</v>
      </c>
      <c r="AL139" s="327">
        <v>1</v>
      </c>
      <c r="AM139" s="327">
        <v>1</v>
      </c>
      <c r="AN139" s="327">
        <v>1</v>
      </c>
      <c r="AO139" s="327">
        <f t="shared" si="153"/>
        <v>1</v>
      </c>
      <c r="AP139" s="327">
        <v>1</v>
      </c>
      <c r="AQ139" s="327">
        <f t="shared" si="127"/>
        <v>1.5</v>
      </c>
      <c r="AR139" s="338"/>
      <c r="AS139" s="327">
        <f t="shared" si="144"/>
        <v>0</v>
      </c>
      <c r="AT139" s="327">
        <f t="shared" si="145"/>
        <v>0</v>
      </c>
      <c r="AU139" s="523">
        <v>1</v>
      </c>
      <c r="AV139" s="328"/>
      <c r="AW139" s="328"/>
      <c r="AX139" s="332">
        <v>1</v>
      </c>
      <c r="AY139" s="328" t="b">
        <f t="shared" si="151"/>
        <v>1</v>
      </c>
      <c r="AZ139" s="328" t="b">
        <f t="shared" si="152"/>
        <v>1</v>
      </c>
    </row>
    <row r="140" ht="27" customHeight="1" spans="1:52">
      <c r="A140" s="326" t="str">
        <f>INDEX('Rate Card'!$A:$A,MATCH(服务费底表!$T140,'Rate Card'!$F:$F,0))</f>
        <v>医学</v>
      </c>
      <c r="B140" s="327" t="str">
        <f>INDEX(二三级标准!$G:$G,MATCH(服务费底表!$K140,二三级标准!B:B,0))</f>
        <v>次</v>
      </c>
      <c r="C140" s="327">
        <f>INDEX(服务费明细!$E:$E,MATCH(服务费底表!$K140,服务费明细!$B:$B,0))</f>
        <v>0</v>
      </c>
      <c r="D140" s="327" t="str">
        <f t="shared" si="140"/>
        <v>A030MD</v>
      </c>
      <c r="E140" s="327" t="str">
        <f t="shared" si="141"/>
        <v>T0078MD</v>
      </c>
      <c r="F140" s="328"/>
      <c r="G140" s="328" t="s">
        <v>684</v>
      </c>
      <c r="H140" s="326" t="str">
        <f>INDEX('Rate Card'!$B:$B,MATCH(服务费底表!$T140,'Rate Card'!$F:$F,0))</f>
        <v>医学</v>
      </c>
      <c r="I140" s="328" t="s">
        <v>919</v>
      </c>
      <c r="J140" s="328" t="str">
        <f>INDEX(二三级标准!$Q:$Q,MATCH(服务费底表!I140,二三级标准!$O:$O,0))</f>
        <v>召开研究者会议</v>
      </c>
      <c r="K140" s="328" t="s">
        <v>163</v>
      </c>
      <c r="L140" s="328" t="str">
        <f>INDEX(二三级标准!C:C,MATCH(服务费底表!K140,二三级标准!$B:$B,0))</f>
        <v>召开研究总结会</v>
      </c>
      <c r="M140" s="328" t="s">
        <v>1251</v>
      </c>
      <c r="N140" s="328" t="str">
        <f>INDEX(二三级标准!$M:$M,MATCH(服务费底表!$M140,二三级标准!$L:$L,0))</f>
        <v>参加研究总结会</v>
      </c>
      <c r="O140" s="328"/>
      <c r="P140" s="327">
        <f>IF(R140=1,INDEX(服务费明细!$E:$E,MATCH(服务费底表!$K140,服务费明细!$B:$B,0)),0)</f>
        <v>0</v>
      </c>
      <c r="Q140" s="328" t="s">
        <v>1178</v>
      </c>
      <c r="R140" s="520">
        <f>IF(AND(召开研究总结会YN=1,医学监查YN=1),1,0)</f>
        <v>0</v>
      </c>
      <c r="S140" s="521" t="str">
        <f>IF(AND(H140="医学",OR(I140=二三级标准!$A$4,I140=二三级标准!$A$153)),"医学撰写","医学监查")</f>
        <v>医学监查</v>
      </c>
      <c r="T140" s="328" t="s">
        <v>613</v>
      </c>
      <c r="U140" s="522" t="str">
        <f>INDEX('Rate Card'!$E:$E,MATCH(服务费底表!$T140,'Rate Card'!$F:$F,0))</f>
        <v>医学总监</v>
      </c>
      <c r="V140" s="331">
        <f>INDEX('Rate Card'!$J:$J,MATCH($T140,'Rate Card'!$F:$F,0))</f>
        <v>990</v>
      </c>
      <c r="W140" s="523">
        <f t="shared" si="119"/>
        <v>990</v>
      </c>
      <c r="X140" s="523">
        <f t="shared" si="120"/>
        <v>1</v>
      </c>
      <c r="Y140" s="327" cm="1">
        <f t="array" ref="Y140">_xlfn.IFS(报价场景=服务费底表!$AJ$2,服务费底表!$AJ140,报价场景=服务费底表!$AP$2,服务费底表!$AP140,报价场景=服务费底表!$AK$2,服务费底表!$AK140,报价场景=服务费底表!$AL$2,服务费底表!$AL140,报价场景=服务费底表!$AM$2,服务费底表!$AM140,报价场景=服务费底表!$AN$2,服务费底表!$AN140,报价场景=服务费底表!$AQ$2,服务费底表!$AQ140,报价场景=服务费底表!$AO$2,服务费底表!$AO140)</f>
        <v>1</v>
      </c>
      <c r="Z140" s="327"/>
      <c r="AA140" s="332">
        <f t="shared" si="133"/>
        <v>1</v>
      </c>
      <c r="AB140" s="333">
        <f t="shared" si="142"/>
        <v>0</v>
      </c>
      <c r="AC140" s="328">
        <f t="shared" si="143"/>
        <v>0</v>
      </c>
      <c r="AD140" s="334">
        <f t="shared" si="146"/>
        <v>0</v>
      </c>
      <c r="AE140" s="334">
        <f>$AB140*(1-INDEX(项目参数!$D$5:$D$14,MATCH(服务费底表!$S140,项目参数!$B$5:$B$14,0)))</f>
        <v>0</v>
      </c>
      <c r="AF140" s="334">
        <f>$AD140*INDEX(项目参数!$D$5:$D$14,MATCH(服务费底表!$S140,项目参数!$B$5:$B$14,0))</f>
        <v>0</v>
      </c>
      <c r="AG140" s="334">
        <f t="shared" si="135"/>
        <v>0</v>
      </c>
      <c r="AH140" s="328"/>
      <c r="AI140" s="328" t="s">
        <v>613</v>
      </c>
      <c r="AJ140" s="327">
        <v>1</v>
      </c>
      <c r="AK140" s="327">
        <v>1</v>
      </c>
      <c r="AL140" s="327">
        <v>1</v>
      </c>
      <c r="AM140" s="327">
        <v>1</v>
      </c>
      <c r="AN140" s="327">
        <v>1</v>
      </c>
      <c r="AO140" s="327">
        <f t="shared" si="153"/>
        <v>1</v>
      </c>
      <c r="AP140" s="327">
        <v>1</v>
      </c>
      <c r="AQ140" s="327">
        <f t="shared" si="127"/>
        <v>1.5</v>
      </c>
      <c r="AR140" s="338"/>
      <c r="AS140" s="327">
        <f t="shared" si="144"/>
        <v>0</v>
      </c>
      <c r="AT140" s="327">
        <f t="shared" si="145"/>
        <v>0</v>
      </c>
      <c r="AU140" s="523">
        <v>1</v>
      </c>
      <c r="AV140" s="328"/>
      <c r="AW140" s="328"/>
      <c r="AX140" s="332">
        <v>1</v>
      </c>
      <c r="AY140" s="328" t="b">
        <f t="shared" si="151"/>
        <v>1</v>
      </c>
      <c r="AZ140" s="328" t="b">
        <f t="shared" si="152"/>
        <v>1</v>
      </c>
    </row>
    <row r="141" ht="27" customHeight="1" spans="1:52">
      <c r="A141" s="326" t="str">
        <f>INDEX('Rate Card'!$A:$A,MATCH(服务费底表!$T141,'Rate Card'!$F:$F,0))</f>
        <v>临床运营</v>
      </c>
      <c r="B141" s="327" t="str">
        <f>INDEX(二三级标准!$G:$G,MATCH(服务费底表!$K141,二三级标准!B:B,0))</f>
        <v>份</v>
      </c>
      <c r="C141" s="327">
        <f>INDEX(服务费明细!$E:$E,MATCH(服务费底表!$K141,服务费明细!$B:$B,0))</f>
        <v>4</v>
      </c>
      <c r="D141" s="327" t="str">
        <f t="shared" si="140"/>
        <v>A031CRA</v>
      </c>
      <c r="E141" s="327" t="str">
        <f t="shared" si="141"/>
        <v>T0080CRA</v>
      </c>
      <c r="F141" s="328"/>
      <c r="G141" s="328" t="s">
        <v>684</v>
      </c>
      <c r="H141" s="326" t="str">
        <f>INDEX('Rate Card'!$B:$B,MATCH(服务费底表!$T141,'Rate Card'!$F:$F,0))</f>
        <v>临床运营</v>
      </c>
      <c r="I141" s="328" t="s">
        <v>920</v>
      </c>
      <c r="J141" s="328" t="str">
        <f>INDEX(二三级标准!$Q:$Q,MATCH(服务费底表!I141,二三级标准!$O:$O,0))</f>
        <v>临床监查和中心管理</v>
      </c>
      <c r="K141" s="328" t="s">
        <v>165</v>
      </c>
      <c r="L141" s="328" t="str">
        <f>INDEX(二三级标准!C:C,MATCH(服务费底表!K141,二三级标准!$B:$B,0))</f>
        <v>准备或签署研究中心合同</v>
      </c>
      <c r="M141" s="328" t="s">
        <v>1252</v>
      </c>
      <c r="N141" s="328" t="str">
        <f>INDEX(二三级标准!$M:$M,MATCH(服务费底表!$M141,二三级标准!$L:$L,0))</f>
        <v>协商研究中心合同</v>
      </c>
      <c r="O141" s="328"/>
      <c r="P141" s="327">
        <f>IF(R141=1,INDEX(服务费明细!$E:$E,MATCH(服务费底表!$K141,服务费明细!$B:$B,0)),0)</f>
        <v>4</v>
      </c>
      <c r="Q141" s="328" t="s">
        <v>1178</v>
      </c>
      <c r="R141" s="520">
        <f>IF(AND(准备或签署研究中心合同YN=1,临床监查YN=1),1,0)</f>
        <v>1</v>
      </c>
      <c r="S141" s="525" t="str">
        <f>INDEX('Rate Card'!$D:$D,MATCH(服务费底表!$T141,'Rate Card'!F:F,0))</f>
        <v>临床监查</v>
      </c>
      <c r="T141" s="328" t="s">
        <v>595</v>
      </c>
      <c r="U141" s="522" t="str">
        <f>INDEX('Rate Card'!$E:$E,MATCH(服务费底表!$T141,'Rate Card'!$F:$F,0))</f>
        <v>临床监查员</v>
      </c>
      <c r="V141" s="331">
        <f>INDEX('Rate Card'!$J:$J,MATCH($T141,'Rate Card'!$F:$F,0))</f>
        <v>340</v>
      </c>
      <c r="W141" s="523">
        <f t="shared" si="119"/>
        <v>340</v>
      </c>
      <c r="X141" s="523">
        <f t="shared" si="120"/>
        <v>16</v>
      </c>
      <c r="Y141" s="327" cm="1">
        <f t="array" ref="Y141">_xlfn.IFS(报价场景=服务费底表!$AJ$2,服务费底表!$AJ141,报价场景=服务费底表!$AP$2,服务费底表!$AP141,报价场景=服务费底表!$AK$2,服务费底表!$AK141,报价场景=服务费底表!$AL$2,服务费底表!$AL141,报价场景=服务费底表!$AM$2,服务费底表!$AM141,报价场景=服务费底表!$AN$2,服务费底表!$AN141,报价场景=服务费底表!$AQ$2,服务费底表!$AQ141,报价场景=服务费底表!$AO$2,服务费底表!$AO141)</f>
        <v>16</v>
      </c>
      <c r="Z141" s="327"/>
      <c r="AA141" s="332">
        <f t="shared" ref="AA141:AA151" si="155">IF(ISBLANK($Z141),$Y141,$Z141)</f>
        <v>16</v>
      </c>
      <c r="AB141" s="333">
        <f t="shared" si="142"/>
        <v>5440</v>
      </c>
      <c r="AC141" s="328">
        <f t="shared" si="143"/>
        <v>64</v>
      </c>
      <c r="AD141" s="334">
        <f t="shared" si="146"/>
        <v>21760</v>
      </c>
      <c r="AE141" s="334">
        <f>$AB141*(1-INDEX(项目参数!$D$5:$D$14,MATCH(服务费底表!$S141,项目参数!$B$5:$B$14,0)))</f>
        <v>5440</v>
      </c>
      <c r="AF141" s="334">
        <f>$AD141*INDEX(项目参数!$D$5:$D$14,MATCH(服务费底表!$S141,项目参数!$B$5:$B$14,0))</f>
        <v>0</v>
      </c>
      <c r="AG141" s="334">
        <f t="shared" ref="AG141:AG158" si="156">AD141-AF141</f>
        <v>21760</v>
      </c>
      <c r="AH141" s="328"/>
      <c r="AI141" s="328" t="s">
        <v>595</v>
      </c>
      <c r="AJ141" s="327">
        <v>16</v>
      </c>
      <c r="AK141" s="327">
        <v>16</v>
      </c>
      <c r="AL141" s="327">
        <v>16</v>
      </c>
      <c r="AM141" s="327">
        <v>16</v>
      </c>
      <c r="AN141" s="327">
        <v>16</v>
      </c>
      <c r="AO141" s="327">
        <v>16</v>
      </c>
      <c r="AP141" s="327">
        <v>16</v>
      </c>
      <c r="AQ141" s="327">
        <f t="shared" si="127"/>
        <v>24</v>
      </c>
      <c r="AR141" s="338"/>
      <c r="AS141" s="327">
        <f t="shared" si="144"/>
        <v>64</v>
      </c>
      <c r="AT141" s="327">
        <f t="shared" si="145"/>
        <v>64</v>
      </c>
      <c r="AU141" s="523">
        <v>16</v>
      </c>
      <c r="AV141" s="328"/>
      <c r="AW141" s="328"/>
      <c r="AX141" s="332">
        <v>16</v>
      </c>
      <c r="AY141" s="328" t="b">
        <f t="shared" si="151"/>
        <v>1</v>
      </c>
      <c r="AZ141" s="328" t="b">
        <f t="shared" si="152"/>
        <v>0</v>
      </c>
    </row>
    <row r="142" ht="27" customHeight="1" spans="1:52">
      <c r="A142" s="326" t="str">
        <f>INDEX('Rate Card'!$A:$A,MATCH(服务费底表!$T142,'Rate Card'!$F:$F,0))</f>
        <v>临床运营</v>
      </c>
      <c r="B142" s="327" t="str">
        <f>INDEX(二三级标准!$G:$G,MATCH(服务费底表!$K142,二三级标准!B:B,0))</f>
        <v>份</v>
      </c>
      <c r="C142" s="327">
        <f>INDEX(服务费明细!$E:$E,MATCH(服务费底表!$K142,服务费明细!$B:$B,0))</f>
        <v>4</v>
      </c>
      <c r="D142" s="327" t="str">
        <f t="shared" si="140"/>
        <v>A031PM</v>
      </c>
      <c r="E142" s="327" t="str">
        <f t="shared" si="141"/>
        <v>T0081PM</v>
      </c>
      <c r="F142" s="328"/>
      <c r="G142" s="328" t="s">
        <v>684</v>
      </c>
      <c r="H142" s="326" t="str">
        <f>INDEX('Rate Card'!$B:$B,MATCH(服务费底表!$T142,'Rate Card'!$F:$F,0))</f>
        <v>临床运营</v>
      </c>
      <c r="I142" s="328" t="s">
        <v>920</v>
      </c>
      <c r="J142" s="328" t="str">
        <f>INDEX(二三级标准!$Q:$Q,MATCH(服务费底表!I142,二三级标准!$O:$O,0))</f>
        <v>临床监查和中心管理</v>
      </c>
      <c r="K142" s="328" t="s">
        <v>165</v>
      </c>
      <c r="L142" s="328" t="str">
        <f>INDEX(二三级标准!C:C,MATCH(服务费底表!K142,二三级标准!$B:$B,0))</f>
        <v>准备或签署研究中心合同</v>
      </c>
      <c r="M142" s="328" t="s">
        <v>1253</v>
      </c>
      <c r="N142" s="328" t="str">
        <f>INDEX(二三级标准!$M:$M,MATCH(服务费底表!$M142,二三级标准!$L:$L,0))</f>
        <v>PM协助及审核研究中心合同</v>
      </c>
      <c r="O142" s="328"/>
      <c r="P142" s="327">
        <f>IF(R142=1,INDEX(服务费明细!$E:$E,MATCH(服务费底表!$K142,服务费明细!$B:$B,0)),0)</f>
        <v>4</v>
      </c>
      <c r="Q142" s="328" t="s">
        <v>1178</v>
      </c>
      <c r="R142" s="520">
        <f>IF(AND(准备或签署研究中心合同YN=1,项目管理YN=1),1,0)</f>
        <v>1</v>
      </c>
      <c r="S142" s="525" t="str">
        <f>INDEX('Rate Card'!$D:$D,MATCH(服务费底表!$T142,'Rate Card'!F:F,0))</f>
        <v>项目管理</v>
      </c>
      <c r="T142" s="328" t="s">
        <v>599</v>
      </c>
      <c r="U142" s="522" t="str">
        <f>INDEX('Rate Card'!$E:$E,MATCH(服务费底表!$T142,'Rate Card'!$F:$F,0))</f>
        <v>临床项目经理</v>
      </c>
      <c r="V142" s="331">
        <f>INDEX('Rate Card'!$J:$J,MATCH($T142,'Rate Card'!$F:$F,0))</f>
        <v>650</v>
      </c>
      <c r="W142" s="523">
        <f t="shared" si="119"/>
        <v>650</v>
      </c>
      <c r="X142" s="523">
        <f t="shared" si="120"/>
        <v>2</v>
      </c>
      <c r="Y142" s="327" cm="1">
        <f t="array" ref="Y142">_xlfn.IFS(报价场景=服务费底表!$AJ$2,服务费底表!$AJ142,报价场景=服务费底表!$AP$2,服务费底表!$AP142,报价场景=服务费底表!$AK$2,服务费底表!$AK142,报价场景=服务费底表!$AL$2,服务费底表!$AL142,报价场景=服务费底表!$AM$2,服务费底表!$AM142,报价场景=服务费底表!$AN$2,服务费底表!$AN142,报价场景=服务费底表!$AQ$2,服务费底表!$AQ142,报价场景=服务费底表!$AO$2,服务费底表!$AO142)</f>
        <v>2</v>
      </c>
      <c r="Z142" s="327"/>
      <c r="AA142" s="332">
        <f t="shared" si="155"/>
        <v>2</v>
      </c>
      <c r="AB142" s="333">
        <f t="shared" si="142"/>
        <v>1300</v>
      </c>
      <c r="AC142" s="328">
        <f t="shared" si="143"/>
        <v>8</v>
      </c>
      <c r="AD142" s="334">
        <f t="shared" si="146"/>
        <v>5200</v>
      </c>
      <c r="AE142" s="334">
        <f>$AB142*(1-INDEX(项目参数!$D$5:$D$14,MATCH(服务费底表!$S142,项目参数!$B$5:$B$14,0)))</f>
        <v>1300</v>
      </c>
      <c r="AF142" s="334">
        <f>$AD142*INDEX(项目参数!$D$5:$D$14,MATCH(服务费底表!$S142,项目参数!$B$5:$B$14,0))</f>
        <v>0</v>
      </c>
      <c r="AG142" s="334">
        <f t="shared" si="156"/>
        <v>5200</v>
      </c>
      <c r="AH142" s="328"/>
      <c r="AI142" s="328" t="s">
        <v>599</v>
      </c>
      <c r="AJ142" s="327">
        <v>2</v>
      </c>
      <c r="AK142" s="327">
        <v>2</v>
      </c>
      <c r="AL142" s="327">
        <v>2</v>
      </c>
      <c r="AM142" s="327">
        <v>2</v>
      </c>
      <c r="AN142" s="327">
        <v>2</v>
      </c>
      <c r="AO142" s="327">
        <v>2</v>
      </c>
      <c r="AP142" s="327">
        <v>2</v>
      </c>
      <c r="AQ142" s="327">
        <f t="shared" si="127"/>
        <v>3</v>
      </c>
      <c r="AR142" s="338"/>
      <c r="AS142" s="327">
        <f t="shared" si="144"/>
        <v>8</v>
      </c>
      <c r="AT142" s="327">
        <f t="shared" si="145"/>
        <v>8</v>
      </c>
      <c r="AU142" s="523">
        <v>2</v>
      </c>
      <c r="AV142" s="328"/>
      <c r="AW142" s="328"/>
      <c r="AX142" s="332">
        <v>2</v>
      </c>
      <c r="AY142" s="328" t="b">
        <f t="shared" si="151"/>
        <v>1</v>
      </c>
      <c r="AZ142" s="328" t="b">
        <f t="shared" si="152"/>
        <v>0</v>
      </c>
    </row>
    <row r="143" ht="27" customHeight="1" spans="1:52">
      <c r="A143" s="326" t="str">
        <f>INDEX('Rate Card'!$A:$A,MATCH(服务费底表!$T143,'Rate Card'!$F:$F,0))</f>
        <v>临床运营</v>
      </c>
      <c r="B143" s="327" t="str">
        <f>INDEX(二三级标准!$G:$G,MATCH(服务费底表!$K143,二三级标准!B:B,0))</f>
        <v>份</v>
      </c>
      <c r="C143" s="327">
        <f>INDEX(服务费明细!$E:$E,MATCH(服务费底表!$K143,服务费明细!$B:$B,0))</f>
        <v>4</v>
      </c>
      <c r="D143" s="327" t="str">
        <f t="shared" si="140"/>
        <v>A031CRA</v>
      </c>
      <c r="E143" s="327" t="str">
        <f t="shared" si="141"/>
        <v>T0082CRA</v>
      </c>
      <c r="F143" s="328"/>
      <c r="G143" s="328" t="s">
        <v>684</v>
      </c>
      <c r="H143" s="326" t="str">
        <f>INDEX('Rate Card'!$B:$B,MATCH(服务费底表!$T143,'Rate Card'!$F:$F,0))</f>
        <v>临床运营</v>
      </c>
      <c r="I143" s="328" t="s">
        <v>920</v>
      </c>
      <c r="J143" s="328" t="str">
        <f>INDEX(二三级标准!$Q:$Q,MATCH(服务费底表!I143,二三级标准!$O:$O,0))</f>
        <v>临床监查和中心管理</v>
      </c>
      <c r="K143" s="328" t="s">
        <v>165</v>
      </c>
      <c r="L143" s="328" t="str">
        <f>INDEX(二三级标准!C:C,MATCH(服务费底表!K143,二三级标准!$B:$B,0))</f>
        <v>准备或签署研究中心合同</v>
      </c>
      <c r="M143" s="328" t="s">
        <v>1254</v>
      </c>
      <c r="N143" s="328" t="str">
        <f>INDEX(二三级标准!$M:$M,MATCH(服务费底表!$M143,二三级标准!$L:$L,0))</f>
        <v>协助研究中心合同审核、签署相关流程</v>
      </c>
      <c r="O143" s="328"/>
      <c r="P143" s="327">
        <f>IF(R143=1,INDEX(服务费明细!$E:$E,MATCH(服务费底表!$K143,服务费明细!$B:$B,0)),0)</f>
        <v>4</v>
      </c>
      <c r="Q143" s="328" t="s">
        <v>1178</v>
      </c>
      <c r="R143" s="520">
        <f>IF(AND(准备或签署研究中心合同YN=1,临床监查YN=1),1,0)</f>
        <v>1</v>
      </c>
      <c r="S143" s="525" t="str">
        <f>INDEX('Rate Card'!$D:$D,MATCH(服务费底表!$T143,'Rate Card'!F:F,0))</f>
        <v>临床监查</v>
      </c>
      <c r="T143" s="328" t="s">
        <v>595</v>
      </c>
      <c r="U143" s="522" t="str">
        <f>INDEX('Rate Card'!$E:$E,MATCH(服务费底表!$T143,'Rate Card'!$F:$F,0))</f>
        <v>临床监查员</v>
      </c>
      <c r="V143" s="331">
        <f>INDEX('Rate Card'!$J:$J,MATCH($T143,'Rate Card'!$F:$F,0))</f>
        <v>340</v>
      </c>
      <c r="W143" s="523">
        <f t="shared" si="119"/>
        <v>340</v>
      </c>
      <c r="X143" s="523">
        <f t="shared" si="120"/>
        <v>16</v>
      </c>
      <c r="Y143" s="327" cm="1">
        <f t="array" ref="Y143">_xlfn.IFS(报价场景=服务费底表!$AJ$2,服务费底表!$AJ143,报价场景=服务费底表!$AP$2,服务费底表!$AP143,报价场景=服务费底表!$AK$2,服务费底表!$AK143,报价场景=服务费底表!$AL$2,服务费底表!$AL143,报价场景=服务费底表!$AM$2,服务费底表!$AM143,报价场景=服务费底表!$AN$2,服务费底表!$AN143,报价场景=服务费底表!$AQ$2,服务费底表!$AQ143,报价场景=服务费底表!$AO$2,服务费底表!$AO143)</f>
        <v>16</v>
      </c>
      <c r="Z143" s="327"/>
      <c r="AA143" s="332">
        <f t="shared" si="155"/>
        <v>16</v>
      </c>
      <c r="AB143" s="333">
        <f t="shared" si="142"/>
        <v>5440</v>
      </c>
      <c r="AC143" s="328">
        <f t="shared" si="143"/>
        <v>64</v>
      </c>
      <c r="AD143" s="334">
        <f t="shared" si="146"/>
        <v>21760</v>
      </c>
      <c r="AE143" s="334">
        <f>$AB143*(1-INDEX(项目参数!$D$5:$D$14,MATCH(服务费底表!$S143,项目参数!$B$5:$B$14,0)))</f>
        <v>5440</v>
      </c>
      <c r="AF143" s="334">
        <f>$AD143*INDEX(项目参数!$D$5:$D$14,MATCH(服务费底表!$S143,项目参数!$B$5:$B$14,0))</f>
        <v>0</v>
      </c>
      <c r="AG143" s="334">
        <f t="shared" si="156"/>
        <v>21760</v>
      </c>
      <c r="AH143" s="328"/>
      <c r="AI143" s="328" t="s">
        <v>595</v>
      </c>
      <c r="AJ143" s="327">
        <v>16</v>
      </c>
      <c r="AK143" s="327">
        <v>16</v>
      </c>
      <c r="AL143" s="327">
        <v>16</v>
      </c>
      <c r="AM143" s="327">
        <v>16</v>
      </c>
      <c r="AN143" s="327">
        <v>16</v>
      </c>
      <c r="AO143" s="327">
        <v>16</v>
      </c>
      <c r="AP143" s="327">
        <v>16</v>
      </c>
      <c r="AQ143" s="327">
        <f t="shared" si="127"/>
        <v>24</v>
      </c>
      <c r="AR143" s="338"/>
      <c r="AS143" s="327">
        <f t="shared" si="144"/>
        <v>64</v>
      </c>
      <c r="AT143" s="327">
        <f t="shared" si="145"/>
        <v>64</v>
      </c>
      <c r="AU143" s="523">
        <v>16</v>
      </c>
      <c r="AV143" s="328"/>
      <c r="AW143" s="328"/>
      <c r="AX143" s="332">
        <v>16</v>
      </c>
      <c r="AY143" s="328" t="b">
        <f t="shared" si="151"/>
        <v>1</v>
      </c>
      <c r="AZ143" s="328" t="b">
        <f t="shared" si="152"/>
        <v>0</v>
      </c>
    </row>
    <row r="144" ht="27" customHeight="1" spans="1:52">
      <c r="A144" s="326" t="str">
        <f>INDEX('Rate Card'!$A:$A,MATCH(服务费底表!$T144,'Rate Card'!$F:$F,0))</f>
        <v>临床运营</v>
      </c>
      <c r="B144" s="327" t="str">
        <f>INDEX(二三级标准!$G:$G,MATCH(服务费底表!$K144,二三级标准!B:B,0))</f>
        <v>次</v>
      </c>
      <c r="C144" s="327">
        <f>INDEX(服务费明细!$E:$E,MATCH(服务费底表!$K144,服务费明细!$B:$B,0))</f>
        <v>4</v>
      </c>
      <c r="D144" s="327" t="str">
        <f t="shared" si="140"/>
        <v>A032CRA</v>
      </c>
      <c r="E144" s="327" t="str">
        <f t="shared" si="141"/>
        <v>T0083CRA</v>
      </c>
      <c r="F144" s="328"/>
      <c r="G144" s="328" t="s">
        <v>684</v>
      </c>
      <c r="H144" s="326" t="str">
        <f>INDEX('Rate Card'!$B:$B,MATCH(服务费底表!$T144,'Rate Card'!$F:$F,0))</f>
        <v>临床运营</v>
      </c>
      <c r="I144" s="328" t="s">
        <v>920</v>
      </c>
      <c r="J144" s="328" t="str">
        <f>INDEX(二三级标准!$Q:$Q,MATCH(服务费底表!I144,二三级标准!$O:$O,0))</f>
        <v>临床监查和中心管理</v>
      </c>
      <c r="K144" s="328" t="s">
        <v>167</v>
      </c>
      <c r="L144" s="328" t="str">
        <f>INDEX(二三级标准!C:C,MATCH(服务费底表!K144,二三级标准!$B:$B,0))</f>
        <v>启动访视</v>
      </c>
      <c r="M144" s="328" t="s">
        <v>1255</v>
      </c>
      <c r="N144" s="328" t="str">
        <f>INDEX(二三级标准!$M:$M,MATCH(服务费底表!$M144,二三级标准!$L:$L,0))</f>
        <v>准备启动访视</v>
      </c>
      <c r="O144" s="328"/>
      <c r="P144" s="327">
        <f>IF(R144=1,INDEX(服务费明细!$E:$E,MATCH(服务费底表!$K144,服务费明细!$B:$B,0)),0)</f>
        <v>4</v>
      </c>
      <c r="Q144" s="328" t="s">
        <v>1178</v>
      </c>
      <c r="R144" s="520">
        <f>IF(AND(启动访视YN=1,临床监查YN=1),1,0)</f>
        <v>1</v>
      </c>
      <c r="S144" s="525" t="str">
        <f>INDEX('Rate Card'!$D:$D,MATCH(服务费底表!$T144,'Rate Card'!F:F,0))</f>
        <v>临床监查</v>
      </c>
      <c r="T144" s="328" t="s">
        <v>595</v>
      </c>
      <c r="U144" s="522" t="str">
        <f>INDEX('Rate Card'!$E:$E,MATCH(服务费底表!$T144,'Rate Card'!$F:$F,0))</f>
        <v>临床监查员</v>
      </c>
      <c r="V144" s="331">
        <f>INDEX('Rate Card'!$J:$J,MATCH($T144,'Rate Card'!$F:$F,0))</f>
        <v>340</v>
      </c>
      <c r="W144" s="523">
        <f t="shared" ref="W144:W151" si="157">V144*(1-$W$1)</f>
        <v>340</v>
      </c>
      <c r="X144" s="523">
        <f t="shared" ref="X144:X151" si="158">Y144*$X$1</f>
        <v>4</v>
      </c>
      <c r="Y144" s="327" cm="1">
        <f t="array" ref="Y144">_xlfn.IFS(报价场景=服务费底表!$AJ$2,服务费底表!$AJ144,报价场景=服务费底表!$AP$2,服务费底表!$AP144,报价场景=服务费底表!$AK$2,服务费底表!$AK144,报价场景=服务费底表!$AL$2,服务费底表!$AL144,报价场景=服务费底表!$AM$2,服务费底表!$AM144,报价场景=服务费底表!$AN$2,服务费底表!$AN144,报价场景=服务费底表!$AQ$2,服务费底表!$AQ144,报价场景=服务费底表!$AO$2,服务费底表!$AO144)</f>
        <v>4</v>
      </c>
      <c r="Z144" s="327"/>
      <c r="AA144" s="332">
        <f t="shared" si="155"/>
        <v>4</v>
      </c>
      <c r="AB144" s="333">
        <f t="shared" si="142"/>
        <v>1360</v>
      </c>
      <c r="AC144" s="328">
        <f t="shared" si="143"/>
        <v>16</v>
      </c>
      <c r="AD144" s="334">
        <f t="shared" si="146"/>
        <v>5440</v>
      </c>
      <c r="AE144" s="334">
        <f>$AB144*(1-INDEX(项目参数!$D$5:$D$14,MATCH(服务费底表!$S144,项目参数!$B$5:$B$14,0)))</f>
        <v>1360</v>
      </c>
      <c r="AF144" s="334">
        <f>$AD144*INDEX(项目参数!$D$5:$D$14,MATCH(服务费底表!$S144,项目参数!$B$5:$B$14,0))</f>
        <v>0</v>
      </c>
      <c r="AG144" s="334">
        <f t="shared" si="156"/>
        <v>5440</v>
      </c>
      <c r="AH144" s="328"/>
      <c r="AI144" s="328" t="s">
        <v>595</v>
      </c>
      <c r="AJ144" s="327">
        <v>4</v>
      </c>
      <c r="AK144" s="327">
        <v>4</v>
      </c>
      <c r="AL144" s="327">
        <v>4</v>
      </c>
      <c r="AM144" s="327">
        <v>4</v>
      </c>
      <c r="AN144" s="327">
        <v>4</v>
      </c>
      <c r="AO144" s="327">
        <v>4</v>
      </c>
      <c r="AP144" s="327">
        <v>4</v>
      </c>
      <c r="AQ144" s="327">
        <f t="shared" si="127"/>
        <v>6</v>
      </c>
      <c r="AR144" s="338"/>
      <c r="AS144" s="327">
        <f t="shared" si="144"/>
        <v>16</v>
      </c>
      <c r="AT144" s="327">
        <f t="shared" si="145"/>
        <v>16</v>
      </c>
      <c r="AU144" s="523">
        <v>2</v>
      </c>
      <c r="AV144" s="328"/>
      <c r="AW144" s="328"/>
      <c r="AX144" s="332">
        <v>2</v>
      </c>
      <c r="AY144" s="328" t="b">
        <f t="shared" si="151"/>
        <v>0</v>
      </c>
      <c r="AZ144" s="328" t="b">
        <f t="shared" si="152"/>
        <v>1</v>
      </c>
    </row>
    <row r="145" ht="27" customHeight="1" spans="1:52">
      <c r="A145" s="326" t="str">
        <f>INDEX('Rate Card'!$A:$A,MATCH(服务费底表!$T145,'Rate Card'!$F:$F,0))</f>
        <v>临床运营</v>
      </c>
      <c r="B145" s="327" t="str">
        <f>INDEX(二三级标准!$G:$G,MATCH(服务费底表!$K145,二三级标准!B:B,0))</f>
        <v>次</v>
      </c>
      <c r="C145" s="327">
        <f>INDEX(服务费明细!$E:$E,MATCH(服务费底表!$K145,服务费明细!$B:$B,0))</f>
        <v>4</v>
      </c>
      <c r="D145" s="327" t="str">
        <f t="shared" si="140"/>
        <v>A032CRA</v>
      </c>
      <c r="E145" s="327" t="str">
        <f t="shared" si="141"/>
        <v>T0084CRA</v>
      </c>
      <c r="F145" s="328"/>
      <c r="G145" s="328" t="s">
        <v>684</v>
      </c>
      <c r="H145" s="326" t="str">
        <f>INDEX('Rate Card'!$B:$B,MATCH(服务费底表!$T145,'Rate Card'!$F:$F,0))</f>
        <v>临床运营</v>
      </c>
      <c r="I145" s="328" t="s">
        <v>920</v>
      </c>
      <c r="J145" s="328" t="str">
        <f>INDEX(二三级标准!$Q:$Q,MATCH(服务费底表!I145,二三级标准!$O:$O,0))</f>
        <v>临床监查和中心管理</v>
      </c>
      <c r="K145" s="328" t="s">
        <v>167</v>
      </c>
      <c r="L145" s="328" t="str">
        <f>INDEX(二三级标准!C:C,MATCH(服务费底表!K145,二三级标准!$B:$B,0))</f>
        <v>启动访视</v>
      </c>
      <c r="M145" s="328" t="s">
        <v>1256</v>
      </c>
      <c r="N145" s="328" t="str">
        <f>INDEX(二三级标准!$M:$M,MATCH(服务费底表!$M145,二三级标准!$L:$L,0))</f>
        <v>启动访视及撰写报告</v>
      </c>
      <c r="O145" s="328"/>
      <c r="P145" s="327">
        <f>IF(R145=1,INDEX(服务费明细!$E:$E,MATCH(服务费底表!$K145,服务费明细!$B:$B,0)),0)</f>
        <v>4</v>
      </c>
      <c r="Q145" s="328" t="s">
        <v>1178</v>
      </c>
      <c r="R145" s="520">
        <f>IF(AND(启动访视YN=1,临床监查YN=1),1,0)</f>
        <v>1</v>
      </c>
      <c r="S145" s="525" t="str">
        <f>INDEX('Rate Card'!$D:$D,MATCH(服务费底表!$T145,'Rate Card'!F:F,0))</f>
        <v>临床监查</v>
      </c>
      <c r="T145" s="328" t="s">
        <v>595</v>
      </c>
      <c r="U145" s="522" t="str">
        <f>INDEX('Rate Card'!$E:$E,MATCH(服务费底表!$T145,'Rate Card'!$F:$F,0))</f>
        <v>临床监查员</v>
      </c>
      <c r="V145" s="331">
        <f>INDEX('Rate Card'!$J:$J,MATCH($T145,'Rate Card'!$F:$F,0))</f>
        <v>340</v>
      </c>
      <c r="W145" s="523">
        <f t="shared" si="157"/>
        <v>340</v>
      </c>
      <c r="X145" s="523">
        <f t="shared" si="158"/>
        <v>13</v>
      </c>
      <c r="Y145" s="327" cm="1">
        <f t="array" ref="Y145">_xlfn.IFS(报价场景=服务费底表!$AJ$2,服务费底表!$AJ145,报价场景=服务费底表!$AP$2,服务费底表!$AP145,报价场景=服务费底表!$AK$2,服务费底表!$AK145,报价场景=服务费底表!$AL$2,服务费底表!$AL145,报价场景=服务费底表!$AM$2,服务费底表!$AM145,报价场景=服务费底表!$AN$2,服务费底表!$AN145,报价场景=服务费底表!$AQ$2,服务费底表!$AQ145,报价场景=服务费底表!$AO$2,服务费底表!$AO145)</f>
        <v>13</v>
      </c>
      <c r="Z145" s="327"/>
      <c r="AA145" s="332">
        <f t="shared" si="155"/>
        <v>13</v>
      </c>
      <c r="AB145" s="333">
        <f t="shared" si="142"/>
        <v>4420</v>
      </c>
      <c r="AC145" s="328">
        <f t="shared" si="143"/>
        <v>52</v>
      </c>
      <c r="AD145" s="334">
        <f t="shared" si="146"/>
        <v>17680</v>
      </c>
      <c r="AE145" s="334">
        <f>$AB145*(1-INDEX(项目参数!$D$5:$D$14,MATCH(服务费底表!$S145,项目参数!$B$5:$B$14,0)))</f>
        <v>4420</v>
      </c>
      <c r="AF145" s="334">
        <f>$AD145*INDEX(项目参数!$D$5:$D$14,MATCH(服务费底表!$S145,项目参数!$B$5:$B$14,0))</f>
        <v>0</v>
      </c>
      <c r="AG145" s="334">
        <f t="shared" si="156"/>
        <v>17680</v>
      </c>
      <c r="AH145" s="328"/>
      <c r="AI145" s="328" t="s">
        <v>595</v>
      </c>
      <c r="AJ145" s="327">
        <f>项目时间计划!$I$26</f>
        <v>13</v>
      </c>
      <c r="AK145" s="327">
        <f>项目时间计划!$I$26</f>
        <v>13</v>
      </c>
      <c r="AL145" s="327">
        <f>项目时间计划!$I$26</f>
        <v>13</v>
      </c>
      <c r="AM145" s="327">
        <v>13</v>
      </c>
      <c r="AN145" s="327">
        <v>13</v>
      </c>
      <c r="AO145" s="327">
        <v>13</v>
      </c>
      <c r="AP145" s="327">
        <f>项目时间计划!$I$26</f>
        <v>13</v>
      </c>
      <c r="AQ145" s="327">
        <f t="shared" si="127"/>
        <v>19.5</v>
      </c>
      <c r="AR145" s="338"/>
      <c r="AS145" s="327">
        <f t="shared" si="144"/>
        <v>52</v>
      </c>
      <c r="AT145" s="327">
        <f t="shared" si="145"/>
        <v>52</v>
      </c>
      <c r="AU145" s="523">
        <v>13</v>
      </c>
      <c r="AV145" s="328"/>
      <c r="AW145" s="328"/>
      <c r="AX145" s="332">
        <v>13</v>
      </c>
      <c r="AY145" s="328" t="b">
        <f t="shared" si="151"/>
        <v>1</v>
      </c>
      <c r="AZ145" s="328" t="b">
        <f t="shared" si="152"/>
        <v>1</v>
      </c>
    </row>
    <row r="146" ht="27" customHeight="1" spans="1:52">
      <c r="A146" s="326" t="str">
        <f>INDEX('Rate Card'!$A:$A,MATCH(服务费底表!$T146,'Rate Card'!$F:$F,0))</f>
        <v>临床运营</v>
      </c>
      <c r="B146" s="327" t="str">
        <f>INDEX(二三级标准!$G:$G,MATCH(服务费底表!$K146,二三级标准!B:B,0))</f>
        <v>次</v>
      </c>
      <c r="C146" s="327">
        <f>INDEX(服务费明细!$E:$E,MATCH(服务费底表!$K146,服务费明细!$B:$B,0))</f>
        <v>4</v>
      </c>
      <c r="D146" s="327" t="str">
        <f t="shared" si="140"/>
        <v>A032PM</v>
      </c>
      <c r="E146" s="327" t="str">
        <f t="shared" si="141"/>
        <v>T0085PM</v>
      </c>
      <c r="F146" s="328"/>
      <c r="G146" s="328" t="s">
        <v>684</v>
      </c>
      <c r="H146" s="326" t="str">
        <f>INDEX('Rate Card'!$B:$B,MATCH(服务费底表!$T146,'Rate Card'!$F:$F,0))</f>
        <v>临床运营</v>
      </c>
      <c r="I146" s="328" t="s">
        <v>920</v>
      </c>
      <c r="J146" s="328" t="str">
        <f>INDEX(二三级标准!$Q:$Q,MATCH(服务费底表!I146,二三级标准!$O:$O,0))</f>
        <v>临床监查和中心管理</v>
      </c>
      <c r="K146" s="328" t="s">
        <v>167</v>
      </c>
      <c r="L146" s="328" t="str">
        <f>INDEX(二三级标准!C:C,MATCH(服务费底表!K146,二三级标准!$B:$B,0))</f>
        <v>启动访视</v>
      </c>
      <c r="M146" s="328" t="s">
        <v>1257</v>
      </c>
      <c r="N146" s="328" t="str">
        <f>INDEX(二三级标准!$M:$M,MATCH(服务费底表!$M146,二三级标准!$L:$L,0))</f>
        <v>审核启动访视报告</v>
      </c>
      <c r="O146" s="328"/>
      <c r="P146" s="327">
        <f>IF(R146=1,INDEX(服务费明细!$E:$E,MATCH(服务费底表!$K146,服务费明细!$B:$B,0)),0)</f>
        <v>4</v>
      </c>
      <c r="Q146" s="328" t="s">
        <v>1178</v>
      </c>
      <c r="R146" s="520">
        <f>IF(AND(启动访视YN=1,项目管理YN=1),1,0)</f>
        <v>1</v>
      </c>
      <c r="S146" s="525" t="str">
        <f>INDEX('Rate Card'!$D:$D,MATCH(服务费底表!$T146,'Rate Card'!F:F,0))</f>
        <v>项目管理</v>
      </c>
      <c r="T146" s="328" t="s">
        <v>599</v>
      </c>
      <c r="U146" s="522" t="str">
        <f>INDEX('Rate Card'!$E:$E,MATCH(服务费底表!$T146,'Rate Card'!$F:$F,0))</f>
        <v>临床项目经理</v>
      </c>
      <c r="V146" s="331">
        <f>INDEX('Rate Card'!$J:$J,MATCH($T146,'Rate Card'!$F:$F,0))</f>
        <v>650</v>
      </c>
      <c r="W146" s="523">
        <f t="shared" si="157"/>
        <v>650</v>
      </c>
      <c r="X146" s="523">
        <f t="shared" si="158"/>
        <v>2</v>
      </c>
      <c r="Y146" s="327" cm="1">
        <f t="array" ref="Y146">_xlfn.IFS(报价场景=服务费底表!$AJ$2,服务费底表!$AJ146,报价场景=服务费底表!$AP$2,服务费底表!$AP146,报价场景=服务费底表!$AK$2,服务费底表!$AK146,报价场景=服务费底表!$AL$2,服务费底表!$AL146,报价场景=服务费底表!$AM$2,服务费底表!$AM146,报价场景=服务费底表!$AN$2,服务费底表!$AN146,报价场景=服务费底表!$AQ$2,服务费底表!$AQ146,报价场景=服务费底表!$AO$2,服务费底表!$AO146)</f>
        <v>2</v>
      </c>
      <c r="Z146" s="327"/>
      <c r="AA146" s="332">
        <f t="shared" si="155"/>
        <v>2</v>
      </c>
      <c r="AB146" s="333">
        <f t="shared" si="142"/>
        <v>1300</v>
      </c>
      <c r="AC146" s="328">
        <f t="shared" si="143"/>
        <v>8</v>
      </c>
      <c r="AD146" s="334">
        <f t="shared" si="146"/>
        <v>5200</v>
      </c>
      <c r="AE146" s="334">
        <f>$AB146*(1-INDEX(项目参数!$D$5:$D$14,MATCH(服务费底表!$S146,项目参数!$B$5:$B$14,0)))</f>
        <v>1300</v>
      </c>
      <c r="AF146" s="334">
        <f>$AD146*INDEX(项目参数!$D$5:$D$14,MATCH(服务费底表!$S146,项目参数!$B$5:$B$14,0))</f>
        <v>0</v>
      </c>
      <c r="AG146" s="334">
        <f t="shared" si="156"/>
        <v>5200</v>
      </c>
      <c r="AH146" s="328"/>
      <c r="AI146" s="328" t="s">
        <v>599</v>
      </c>
      <c r="AJ146" s="327">
        <v>2</v>
      </c>
      <c r="AK146" s="327">
        <f>AJ146*1.5</f>
        <v>3</v>
      </c>
      <c r="AL146" s="327">
        <f>AM146</f>
        <v>2</v>
      </c>
      <c r="AM146" s="327">
        <v>2</v>
      </c>
      <c r="AN146" s="327">
        <v>2</v>
      </c>
      <c r="AO146" s="327">
        <v>2</v>
      </c>
      <c r="AP146" s="327">
        <v>2</v>
      </c>
      <c r="AQ146" s="327">
        <f t="shared" ref="AQ144:AQ151" si="159">AJ146*$AQ$1</f>
        <v>3</v>
      </c>
      <c r="AR146" s="338"/>
      <c r="AS146" s="327">
        <f t="shared" si="144"/>
        <v>8</v>
      </c>
      <c r="AT146" s="327">
        <f t="shared" si="145"/>
        <v>8</v>
      </c>
      <c r="AU146" s="523">
        <v>2</v>
      </c>
      <c r="AV146" s="328"/>
      <c r="AW146" s="328"/>
      <c r="AX146" s="332">
        <v>2</v>
      </c>
      <c r="AY146" s="328" t="b">
        <f t="shared" si="151"/>
        <v>1</v>
      </c>
      <c r="AZ146" s="328" t="b">
        <f t="shared" si="152"/>
        <v>1</v>
      </c>
    </row>
    <row r="147" ht="27" customHeight="1" spans="1:52">
      <c r="A147" s="326" t="str">
        <f>INDEX('Rate Card'!$A:$A,MATCH(服务费底表!$T147,'Rate Card'!$F:$F,0))</f>
        <v>医学</v>
      </c>
      <c r="B147" s="327" t="str">
        <f>INDEX(二三级标准!$G:$G,MATCH(服务费底表!$K147,二三级标准!B:B,0))</f>
        <v>次</v>
      </c>
      <c r="C147" s="327">
        <f>INDEX(服务费明细!$E:$E,MATCH(服务费底表!$K147,服务费明细!$B:$B,0))</f>
        <v>4</v>
      </c>
      <c r="D147" s="327" t="str">
        <f t="shared" si="140"/>
        <v>A033MM</v>
      </c>
      <c r="E147" s="327" t="str">
        <f t="shared" si="141"/>
        <v>T0086MM</v>
      </c>
      <c r="F147" s="328"/>
      <c r="G147" s="328" t="s">
        <v>684</v>
      </c>
      <c r="H147" s="326" t="str">
        <f>INDEX('Rate Card'!$B:$B,MATCH(服务费底表!$T147,'Rate Card'!$F:$F,0))</f>
        <v>医学</v>
      </c>
      <c r="I147" s="328" t="s">
        <v>920</v>
      </c>
      <c r="J147" s="328" t="str">
        <f>INDEX(二三级标准!$Q:$Q,MATCH(服务费底表!I147,二三级标准!$O:$O,0))</f>
        <v>临床监查和中心管理</v>
      </c>
      <c r="K147" s="328" t="s">
        <v>169</v>
      </c>
      <c r="L147" s="328" t="str">
        <f>INDEX(二三级标准!C:C,MATCH(服务费底表!K147,二三级标准!$B:$B,0))</f>
        <v>启动访视_启动会的医学远程支持</v>
      </c>
      <c r="M147" s="328" t="s">
        <v>1258</v>
      </c>
      <c r="N147" s="328" t="str">
        <f>INDEX(二三级标准!$M:$M,MATCH(服务费底表!$M147,二三级标准!$L:$L,0))</f>
        <v>准备中心启动会</v>
      </c>
      <c r="O147" s="328"/>
      <c r="P147" s="327">
        <f>IF(R147=1,INDEX(服务费明细!$E:$E,MATCH(服务费底表!$K147,服务费明细!$B:$B,0)),0)</f>
        <v>4</v>
      </c>
      <c r="Q147" s="328" t="s">
        <v>1178</v>
      </c>
      <c r="R147" s="520">
        <f>IF(AND(启动会的医学远程支持YN=1,OR(医学监查YN=1,医学撰写YN=1)),1,0)</f>
        <v>1</v>
      </c>
      <c r="S147" s="521" t="str">
        <f>IF(AND(H147="医学",OR(I147=二三级标准!$A$4,I147=二三级标准!$A$153)),"医学撰写","医学监查")</f>
        <v>医学监查</v>
      </c>
      <c r="T147" s="328" t="s">
        <v>615</v>
      </c>
      <c r="U147" s="522" t="str">
        <f>INDEX('Rate Card'!$E:$E,MATCH(服务费底表!$T147,'Rate Card'!$F:$F,0))</f>
        <v>医学经理</v>
      </c>
      <c r="V147" s="331">
        <f>INDEX('Rate Card'!$J:$J,MATCH($T147,'Rate Card'!$F:$F,0))</f>
        <v>650</v>
      </c>
      <c r="W147" s="523">
        <f t="shared" si="157"/>
        <v>650</v>
      </c>
      <c r="X147" s="523">
        <f t="shared" si="158"/>
        <v>2</v>
      </c>
      <c r="Y147" s="327" cm="1">
        <f t="array" ref="Y147">_xlfn.IFS(报价场景=服务费底表!$AJ$2,服务费底表!$AJ147,报价场景=服务费底表!$AP$2,服务费底表!$AP147,报价场景=服务费底表!$AK$2,服务费底表!$AK147,报价场景=服务费底表!$AL$2,服务费底表!$AL147,报价场景=服务费底表!$AM$2,服务费底表!$AM147,报价场景=服务费底表!$AN$2,服务费底表!$AN147,报价场景=服务费底表!$AQ$2,服务费底表!$AQ147,报价场景=服务费底表!$AO$2,服务费底表!$AO147)</f>
        <v>2</v>
      </c>
      <c r="Z147" s="327"/>
      <c r="AA147" s="332">
        <f t="shared" si="155"/>
        <v>2</v>
      </c>
      <c r="AB147" s="333">
        <f t="shared" si="142"/>
        <v>1300</v>
      </c>
      <c r="AC147" s="328">
        <f t="shared" si="143"/>
        <v>8</v>
      </c>
      <c r="AD147" s="334">
        <f t="shared" si="146"/>
        <v>5200</v>
      </c>
      <c r="AE147" s="334">
        <f>$AB147*(1-INDEX(项目参数!$D$5:$D$14,MATCH(服务费底表!$S147,项目参数!$B$5:$B$14,0)))</f>
        <v>1300</v>
      </c>
      <c r="AF147" s="334">
        <f>$AD147*INDEX(项目参数!$D$5:$D$14,MATCH(服务费底表!$S147,项目参数!$B$5:$B$14,0))</f>
        <v>0</v>
      </c>
      <c r="AG147" s="334">
        <f t="shared" si="156"/>
        <v>5200</v>
      </c>
      <c r="AH147" s="328"/>
      <c r="AI147" s="328" t="s">
        <v>615</v>
      </c>
      <c r="AJ147" s="327">
        <v>2</v>
      </c>
      <c r="AK147" s="327">
        <f>AJ147*1.5</f>
        <v>3</v>
      </c>
      <c r="AL147" s="336">
        <f>AM147</f>
        <v>2</v>
      </c>
      <c r="AM147" s="327">
        <v>2</v>
      </c>
      <c r="AN147" s="327">
        <v>2</v>
      </c>
      <c r="AO147" s="327">
        <v>2</v>
      </c>
      <c r="AP147" s="327">
        <v>2</v>
      </c>
      <c r="AQ147" s="327">
        <f t="shared" si="159"/>
        <v>3</v>
      </c>
      <c r="AR147" s="338"/>
      <c r="AS147" s="327">
        <f t="shared" si="144"/>
        <v>8</v>
      </c>
      <c r="AT147" s="327">
        <f t="shared" si="145"/>
        <v>8</v>
      </c>
      <c r="AU147" s="523">
        <v>2</v>
      </c>
      <c r="AV147" s="328"/>
      <c r="AW147" s="328"/>
      <c r="AX147" s="332">
        <v>2</v>
      </c>
      <c r="AY147" s="328" t="b">
        <f t="shared" si="151"/>
        <v>1</v>
      </c>
      <c r="AZ147" s="328" t="b">
        <f t="shared" si="152"/>
        <v>0</v>
      </c>
    </row>
    <row r="148" ht="27" customHeight="1" spans="1:52">
      <c r="A148" s="326" t="str">
        <f>INDEX('Rate Card'!$A:$A,MATCH(服务费底表!$T148,'Rate Card'!$F:$F,0))</f>
        <v>医学</v>
      </c>
      <c r="B148" s="327" t="str">
        <f>INDEX(二三级标准!$G:$G,MATCH(服务费底表!$K148,二三级标准!B:B,0))</f>
        <v>次</v>
      </c>
      <c r="C148" s="327">
        <f>INDEX(服务费明细!$E:$E,MATCH(服务费底表!$K148,服务费明细!$B:$B,0))</f>
        <v>4</v>
      </c>
      <c r="D148" s="327" t="str">
        <f t="shared" si="140"/>
        <v>A033MM</v>
      </c>
      <c r="E148" s="327" t="str">
        <f t="shared" si="141"/>
        <v>T0087MM</v>
      </c>
      <c r="F148" s="328"/>
      <c r="G148" s="328" t="s">
        <v>684</v>
      </c>
      <c r="H148" s="326" t="str">
        <f>INDEX('Rate Card'!$B:$B,MATCH(服务费底表!$T148,'Rate Card'!$F:$F,0))</f>
        <v>医学</v>
      </c>
      <c r="I148" s="328" t="s">
        <v>920</v>
      </c>
      <c r="J148" s="328" t="str">
        <f>INDEX(二三级标准!$Q:$Q,MATCH(服务费底表!I148,二三级标准!$O:$O,0))</f>
        <v>临床监查和中心管理</v>
      </c>
      <c r="K148" s="328" t="s">
        <v>169</v>
      </c>
      <c r="L148" s="328" t="str">
        <f>INDEX(二三级标准!C:C,MATCH(服务费底表!K148,二三级标准!$B:$B,0))</f>
        <v>启动访视_启动会的医学远程支持</v>
      </c>
      <c r="M148" s="328" t="s">
        <v>1259</v>
      </c>
      <c r="N148" s="328" t="str">
        <f>INDEX(二三级标准!$M:$M,MATCH(服务费底表!$M148,二三级标准!$L:$L,0))</f>
        <v>参加中心启动会</v>
      </c>
      <c r="O148" s="328"/>
      <c r="P148" s="327">
        <f>IF(R148=1,INDEX(服务费明细!$E:$E,MATCH(服务费底表!$K148,服务费明细!$B:$B,0)),0)</f>
        <v>4</v>
      </c>
      <c r="Q148" s="328" t="s">
        <v>1178</v>
      </c>
      <c r="R148" s="520">
        <f>IF(AND(启动会的医学远程支持YN=1,OR(医学监查YN=1,医学撰写YN=1)),1,0)</f>
        <v>1</v>
      </c>
      <c r="S148" s="521" t="str">
        <f>IF(AND(H148="医学",OR(I148=二三级标准!$A$4,I148=二三级标准!$A$153)),"医学撰写","医学监查")</f>
        <v>医学监查</v>
      </c>
      <c r="T148" s="328" t="s">
        <v>615</v>
      </c>
      <c r="U148" s="522" t="str">
        <f>INDEX('Rate Card'!$E:$E,MATCH(服务费底表!$T148,'Rate Card'!$F:$F,0))</f>
        <v>医学经理</v>
      </c>
      <c r="V148" s="331">
        <f>INDEX('Rate Card'!$J:$J,MATCH($T148,'Rate Card'!$F:$F,0))</f>
        <v>650</v>
      </c>
      <c r="W148" s="523">
        <f t="shared" si="157"/>
        <v>650</v>
      </c>
      <c r="X148" s="523">
        <f t="shared" si="158"/>
        <v>1</v>
      </c>
      <c r="Y148" s="327" cm="1">
        <f t="array" ref="Y148">_xlfn.IFS(报价场景=服务费底表!$AJ$2,服务费底表!$AJ148,报价场景=服务费底表!$AP$2,服务费底表!$AP148,报价场景=服务费底表!$AK$2,服务费底表!$AK148,报价场景=服务费底表!$AL$2,服务费底表!$AL148,报价场景=服务费底表!$AM$2,服务费底表!$AM148,报价场景=服务费底表!$AN$2,服务费底表!$AN148,报价场景=服务费底表!$AQ$2,服务费底表!$AQ148,报价场景=服务费底表!$AO$2,服务费底表!$AO148)</f>
        <v>1</v>
      </c>
      <c r="Z148" s="327"/>
      <c r="AA148" s="332">
        <f t="shared" si="155"/>
        <v>1</v>
      </c>
      <c r="AB148" s="333">
        <f t="shared" si="142"/>
        <v>650</v>
      </c>
      <c r="AC148" s="328">
        <f t="shared" si="143"/>
        <v>4</v>
      </c>
      <c r="AD148" s="334">
        <f t="shared" si="146"/>
        <v>2600</v>
      </c>
      <c r="AE148" s="334">
        <f>$AB148*(1-INDEX(项目参数!$D$5:$D$14,MATCH(服务费底表!$S148,项目参数!$B$5:$B$14,0)))</f>
        <v>650</v>
      </c>
      <c r="AF148" s="334">
        <f>$AD148*INDEX(项目参数!$D$5:$D$14,MATCH(服务费底表!$S148,项目参数!$B$5:$B$14,0))</f>
        <v>0</v>
      </c>
      <c r="AG148" s="334">
        <f t="shared" si="156"/>
        <v>2600</v>
      </c>
      <c r="AH148" s="328"/>
      <c r="AI148" s="328" t="s">
        <v>615</v>
      </c>
      <c r="AJ148" s="327">
        <v>1</v>
      </c>
      <c r="AK148" s="327">
        <f>AJ148*1.5</f>
        <v>1.5</v>
      </c>
      <c r="AL148" s="336">
        <f>AM148</f>
        <v>1</v>
      </c>
      <c r="AM148" s="327">
        <v>1</v>
      </c>
      <c r="AN148" s="327">
        <v>1</v>
      </c>
      <c r="AO148" s="327">
        <v>1</v>
      </c>
      <c r="AP148" s="327">
        <v>1</v>
      </c>
      <c r="AQ148" s="327">
        <f t="shared" si="159"/>
        <v>1.5</v>
      </c>
      <c r="AR148" s="338"/>
      <c r="AS148" s="327">
        <f t="shared" si="144"/>
        <v>4</v>
      </c>
      <c r="AT148" s="327">
        <f t="shared" si="145"/>
        <v>4</v>
      </c>
      <c r="AU148" s="523">
        <v>1</v>
      </c>
      <c r="AV148" s="328"/>
      <c r="AW148" s="328"/>
      <c r="AX148" s="332">
        <v>1</v>
      </c>
      <c r="AY148" s="328" t="b">
        <f t="shared" si="151"/>
        <v>1</v>
      </c>
      <c r="AZ148" s="328" t="b">
        <f t="shared" si="152"/>
        <v>0</v>
      </c>
    </row>
    <row r="149" ht="27" customHeight="1" spans="1:52">
      <c r="A149" s="326" t="str">
        <f>INDEX('Rate Card'!$A:$A,MATCH(服务费底表!$T149,'Rate Card'!$F:$F,0))</f>
        <v>临床运营</v>
      </c>
      <c r="B149" s="327" t="str">
        <f>INDEX(二三级标准!$G:$G,MATCH(服务费底表!$K149,二三级标准!B:B,0))</f>
        <v>次</v>
      </c>
      <c r="C149" s="327">
        <f>INDEX(服务费明细!$E:$E,MATCH(服务费底表!$K149,服务费明细!$B:$B,0))</f>
        <v>0</v>
      </c>
      <c r="D149" s="327" t="str">
        <f t="shared" si="140"/>
        <v>A211PM</v>
      </c>
      <c r="E149" s="327" t="str">
        <f t="shared" si="141"/>
        <v>T0635PM</v>
      </c>
      <c r="F149" s="328"/>
      <c r="G149" s="328" t="s">
        <v>684</v>
      </c>
      <c r="H149" s="326" t="str">
        <f>INDEX('Rate Card'!$B:$B,MATCH(服务费底表!$T149,'Rate Card'!$F:$F,0))</f>
        <v>临床运营</v>
      </c>
      <c r="I149" s="328" t="s">
        <v>920</v>
      </c>
      <c r="J149" s="328" t="str">
        <f>INDEX(二三级标准!$Q:$Q,MATCH(服务费底表!I149,二三级标准!$O:$O,0))</f>
        <v>临床监查和中心管理</v>
      </c>
      <c r="K149" s="328" t="s">
        <v>1006</v>
      </c>
      <c r="L149" s="328" t="str">
        <f>INDEX(二三级标准!C:C,MATCH(服务费底表!K149,二三级标准!$B:$B,0))</f>
        <v>启动拜访</v>
      </c>
      <c r="M149" s="328" t="s">
        <v>1260</v>
      </c>
      <c r="N149" s="328" t="str">
        <f>INDEX(二三级标准!$M:$M,MATCH(服务费底表!$M149,二三级标准!$L:$L,0))</f>
        <v>启动拜访</v>
      </c>
      <c r="O149" s="328"/>
      <c r="P149" s="327">
        <f>IF(R149=1,INDEX(服务费明细!$E:$E,MATCH(服务费底表!$K149,服务费明细!$B:$B,0)),0)</f>
        <v>0</v>
      </c>
      <c r="Q149" s="328" t="s">
        <v>1178</v>
      </c>
      <c r="R149" s="520">
        <f>IF(AND(启动拜访=1,项目管理YN=1),1,0)</f>
        <v>0</v>
      </c>
      <c r="S149" s="525" t="str">
        <f>INDEX('Rate Card'!$D:$D,MATCH(服务费底表!$T149,'Rate Card'!F:F,0))</f>
        <v>项目管理</v>
      </c>
      <c r="T149" s="328" t="s">
        <v>599</v>
      </c>
      <c r="U149" s="522" t="str">
        <f>INDEX('Rate Card'!$E:$E,MATCH(服务费底表!$T149,'Rate Card'!$F:$F,0))</f>
        <v>临床项目经理</v>
      </c>
      <c r="V149" s="331">
        <f>INDEX('Rate Card'!$J:$J,MATCH($T149,'Rate Card'!$F:$F,0))</f>
        <v>650</v>
      </c>
      <c r="W149" s="523">
        <f t="shared" si="157"/>
        <v>650</v>
      </c>
      <c r="X149" s="523">
        <f t="shared" si="158"/>
        <v>4</v>
      </c>
      <c r="Y149" s="327" cm="1">
        <f t="array" ref="Y149">_xlfn.IFS(报价场景=服务费底表!$AJ$2,服务费底表!$AJ149,报价场景=服务费底表!$AP$2,服务费底表!$AP149,报价场景=服务费底表!$AK$2,服务费底表!$AK149,报价场景=服务费底表!$AL$2,服务费底表!$AL149,报价场景=服务费底表!$AM$2,服务费底表!$AM149,报价场景=服务费底表!$AN$2,服务费底表!$AN149,报价场景=服务费底表!$AQ$2,服务费底表!$AQ149,报价场景=服务费底表!$AO$2,服务费底表!$AO149)</f>
        <v>4</v>
      </c>
      <c r="Z149" s="327"/>
      <c r="AA149" s="332">
        <f t="shared" si="155"/>
        <v>4</v>
      </c>
      <c r="AB149" s="333">
        <f t="shared" si="142"/>
        <v>0</v>
      </c>
      <c r="AC149" s="328">
        <f t="shared" si="143"/>
        <v>0</v>
      </c>
      <c r="AD149" s="334">
        <f t="shared" si="146"/>
        <v>0</v>
      </c>
      <c r="AE149" s="334">
        <f>$AB149*(1-INDEX(项目参数!$D$5:$D$14,MATCH(服务费底表!$S149,项目参数!$B$5:$B$14,0)))</f>
        <v>0</v>
      </c>
      <c r="AF149" s="334">
        <f>$AD149*INDEX(项目参数!$D$5:$D$14,MATCH(服务费底表!$S149,项目参数!$B$5:$B$14,0))</f>
        <v>0</v>
      </c>
      <c r="AG149" s="334">
        <f t="shared" si="156"/>
        <v>0</v>
      </c>
      <c r="AH149" s="328"/>
      <c r="AI149" s="328" t="s">
        <v>599</v>
      </c>
      <c r="AJ149" s="327">
        <v>4</v>
      </c>
      <c r="AK149" s="327">
        <f>AJ149*1.5</f>
        <v>6</v>
      </c>
      <c r="AL149" s="327">
        <f>AJ149*0.7</f>
        <v>2.8</v>
      </c>
      <c r="AM149" s="327">
        <f>AJ149*0.7</f>
        <v>2.8</v>
      </c>
      <c r="AN149" s="327">
        <f>AJ149</f>
        <v>4</v>
      </c>
      <c r="AO149" s="327">
        <f t="shared" si="153"/>
        <v>2.8</v>
      </c>
      <c r="AP149" s="327">
        <v>4</v>
      </c>
      <c r="AQ149" s="327">
        <f t="shared" si="159"/>
        <v>6</v>
      </c>
      <c r="AR149" s="338"/>
      <c r="AS149" s="327">
        <f t="shared" si="144"/>
        <v>0</v>
      </c>
      <c r="AT149" s="327">
        <f t="shared" si="145"/>
        <v>0</v>
      </c>
      <c r="AU149" s="523">
        <v>4</v>
      </c>
      <c r="AV149" s="328"/>
      <c r="AW149" s="328"/>
      <c r="AX149" s="332">
        <v>4</v>
      </c>
      <c r="AY149" s="328" t="b">
        <f t="shared" si="151"/>
        <v>1</v>
      </c>
      <c r="AZ149" s="328" t="b">
        <f t="shared" si="152"/>
        <v>1</v>
      </c>
    </row>
    <row r="150" ht="27" customHeight="1" spans="1:52">
      <c r="A150" s="326" t="str">
        <f>INDEX('Rate Card'!$A:$A,MATCH(服务费底表!$T150,'Rate Card'!$F:$F,0))</f>
        <v>临床运营</v>
      </c>
      <c r="B150" s="327" t="str">
        <f>INDEX(二三级标准!$G:$G,MATCH(服务费底表!$K150,二三级标准!B:B,0))</f>
        <v>例</v>
      </c>
      <c r="C150" s="327">
        <f>INDEX(服务费明细!$E:$E,MATCH(服务费底表!$K150,服务费明细!$B:$B,0))</f>
        <v>0</v>
      </c>
      <c r="D150" s="327" t="str">
        <f t="shared" si="140"/>
        <v>A247CRA</v>
      </c>
      <c r="E150" s="327" t="str">
        <f t="shared" si="141"/>
        <v>T0708CRA</v>
      </c>
      <c r="F150" s="328"/>
      <c r="G150" s="328" t="s">
        <v>684</v>
      </c>
      <c r="H150" s="326" t="str">
        <f>INDEX('Rate Card'!$B:$B,MATCH(服务费底表!$T150,'Rate Card'!$F:$F,0))</f>
        <v>临床运营</v>
      </c>
      <c r="I150" s="328" t="s">
        <v>920</v>
      </c>
      <c r="J150" s="328" t="str">
        <f>INDEX(二三级标准!$Q:$Q,MATCH(服务费底表!I150,二三级标准!$O:$O,0))</f>
        <v>临床监查和中心管理</v>
      </c>
      <c r="K150" s="328" t="s">
        <v>1009</v>
      </c>
      <c r="L150" s="328" t="str">
        <f>INDEX(二三级标准!C:C,MATCH(服务费底表!K150,二三级标准!$B:$B,0))</f>
        <v>协助试验参与者招募审核</v>
      </c>
      <c r="M150" s="328" t="s">
        <v>1261</v>
      </c>
      <c r="N150" s="328" t="str">
        <f>INDEX(二三级标准!$M:$M,MATCH(服务费底表!$M150,二三级标准!$L:$L,0))</f>
        <v>患者预筛整理及审核</v>
      </c>
      <c r="O150" s="328"/>
      <c r="P150" s="327">
        <f>IF(R150=1,INDEX(服务费明细!$E:$E,MATCH(服务费底表!$K150,服务费明细!$B:$B,0)),0)</f>
        <v>0</v>
      </c>
      <c r="Q150" s="328" t="s">
        <v>1262</v>
      </c>
      <c r="R150" s="520">
        <f>IF(AND(患者预筛YN=1,临床监查YN=1),1,0)</f>
        <v>0</v>
      </c>
      <c r="S150" s="525" t="str">
        <f>INDEX('Rate Card'!$D:$D,MATCH(服务费底表!$T150,'Rate Card'!F:F,0))</f>
        <v>临床监查</v>
      </c>
      <c r="T150" s="328" t="s">
        <v>595</v>
      </c>
      <c r="U150" s="522" t="str">
        <f>INDEX('Rate Card'!$E:$E,MATCH(服务费底表!$T150,'Rate Card'!$F:$F,0))</f>
        <v>临床监查员</v>
      </c>
      <c r="V150" s="331">
        <f>INDEX('Rate Card'!$J:$J,MATCH($T150,'Rate Card'!$F:$F,0))</f>
        <v>340</v>
      </c>
      <c r="W150" s="523">
        <f t="shared" si="157"/>
        <v>340</v>
      </c>
      <c r="X150" s="523">
        <f t="shared" si="158"/>
        <v>0.3</v>
      </c>
      <c r="Y150" s="327" cm="1">
        <f t="array" ref="Y150">_xlfn.IFS(报价场景=服务费底表!$AJ$2,服务费底表!$AJ150,报价场景=服务费底表!$AP$2,服务费底表!$AP150,报价场景=服务费底表!$AK$2,服务费底表!$AK150,报价场景=服务费底表!$AL$2,服务费底表!$AL150,报价场景=服务费底表!$AM$2,服务费底表!$AM150,报价场景=服务费底表!$AN$2,服务费底表!$AN150,报价场景=服务费底表!$AQ$2,服务费底表!$AQ150,报价场景=服务费底表!$AO$2,服务费底表!$AO150)</f>
        <v>0.3</v>
      </c>
      <c r="Z150" s="327"/>
      <c r="AA150" s="332">
        <f t="shared" si="155"/>
        <v>0.3</v>
      </c>
      <c r="AB150" s="333">
        <f t="shared" si="142"/>
        <v>0</v>
      </c>
      <c r="AC150" s="328">
        <f t="shared" si="143"/>
        <v>0</v>
      </c>
      <c r="AD150" s="334">
        <f t="shared" si="146"/>
        <v>0</v>
      </c>
      <c r="AE150" s="334">
        <f>$AB150*(1-INDEX(项目参数!$D$5:$D$14,MATCH(服务费底表!$S150,项目参数!$B$5:$B$14,0)))</f>
        <v>0</v>
      </c>
      <c r="AF150" s="334">
        <f>$AD150*INDEX(项目参数!$D$5:$D$14,MATCH(服务费底表!$S150,项目参数!$B$5:$B$14,0))</f>
        <v>0</v>
      </c>
      <c r="AG150" s="334">
        <f t="shared" si="156"/>
        <v>0</v>
      </c>
      <c r="AH150" s="328"/>
      <c r="AI150" s="328" t="s">
        <v>595</v>
      </c>
      <c r="AJ150" s="327">
        <v>0.3</v>
      </c>
      <c r="AK150" s="327">
        <v>0.3</v>
      </c>
      <c r="AL150" s="327">
        <v>0.3</v>
      </c>
      <c r="AM150" s="327">
        <v>0.3</v>
      </c>
      <c r="AN150" s="327">
        <v>0.3</v>
      </c>
      <c r="AO150" s="327">
        <v>0.3</v>
      </c>
      <c r="AP150" s="327">
        <v>0.3</v>
      </c>
      <c r="AQ150" s="327">
        <f t="shared" si="159"/>
        <v>0.45</v>
      </c>
      <c r="AR150" s="338"/>
      <c r="AS150" s="327">
        <f t="shared" si="144"/>
        <v>0</v>
      </c>
      <c r="AT150" s="327">
        <f t="shared" si="145"/>
        <v>0</v>
      </c>
      <c r="AU150" s="523">
        <v>0.3</v>
      </c>
      <c r="AV150" s="328"/>
      <c r="AW150" s="328"/>
      <c r="AX150" s="332">
        <v>0.3</v>
      </c>
      <c r="AY150" s="328" t="b">
        <f t="shared" si="151"/>
        <v>1</v>
      </c>
      <c r="AZ150" s="328" t="b">
        <f t="shared" si="152"/>
        <v>0</v>
      </c>
    </row>
    <row r="151" ht="27" customHeight="1" spans="1:52">
      <c r="A151" s="326" t="str">
        <f>INDEX('Rate Card'!$A:$A,MATCH(服务费底表!$T151,'Rate Card'!$F:$F,0))</f>
        <v>临床运营</v>
      </c>
      <c r="B151" s="327" t="str">
        <f>INDEX(二三级标准!$G:$G,MATCH(服务费底表!$K151,二三级标准!B:B,0))</f>
        <v>例</v>
      </c>
      <c r="C151" s="327">
        <f>INDEX(服务费明细!$E:$E,MATCH(服务费底表!$K151,服务费明细!$B:$B,0))</f>
        <v>0</v>
      </c>
      <c r="D151" s="327" t="str">
        <f t="shared" si="140"/>
        <v>A247PM</v>
      </c>
      <c r="E151" s="327" t="str">
        <f t="shared" si="141"/>
        <v>T0709PM</v>
      </c>
      <c r="F151" s="328"/>
      <c r="G151" s="328" t="s">
        <v>684</v>
      </c>
      <c r="H151" s="326" t="str">
        <f>INDEX('Rate Card'!$B:$B,MATCH(服务费底表!$T151,'Rate Card'!$F:$F,0))</f>
        <v>临床运营</v>
      </c>
      <c r="I151" s="328" t="s">
        <v>920</v>
      </c>
      <c r="J151" s="328" t="str">
        <f>INDEX(二三级标准!$Q:$Q,MATCH(服务费底表!I151,二三级标准!$O:$O,0))</f>
        <v>临床监查和中心管理</v>
      </c>
      <c r="K151" s="328" t="s">
        <v>1009</v>
      </c>
      <c r="L151" s="328" t="str">
        <f>INDEX(二三级标准!C:C,MATCH(服务费底表!K151,二三级标准!$B:$B,0))</f>
        <v>协助试验参与者招募审核</v>
      </c>
      <c r="M151" s="328" t="s">
        <v>1263</v>
      </c>
      <c r="N151" s="328" t="str">
        <f>INDEX(二三级标准!$M:$M,MATCH(服务费底表!$M151,二三级标准!$L:$L,0))</f>
        <v>患者预筛复审</v>
      </c>
      <c r="O151" s="328"/>
      <c r="P151" s="327">
        <f>IF(R151=1,INDEX(服务费明细!$E:$E,MATCH(服务费底表!$K151,服务费明细!$B:$B,0)),0)</f>
        <v>0</v>
      </c>
      <c r="Q151" s="328" t="s">
        <v>1262</v>
      </c>
      <c r="R151" s="520">
        <v>0</v>
      </c>
      <c r="S151" s="525" t="str">
        <f>INDEX('Rate Card'!$D:$D,MATCH(服务费底表!$T151,'Rate Card'!F:F,0))</f>
        <v>项目管理</v>
      </c>
      <c r="T151" s="328" t="s">
        <v>599</v>
      </c>
      <c r="U151" s="522" t="str">
        <f>INDEX('Rate Card'!$E:$E,MATCH(服务费底表!$T151,'Rate Card'!$F:$F,0))</f>
        <v>临床项目经理</v>
      </c>
      <c r="V151" s="331">
        <f>INDEX('Rate Card'!$J:$J,MATCH($T151,'Rate Card'!$F:$F,0))</f>
        <v>650</v>
      </c>
      <c r="W151" s="523">
        <f t="shared" si="157"/>
        <v>650</v>
      </c>
      <c r="X151" s="523">
        <f t="shared" si="158"/>
        <v>0.1</v>
      </c>
      <c r="Y151" s="327" cm="1">
        <f t="array" ref="Y151">_xlfn.IFS(报价场景=服务费底表!$AJ$2,服务费底表!$AJ151,报价场景=服务费底表!$AP$2,服务费底表!$AP151,报价场景=服务费底表!$AK$2,服务费底表!$AK151,报价场景=服务费底表!$AL$2,服务费底表!$AL151,报价场景=服务费底表!$AM$2,服务费底表!$AM151,报价场景=服务费底表!$AN$2,服务费底表!$AN151,报价场景=服务费底表!$AQ$2,服务费底表!$AQ151,报价场景=服务费底表!$AO$2,服务费底表!$AO151)</f>
        <v>0.1</v>
      </c>
      <c r="Z151" s="327"/>
      <c r="AA151" s="332">
        <f t="shared" si="155"/>
        <v>0.1</v>
      </c>
      <c r="AB151" s="333">
        <f t="shared" si="142"/>
        <v>0</v>
      </c>
      <c r="AC151" s="328">
        <f t="shared" si="143"/>
        <v>0</v>
      </c>
      <c r="AD151" s="334">
        <f t="shared" si="146"/>
        <v>0</v>
      </c>
      <c r="AE151" s="334">
        <f>$AB151*(1-INDEX(项目参数!$D$5:$D$14,MATCH(服务费底表!$S151,项目参数!$B$5:$B$14,0)))</f>
        <v>0</v>
      </c>
      <c r="AF151" s="334">
        <f>$AD151*INDEX(项目参数!$D$5:$D$14,MATCH(服务费底表!$S151,项目参数!$B$5:$B$14,0))</f>
        <v>0</v>
      </c>
      <c r="AG151" s="334">
        <f t="shared" si="156"/>
        <v>0</v>
      </c>
      <c r="AH151" s="328"/>
      <c r="AI151" s="328" t="s">
        <v>599</v>
      </c>
      <c r="AJ151" s="327">
        <v>0.1</v>
      </c>
      <c r="AK151" s="327">
        <v>0.8</v>
      </c>
      <c r="AL151" s="327">
        <f>AM151</f>
        <v>0.4</v>
      </c>
      <c r="AM151" s="327">
        <v>0.4</v>
      </c>
      <c r="AN151" s="327">
        <f>AJ151</f>
        <v>0.1</v>
      </c>
      <c r="AO151" s="327">
        <f>AL151</f>
        <v>0.4</v>
      </c>
      <c r="AP151" s="327">
        <v>0.1</v>
      </c>
      <c r="AQ151" s="327">
        <f t="shared" si="159"/>
        <v>0.15</v>
      </c>
      <c r="AR151" s="338"/>
      <c r="AS151" s="327">
        <f t="shared" si="144"/>
        <v>0</v>
      </c>
      <c r="AT151" s="327">
        <f t="shared" si="145"/>
        <v>0</v>
      </c>
      <c r="AU151" s="523">
        <v>0.1</v>
      </c>
      <c r="AV151" s="328"/>
      <c r="AW151" s="328"/>
      <c r="AX151" s="332">
        <v>0.1</v>
      </c>
      <c r="AY151" s="328" t="b">
        <f t="shared" si="151"/>
        <v>1</v>
      </c>
      <c r="AZ151" s="328" t="b">
        <f t="shared" si="152"/>
        <v>0</v>
      </c>
    </row>
    <row r="152" ht="27" customHeight="1" spans="1:52">
      <c r="A152" s="326" t="str">
        <f>INDEX('Rate Card'!$A:$A,MATCH(服务费底表!$T152,'Rate Card'!$F:$F,0))</f>
        <v>临床运营</v>
      </c>
      <c r="B152" s="327" t="str">
        <f>INDEX(二三级标准!$G:$G,MATCH(服务费底表!$K152,二三级标准!B:B,0))</f>
        <v>次</v>
      </c>
      <c r="C152" s="327">
        <f>INDEX(服务费明细!$E:$E,MATCH(服务费底表!$K152,服务费明细!$B:$B,0))</f>
        <v>52</v>
      </c>
      <c r="D152" s="327" t="str">
        <f t="shared" ref="D152:D196" si="160">K152&amp;T152</f>
        <v>A034CRA</v>
      </c>
      <c r="E152" s="327" t="str">
        <f t="shared" ref="E152:E196" si="161">M152&amp;T152</f>
        <v>T0088CRA</v>
      </c>
      <c r="F152" s="328"/>
      <c r="G152" s="328" t="s">
        <v>684</v>
      </c>
      <c r="H152" s="326" t="str">
        <f>INDEX('Rate Card'!$B:$B,MATCH(服务费底表!$T152,'Rate Card'!$F:$F,0))</f>
        <v>临床运营</v>
      </c>
      <c r="I152" s="328" t="s">
        <v>920</v>
      </c>
      <c r="J152" s="328" t="str">
        <f>INDEX(二三级标准!$Q:$Q,MATCH(服务费底表!I152,二三级标准!$O:$O,0))</f>
        <v>临床监查和中心管理</v>
      </c>
      <c r="K152" s="328" t="s">
        <v>171</v>
      </c>
      <c r="L152" s="328" t="str">
        <f>INDEX(二三级标准!C:C,MATCH(服务费底表!K152,二三级标准!$B:$B,0))</f>
        <v>常规监查访视</v>
      </c>
      <c r="M152" s="328" t="s">
        <v>1264</v>
      </c>
      <c r="N152" s="328" t="str">
        <f>INDEX(二三级标准!$M:$M,MATCH(服务费底表!$M152,二三级标准!$L:$L,0))</f>
        <v>准备常规监查访视</v>
      </c>
      <c r="O152" s="328"/>
      <c r="P152" s="327">
        <f>IF(R152=1,INDEX(服务费明细!$E:$E,MATCH(服务费底表!$K152,服务费明细!$B:$B,0)),0)</f>
        <v>52</v>
      </c>
      <c r="Q152" s="328" t="s">
        <v>1178</v>
      </c>
      <c r="R152" s="520">
        <f>IF(AND(常规监查访视YN=1,临床监查YN=1),1,0)</f>
        <v>1</v>
      </c>
      <c r="S152" s="525" t="str">
        <f>INDEX('Rate Card'!$D:$D,MATCH(服务费底表!$T152,'Rate Card'!F:F,0))</f>
        <v>临床监查</v>
      </c>
      <c r="T152" s="328" t="s">
        <v>595</v>
      </c>
      <c r="U152" s="522" t="str">
        <f>INDEX('Rate Card'!$E:$E,MATCH(服务费底表!$T152,'Rate Card'!$F:$F,0))</f>
        <v>临床监查员</v>
      </c>
      <c r="V152" s="331">
        <f>INDEX('Rate Card'!$J:$J,MATCH($T152,'Rate Card'!$F:$F,0))</f>
        <v>340</v>
      </c>
      <c r="W152" s="523">
        <f t="shared" ref="W152:W212" si="162">V152*(1-$W$1)</f>
        <v>340</v>
      </c>
      <c r="X152" s="523">
        <f t="shared" ref="X152:X212" si="163">Y152*$X$1</f>
        <v>2</v>
      </c>
      <c r="Y152" s="327" cm="1">
        <f t="array" ref="Y152">_xlfn.IFS(报价场景=服务费底表!$AJ$2,服务费底表!$AJ152,报价场景=服务费底表!$AP$2,服务费底表!$AP152,报价场景=服务费底表!$AK$2,服务费底表!$AK152,报价场景=服务费底表!$AL$2,服务费底表!$AL152,报价场景=服务费底表!$AM$2,服务费底表!$AM152,报价场景=服务费底表!$AN$2,服务费底表!$AN152,报价场景=服务费底表!$AQ$2,服务费底表!$AQ152,报价场景=服务费底表!$AO$2,服务费底表!$AO152)</f>
        <v>2</v>
      </c>
      <c r="Z152" s="327"/>
      <c r="AA152" s="332">
        <f t="shared" ref="AA152:AA196" si="164">IF(ISBLANK($Z152),$Y152,$Z152)</f>
        <v>2</v>
      </c>
      <c r="AB152" s="333">
        <f t="shared" ref="AB152:AB196" si="165">IFERROR(AD152/P152,0)</f>
        <v>680</v>
      </c>
      <c r="AC152" s="328">
        <f t="shared" ref="AC152:AC196" si="166">AA152*P152*R152</f>
        <v>104</v>
      </c>
      <c r="AD152" s="334">
        <f t="shared" ref="AD152:AD196" si="167">AC152*V152</f>
        <v>35360</v>
      </c>
      <c r="AE152" s="334">
        <f>$AB152*(1-INDEX(项目参数!$D$5:$D$14,MATCH(服务费底表!$S152,项目参数!$B$5:$B$14,0)))</f>
        <v>680</v>
      </c>
      <c r="AF152" s="334">
        <f>$AD152*INDEX(项目参数!$D$5:$D$14,MATCH(服务费底表!$S152,项目参数!$B$5:$B$14,0))</f>
        <v>0</v>
      </c>
      <c r="AG152" s="334">
        <f t="shared" si="156"/>
        <v>35360</v>
      </c>
      <c r="AH152" s="328"/>
      <c r="AI152" s="328" t="s">
        <v>595</v>
      </c>
      <c r="AJ152" s="327">
        <v>2</v>
      </c>
      <c r="AK152" s="327">
        <f t="shared" ref="AK152:AK212" si="168">AJ152*1.5</f>
        <v>3</v>
      </c>
      <c r="AL152" s="327">
        <f t="shared" ref="AL152:AL160" si="169">AM152</f>
        <v>2</v>
      </c>
      <c r="AM152" s="327">
        <v>2</v>
      </c>
      <c r="AN152" s="327">
        <v>2</v>
      </c>
      <c r="AO152" s="327">
        <v>2</v>
      </c>
      <c r="AP152" s="327">
        <v>2</v>
      </c>
      <c r="AQ152" s="327">
        <f t="shared" ref="AQ152:AQ212" si="170">AJ152*$AQ$1</f>
        <v>3</v>
      </c>
      <c r="AR152" s="338"/>
      <c r="AS152" s="327">
        <f t="shared" ref="AS152:AS193" si="171">AC152</f>
        <v>104</v>
      </c>
      <c r="AT152" s="327">
        <f t="shared" ref="AT152:AT193" si="172">Y152*P152</f>
        <v>104</v>
      </c>
      <c r="AU152" s="523">
        <v>2</v>
      </c>
      <c r="AV152" s="328"/>
      <c r="AW152" s="328"/>
      <c r="AX152" s="332">
        <v>2</v>
      </c>
      <c r="AY152" s="328" t="b">
        <f t="shared" si="151"/>
        <v>1</v>
      </c>
      <c r="AZ152" s="328" t="b">
        <f t="shared" si="152"/>
        <v>1</v>
      </c>
    </row>
    <row r="153" ht="27" customHeight="1" spans="1:52">
      <c r="A153" s="326" t="str">
        <f>INDEX('Rate Card'!$A:$A,MATCH(服务费底表!$T153,'Rate Card'!$F:$F,0))</f>
        <v>临床运营</v>
      </c>
      <c r="B153" s="327" t="str">
        <f>INDEX(二三级标准!$G:$G,MATCH(服务费底表!$K153,二三级标准!B:B,0))</f>
        <v>次</v>
      </c>
      <c r="C153" s="327">
        <f>INDEX(服务费明细!$E:$E,MATCH(服务费底表!$K153,服务费明细!$B:$B,0))</f>
        <v>52</v>
      </c>
      <c r="D153" s="327" t="str">
        <f t="shared" si="160"/>
        <v>A034CRA</v>
      </c>
      <c r="E153" s="327" t="str">
        <f t="shared" si="161"/>
        <v>T0089CRA</v>
      </c>
      <c r="F153" s="328"/>
      <c r="G153" s="328" t="s">
        <v>684</v>
      </c>
      <c r="H153" s="326" t="str">
        <f>INDEX('Rate Card'!$B:$B,MATCH(服务费底表!$T153,'Rate Card'!$F:$F,0))</f>
        <v>临床运营</v>
      </c>
      <c r="I153" s="328" t="s">
        <v>920</v>
      </c>
      <c r="J153" s="328" t="str">
        <f>INDEX(二三级标准!$Q:$Q,MATCH(服务费底表!I153,二三级标准!$O:$O,0))</f>
        <v>临床监查和中心管理</v>
      </c>
      <c r="K153" s="328" t="s">
        <v>171</v>
      </c>
      <c r="L153" s="328" t="str">
        <f>INDEX(二三级标准!C:C,MATCH(服务费底表!K153,二三级标准!$B:$B,0))</f>
        <v>常规监查访视</v>
      </c>
      <c r="M153" s="328" t="s">
        <v>1265</v>
      </c>
      <c r="N153" s="328" t="str">
        <f>INDEX(二三级标准!$M:$M,MATCH(服务费底表!$M153,二三级标准!$L:$L,0))</f>
        <v>常规监查访视和撰写报告</v>
      </c>
      <c r="O153" s="328"/>
      <c r="P153" s="327">
        <f>IF(R153=1,INDEX(服务费明细!$E:$E,MATCH(服务费底表!$K153,服务费明细!$B:$B,0)),0)</f>
        <v>52</v>
      </c>
      <c r="Q153" s="328" t="s">
        <v>1178</v>
      </c>
      <c r="R153" s="520">
        <f>IF(AND(常规监查访视YN=1,临床监查YN=1),1,0)</f>
        <v>1</v>
      </c>
      <c r="S153" s="525" t="str">
        <f>INDEX('Rate Card'!$D:$D,MATCH(服务费底表!$T153,'Rate Card'!F:F,0))</f>
        <v>临床监查</v>
      </c>
      <c r="T153" s="328" t="s">
        <v>595</v>
      </c>
      <c r="U153" s="522" t="str">
        <f>INDEX('Rate Card'!$E:$E,MATCH(服务费底表!$T153,'Rate Card'!$F:$F,0))</f>
        <v>临床监查员</v>
      </c>
      <c r="V153" s="331">
        <f>INDEX('Rate Card'!$J:$J,MATCH($T153,'Rate Card'!$F:$F,0))</f>
        <v>340</v>
      </c>
      <c r="W153" s="523">
        <f t="shared" si="162"/>
        <v>340</v>
      </c>
      <c r="X153" s="523">
        <f t="shared" si="163"/>
        <v>17</v>
      </c>
      <c r="Y153" s="327" cm="1">
        <f t="array" ref="Y153">_xlfn.IFS(报价场景=服务费底表!$AJ$2,服务费底表!$AJ153,报价场景=服务费底表!$AP$2,服务费底表!$AP153,报价场景=服务费底表!$AK$2,服务费底表!$AK153,报价场景=服务费底表!$AL$2,服务费底表!$AL153,报价场景=服务费底表!$AM$2,服务费底表!$AM153,报价场景=服务费底表!$AN$2,服务费底表!$AN153,报价场景=服务费底表!$AQ$2,服务费底表!$AQ153,报价场景=服务费底表!$AO$2,服务费底表!$AO153)</f>
        <v>17</v>
      </c>
      <c r="Z153" s="327"/>
      <c r="AA153" s="332">
        <f t="shared" si="164"/>
        <v>17</v>
      </c>
      <c r="AB153" s="333">
        <f t="shared" si="165"/>
        <v>5780</v>
      </c>
      <c r="AC153" s="328">
        <f t="shared" si="166"/>
        <v>884</v>
      </c>
      <c r="AD153" s="334">
        <f t="shared" si="167"/>
        <v>300560</v>
      </c>
      <c r="AE153" s="334">
        <f>$AB153*(1-INDEX(项目参数!$D$5:$D$14,MATCH(服务费底表!$S153,项目参数!$B$5:$B$14,0)))</f>
        <v>5780</v>
      </c>
      <c r="AF153" s="334">
        <f>$AD153*INDEX(项目参数!$D$5:$D$14,MATCH(服务费底表!$S153,项目参数!$B$5:$B$14,0))</f>
        <v>0</v>
      </c>
      <c r="AG153" s="334">
        <f t="shared" si="156"/>
        <v>300560</v>
      </c>
      <c r="AH153" s="328"/>
      <c r="AI153" s="328" t="s">
        <v>595</v>
      </c>
      <c r="AJ153" s="327">
        <f>IFERROR(SUMPRODUCT(项目时间计划!$E$27:$E$30,项目时间计划!$I$27:$I$30)/SUM(项目时间计划!$E$27:$E$30),0)</f>
        <v>17</v>
      </c>
      <c r="AK153" s="327">
        <v>25</v>
      </c>
      <c r="AL153" s="327">
        <f t="shared" si="169"/>
        <v>17</v>
      </c>
      <c r="AM153" s="327">
        <v>17</v>
      </c>
      <c r="AN153" s="327">
        <v>17</v>
      </c>
      <c r="AO153" s="327">
        <v>17</v>
      </c>
      <c r="AP153" s="327">
        <v>16</v>
      </c>
      <c r="AQ153" s="327">
        <f t="shared" si="170"/>
        <v>25.5</v>
      </c>
      <c r="AR153" s="338"/>
      <c r="AS153" s="327">
        <f t="shared" si="171"/>
        <v>884</v>
      </c>
      <c r="AT153" s="327">
        <f t="shared" si="172"/>
        <v>884</v>
      </c>
      <c r="AU153" s="523">
        <v>17</v>
      </c>
      <c r="AV153" s="328"/>
      <c r="AW153" s="328"/>
      <c r="AX153" s="332">
        <v>17</v>
      </c>
      <c r="AY153" s="328" t="b">
        <f t="shared" si="151"/>
        <v>1</v>
      </c>
      <c r="AZ153" s="328" t="b">
        <f t="shared" si="152"/>
        <v>1</v>
      </c>
    </row>
    <row r="154" ht="27" customHeight="1" spans="1:52">
      <c r="A154" s="326" t="str">
        <f>INDEX('Rate Card'!$A:$A,MATCH(服务费底表!$T154,'Rate Card'!$F:$F,0))</f>
        <v>临床运营</v>
      </c>
      <c r="B154" s="327" t="str">
        <f>INDEX(二三级标准!$G:$G,MATCH(服务费底表!$K154,二三级标准!B:B,0))</f>
        <v>次</v>
      </c>
      <c r="C154" s="327">
        <f>INDEX(服务费明细!$E:$E,MATCH(服务费底表!$K154,服务费明细!$B:$B,0))</f>
        <v>52</v>
      </c>
      <c r="D154" s="327" t="str">
        <f t="shared" si="160"/>
        <v>A034PM</v>
      </c>
      <c r="E154" s="327" t="str">
        <f t="shared" si="161"/>
        <v>T0090PM</v>
      </c>
      <c r="F154" s="328"/>
      <c r="G154" s="328" t="s">
        <v>684</v>
      </c>
      <c r="H154" s="326" t="str">
        <f>INDEX('Rate Card'!$B:$B,MATCH(服务费底表!$T154,'Rate Card'!$F:$F,0))</f>
        <v>临床运营</v>
      </c>
      <c r="I154" s="328" t="s">
        <v>920</v>
      </c>
      <c r="J154" s="328" t="str">
        <f>INDEX(二三级标准!$Q:$Q,MATCH(服务费底表!I154,二三级标准!$O:$O,0))</f>
        <v>临床监查和中心管理</v>
      </c>
      <c r="K154" s="328" t="s">
        <v>171</v>
      </c>
      <c r="L154" s="328" t="str">
        <f>INDEX(二三级标准!C:C,MATCH(服务费底表!K154,二三级标准!$B:$B,0))</f>
        <v>常规监查访视</v>
      </c>
      <c r="M154" s="328" t="s">
        <v>1266</v>
      </c>
      <c r="N154" s="328" t="str">
        <f>INDEX(二三级标准!$M:$M,MATCH(服务费底表!$M154,二三级标准!$L:$L,0))</f>
        <v>审核常规监查访视报告</v>
      </c>
      <c r="O154" s="328"/>
      <c r="P154" s="327">
        <f>IF(R154=1,INDEX(服务费明细!$E:$E,MATCH(服务费底表!$K154,服务费明细!$B:$B,0)),0)</f>
        <v>52</v>
      </c>
      <c r="Q154" s="328" t="s">
        <v>1178</v>
      </c>
      <c r="R154" s="520">
        <f>IF(AND(常规监查访视YN=1,项目管理YN=1),1,0)</f>
        <v>1</v>
      </c>
      <c r="S154" s="525" t="str">
        <f>INDEX('Rate Card'!$D:$D,MATCH(服务费底表!$T154,'Rate Card'!F:F,0))</f>
        <v>项目管理</v>
      </c>
      <c r="T154" s="328" t="s">
        <v>599</v>
      </c>
      <c r="U154" s="522" t="str">
        <f>INDEX('Rate Card'!$E:$E,MATCH(服务费底表!$T154,'Rate Card'!$F:$F,0))</f>
        <v>临床项目经理</v>
      </c>
      <c r="V154" s="331">
        <f>INDEX('Rate Card'!$J:$J,MATCH($T154,'Rate Card'!$F:$F,0))</f>
        <v>650</v>
      </c>
      <c r="W154" s="523">
        <f t="shared" si="162"/>
        <v>650</v>
      </c>
      <c r="X154" s="523">
        <f t="shared" si="163"/>
        <v>2</v>
      </c>
      <c r="Y154" s="327" cm="1">
        <f t="array" ref="Y154">_xlfn.IFS(报价场景=服务费底表!$AJ$2,服务费底表!$AJ154,报价场景=服务费底表!$AP$2,服务费底表!$AP154,报价场景=服务费底表!$AK$2,服务费底表!$AK154,报价场景=服务费底表!$AL$2,服务费底表!$AL154,报价场景=服务费底表!$AM$2,服务费底表!$AM154,报价场景=服务费底表!$AN$2,服务费底表!$AN154,报价场景=服务费底表!$AQ$2,服务费底表!$AQ154,报价场景=服务费底表!$AO$2,服务费底表!$AO154)</f>
        <v>2</v>
      </c>
      <c r="Z154" s="327"/>
      <c r="AA154" s="332">
        <f t="shared" si="164"/>
        <v>2</v>
      </c>
      <c r="AB154" s="333">
        <f t="shared" si="165"/>
        <v>1300</v>
      </c>
      <c r="AC154" s="328">
        <f t="shared" si="166"/>
        <v>104</v>
      </c>
      <c r="AD154" s="334">
        <f t="shared" si="167"/>
        <v>67600</v>
      </c>
      <c r="AE154" s="334">
        <f>$AB154*(1-INDEX(项目参数!$D$5:$D$14,MATCH(服务费底表!$S154,项目参数!$B$5:$B$14,0)))</f>
        <v>1300</v>
      </c>
      <c r="AF154" s="334">
        <f>$AD154*INDEX(项目参数!$D$5:$D$14,MATCH(服务费底表!$S154,项目参数!$B$5:$B$14,0))</f>
        <v>0</v>
      </c>
      <c r="AG154" s="334">
        <f t="shared" si="156"/>
        <v>67600</v>
      </c>
      <c r="AH154" s="328"/>
      <c r="AI154" s="328" t="s">
        <v>599</v>
      </c>
      <c r="AJ154" s="327">
        <v>2</v>
      </c>
      <c r="AK154" s="327">
        <f t="shared" si="168"/>
        <v>3</v>
      </c>
      <c r="AL154" s="327">
        <f t="shared" si="169"/>
        <v>2</v>
      </c>
      <c r="AM154" s="327">
        <v>2</v>
      </c>
      <c r="AN154" s="327">
        <v>2</v>
      </c>
      <c r="AO154" s="327">
        <v>2</v>
      </c>
      <c r="AP154" s="327">
        <v>2</v>
      </c>
      <c r="AQ154" s="327">
        <f t="shared" si="170"/>
        <v>3</v>
      </c>
      <c r="AR154" s="338"/>
      <c r="AS154" s="327">
        <f t="shared" si="171"/>
        <v>104</v>
      </c>
      <c r="AT154" s="327">
        <f t="shared" si="172"/>
        <v>104</v>
      </c>
      <c r="AU154" s="523">
        <v>2</v>
      </c>
      <c r="AV154" s="328"/>
      <c r="AW154" s="328"/>
      <c r="AX154" s="332">
        <v>2</v>
      </c>
      <c r="AY154" s="328" t="b">
        <f t="shared" si="151"/>
        <v>1</v>
      </c>
      <c r="AZ154" s="328" t="b">
        <f t="shared" si="152"/>
        <v>1</v>
      </c>
    </row>
    <row r="155" ht="27" customHeight="1" spans="1:52">
      <c r="A155" s="326" t="str">
        <f>INDEX('Rate Card'!$A:$A,MATCH(服务费底表!$T155,'Rate Card'!$F:$F,0))</f>
        <v>临床运营</v>
      </c>
      <c r="B155" s="327" t="str">
        <f>INDEX(二三级标准!$G:$G,MATCH(服务费底表!$K155,二三级标准!B:B,0))</f>
        <v>次</v>
      </c>
      <c r="C155" s="327">
        <f>INDEX(服务费明细!$E:$E,MATCH(服务费底表!$K155,服务费明细!$B:$B,0))</f>
        <v>4</v>
      </c>
      <c r="D155" s="327" t="str">
        <f t="shared" si="160"/>
        <v>A035CRA</v>
      </c>
      <c r="E155" s="327" t="str">
        <f t="shared" si="161"/>
        <v>T0091CRA</v>
      </c>
      <c r="F155" s="328"/>
      <c r="G155" s="328" t="s">
        <v>684</v>
      </c>
      <c r="H155" s="326" t="str">
        <f>INDEX('Rate Card'!$B:$B,MATCH(服务费底表!$T155,'Rate Card'!$F:$F,0))</f>
        <v>临床运营</v>
      </c>
      <c r="I155" s="328" t="s">
        <v>920</v>
      </c>
      <c r="J155" s="328" t="str">
        <f>INDEX(二三级标准!$Q:$Q,MATCH(服务费底表!I155,二三级标准!$O:$O,0))</f>
        <v>临床监查和中心管理</v>
      </c>
      <c r="K155" s="328" t="s">
        <v>173</v>
      </c>
      <c r="L155" s="328" t="str">
        <f>INDEX(二三级标准!C:C,MATCH(服务费底表!K155,二三级标准!$B:$B,0))</f>
        <v>计划外访视</v>
      </c>
      <c r="M155" s="328" t="s">
        <v>1267</v>
      </c>
      <c r="N155" s="328" t="str">
        <f>INDEX(二三级标准!$M:$M,MATCH(服务费底表!$M155,二三级标准!$L:$L,0))</f>
        <v>准备计划外访视</v>
      </c>
      <c r="O155" s="328"/>
      <c r="P155" s="327">
        <f>IF(R155=1,INDEX(服务费明细!$E:$E,MATCH(服务费底表!$K155,服务费明细!$B:$B,0)),0)</f>
        <v>4</v>
      </c>
      <c r="Q155" s="328" t="s">
        <v>1178</v>
      </c>
      <c r="R155" s="520">
        <f>IF(AND(计划外访视YN=1,临床监查YN=1),1,0)</f>
        <v>1</v>
      </c>
      <c r="S155" s="525" t="str">
        <f>INDEX('Rate Card'!$D:$D,MATCH(服务费底表!$T155,'Rate Card'!F:F,0))</f>
        <v>临床监查</v>
      </c>
      <c r="T155" s="328" t="s">
        <v>595</v>
      </c>
      <c r="U155" s="522" t="str">
        <f>INDEX('Rate Card'!$E:$E,MATCH(服务费底表!$T155,'Rate Card'!$F:$F,0))</f>
        <v>临床监查员</v>
      </c>
      <c r="V155" s="331">
        <f>INDEX('Rate Card'!$J:$J,MATCH($T155,'Rate Card'!$F:$F,0))</f>
        <v>340</v>
      </c>
      <c r="W155" s="523">
        <f t="shared" si="162"/>
        <v>340</v>
      </c>
      <c r="X155" s="523">
        <f t="shared" si="163"/>
        <v>2</v>
      </c>
      <c r="Y155" s="327" cm="1">
        <f t="array" ref="Y155">_xlfn.IFS(报价场景=服务费底表!$AJ$2,服务费底表!$AJ155,报价场景=服务费底表!$AP$2,服务费底表!$AP155,报价场景=服务费底表!$AK$2,服务费底表!$AK155,报价场景=服务费底表!$AL$2,服务费底表!$AL155,报价场景=服务费底表!$AM$2,服务费底表!$AM155,报价场景=服务费底表!$AN$2,服务费底表!$AN155,报价场景=服务费底表!$AQ$2,服务费底表!$AQ155,报价场景=服务费底表!$AO$2,服务费底表!$AO155)</f>
        <v>2</v>
      </c>
      <c r="Z155" s="327"/>
      <c r="AA155" s="332">
        <f t="shared" si="164"/>
        <v>2</v>
      </c>
      <c r="AB155" s="333">
        <f t="shared" si="165"/>
        <v>680</v>
      </c>
      <c r="AC155" s="328">
        <f t="shared" si="166"/>
        <v>8</v>
      </c>
      <c r="AD155" s="334">
        <f t="shared" si="167"/>
        <v>2720</v>
      </c>
      <c r="AE155" s="334">
        <f>$AB155*(1-INDEX(项目参数!$D$5:$D$14,MATCH(服务费底表!$S155,项目参数!$B$5:$B$14,0)))</f>
        <v>680</v>
      </c>
      <c r="AF155" s="334">
        <f>$AD155*INDEX(项目参数!$D$5:$D$14,MATCH(服务费底表!$S155,项目参数!$B$5:$B$14,0))</f>
        <v>0</v>
      </c>
      <c r="AG155" s="334">
        <f t="shared" si="156"/>
        <v>2720</v>
      </c>
      <c r="AH155" s="328"/>
      <c r="AI155" s="328" t="s">
        <v>595</v>
      </c>
      <c r="AJ155" s="327">
        <f>项目时间计划!$H$31</f>
        <v>2</v>
      </c>
      <c r="AK155" s="327">
        <f t="shared" si="168"/>
        <v>3</v>
      </c>
      <c r="AL155" s="327">
        <f t="shared" si="169"/>
        <v>2</v>
      </c>
      <c r="AM155" s="327">
        <v>2</v>
      </c>
      <c r="AN155" s="327">
        <v>2</v>
      </c>
      <c r="AO155" s="327">
        <v>2</v>
      </c>
      <c r="AP155" s="327">
        <v>2</v>
      </c>
      <c r="AQ155" s="327">
        <f t="shared" si="170"/>
        <v>3</v>
      </c>
      <c r="AR155" s="338"/>
      <c r="AS155" s="327">
        <f t="shared" si="171"/>
        <v>8</v>
      </c>
      <c r="AT155" s="327">
        <f t="shared" si="172"/>
        <v>8</v>
      </c>
      <c r="AU155" s="523">
        <v>2</v>
      </c>
      <c r="AV155" s="328"/>
      <c r="AW155" s="328"/>
      <c r="AX155" s="332">
        <v>2</v>
      </c>
      <c r="AY155" s="328" t="b">
        <f t="shared" si="151"/>
        <v>1</v>
      </c>
      <c r="AZ155" s="328" t="b">
        <f t="shared" si="152"/>
        <v>0</v>
      </c>
    </row>
    <row r="156" ht="27" customHeight="1" spans="1:52">
      <c r="A156" s="326" t="str">
        <f>INDEX('Rate Card'!$A:$A,MATCH(服务费底表!$T156,'Rate Card'!$F:$F,0))</f>
        <v>临床运营</v>
      </c>
      <c r="B156" s="327" t="str">
        <f>INDEX(二三级标准!$G:$G,MATCH(服务费底表!$K156,二三级标准!B:B,0))</f>
        <v>次</v>
      </c>
      <c r="C156" s="327">
        <f>INDEX(服务费明细!$E:$E,MATCH(服务费底表!$K156,服务费明细!$B:$B,0))</f>
        <v>4</v>
      </c>
      <c r="D156" s="327" t="str">
        <f t="shared" si="160"/>
        <v>A035CRA</v>
      </c>
      <c r="E156" s="327" t="str">
        <f t="shared" si="161"/>
        <v>T0092CRA</v>
      </c>
      <c r="F156" s="328"/>
      <c r="G156" s="328" t="s">
        <v>684</v>
      </c>
      <c r="H156" s="326" t="str">
        <f>INDEX('Rate Card'!$B:$B,MATCH(服务费底表!$T156,'Rate Card'!$F:$F,0))</f>
        <v>临床运营</v>
      </c>
      <c r="I156" s="328" t="s">
        <v>920</v>
      </c>
      <c r="J156" s="328" t="str">
        <f>INDEX(二三级标准!$Q:$Q,MATCH(服务费底表!I156,二三级标准!$O:$O,0))</f>
        <v>临床监查和中心管理</v>
      </c>
      <c r="K156" s="328" t="s">
        <v>173</v>
      </c>
      <c r="L156" s="328" t="str">
        <f>INDEX(二三级标准!C:C,MATCH(服务费底表!K156,二三级标准!$B:$B,0))</f>
        <v>计划外访视</v>
      </c>
      <c r="M156" s="328" t="s">
        <v>1268</v>
      </c>
      <c r="N156" s="328" t="str">
        <f>INDEX(二三级标准!$M:$M,MATCH(服务费底表!$M156,二三级标准!$L:$L,0))</f>
        <v>计划外访视及撰写报告</v>
      </c>
      <c r="O156" s="328"/>
      <c r="P156" s="327">
        <f>IF(R156=1,INDEX(服务费明细!$E:$E,MATCH(服务费底表!$K156,服务费明细!$B:$B,0)),0)</f>
        <v>4</v>
      </c>
      <c r="Q156" s="328" t="s">
        <v>1178</v>
      </c>
      <c r="R156" s="520">
        <f>IF(AND(计划外访视YN=1,临床监查YN=1),1,0)</f>
        <v>1</v>
      </c>
      <c r="S156" s="525" t="str">
        <f>INDEX('Rate Card'!$D:$D,MATCH(服务费底表!$T156,'Rate Card'!F:F,0))</f>
        <v>临床监查</v>
      </c>
      <c r="T156" s="328" t="s">
        <v>595</v>
      </c>
      <c r="U156" s="522" t="str">
        <f>INDEX('Rate Card'!$E:$E,MATCH(服务费底表!$T156,'Rate Card'!$F:$F,0))</f>
        <v>临床监查员</v>
      </c>
      <c r="V156" s="331">
        <f>INDEX('Rate Card'!$J:$J,MATCH($T156,'Rate Card'!$F:$F,0))</f>
        <v>340</v>
      </c>
      <c r="W156" s="523">
        <f t="shared" si="162"/>
        <v>340</v>
      </c>
      <c r="X156" s="523">
        <f t="shared" si="163"/>
        <v>13</v>
      </c>
      <c r="Y156" s="327" cm="1">
        <f t="array" ref="Y156">_xlfn.IFS(报价场景=服务费底表!$AJ$2,服务费底表!$AJ156,报价场景=服务费底表!$AP$2,服务费底表!$AP156,报价场景=服务费底表!$AK$2,服务费底表!$AK156,报价场景=服务费底表!$AL$2,服务费底表!$AL156,报价场景=服务费底表!$AM$2,服务费底表!$AM156,报价场景=服务费底表!$AN$2,服务费底表!$AN156,报价场景=服务费底表!$AQ$2,服务费底表!$AQ156,报价场景=服务费底表!$AO$2,服务费底表!$AO156)</f>
        <v>13</v>
      </c>
      <c r="Z156" s="327"/>
      <c r="AA156" s="332">
        <f t="shared" si="164"/>
        <v>13</v>
      </c>
      <c r="AB156" s="333">
        <f t="shared" si="165"/>
        <v>4420</v>
      </c>
      <c r="AC156" s="328">
        <f t="shared" si="166"/>
        <v>52</v>
      </c>
      <c r="AD156" s="334">
        <f t="shared" si="167"/>
        <v>17680</v>
      </c>
      <c r="AE156" s="334">
        <f>$AB156*(1-INDEX(项目参数!$D$5:$D$14,MATCH(服务费底表!$S156,项目参数!$B$5:$B$14,0)))</f>
        <v>4420</v>
      </c>
      <c r="AF156" s="334">
        <f>$AD156*INDEX(项目参数!$D$5:$D$14,MATCH(服务费底表!$S156,项目参数!$B$5:$B$14,0))</f>
        <v>0</v>
      </c>
      <c r="AG156" s="334">
        <f t="shared" si="156"/>
        <v>17680</v>
      </c>
      <c r="AH156" s="328"/>
      <c r="AI156" s="328" t="s">
        <v>595</v>
      </c>
      <c r="AJ156" s="327">
        <f>项目时间计划!$I$31</f>
        <v>13</v>
      </c>
      <c r="AK156" s="327">
        <v>20</v>
      </c>
      <c r="AL156" s="327">
        <f t="shared" si="169"/>
        <v>13</v>
      </c>
      <c r="AM156" s="327">
        <v>13</v>
      </c>
      <c r="AN156" s="327">
        <v>13</v>
      </c>
      <c r="AO156" s="327">
        <v>13</v>
      </c>
      <c r="AP156" s="327">
        <v>10</v>
      </c>
      <c r="AQ156" s="327">
        <f t="shared" si="170"/>
        <v>19.5</v>
      </c>
      <c r="AR156" s="338"/>
      <c r="AS156" s="327">
        <f t="shared" si="171"/>
        <v>52</v>
      </c>
      <c r="AT156" s="327">
        <f t="shared" si="172"/>
        <v>52</v>
      </c>
      <c r="AU156" s="523">
        <v>13</v>
      </c>
      <c r="AV156" s="328"/>
      <c r="AW156" s="328"/>
      <c r="AX156" s="332">
        <v>13</v>
      </c>
      <c r="AY156" s="328" t="b">
        <f t="shared" si="151"/>
        <v>1</v>
      </c>
      <c r="AZ156" s="328" t="b">
        <f t="shared" si="152"/>
        <v>0</v>
      </c>
    </row>
    <row r="157" ht="27" customHeight="1" spans="1:52">
      <c r="A157" s="326" t="str">
        <f>INDEX('Rate Card'!$A:$A,MATCH(服务费底表!$T157,'Rate Card'!$F:$F,0))</f>
        <v>临床运营</v>
      </c>
      <c r="B157" s="327" t="str">
        <f>INDEX(二三级标准!$G:$G,MATCH(服务费底表!$K157,二三级标准!B:B,0))</f>
        <v>次</v>
      </c>
      <c r="C157" s="327">
        <f>INDEX(服务费明细!$E:$E,MATCH(服务费底表!$K157,服务费明细!$B:$B,0))</f>
        <v>4</v>
      </c>
      <c r="D157" s="327" t="str">
        <f t="shared" si="160"/>
        <v>A035PM</v>
      </c>
      <c r="E157" s="327" t="str">
        <f t="shared" si="161"/>
        <v>T0093PM</v>
      </c>
      <c r="F157" s="328"/>
      <c r="G157" s="328" t="s">
        <v>684</v>
      </c>
      <c r="H157" s="326" t="str">
        <f>INDEX('Rate Card'!$B:$B,MATCH(服务费底表!$T157,'Rate Card'!$F:$F,0))</f>
        <v>临床运营</v>
      </c>
      <c r="I157" s="328" t="s">
        <v>920</v>
      </c>
      <c r="J157" s="328" t="str">
        <f>INDEX(二三级标准!$Q:$Q,MATCH(服务费底表!I157,二三级标准!$O:$O,0))</f>
        <v>临床监查和中心管理</v>
      </c>
      <c r="K157" s="328" t="s">
        <v>173</v>
      </c>
      <c r="L157" s="328" t="str">
        <f>INDEX(二三级标准!C:C,MATCH(服务费底表!K157,二三级标准!$B:$B,0))</f>
        <v>计划外访视</v>
      </c>
      <c r="M157" s="328" t="s">
        <v>1269</v>
      </c>
      <c r="N157" s="328" t="str">
        <f>INDEX(二三级标准!$M:$M,MATCH(服务费底表!$M157,二三级标准!$L:$L,0))</f>
        <v>审核计划外访视报告</v>
      </c>
      <c r="O157" s="328"/>
      <c r="P157" s="327">
        <f>IF(R157=1,INDEX(服务费明细!$E:$E,MATCH(服务费底表!$K157,服务费明细!$B:$B,0)),0)</f>
        <v>4</v>
      </c>
      <c r="Q157" s="328" t="s">
        <v>1178</v>
      </c>
      <c r="R157" s="520">
        <f>IF(AND(计划外访视YN=1,项目管理YN=1),1,0)</f>
        <v>1</v>
      </c>
      <c r="S157" s="525" t="str">
        <f>INDEX('Rate Card'!$D:$D,MATCH(服务费底表!$T157,'Rate Card'!F:F,0))</f>
        <v>项目管理</v>
      </c>
      <c r="T157" s="328" t="s">
        <v>599</v>
      </c>
      <c r="U157" s="522" t="str">
        <f>INDEX('Rate Card'!$E:$E,MATCH(服务费底表!$T157,'Rate Card'!$F:$F,0))</f>
        <v>临床项目经理</v>
      </c>
      <c r="V157" s="331">
        <f>INDEX('Rate Card'!$J:$J,MATCH($T157,'Rate Card'!$F:$F,0))</f>
        <v>650</v>
      </c>
      <c r="W157" s="523">
        <f t="shared" si="162"/>
        <v>650</v>
      </c>
      <c r="X157" s="523">
        <f t="shared" si="163"/>
        <v>2</v>
      </c>
      <c r="Y157" s="327" cm="1">
        <f t="array" ref="Y157">_xlfn.IFS(报价场景=服务费底表!$AJ$2,服务费底表!$AJ157,报价场景=服务费底表!$AP$2,服务费底表!$AP157,报价场景=服务费底表!$AK$2,服务费底表!$AK157,报价场景=服务费底表!$AL$2,服务费底表!$AL157,报价场景=服务费底表!$AM$2,服务费底表!$AM157,报价场景=服务费底表!$AN$2,服务费底表!$AN157,报价场景=服务费底表!$AQ$2,服务费底表!$AQ157,报价场景=服务费底表!$AO$2,服务费底表!$AO157)</f>
        <v>2</v>
      </c>
      <c r="Z157" s="327"/>
      <c r="AA157" s="332">
        <f t="shared" si="164"/>
        <v>2</v>
      </c>
      <c r="AB157" s="333">
        <f t="shared" si="165"/>
        <v>1300</v>
      </c>
      <c r="AC157" s="328">
        <f t="shared" si="166"/>
        <v>8</v>
      </c>
      <c r="AD157" s="334">
        <f t="shared" si="167"/>
        <v>5200</v>
      </c>
      <c r="AE157" s="334">
        <f>$AB157*(1-INDEX(项目参数!$D$5:$D$14,MATCH(服务费底表!$S157,项目参数!$B$5:$B$14,0)))</f>
        <v>1300</v>
      </c>
      <c r="AF157" s="334">
        <f>$AD157*INDEX(项目参数!$D$5:$D$14,MATCH(服务费底表!$S157,项目参数!$B$5:$B$14,0))</f>
        <v>0</v>
      </c>
      <c r="AG157" s="334">
        <f t="shared" si="156"/>
        <v>5200</v>
      </c>
      <c r="AH157" s="328"/>
      <c r="AI157" s="328" t="s">
        <v>599</v>
      </c>
      <c r="AJ157" s="327">
        <v>2</v>
      </c>
      <c r="AK157" s="327">
        <f t="shared" si="168"/>
        <v>3</v>
      </c>
      <c r="AL157" s="327">
        <f t="shared" si="169"/>
        <v>2</v>
      </c>
      <c r="AM157" s="327">
        <v>2</v>
      </c>
      <c r="AN157" s="327">
        <v>2</v>
      </c>
      <c r="AO157" s="327">
        <v>2</v>
      </c>
      <c r="AP157" s="327">
        <v>2</v>
      </c>
      <c r="AQ157" s="327">
        <f t="shared" si="170"/>
        <v>3</v>
      </c>
      <c r="AR157" s="338"/>
      <c r="AS157" s="327">
        <f t="shared" si="171"/>
        <v>8</v>
      </c>
      <c r="AT157" s="327">
        <f t="shared" si="172"/>
        <v>8</v>
      </c>
      <c r="AU157" s="523">
        <v>2</v>
      </c>
      <c r="AV157" s="328"/>
      <c r="AW157" s="328"/>
      <c r="AX157" s="332">
        <v>2</v>
      </c>
      <c r="AY157" s="328" t="b">
        <f t="shared" si="151"/>
        <v>1</v>
      </c>
      <c r="AZ157" s="328" t="b">
        <f t="shared" si="152"/>
        <v>0</v>
      </c>
    </row>
    <row r="158" ht="27" customHeight="1" spans="1:52">
      <c r="A158" s="326" t="str">
        <f>INDEX('Rate Card'!$A:$A,MATCH(服务费底表!$T158,'Rate Card'!$F:$F,0))</f>
        <v>临床运营</v>
      </c>
      <c r="B158" s="327" t="str">
        <f>INDEX(二三级标准!$G:$G,MATCH(服务费底表!$K158,二三级标准!B:B,0))</f>
        <v>次</v>
      </c>
      <c r="C158" s="327">
        <f>INDEX(服务费明细!$E:$E,MATCH(服务费底表!$K158,服务费明细!$B:$B,0))</f>
        <v>2</v>
      </c>
      <c r="D158" s="327" t="str">
        <f t="shared" si="160"/>
        <v>A036PM</v>
      </c>
      <c r="E158" s="327" t="str">
        <f t="shared" si="161"/>
        <v>T0094PM</v>
      </c>
      <c r="F158" s="328"/>
      <c r="G158" s="328" t="s">
        <v>684</v>
      </c>
      <c r="H158" s="326" t="str">
        <f>INDEX('Rate Card'!$B:$B,MATCH(服务费底表!$T158,'Rate Card'!$F:$F,0))</f>
        <v>临床运营</v>
      </c>
      <c r="I158" s="328" t="s">
        <v>920</v>
      </c>
      <c r="J158" s="328" t="str">
        <f>INDEX(二三级标准!$Q:$Q,MATCH(服务费底表!I158,二三级标准!$O:$O,0))</f>
        <v>临床监查和中心管理</v>
      </c>
      <c r="K158" s="328" t="s">
        <v>175</v>
      </c>
      <c r="L158" s="328" t="str">
        <f>INDEX(二三级标准!C:C,MATCH(服务费底表!K158,二三级标准!$B:$B,0))</f>
        <v>协同访视</v>
      </c>
      <c r="M158" s="328" t="s">
        <v>1270</v>
      </c>
      <c r="N158" s="328" t="str">
        <f>INDEX(二三级标准!$M:$M,MATCH(服务费底表!$M158,二三级标准!$L:$L,0))</f>
        <v>准备协同访视</v>
      </c>
      <c r="O158" s="328"/>
      <c r="P158" s="327">
        <f>IF(R158=1,INDEX(服务费明细!$E:$E,MATCH(服务费底表!$K158,服务费明细!$B:$B,0)),0)</f>
        <v>2</v>
      </c>
      <c r="Q158" s="328" t="s">
        <v>1178</v>
      </c>
      <c r="R158" s="520">
        <f>IF(AND(协同访视YN=1,项目管理YN=1),1,0)</f>
        <v>1</v>
      </c>
      <c r="S158" s="525" t="str">
        <f>INDEX('Rate Card'!$D:$D,MATCH(服务费底表!$T158,'Rate Card'!F:F,0))</f>
        <v>项目管理</v>
      </c>
      <c r="T158" s="328" t="s">
        <v>599</v>
      </c>
      <c r="U158" s="522" t="str">
        <f>INDEX('Rate Card'!$E:$E,MATCH(服务费底表!$T158,'Rate Card'!$F:$F,0))</f>
        <v>临床项目经理</v>
      </c>
      <c r="V158" s="331">
        <f>INDEX('Rate Card'!$J:$J,MATCH($T158,'Rate Card'!$F:$F,0))</f>
        <v>650</v>
      </c>
      <c r="W158" s="523">
        <f t="shared" si="162"/>
        <v>650</v>
      </c>
      <c r="X158" s="523">
        <f t="shared" si="163"/>
        <v>2</v>
      </c>
      <c r="Y158" s="327" cm="1">
        <f t="array" ref="Y158">_xlfn.IFS(报价场景=服务费底表!$AJ$2,服务费底表!$AJ158,报价场景=服务费底表!$AP$2,服务费底表!$AP158,报价场景=服务费底表!$AK$2,服务费底表!$AK158,报价场景=服务费底表!$AL$2,服务费底表!$AL158,报价场景=服务费底表!$AM$2,服务费底表!$AM158,报价场景=服务费底表!$AN$2,服务费底表!$AN158,报价场景=服务费底表!$AQ$2,服务费底表!$AQ158,报价场景=服务费底表!$AO$2,服务费底表!$AO158)</f>
        <v>2</v>
      </c>
      <c r="Z158" s="327"/>
      <c r="AA158" s="332">
        <f t="shared" si="164"/>
        <v>2</v>
      </c>
      <c r="AB158" s="333">
        <f t="shared" si="165"/>
        <v>1300</v>
      </c>
      <c r="AC158" s="328">
        <f t="shared" si="166"/>
        <v>4</v>
      </c>
      <c r="AD158" s="334">
        <f t="shared" si="167"/>
        <v>2600</v>
      </c>
      <c r="AE158" s="334">
        <f>$AB158*(1-INDEX(项目参数!$D$5:$D$14,MATCH(服务费底表!$S158,项目参数!$B$5:$B$14,0)))</f>
        <v>1300</v>
      </c>
      <c r="AF158" s="334">
        <f>$AD158*INDEX(项目参数!$D$5:$D$14,MATCH(服务费底表!$S158,项目参数!$B$5:$B$14,0))</f>
        <v>0</v>
      </c>
      <c r="AG158" s="334">
        <f t="shared" si="156"/>
        <v>2600</v>
      </c>
      <c r="AH158" s="328"/>
      <c r="AI158" s="328" t="s">
        <v>599</v>
      </c>
      <c r="AJ158" s="327">
        <f>项目时间计划!$H$34</f>
        <v>2</v>
      </c>
      <c r="AK158" s="327">
        <f t="shared" si="168"/>
        <v>3</v>
      </c>
      <c r="AL158" s="327">
        <f t="shared" si="169"/>
        <v>2</v>
      </c>
      <c r="AM158" s="327">
        <v>2</v>
      </c>
      <c r="AN158" s="327">
        <v>2</v>
      </c>
      <c r="AO158" s="327">
        <v>2</v>
      </c>
      <c r="AP158" s="327">
        <v>2</v>
      </c>
      <c r="AQ158" s="327">
        <f t="shared" si="170"/>
        <v>3</v>
      </c>
      <c r="AR158" s="338"/>
      <c r="AS158" s="327">
        <f t="shared" si="171"/>
        <v>4</v>
      </c>
      <c r="AT158" s="327">
        <f t="shared" si="172"/>
        <v>4</v>
      </c>
      <c r="AU158" s="523">
        <v>2</v>
      </c>
      <c r="AV158" s="328"/>
      <c r="AW158" s="328"/>
      <c r="AX158" s="332">
        <v>2</v>
      </c>
      <c r="AY158" s="328" t="b">
        <f t="shared" si="151"/>
        <v>1</v>
      </c>
      <c r="AZ158" s="328" t="b">
        <f t="shared" si="152"/>
        <v>1</v>
      </c>
    </row>
    <row r="159" ht="27" customHeight="1" spans="1:52">
      <c r="A159" s="326" t="str">
        <f>INDEX('Rate Card'!$A:$A,MATCH(服务费底表!$T159,'Rate Card'!$F:$F,0))</f>
        <v>临床运营</v>
      </c>
      <c r="B159" s="327" t="str">
        <f>INDEX(二三级标准!$G:$G,MATCH(服务费底表!$K159,二三级标准!B:B,0))</f>
        <v>次</v>
      </c>
      <c r="C159" s="327">
        <f>INDEX(服务费明细!$E:$E,MATCH(服务费底表!$K159,服务费明细!$B:$B,0))</f>
        <v>2</v>
      </c>
      <c r="D159" s="327" t="str">
        <f t="shared" si="160"/>
        <v>A036PM</v>
      </c>
      <c r="E159" s="327" t="str">
        <f t="shared" si="161"/>
        <v>T0095PM</v>
      </c>
      <c r="F159" s="328"/>
      <c r="G159" s="328" t="s">
        <v>684</v>
      </c>
      <c r="H159" s="326" t="str">
        <f>INDEX('Rate Card'!$B:$B,MATCH(服务费底表!$T159,'Rate Card'!$F:$F,0))</f>
        <v>临床运营</v>
      </c>
      <c r="I159" s="328" t="s">
        <v>920</v>
      </c>
      <c r="J159" s="328" t="str">
        <f>INDEX(二三级标准!$Q:$Q,MATCH(服务费底表!I159,二三级标准!$O:$O,0))</f>
        <v>临床监查和中心管理</v>
      </c>
      <c r="K159" s="328" t="s">
        <v>175</v>
      </c>
      <c r="L159" s="328" t="str">
        <f>INDEX(二三级标准!C:C,MATCH(服务费底表!K159,二三级标准!$B:$B,0))</f>
        <v>协同访视</v>
      </c>
      <c r="M159" s="328" t="s">
        <v>1271</v>
      </c>
      <c r="N159" s="328" t="str">
        <f>INDEX(二三级标准!$M:$M,MATCH(服务费底表!$M159,二三级标准!$L:$L,0))</f>
        <v>协同访视及撰写报告</v>
      </c>
      <c r="O159" s="328"/>
      <c r="P159" s="327">
        <f>IF(R159=1,INDEX(服务费明细!$E:$E,MATCH(服务费底表!$K159,服务费明细!$B:$B,0)),0)</f>
        <v>2</v>
      </c>
      <c r="Q159" s="328" t="s">
        <v>1178</v>
      </c>
      <c r="R159" s="520">
        <f>IF(AND(协同访视YN=1,项目管理YN=1),1,0)</f>
        <v>1</v>
      </c>
      <c r="S159" s="525" t="str">
        <f>INDEX('Rate Card'!$D:$D,MATCH(服务费底表!$T159,'Rate Card'!F:F,0))</f>
        <v>项目管理</v>
      </c>
      <c r="T159" s="328" t="s">
        <v>599</v>
      </c>
      <c r="U159" s="522" t="str">
        <f>INDEX('Rate Card'!$E:$E,MATCH(服务费底表!$T159,'Rate Card'!$F:$F,0))</f>
        <v>临床项目经理</v>
      </c>
      <c r="V159" s="331">
        <f>INDEX('Rate Card'!$J:$J,MATCH($T159,'Rate Card'!$F:$F,0))</f>
        <v>650</v>
      </c>
      <c r="W159" s="523">
        <f t="shared" si="162"/>
        <v>650</v>
      </c>
      <c r="X159" s="523">
        <f t="shared" si="163"/>
        <v>13</v>
      </c>
      <c r="Y159" s="327" cm="1">
        <f t="array" ref="Y159">_xlfn.IFS(报价场景=服务费底表!$AJ$2,服务费底表!$AJ159,报价场景=服务费底表!$AP$2,服务费底表!$AP159,报价场景=服务费底表!$AK$2,服务费底表!$AK159,报价场景=服务费底表!$AL$2,服务费底表!$AL159,报价场景=服务费底表!$AM$2,服务费底表!$AM159,报价场景=服务费底表!$AN$2,服务费底表!$AN159,报价场景=服务费底表!$AQ$2,服务费底表!$AQ159,报价场景=服务费底表!$AO$2,服务费底表!$AO159)</f>
        <v>13</v>
      </c>
      <c r="Z159" s="327"/>
      <c r="AA159" s="332">
        <f t="shared" si="164"/>
        <v>13</v>
      </c>
      <c r="AB159" s="333">
        <f t="shared" si="165"/>
        <v>8450</v>
      </c>
      <c r="AC159" s="328">
        <f t="shared" si="166"/>
        <v>26</v>
      </c>
      <c r="AD159" s="334">
        <f t="shared" si="167"/>
        <v>16900</v>
      </c>
      <c r="AE159" s="334">
        <f>$AB159*(1-INDEX(项目参数!$D$5:$D$14,MATCH(服务费底表!$S159,项目参数!$B$5:$B$14,0)))</f>
        <v>8450</v>
      </c>
      <c r="AF159" s="334">
        <f>$AD159*INDEX(项目参数!$D$5:$D$14,MATCH(服务费底表!$S159,项目参数!$B$5:$B$14,0))</f>
        <v>0</v>
      </c>
      <c r="AG159" s="334">
        <f t="shared" ref="AG159:AG196" si="173">AD159-AF159</f>
        <v>16900</v>
      </c>
      <c r="AH159" s="328"/>
      <c r="AI159" s="328" t="s">
        <v>599</v>
      </c>
      <c r="AJ159" s="327">
        <f>项目时间计划!$I$34</f>
        <v>13</v>
      </c>
      <c r="AK159" s="327">
        <v>20</v>
      </c>
      <c r="AL159" s="327">
        <f t="shared" si="169"/>
        <v>13</v>
      </c>
      <c r="AM159" s="327">
        <v>13</v>
      </c>
      <c r="AN159" s="327">
        <v>13</v>
      </c>
      <c r="AO159" s="327">
        <v>13</v>
      </c>
      <c r="AP159" s="327">
        <v>10</v>
      </c>
      <c r="AQ159" s="327">
        <f t="shared" si="170"/>
        <v>19.5</v>
      </c>
      <c r="AR159" s="338"/>
      <c r="AS159" s="327">
        <f t="shared" si="171"/>
        <v>26</v>
      </c>
      <c r="AT159" s="327">
        <f t="shared" si="172"/>
        <v>26</v>
      </c>
      <c r="AU159" s="523">
        <v>13</v>
      </c>
      <c r="AV159" s="328"/>
      <c r="AW159" s="328"/>
      <c r="AX159" s="332">
        <v>13</v>
      </c>
      <c r="AY159" s="328" t="b">
        <f t="shared" si="151"/>
        <v>1</v>
      </c>
      <c r="AZ159" s="328" t="b">
        <f t="shared" si="152"/>
        <v>1</v>
      </c>
    </row>
    <row r="160" ht="27" customHeight="1" spans="1:52">
      <c r="A160" s="326" t="str">
        <f>INDEX('Rate Card'!$A:$A,MATCH(服务费底表!$T160,'Rate Card'!$F:$F,0))</f>
        <v>临床运营</v>
      </c>
      <c r="B160" s="327" t="str">
        <f>INDEX(二三级标准!$G:$G,MATCH(服务费底表!$K160,二三级标准!B:B,0))</f>
        <v>次</v>
      </c>
      <c r="C160" s="327">
        <f>INDEX(服务费明细!$E:$E,MATCH(服务费底表!$K160,服务费明细!$B:$B,0))</f>
        <v>2</v>
      </c>
      <c r="D160" s="327" t="str">
        <f t="shared" si="160"/>
        <v>A036PMD</v>
      </c>
      <c r="E160" s="327" t="str">
        <f t="shared" si="161"/>
        <v>T0096PMD</v>
      </c>
      <c r="F160" s="328"/>
      <c r="G160" s="328" t="s">
        <v>684</v>
      </c>
      <c r="H160" s="326" t="str">
        <f>INDEX('Rate Card'!$B:$B,MATCH(服务费底表!$T160,'Rate Card'!$F:$F,0))</f>
        <v>临床运营</v>
      </c>
      <c r="I160" s="328" t="s">
        <v>920</v>
      </c>
      <c r="J160" s="328" t="str">
        <f>INDEX(二三级标准!$Q:$Q,MATCH(服务费底表!I160,二三级标准!$O:$O,0))</f>
        <v>临床监查和中心管理</v>
      </c>
      <c r="K160" s="328" t="s">
        <v>175</v>
      </c>
      <c r="L160" s="328" t="str">
        <f>INDEX(二三级标准!C:C,MATCH(服务费底表!K160,二三级标准!$B:$B,0))</f>
        <v>协同访视</v>
      </c>
      <c r="M160" s="328" t="s">
        <v>1272</v>
      </c>
      <c r="N160" s="328" t="str">
        <f>INDEX(二三级标准!$M:$M,MATCH(服务费底表!$M160,二三级标准!$L:$L,0))</f>
        <v>协同访视报告审核</v>
      </c>
      <c r="O160" s="328"/>
      <c r="P160" s="327">
        <f>IF(R160=1,INDEX(服务费明细!$E:$E,MATCH(服务费底表!$K160,服务费明细!$B:$B,0)),0)</f>
        <v>2</v>
      </c>
      <c r="Q160" s="328" t="s">
        <v>1178</v>
      </c>
      <c r="R160" s="520">
        <f>IF(AND(协同访视YN=1,项目管理YN=1),1,0)</f>
        <v>1</v>
      </c>
      <c r="S160" s="525" t="str">
        <f>INDEX('Rate Card'!$D:$D,MATCH(服务费底表!$T160,'Rate Card'!F:F,0))</f>
        <v>项目管理</v>
      </c>
      <c r="T160" s="328" t="s">
        <v>601</v>
      </c>
      <c r="U160" s="522" t="str">
        <f>INDEX('Rate Card'!$E:$E,MATCH(服务费底表!$T160,'Rate Card'!$F:$F,0))</f>
        <v>临床项目总监</v>
      </c>
      <c r="V160" s="331">
        <f>INDEX('Rate Card'!$J:$J,MATCH($T160,'Rate Card'!$F:$F,0))</f>
        <v>800</v>
      </c>
      <c r="W160" s="523">
        <f t="shared" si="162"/>
        <v>800</v>
      </c>
      <c r="X160" s="523">
        <f t="shared" si="163"/>
        <v>2</v>
      </c>
      <c r="Y160" s="327" cm="1">
        <f t="array" ref="Y160">_xlfn.IFS(报价场景=服务费底表!$AJ$2,服务费底表!$AJ160,报价场景=服务费底表!$AP$2,服务费底表!$AP160,报价场景=服务费底表!$AK$2,服务费底表!$AK160,报价场景=服务费底表!$AL$2,服务费底表!$AL160,报价场景=服务费底表!$AM$2,服务费底表!$AM160,报价场景=服务费底表!$AN$2,服务费底表!$AN160,报价场景=服务费底表!$AQ$2,服务费底表!$AQ160,报价场景=服务费底表!$AO$2,服务费底表!$AO160)</f>
        <v>2</v>
      </c>
      <c r="Z160" s="327"/>
      <c r="AA160" s="332">
        <f t="shared" si="164"/>
        <v>2</v>
      </c>
      <c r="AB160" s="333">
        <f t="shared" si="165"/>
        <v>1600</v>
      </c>
      <c r="AC160" s="328">
        <f t="shared" si="166"/>
        <v>4</v>
      </c>
      <c r="AD160" s="334">
        <f t="shared" si="167"/>
        <v>3200</v>
      </c>
      <c r="AE160" s="334">
        <f>$AB160*(1-INDEX(项目参数!$D$5:$D$14,MATCH(服务费底表!$S160,项目参数!$B$5:$B$14,0)))</f>
        <v>1600</v>
      </c>
      <c r="AF160" s="334">
        <f>$AD160*INDEX(项目参数!$D$5:$D$14,MATCH(服务费底表!$S160,项目参数!$B$5:$B$14,0))</f>
        <v>0</v>
      </c>
      <c r="AG160" s="334">
        <f t="shared" si="173"/>
        <v>3200</v>
      </c>
      <c r="AH160" s="328"/>
      <c r="AI160" s="328" t="s">
        <v>601</v>
      </c>
      <c r="AJ160" s="327">
        <v>2</v>
      </c>
      <c r="AK160" s="327">
        <f t="shared" si="168"/>
        <v>3</v>
      </c>
      <c r="AL160" s="327">
        <f t="shared" si="169"/>
        <v>2</v>
      </c>
      <c r="AM160" s="327">
        <v>2</v>
      </c>
      <c r="AN160" s="327">
        <v>2</v>
      </c>
      <c r="AO160" s="327">
        <v>2</v>
      </c>
      <c r="AP160" s="327">
        <v>2</v>
      </c>
      <c r="AQ160" s="327">
        <f t="shared" si="170"/>
        <v>3</v>
      </c>
      <c r="AR160" s="338"/>
      <c r="AS160" s="327">
        <f t="shared" si="171"/>
        <v>4</v>
      </c>
      <c r="AT160" s="327">
        <f t="shared" si="172"/>
        <v>4</v>
      </c>
      <c r="AU160" s="523">
        <v>2</v>
      </c>
      <c r="AV160" s="328"/>
      <c r="AW160" s="328"/>
      <c r="AX160" s="332">
        <v>2</v>
      </c>
      <c r="AY160" s="328" t="b">
        <f t="shared" si="151"/>
        <v>1</v>
      </c>
      <c r="AZ160" s="328" t="b">
        <f t="shared" si="152"/>
        <v>1</v>
      </c>
    </row>
    <row r="161" ht="27" customHeight="1" spans="1:52">
      <c r="A161" s="326" t="str">
        <f>INDEX('Rate Card'!$A:$A,MATCH(服务费底表!$T161,'Rate Card'!$F:$F,0))</f>
        <v>临床运营</v>
      </c>
      <c r="B161" s="327" t="str">
        <f>INDEX(二三级标准!$G:$G,MATCH(服务费底表!$K161,二三级标准!B:B,0))</f>
        <v>次</v>
      </c>
      <c r="C161" s="327">
        <f>INDEX(服务费明细!$E:$E,MATCH(服务费底表!$K161,服务费明细!$B:$B,0))</f>
        <v>0</v>
      </c>
      <c r="D161" s="327" t="str">
        <f t="shared" si="160"/>
        <v>A037CRA</v>
      </c>
      <c r="E161" s="327" t="str">
        <f t="shared" si="161"/>
        <v>T0097CRA</v>
      </c>
      <c r="F161" s="328"/>
      <c r="G161" s="328" t="s">
        <v>684</v>
      </c>
      <c r="H161" s="326" t="str">
        <f>INDEX('Rate Card'!$B:$B,MATCH(服务费底表!$T161,'Rate Card'!$F:$F,0))</f>
        <v>临床运营</v>
      </c>
      <c r="I161" s="328" t="s">
        <v>920</v>
      </c>
      <c r="J161" s="328" t="str">
        <f>INDEX(二三级标准!$Q:$Q,MATCH(服务费底表!I161,二三级标准!$O:$O,0))</f>
        <v>临床监查和中心管理</v>
      </c>
      <c r="K161" s="328" t="s">
        <v>177</v>
      </c>
      <c r="L161" s="328" t="str">
        <f>INDEX(二三级标准!C:C,MATCH(服务费底表!K161,二三级标准!$B:$B,0))</f>
        <v>远程访视/电话访视</v>
      </c>
      <c r="M161" s="328" t="s">
        <v>1273</v>
      </c>
      <c r="N161" s="328" t="str">
        <f>INDEX(二三级标准!$M:$M,MATCH(服务费底表!$M161,二三级标准!$L:$L,0))</f>
        <v>准备远程电话访视</v>
      </c>
      <c r="O161" s="328"/>
      <c r="P161" s="327">
        <f>IF(R161=1,INDEX(服务费明细!$E:$E,MATCH(服务费底表!$K161,服务费明细!$B:$B,0)),0)</f>
        <v>0</v>
      </c>
      <c r="Q161" s="328" t="s">
        <v>1178</v>
      </c>
      <c r="R161" s="520">
        <f>IF(AND(电话访视YN=1,临床监查YN=1),1,0)</f>
        <v>0</v>
      </c>
      <c r="S161" s="525" t="str">
        <f>INDEX('Rate Card'!$D:$D,MATCH(服务费底表!$T161,'Rate Card'!F:F,0))</f>
        <v>临床监查</v>
      </c>
      <c r="T161" s="328" t="s">
        <v>595</v>
      </c>
      <c r="U161" s="522" t="str">
        <f>INDEX('Rate Card'!$E:$E,MATCH(服务费底表!$T161,'Rate Card'!$F:$F,0))</f>
        <v>临床监查员</v>
      </c>
      <c r="V161" s="331">
        <f>INDEX('Rate Card'!$J:$J,MATCH($T161,'Rate Card'!$F:$F,0))</f>
        <v>340</v>
      </c>
      <c r="W161" s="523">
        <f t="shared" si="162"/>
        <v>340</v>
      </c>
      <c r="X161" s="523">
        <f t="shared" si="163"/>
        <v>1</v>
      </c>
      <c r="Y161" s="327" cm="1">
        <f t="array" ref="Y161">_xlfn.IFS(报价场景=服务费底表!$AJ$2,服务费底表!$AJ161,报价场景=服务费底表!$AP$2,服务费底表!$AP161,报价场景=服务费底表!$AK$2,服务费底表!$AK161,报价场景=服务费底表!$AL$2,服务费底表!$AL161,报价场景=服务费底表!$AM$2,服务费底表!$AM161,报价场景=服务费底表!$AN$2,服务费底表!$AN161,报价场景=服务费底表!$AQ$2,服务费底表!$AQ161,报价场景=服务费底表!$AO$2,服务费底表!$AO161)</f>
        <v>1</v>
      </c>
      <c r="Z161" s="327"/>
      <c r="AA161" s="332">
        <f t="shared" si="164"/>
        <v>1</v>
      </c>
      <c r="AB161" s="333">
        <f t="shared" si="165"/>
        <v>0</v>
      </c>
      <c r="AC161" s="328">
        <f t="shared" si="166"/>
        <v>0</v>
      </c>
      <c r="AD161" s="334">
        <f t="shared" si="167"/>
        <v>0</v>
      </c>
      <c r="AE161" s="334">
        <f>$AB161*(1-INDEX(项目参数!$D$5:$D$14,MATCH(服务费底表!$S161,项目参数!$B$5:$B$14,0)))</f>
        <v>0</v>
      </c>
      <c r="AF161" s="334">
        <f>$AD161*INDEX(项目参数!$D$5:$D$14,MATCH(服务费底表!$S161,项目参数!$B$5:$B$14,0))</f>
        <v>0</v>
      </c>
      <c r="AG161" s="334">
        <f t="shared" si="173"/>
        <v>0</v>
      </c>
      <c r="AH161" s="328"/>
      <c r="AI161" s="328" t="s">
        <v>595</v>
      </c>
      <c r="AJ161" s="327">
        <f>项目时间计划!$H$35</f>
        <v>1</v>
      </c>
      <c r="AK161" s="327">
        <f t="shared" si="168"/>
        <v>1.5</v>
      </c>
      <c r="AL161" s="327">
        <f>AJ161*0.7</f>
        <v>0.7</v>
      </c>
      <c r="AM161" s="327">
        <v>1</v>
      </c>
      <c r="AN161" s="327">
        <v>1</v>
      </c>
      <c r="AO161" s="327">
        <v>1</v>
      </c>
      <c r="AP161" s="327">
        <v>1</v>
      </c>
      <c r="AQ161" s="327">
        <f t="shared" si="170"/>
        <v>1.5</v>
      </c>
      <c r="AR161" s="338"/>
      <c r="AS161" s="327">
        <f t="shared" si="171"/>
        <v>0</v>
      </c>
      <c r="AT161" s="327">
        <f t="shared" si="172"/>
        <v>0</v>
      </c>
      <c r="AU161" s="523">
        <v>1</v>
      </c>
      <c r="AV161" s="328"/>
      <c r="AW161" s="328"/>
      <c r="AX161" s="332">
        <v>1</v>
      </c>
      <c r="AY161" s="328" t="b">
        <f t="shared" si="151"/>
        <v>1</v>
      </c>
      <c r="AZ161" s="328" t="b">
        <f t="shared" si="152"/>
        <v>0</v>
      </c>
    </row>
    <row r="162" ht="27" customHeight="1" spans="1:52">
      <c r="A162" s="326" t="str">
        <f>INDEX('Rate Card'!$A:$A,MATCH(服务费底表!$T162,'Rate Card'!$F:$F,0))</f>
        <v>临床运营</v>
      </c>
      <c r="B162" s="327" t="str">
        <f>INDEX(二三级标准!$G:$G,MATCH(服务费底表!$K162,二三级标准!B:B,0))</f>
        <v>次</v>
      </c>
      <c r="C162" s="327">
        <f>INDEX(服务费明细!$E:$E,MATCH(服务费底表!$K162,服务费明细!$B:$B,0))</f>
        <v>0</v>
      </c>
      <c r="D162" s="327" t="str">
        <f t="shared" si="160"/>
        <v>A037CRA</v>
      </c>
      <c r="E162" s="327" t="str">
        <f t="shared" si="161"/>
        <v>T0098CRA</v>
      </c>
      <c r="F162" s="328"/>
      <c r="G162" s="328" t="s">
        <v>684</v>
      </c>
      <c r="H162" s="326" t="str">
        <f>INDEX('Rate Card'!$B:$B,MATCH(服务费底表!$T162,'Rate Card'!$F:$F,0))</f>
        <v>临床运营</v>
      </c>
      <c r="I162" s="328" t="s">
        <v>920</v>
      </c>
      <c r="J162" s="328" t="str">
        <f>INDEX(二三级标准!$Q:$Q,MATCH(服务费底表!I162,二三级标准!$O:$O,0))</f>
        <v>临床监查和中心管理</v>
      </c>
      <c r="K162" s="328" t="s">
        <v>177</v>
      </c>
      <c r="L162" s="328" t="str">
        <f>INDEX(二三级标准!C:C,MATCH(服务费底表!K162,二三级标准!$B:$B,0))</f>
        <v>远程访视/电话访视</v>
      </c>
      <c r="M162" s="328" t="s">
        <v>1274</v>
      </c>
      <c r="N162" s="328" t="str">
        <f>INDEX(二三级标准!$M:$M,MATCH(服务费底表!$M162,二三级标准!$L:$L,0))</f>
        <v>远程/电话访视及撰写报告</v>
      </c>
      <c r="O162" s="328"/>
      <c r="P162" s="327">
        <f>IF(R162=1,INDEX(服务费明细!$E:$E,MATCH(服务费底表!$K162,服务费明细!$B:$B,0)),0)</f>
        <v>0</v>
      </c>
      <c r="Q162" s="328" t="s">
        <v>1178</v>
      </c>
      <c r="R162" s="520">
        <f>IF(AND(电话访视YN=1,临床监查YN=1),1,0)</f>
        <v>0</v>
      </c>
      <c r="S162" s="525" t="str">
        <f>INDEX('Rate Card'!$D:$D,MATCH(服务费底表!$T162,'Rate Card'!F:F,0))</f>
        <v>临床监查</v>
      </c>
      <c r="T162" s="328" t="s">
        <v>595</v>
      </c>
      <c r="U162" s="522" t="str">
        <f>INDEX('Rate Card'!$E:$E,MATCH(服务费底表!$T162,'Rate Card'!$F:$F,0))</f>
        <v>临床监查员</v>
      </c>
      <c r="V162" s="331">
        <f>INDEX('Rate Card'!$J:$J,MATCH($T162,'Rate Card'!$F:$F,0))</f>
        <v>340</v>
      </c>
      <c r="W162" s="523">
        <f t="shared" si="162"/>
        <v>340</v>
      </c>
      <c r="X162" s="523">
        <f t="shared" si="163"/>
        <v>2</v>
      </c>
      <c r="Y162" s="327" cm="1">
        <f t="array" ref="Y162">_xlfn.IFS(报价场景=服务费底表!$AJ$2,服务费底表!$AJ162,报价场景=服务费底表!$AP$2,服务费底表!$AP162,报价场景=服务费底表!$AK$2,服务费底表!$AK162,报价场景=服务费底表!$AL$2,服务费底表!$AL162,报价场景=服务费底表!$AM$2,服务费底表!$AM162,报价场景=服务费底表!$AN$2,服务费底表!$AN162,报价场景=服务费底表!$AQ$2,服务费底表!$AQ162,报价场景=服务费底表!$AO$2,服务费底表!$AO162)</f>
        <v>2</v>
      </c>
      <c r="Z162" s="327"/>
      <c r="AA162" s="332">
        <f t="shared" si="164"/>
        <v>2</v>
      </c>
      <c r="AB162" s="333">
        <f t="shared" si="165"/>
        <v>0</v>
      </c>
      <c r="AC162" s="328">
        <f t="shared" si="166"/>
        <v>0</v>
      </c>
      <c r="AD162" s="334">
        <f t="shared" si="167"/>
        <v>0</v>
      </c>
      <c r="AE162" s="334">
        <f>$AB162*(1-INDEX(项目参数!$D$5:$D$14,MATCH(服务费底表!$S162,项目参数!$B$5:$B$14,0)))</f>
        <v>0</v>
      </c>
      <c r="AF162" s="334">
        <f>$AD162*INDEX(项目参数!$D$5:$D$14,MATCH(服务费底表!$S162,项目参数!$B$5:$B$14,0))</f>
        <v>0</v>
      </c>
      <c r="AG162" s="334">
        <f t="shared" si="173"/>
        <v>0</v>
      </c>
      <c r="AH162" s="328"/>
      <c r="AI162" s="328" t="s">
        <v>595</v>
      </c>
      <c r="AJ162" s="327">
        <f>项目时间计划!$I$35</f>
        <v>2</v>
      </c>
      <c r="AK162" s="327">
        <f t="shared" si="168"/>
        <v>3</v>
      </c>
      <c r="AL162" s="327">
        <v>1.5</v>
      </c>
      <c r="AM162" s="327">
        <v>2</v>
      </c>
      <c r="AN162" s="327">
        <v>2</v>
      </c>
      <c r="AO162" s="327">
        <v>2</v>
      </c>
      <c r="AP162" s="327">
        <v>2</v>
      </c>
      <c r="AQ162" s="327">
        <f t="shared" si="170"/>
        <v>3</v>
      </c>
      <c r="AR162" s="338"/>
      <c r="AS162" s="327">
        <f t="shared" si="171"/>
        <v>0</v>
      </c>
      <c r="AT162" s="327">
        <f t="shared" si="172"/>
        <v>0</v>
      </c>
      <c r="AU162" s="523">
        <v>2</v>
      </c>
      <c r="AV162" s="328"/>
      <c r="AW162" s="328"/>
      <c r="AX162" s="332">
        <v>2</v>
      </c>
      <c r="AY162" s="328" t="b">
        <f t="shared" si="151"/>
        <v>1</v>
      </c>
      <c r="AZ162" s="328" t="b">
        <f t="shared" si="152"/>
        <v>0</v>
      </c>
    </row>
    <row r="163" ht="27" customHeight="1" spans="1:52">
      <c r="A163" s="326" t="str">
        <f>INDEX('Rate Card'!$A:$A,MATCH(服务费底表!$T163,'Rate Card'!$F:$F,0))</f>
        <v>临床运营</v>
      </c>
      <c r="B163" s="327" t="str">
        <f>INDEX(二三级标准!$G:$G,MATCH(服务费底表!$K163,二三级标准!B:B,0))</f>
        <v>次</v>
      </c>
      <c r="C163" s="327">
        <f>INDEX(服务费明细!$E:$E,MATCH(服务费底表!$K163,服务费明细!$B:$B,0))</f>
        <v>0</v>
      </c>
      <c r="D163" s="327" t="str">
        <f t="shared" si="160"/>
        <v>A037PM</v>
      </c>
      <c r="E163" s="327" t="str">
        <f t="shared" si="161"/>
        <v>T0099PM</v>
      </c>
      <c r="F163" s="328"/>
      <c r="G163" s="328" t="s">
        <v>684</v>
      </c>
      <c r="H163" s="326" t="str">
        <f>INDEX('Rate Card'!$B:$B,MATCH(服务费底表!$T163,'Rate Card'!$F:$F,0))</f>
        <v>临床运营</v>
      </c>
      <c r="I163" s="328" t="s">
        <v>920</v>
      </c>
      <c r="J163" s="328" t="str">
        <f>INDEX(二三级标准!$Q:$Q,MATCH(服务费底表!I163,二三级标准!$O:$O,0))</f>
        <v>临床监查和中心管理</v>
      </c>
      <c r="K163" s="328" t="s">
        <v>177</v>
      </c>
      <c r="L163" s="328" t="str">
        <f>INDEX(二三级标准!C:C,MATCH(服务费底表!K163,二三级标准!$B:$B,0))</f>
        <v>远程访视/电话访视</v>
      </c>
      <c r="M163" s="328" t="s">
        <v>1275</v>
      </c>
      <c r="N163" s="328" t="str">
        <f>INDEX(二三级标准!$M:$M,MATCH(服务费底表!$M163,二三级标准!$L:$L,0))</f>
        <v>远程电话访视报告审核</v>
      </c>
      <c r="O163" s="328"/>
      <c r="P163" s="327">
        <f>IF(R163=1,INDEX(服务费明细!$E:$E,MATCH(服务费底表!$K163,服务费明细!$B:$B,0)),0)</f>
        <v>0</v>
      </c>
      <c r="Q163" s="328" t="s">
        <v>1178</v>
      </c>
      <c r="R163" s="520">
        <f>IF(AND(电话访视YN=1,项目管理YN=1),1,0)</f>
        <v>0</v>
      </c>
      <c r="S163" s="525" t="str">
        <f>INDEX('Rate Card'!$D:$D,MATCH(服务费底表!$T163,'Rate Card'!F:F,0))</f>
        <v>项目管理</v>
      </c>
      <c r="T163" s="328" t="s">
        <v>599</v>
      </c>
      <c r="U163" s="522" t="str">
        <f>INDEX('Rate Card'!$E:$E,MATCH(服务费底表!$T163,'Rate Card'!$F:$F,0))</f>
        <v>临床项目经理</v>
      </c>
      <c r="V163" s="331">
        <f>INDEX('Rate Card'!$J:$J,MATCH($T163,'Rate Card'!$F:$F,0))</f>
        <v>650</v>
      </c>
      <c r="W163" s="523">
        <f t="shared" si="162"/>
        <v>650</v>
      </c>
      <c r="X163" s="523">
        <f t="shared" si="163"/>
        <v>0.5</v>
      </c>
      <c r="Y163" s="327" cm="1">
        <f t="array" ref="Y163">_xlfn.IFS(报价场景=服务费底表!$AJ$2,服务费底表!$AJ163,报价场景=服务费底表!$AP$2,服务费底表!$AP163,报价场景=服务费底表!$AK$2,服务费底表!$AK163,报价场景=服务费底表!$AL$2,服务费底表!$AL163,报价场景=服务费底表!$AM$2,服务费底表!$AM163,报价场景=服务费底表!$AN$2,服务费底表!$AN163,报价场景=服务费底表!$AQ$2,服务费底表!$AQ163,报价场景=服务费底表!$AO$2,服务费底表!$AO163)</f>
        <v>0.5</v>
      </c>
      <c r="Z163" s="327"/>
      <c r="AA163" s="332">
        <f t="shared" si="164"/>
        <v>0.5</v>
      </c>
      <c r="AB163" s="333">
        <f t="shared" si="165"/>
        <v>0</v>
      </c>
      <c r="AC163" s="328">
        <f t="shared" si="166"/>
        <v>0</v>
      </c>
      <c r="AD163" s="334">
        <f t="shared" si="167"/>
        <v>0</v>
      </c>
      <c r="AE163" s="334">
        <f>$AB163*(1-INDEX(项目参数!$D$5:$D$14,MATCH(服务费底表!$S163,项目参数!$B$5:$B$14,0)))</f>
        <v>0</v>
      </c>
      <c r="AF163" s="334">
        <f>$AD163*INDEX(项目参数!$D$5:$D$14,MATCH(服务费底表!$S163,项目参数!$B$5:$B$14,0))</f>
        <v>0</v>
      </c>
      <c r="AG163" s="334">
        <f t="shared" si="173"/>
        <v>0</v>
      </c>
      <c r="AH163" s="328"/>
      <c r="AI163" s="328" t="s">
        <v>599</v>
      </c>
      <c r="AJ163" s="327">
        <v>0.5</v>
      </c>
      <c r="AK163" s="327">
        <v>0.8</v>
      </c>
      <c r="AL163" s="327">
        <v>0.3</v>
      </c>
      <c r="AM163" s="327">
        <v>0.5</v>
      </c>
      <c r="AN163" s="327">
        <v>0.5</v>
      </c>
      <c r="AO163" s="327">
        <v>0.5</v>
      </c>
      <c r="AP163" s="327">
        <v>0.5</v>
      </c>
      <c r="AQ163" s="327">
        <f t="shared" si="170"/>
        <v>0.75</v>
      </c>
      <c r="AR163" s="338"/>
      <c r="AS163" s="327">
        <f t="shared" si="171"/>
        <v>0</v>
      </c>
      <c r="AT163" s="327">
        <f t="shared" si="172"/>
        <v>0</v>
      </c>
      <c r="AU163" s="523">
        <v>0.5</v>
      </c>
      <c r="AV163" s="328"/>
      <c r="AW163" s="328"/>
      <c r="AX163" s="332">
        <v>0.5</v>
      </c>
      <c r="AY163" s="328" t="b">
        <f t="shared" si="151"/>
        <v>1</v>
      </c>
      <c r="AZ163" s="328" t="b">
        <f t="shared" si="152"/>
        <v>0</v>
      </c>
    </row>
    <row r="164" ht="27" customHeight="1" spans="1:52">
      <c r="A164" s="326" t="str">
        <f>INDEX('Rate Card'!$A:$A,MATCH(服务费底表!$T164,'Rate Card'!$F:$F,0))</f>
        <v>临床运营</v>
      </c>
      <c r="B164" s="327" t="str">
        <f>INDEX(二三级标准!$G:$G,MATCH(服务费底表!$K164,二三级标准!B:B,0))</f>
        <v>次</v>
      </c>
      <c r="C164" s="327">
        <f>INDEX(服务费明细!$E:$E,MATCH(服务费底表!$K164,服务费明细!$B:$B,0))</f>
        <v>2</v>
      </c>
      <c r="D164" s="327" t="str">
        <f t="shared" si="160"/>
        <v>A038QCM</v>
      </c>
      <c r="E164" s="327" t="str">
        <f t="shared" si="161"/>
        <v>T0100QCM</v>
      </c>
      <c r="F164" s="328"/>
      <c r="G164" s="328" t="s">
        <v>684</v>
      </c>
      <c r="H164" s="326" t="str">
        <f>INDEX('Rate Card'!$B:$B,MATCH(服务费底表!$T164,'Rate Card'!$F:$F,0))</f>
        <v>临床运营</v>
      </c>
      <c r="I164" s="328" t="s">
        <v>920</v>
      </c>
      <c r="J164" s="328" t="str">
        <f>INDEX(二三级标准!$Q:$Q,MATCH(服务费底表!I164,二三级标准!$O:$O,0))</f>
        <v>临床监查和中心管理</v>
      </c>
      <c r="K164" s="328" t="s">
        <v>179</v>
      </c>
      <c r="L164" s="328" t="str">
        <f>INDEX(二三级标准!C:C,MATCH(服务费底表!K164,二三级标准!$B:$B,0))</f>
        <v>质控访视</v>
      </c>
      <c r="M164" s="328" t="s">
        <v>1276</v>
      </c>
      <c r="N164" s="328" t="str">
        <f>INDEX(二三级标准!$M:$M,MATCH(服务费底表!$M164,二三级标准!$L:$L,0))</f>
        <v>准备质控访视</v>
      </c>
      <c r="O164" s="328"/>
      <c r="P164" s="327">
        <f>IF(R164=1,INDEX(服务费明细!$E:$E,MATCH(服务费底表!$K164,服务费明细!$B:$B,0)),0)</f>
        <v>2</v>
      </c>
      <c r="Q164" s="328" t="s">
        <v>1178</v>
      </c>
      <c r="R164" s="520">
        <f>IF(AND(质控访视YN=1,临床监查YN=1),1,0)</f>
        <v>1</v>
      </c>
      <c r="S164" s="525" t="str">
        <f>INDEX('Rate Card'!$D:$D,MATCH(服务费底表!$T164,'Rate Card'!F:F,0))</f>
        <v>临床监查</v>
      </c>
      <c r="T164" s="328" t="s">
        <v>603</v>
      </c>
      <c r="U164" s="522" t="str">
        <f>INDEX('Rate Card'!$E:$E,MATCH(服务费底表!$T164,'Rate Card'!$F:$F,0))</f>
        <v>临床质量控制经理</v>
      </c>
      <c r="V164" s="331">
        <f>INDEX('Rate Card'!$J:$J,MATCH($T164,'Rate Card'!$F:$F,0))</f>
        <v>600</v>
      </c>
      <c r="W164" s="523">
        <f t="shared" si="162"/>
        <v>600</v>
      </c>
      <c r="X164" s="523">
        <f t="shared" si="163"/>
        <v>2</v>
      </c>
      <c r="Y164" s="327" cm="1">
        <f t="array" ref="Y164">_xlfn.IFS(报价场景=服务费底表!$AJ$2,服务费底表!$AJ164,报价场景=服务费底表!$AP$2,服务费底表!$AP164,报价场景=服务费底表!$AK$2,服务费底表!$AK164,报价场景=服务费底表!$AL$2,服务费底表!$AL164,报价场景=服务费底表!$AM$2,服务费底表!$AM164,报价场景=服务费底表!$AN$2,服务费底表!$AN164,报价场景=服务费底表!$AQ$2,服务费底表!$AQ164,报价场景=服务费底表!$AO$2,服务费底表!$AO164)</f>
        <v>2</v>
      </c>
      <c r="Z164" s="327"/>
      <c r="AA164" s="332">
        <f t="shared" si="164"/>
        <v>2</v>
      </c>
      <c r="AB164" s="333">
        <f t="shared" si="165"/>
        <v>1200</v>
      </c>
      <c r="AC164" s="328">
        <f t="shared" si="166"/>
        <v>4</v>
      </c>
      <c r="AD164" s="334">
        <f t="shared" si="167"/>
        <v>2400</v>
      </c>
      <c r="AE164" s="334">
        <f>$AB164*(1-INDEX(项目参数!$D$5:$D$14,MATCH(服务费底表!$S164,项目参数!$B$5:$B$14,0)))</f>
        <v>1200</v>
      </c>
      <c r="AF164" s="334">
        <f>$AD164*INDEX(项目参数!$D$5:$D$14,MATCH(服务费底表!$S164,项目参数!$B$5:$B$14,0))</f>
        <v>0</v>
      </c>
      <c r="AG164" s="334">
        <f t="shared" si="173"/>
        <v>2400</v>
      </c>
      <c r="AH164" s="328"/>
      <c r="AI164" s="328" t="s">
        <v>603</v>
      </c>
      <c r="AJ164" s="327">
        <v>2</v>
      </c>
      <c r="AK164" s="327">
        <f t="shared" si="168"/>
        <v>3</v>
      </c>
      <c r="AL164" s="327">
        <f t="shared" ref="AL164:AL166" si="174">AM164</f>
        <v>2</v>
      </c>
      <c r="AM164" s="327">
        <v>2</v>
      </c>
      <c r="AN164" s="327">
        <v>2</v>
      </c>
      <c r="AO164" s="327">
        <v>2</v>
      </c>
      <c r="AP164" s="327">
        <v>2</v>
      </c>
      <c r="AQ164" s="327">
        <f t="shared" si="170"/>
        <v>3</v>
      </c>
      <c r="AR164" s="338"/>
      <c r="AS164" s="327">
        <f t="shared" si="171"/>
        <v>4</v>
      </c>
      <c r="AT164" s="327">
        <f t="shared" si="172"/>
        <v>4</v>
      </c>
      <c r="AU164" s="523">
        <v>2</v>
      </c>
      <c r="AV164" s="328"/>
      <c r="AW164" s="328"/>
      <c r="AX164" s="332">
        <v>2</v>
      </c>
      <c r="AY164" s="328" t="b">
        <f t="shared" si="151"/>
        <v>1</v>
      </c>
      <c r="AZ164" s="328" t="b">
        <f t="shared" si="152"/>
        <v>1</v>
      </c>
    </row>
    <row r="165" ht="27" customHeight="1" spans="1:52">
      <c r="A165" s="326" t="str">
        <f>INDEX('Rate Card'!$A:$A,MATCH(服务费底表!$T165,'Rate Card'!$F:$F,0))</f>
        <v>临床运营</v>
      </c>
      <c r="B165" s="327" t="str">
        <f>INDEX(二三级标准!$G:$G,MATCH(服务费底表!$K165,二三级标准!B:B,0))</f>
        <v>次</v>
      </c>
      <c r="C165" s="327">
        <f>INDEX(服务费明细!$E:$E,MATCH(服务费底表!$K165,服务费明细!$B:$B,0))</f>
        <v>2</v>
      </c>
      <c r="D165" s="327" t="str">
        <f t="shared" si="160"/>
        <v>A038QCM</v>
      </c>
      <c r="E165" s="327" t="str">
        <f t="shared" si="161"/>
        <v>T0101QCM</v>
      </c>
      <c r="F165" s="328"/>
      <c r="G165" s="328" t="s">
        <v>684</v>
      </c>
      <c r="H165" s="326" t="str">
        <f>INDEX('Rate Card'!$B:$B,MATCH(服务费底表!$T165,'Rate Card'!$F:$F,0))</f>
        <v>临床运营</v>
      </c>
      <c r="I165" s="328" t="s">
        <v>920</v>
      </c>
      <c r="J165" s="328" t="str">
        <f>INDEX(二三级标准!$Q:$Q,MATCH(服务费底表!I165,二三级标准!$O:$O,0))</f>
        <v>临床监查和中心管理</v>
      </c>
      <c r="K165" s="328" t="s">
        <v>179</v>
      </c>
      <c r="L165" s="328" t="str">
        <f>INDEX(二三级标准!C:C,MATCH(服务费底表!K165,二三级标准!$B:$B,0))</f>
        <v>质控访视</v>
      </c>
      <c r="M165" s="328" t="s">
        <v>1277</v>
      </c>
      <c r="N165" s="328" t="str">
        <f>INDEX(二三级标准!$M:$M,MATCH(服务费底表!$M165,二三级标准!$L:$L,0))</f>
        <v>质控访视及撰写报告</v>
      </c>
      <c r="O165" s="328"/>
      <c r="P165" s="327">
        <f>IF(R165=1,INDEX(服务费明细!$E:$E,MATCH(服务费底表!$K165,服务费明细!$B:$B,0)),0)</f>
        <v>2</v>
      </c>
      <c r="Q165" s="328" t="s">
        <v>1178</v>
      </c>
      <c r="R165" s="520">
        <f>IF(AND(质控访视YN=1,临床监查YN=1),1,0)</f>
        <v>1</v>
      </c>
      <c r="S165" s="525" t="str">
        <f>INDEX('Rate Card'!$D:$D,MATCH(服务费底表!$T165,'Rate Card'!F:F,0))</f>
        <v>临床监查</v>
      </c>
      <c r="T165" s="328" t="s">
        <v>603</v>
      </c>
      <c r="U165" s="522" t="str">
        <f>INDEX('Rate Card'!$E:$E,MATCH(服务费底表!$T165,'Rate Card'!$F:$F,0))</f>
        <v>临床质量控制经理</v>
      </c>
      <c r="V165" s="331">
        <f>INDEX('Rate Card'!$J:$J,MATCH($T165,'Rate Card'!$F:$F,0))</f>
        <v>600</v>
      </c>
      <c r="W165" s="523">
        <f t="shared" si="162"/>
        <v>600</v>
      </c>
      <c r="X165" s="523">
        <f t="shared" si="163"/>
        <v>21</v>
      </c>
      <c r="Y165" s="327" cm="1">
        <f t="array" ref="Y165">_xlfn.IFS(报价场景=服务费底表!$AJ$2,服务费底表!$AJ165,报价场景=服务费底表!$AP$2,服务费底表!$AP165,报价场景=服务费底表!$AK$2,服务费底表!$AK165,报价场景=服务费底表!$AL$2,服务费底表!$AL165,报价场景=服务费底表!$AM$2,服务费底表!$AM165,报价场景=服务费底表!$AN$2,服务费底表!$AN165,报价场景=服务费底表!$AQ$2,服务费底表!$AQ165,报价场景=服务费底表!$AO$2,服务费底表!$AO165)</f>
        <v>21</v>
      </c>
      <c r="Z165" s="327"/>
      <c r="AA165" s="332">
        <f t="shared" si="164"/>
        <v>21</v>
      </c>
      <c r="AB165" s="333">
        <f t="shared" si="165"/>
        <v>12600</v>
      </c>
      <c r="AC165" s="328">
        <f t="shared" si="166"/>
        <v>42</v>
      </c>
      <c r="AD165" s="334">
        <f t="shared" si="167"/>
        <v>25200</v>
      </c>
      <c r="AE165" s="334">
        <f>$AB165*(1-INDEX(项目参数!$D$5:$D$14,MATCH(服务费底表!$S165,项目参数!$B$5:$B$14,0)))</f>
        <v>12600</v>
      </c>
      <c r="AF165" s="334">
        <f>$AD165*INDEX(项目参数!$D$5:$D$14,MATCH(服务费底表!$S165,项目参数!$B$5:$B$14,0))</f>
        <v>0</v>
      </c>
      <c r="AG165" s="334">
        <f t="shared" si="173"/>
        <v>25200</v>
      </c>
      <c r="AH165" s="328"/>
      <c r="AI165" s="328" t="s">
        <v>603</v>
      </c>
      <c r="AJ165" s="327">
        <f>项目时间计划!$I$36</f>
        <v>21</v>
      </c>
      <c r="AK165" s="327">
        <v>32</v>
      </c>
      <c r="AL165" s="327">
        <f t="shared" si="174"/>
        <v>21</v>
      </c>
      <c r="AM165" s="327">
        <v>21</v>
      </c>
      <c r="AN165" s="327">
        <v>21</v>
      </c>
      <c r="AO165" s="327">
        <v>21</v>
      </c>
      <c r="AP165" s="327">
        <v>21</v>
      </c>
      <c r="AQ165" s="327">
        <f t="shared" si="170"/>
        <v>31.5</v>
      </c>
      <c r="AR165" s="338"/>
      <c r="AS165" s="327">
        <f t="shared" si="171"/>
        <v>42</v>
      </c>
      <c r="AT165" s="327">
        <f t="shared" si="172"/>
        <v>42</v>
      </c>
      <c r="AU165" s="523">
        <v>21</v>
      </c>
      <c r="AV165" s="328"/>
      <c r="AW165" s="328"/>
      <c r="AX165" s="332">
        <v>21</v>
      </c>
      <c r="AY165" s="328" t="b">
        <f t="shared" si="151"/>
        <v>1</v>
      </c>
      <c r="AZ165" s="328" t="b">
        <f t="shared" si="152"/>
        <v>1</v>
      </c>
    </row>
    <row r="166" ht="27" customHeight="1" spans="1:52">
      <c r="A166" s="326" t="str">
        <f>INDEX('Rate Card'!$A:$A,MATCH(服务费底表!$T166,'Rate Card'!$F:$F,0))</f>
        <v>临床运营</v>
      </c>
      <c r="B166" s="327" t="str">
        <f>INDEX(二三级标准!$G:$G,MATCH(服务费底表!$K166,二三级标准!B:B,0))</f>
        <v>次</v>
      </c>
      <c r="C166" s="327">
        <f>INDEX(服务费明细!$E:$E,MATCH(服务费底表!$K166,服务费明细!$B:$B,0))</f>
        <v>2</v>
      </c>
      <c r="D166" s="327" t="str">
        <f t="shared" si="160"/>
        <v>A038PMD</v>
      </c>
      <c r="E166" s="327" t="str">
        <f t="shared" si="161"/>
        <v>T0102PMD</v>
      </c>
      <c r="F166" s="328"/>
      <c r="G166" s="328" t="s">
        <v>684</v>
      </c>
      <c r="H166" s="326" t="str">
        <f>INDEX('Rate Card'!$B:$B,MATCH(服务费底表!$T166,'Rate Card'!$F:$F,0))</f>
        <v>临床运营</v>
      </c>
      <c r="I166" s="328" t="s">
        <v>920</v>
      </c>
      <c r="J166" s="328" t="str">
        <f>INDEX(二三级标准!$Q:$Q,MATCH(服务费底表!I166,二三级标准!$O:$O,0))</f>
        <v>临床监查和中心管理</v>
      </c>
      <c r="K166" s="328" t="s">
        <v>179</v>
      </c>
      <c r="L166" s="328" t="str">
        <f>INDEX(二三级标准!C:C,MATCH(服务费底表!K166,二三级标准!$B:$B,0))</f>
        <v>质控访视</v>
      </c>
      <c r="M166" s="328" t="s">
        <v>1278</v>
      </c>
      <c r="N166" s="328" t="str">
        <f>INDEX(二三级标准!$M:$M,MATCH(服务费底表!$M166,二三级标准!$L:$L,0))</f>
        <v>质控访视报告审核</v>
      </c>
      <c r="O166" s="328"/>
      <c r="P166" s="327">
        <f>IF(R166=1,INDEX(服务费明细!$E:$E,MATCH(服务费底表!$K166,服务费明细!$B:$B,0)),0)</f>
        <v>2</v>
      </c>
      <c r="Q166" s="328" t="s">
        <v>1178</v>
      </c>
      <c r="R166" s="520">
        <f>IF(AND(质控访视YN=1,项目管理YN=1),1,0)</f>
        <v>1</v>
      </c>
      <c r="S166" s="525" t="str">
        <f>INDEX('Rate Card'!$D:$D,MATCH(服务费底表!$T166,'Rate Card'!F:F,0))</f>
        <v>项目管理</v>
      </c>
      <c r="T166" s="328" t="s">
        <v>601</v>
      </c>
      <c r="U166" s="522" t="str">
        <f>INDEX('Rate Card'!$E:$E,MATCH(服务费底表!$T166,'Rate Card'!$F:$F,0))</f>
        <v>临床项目总监</v>
      </c>
      <c r="V166" s="331">
        <f>INDEX('Rate Card'!$J:$J,MATCH($T166,'Rate Card'!$F:$F,0))</f>
        <v>800</v>
      </c>
      <c r="W166" s="523">
        <f t="shared" si="162"/>
        <v>800</v>
      </c>
      <c r="X166" s="523">
        <f t="shared" si="163"/>
        <v>2</v>
      </c>
      <c r="Y166" s="327" cm="1">
        <f t="array" ref="Y166">_xlfn.IFS(报价场景=服务费底表!$AJ$2,服务费底表!$AJ166,报价场景=服务费底表!$AP$2,服务费底表!$AP166,报价场景=服务费底表!$AK$2,服务费底表!$AK166,报价场景=服务费底表!$AL$2,服务费底表!$AL166,报价场景=服务费底表!$AM$2,服务费底表!$AM166,报价场景=服务费底表!$AN$2,服务费底表!$AN166,报价场景=服务费底表!$AQ$2,服务费底表!$AQ166,报价场景=服务费底表!$AO$2,服务费底表!$AO166)</f>
        <v>2</v>
      </c>
      <c r="Z166" s="327"/>
      <c r="AA166" s="332">
        <f t="shared" si="164"/>
        <v>2</v>
      </c>
      <c r="AB166" s="333">
        <f t="shared" si="165"/>
        <v>1600</v>
      </c>
      <c r="AC166" s="328">
        <f t="shared" si="166"/>
        <v>4</v>
      </c>
      <c r="AD166" s="334">
        <f t="shared" si="167"/>
        <v>3200</v>
      </c>
      <c r="AE166" s="334">
        <f>$AB166*(1-INDEX(项目参数!$D$5:$D$14,MATCH(服务费底表!$S166,项目参数!$B$5:$B$14,0)))</f>
        <v>1600</v>
      </c>
      <c r="AF166" s="334">
        <f>$AD166*INDEX(项目参数!$D$5:$D$14,MATCH(服务费底表!$S166,项目参数!$B$5:$B$14,0))</f>
        <v>0</v>
      </c>
      <c r="AG166" s="334">
        <f t="shared" si="173"/>
        <v>3200</v>
      </c>
      <c r="AH166" s="328"/>
      <c r="AI166" s="328" t="s">
        <v>601</v>
      </c>
      <c r="AJ166" s="327">
        <v>2</v>
      </c>
      <c r="AK166" s="327">
        <f t="shared" si="168"/>
        <v>3</v>
      </c>
      <c r="AL166" s="327">
        <f t="shared" si="174"/>
        <v>2</v>
      </c>
      <c r="AM166" s="327">
        <v>2</v>
      </c>
      <c r="AN166" s="327">
        <v>2</v>
      </c>
      <c r="AO166" s="327">
        <v>2</v>
      </c>
      <c r="AP166" s="327">
        <v>2</v>
      </c>
      <c r="AQ166" s="327">
        <f t="shared" si="170"/>
        <v>3</v>
      </c>
      <c r="AR166" s="338"/>
      <c r="AS166" s="327">
        <f t="shared" si="171"/>
        <v>4</v>
      </c>
      <c r="AT166" s="327">
        <f t="shared" si="172"/>
        <v>4</v>
      </c>
      <c r="AU166" s="523">
        <v>2</v>
      </c>
      <c r="AV166" s="328"/>
      <c r="AW166" s="328"/>
      <c r="AX166" s="332">
        <v>2</v>
      </c>
      <c r="AY166" s="328" t="b">
        <f t="shared" si="151"/>
        <v>1</v>
      </c>
      <c r="AZ166" s="328" t="b">
        <f t="shared" si="152"/>
        <v>1</v>
      </c>
    </row>
    <row r="167" ht="27" customHeight="1" spans="1:52">
      <c r="A167" s="326" t="str">
        <f>INDEX('Rate Card'!$A:$A,MATCH(服务费底表!$T167,'Rate Card'!$F:$F,0))</f>
        <v>临床运营</v>
      </c>
      <c r="B167" s="327" t="str">
        <f>INDEX(二三级标准!$G:$G,MATCH(服务费底表!$K167,二三级标准!B:B,0))</f>
        <v>次</v>
      </c>
      <c r="C167" s="327">
        <f>INDEX(服务费明细!$E:$E,MATCH(服务费底表!$K167,服务费明细!$B:$B,0))</f>
        <v>0</v>
      </c>
      <c r="D167" s="327" t="str">
        <f t="shared" si="160"/>
        <v>A039CRA</v>
      </c>
      <c r="E167" s="327" t="str">
        <f t="shared" si="161"/>
        <v>T0103CRA</v>
      </c>
      <c r="F167" s="328"/>
      <c r="G167" s="328" t="s">
        <v>684</v>
      </c>
      <c r="H167" s="326" t="str">
        <f>INDEX('Rate Card'!$B:$B,MATCH(服务费底表!$T167,'Rate Card'!$F:$F,0))</f>
        <v>临床运营</v>
      </c>
      <c r="I167" s="328" t="s">
        <v>920</v>
      </c>
      <c r="J167" s="328" t="str">
        <f>INDEX(二三级标准!$Q:$Q,MATCH(服务费底表!I167,二三级标准!$O:$O,0))</f>
        <v>临床监查和中心管理</v>
      </c>
      <c r="K167" s="328" t="s">
        <v>181</v>
      </c>
      <c r="L167" s="328" t="str">
        <f>INDEX(二三级标准!C:C,MATCH(服务费底表!K167,二三级标准!$B:$B,0))</f>
        <v>稽查陪同</v>
      </c>
      <c r="M167" s="328" t="s">
        <v>1279</v>
      </c>
      <c r="N167" s="328" t="str">
        <f>INDEX(二三级标准!$M:$M,MATCH(服务费底表!$M167,二三级标准!$L:$L,0))</f>
        <v>稽查陪同</v>
      </c>
      <c r="O167" s="328"/>
      <c r="P167" s="327">
        <f>IF(R167=1,INDEX(服务费明细!$E:$E,MATCH(服务费底表!$K167,服务费明细!$B:$B,0)),0)</f>
        <v>0</v>
      </c>
      <c r="Q167" s="328" t="s">
        <v>1178</v>
      </c>
      <c r="R167" s="520">
        <f>IF(AND(稽查陪同YN=1,临床监查YN=1),1,0)</f>
        <v>0</v>
      </c>
      <c r="S167" s="525" t="str">
        <f>INDEX('Rate Card'!$D:$D,MATCH(服务费底表!$T167,'Rate Card'!F:F,0))</f>
        <v>临床监查</v>
      </c>
      <c r="T167" s="328" t="s">
        <v>595</v>
      </c>
      <c r="U167" s="522" t="str">
        <f>INDEX('Rate Card'!$E:$E,MATCH(服务费底表!$T167,'Rate Card'!$F:$F,0))</f>
        <v>临床监查员</v>
      </c>
      <c r="V167" s="331">
        <f>INDEX('Rate Card'!$J:$J,MATCH($T167,'Rate Card'!$F:$F,0))</f>
        <v>340</v>
      </c>
      <c r="W167" s="523">
        <f t="shared" si="162"/>
        <v>340</v>
      </c>
      <c r="X167" s="523">
        <f t="shared" si="163"/>
        <v>16</v>
      </c>
      <c r="Y167" s="327" cm="1">
        <f t="array" ref="Y167">_xlfn.IFS(报价场景=服务费底表!$AJ$2,服务费底表!$AJ167,报价场景=服务费底表!$AP$2,服务费底表!$AP167,报价场景=服务费底表!$AK$2,服务费底表!$AK167,报价场景=服务费底表!$AL$2,服务费底表!$AL167,报价场景=服务费底表!$AM$2,服务费底表!$AM167,报价场景=服务费底表!$AN$2,服务费底表!$AN167,报价场景=服务费底表!$AQ$2,服务费底表!$AQ167,报价场景=服务费底表!$AO$2,服务费底表!$AO167)</f>
        <v>16</v>
      </c>
      <c r="Z167" s="327"/>
      <c r="AA167" s="332">
        <f t="shared" si="164"/>
        <v>16</v>
      </c>
      <c r="AB167" s="333">
        <f t="shared" si="165"/>
        <v>0</v>
      </c>
      <c r="AC167" s="328">
        <f t="shared" si="166"/>
        <v>0</v>
      </c>
      <c r="AD167" s="334">
        <f t="shared" si="167"/>
        <v>0</v>
      </c>
      <c r="AE167" s="334">
        <f>$AB167*(1-INDEX(项目参数!$D$5:$D$14,MATCH(服务费底表!$S167,项目参数!$B$5:$B$14,0)))</f>
        <v>0</v>
      </c>
      <c r="AF167" s="334">
        <f>$AD167*INDEX(项目参数!$D$5:$D$14,MATCH(服务费底表!$S167,项目参数!$B$5:$B$14,0))</f>
        <v>0</v>
      </c>
      <c r="AG167" s="334">
        <f t="shared" si="173"/>
        <v>0</v>
      </c>
      <c r="AH167" s="328"/>
      <c r="AI167" s="328" t="s">
        <v>595</v>
      </c>
      <c r="AJ167" s="327">
        <v>16</v>
      </c>
      <c r="AK167" s="327">
        <f t="shared" si="168"/>
        <v>24</v>
      </c>
      <c r="AL167" s="327">
        <f>AJ167*0.7</f>
        <v>11.2</v>
      </c>
      <c r="AM167" s="327">
        <f>AJ167*0.7</f>
        <v>11.2</v>
      </c>
      <c r="AN167" s="327">
        <f>AJ167</f>
        <v>16</v>
      </c>
      <c r="AO167" s="327">
        <f>AL167</f>
        <v>11.2</v>
      </c>
      <c r="AP167" s="327">
        <v>16</v>
      </c>
      <c r="AQ167" s="327">
        <f t="shared" si="170"/>
        <v>24</v>
      </c>
      <c r="AR167" s="338"/>
      <c r="AS167" s="327">
        <f t="shared" si="171"/>
        <v>0</v>
      </c>
      <c r="AT167" s="327">
        <f t="shared" si="172"/>
        <v>0</v>
      </c>
      <c r="AU167" s="523">
        <v>16</v>
      </c>
      <c r="AV167" s="328"/>
      <c r="AW167" s="328"/>
      <c r="AX167" s="332">
        <v>16</v>
      </c>
      <c r="AY167" s="328" t="b">
        <f t="shared" si="151"/>
        <v>1</v>
      </c>
      <c r="AZ167" s="328" t="b">
        <f t="shared" si="152"/>
        <v>0</v>
      </c>
    </row>
    <row r="168" ht="27" customHeight="1" spans="1:52">
      <c r="A168" s="326" t="str">
        <f>INDEX('Rate Card'!$A:$A,MATCH(服务费底表!$T168,'Rate Card'!$F:$F,0))</f>
        <v>临床运营</v>
      </c>
      <c r="B168" s="327" t="str">
        <f>INDEX(二三级标准!$G:$G,MATCH(服务费底表!$K168,二三级标准!B:B,0))</f>
        <v>次</v>
      </c>
      <c r="C168" s="327">
        <f>INDEX(服务费明细!$E:$E,MATCH(服务费底表!$K168,服务费明细!$B:$B,0))</f>
        <v>0</v>
      </c>
      <c r="D168" s="327" t="str">
        <f t="shared" si="160"/>
        <v>A039PM</v>
      </c>
      <c r="E168" s="327" t="str">
        <f t="shared" si="161"/>
        <v>T0103PM</v>
      </c>
      <c r="F168" s="328"/>
      <c r="G168" s="328" t="s">
        <v>684</v>
      </c>
      <c r="H168" s="326" t="str">
        <f>INDEX('Rate Card'!$B:$B,MATCH(服务费底表!$T168,'Rate Card'!$F:$F,0))</f>
        <v>临床运营</v>
      </c>
      <c r="I168" s="328" t="s">
        <v>920</v>
      </c>
      <c r="J168" s="328" t="str">
        <f>INDEX(二三级标准!$Q:$Q,MATCH(服务费底表!I168,二三级标准!$O:$O,0))</f>
        <v>临床监查和中心管理</v>
      </c>
      <c r="K168" s="328" t="s">
        <v>181</v>
      </c>
      <c r="L168" s="328" t="str">
        <f>INDEX(二三级标准!C:C,MATCH(服务费底表!K168,二三级标准!$B:$B,0))</f>
        <v>稽查陪同</v>
      </c>
      <c r="M168" s="328" t="s">
        <v>1279</v>
      </c>
      <c r="N168" s="328" t="str">
        <f>INDEX(二三级标准!$M:$M,MATCH(服务费底表!$M168,二三级标准!$L:$L,0))</f>
        <v>稽查陪同</v>
      </c>
      <c r="O168" s="328"/>
      <c r="P168" s="327">
        <f>IF(R168=1,INDEX(服务费明细!$E:$E,MATCH(服务费底表!$K168,服务费明细!$B:$B,0)),0)</f>
        <v>0</v>
      </c>
      <c r="Q168" s="328" t="s">
        <v>1178</v>
      </c>
      <c r="R168" s="520">
        <f>IF(AND(稽查陪同YN=1,项目管理YN=1),1,0)</f>
        <v>0</v>
      </c>
      <c r="S168" s="525" t="str">
        <f>INDEX('Rate Card'!$D:$D,MATCH(服务费底表!$T168,'Rate Card'!F:F,0))</f>
        <v>项目管理</v>
      </c>
      <c r="T168" s="328" t="s">
        <v>599</v>
      </c>
      <c r="U168" s="522" t="str">
        <f>INDEX('Rate Card'!$E:$E,MATCH(服务费底表!$T168,'Rate Card'!$F:$F,0))</f>
        <v>临床项目经理</v>
      </c>
      <c r="V168" s="331">
        <f>INDEX('Rate Card'!$J:$J,MATCH($T168,'Rate Card'!$F:$F,0))</f>
        <v>650</v>
      </c>
      <c r="W168" s="523">
        <f t="shared" si="162"/>
        <v>650</v>
      </c>
      <c r="X168" s="523">
        <f t="shared" si="163"/>
        <v>16</v>
      </c>
      <c r="Y168" s="327" cm="1">
        <f t="array" ref="Y168">_xlfn.IFS(报价场景=服务费底表!$AJ$2,服务费底表!$AJ168,报价场景=服务费底表!$AP$2,服务费底表!$AP168,报价场景=服务费底表!$AK$2,服务费底表!$AK168,报价场景=服务费底表!$AL$2,服务费底表!$AL168,报价场景=服务费底表!$AM$2,服务费底表!$AM168,报价场景=服务费底表!$AN$2,服务费底表!$AN168,报价场景=服务费底表!$AQ$2,服务费底表!$AQ168,报价场景=服务费底表!$AO$2,服务费底表!$AO168)</f>
        <v>16</v>
      </c>
      <c r="Z168" s="327"/>
      <c r="AA168" s="332">
        <f t="shared" si="164"/>
        <v>16</v>
      </c>
      <c r="AB168" s="333">
        <f t="shared" si="165"/>
        <v>0</v>
      </c>
      <c r="AC168" s="328">
        <f t="shared" si="166"/>
        <v>0</v>
      </c>
      <c r="AD168" s="334">
        <f t="shared" si="167"/>
        <v>0</v>
      </c>
      <c r="AE168" s="334">
        <f>$AB168*(1-INDEX(项目参数!$D$5:$D$14,MATCH(服务费底表!$S168,项目参数!$B$5:$B$14,0)))</f>
        <v>0</v>
      </c>
      <c r="AF168" s="334">
        <f>$AD168*INDEX(项目参数!$D$5:$D$14,MATCH(服务费底表!$S168,项目参数!$B$5:$B$14,0))</f>
        <v>0</v>
      </c>
      <c r="AG168" s="334">
        <f t="shared" si="173"/>
        <v>0</v>
      </c>
      <c r="AH168" s="328"/>
      <c r="AI168" s="328" t="s">
        <v>599</v>
      </c>
      <c r="AJ168" s="327">
        <v>16</v>
      </c>
      <c r="AK168" s="327">
        <f t="shared" si="168"/>
        <v>24</v>
      </c>
      <c r="AL168" s="327">
        <f>AJ168*0.7</f>
        <v>11.2</v>
      </c>
      <c r="AM168" s="327">
        <f>AJ168*0.7</f>
        <v>11.2</v>
      </c>
      <c r="AN168" s="327">
        <f>AJ168</f>
        <v>16</v>
      </c>
      <c r="AO168" s="327">
        <f>AL168</f>
        <v>11.2</v>
      </c>
      <c r="AP168" s="327">
        <v>16</v>
      </c>
      <c r="AQ168" s="327">
        <f t="shared" si="170"/>
        <v>24</v>
      </c>
      <c r="AR168" s="338"/>
      <c r="AS168" s="327">
        <f t="shared" si="171"/>
        <v>0</v>
      </c>
      <c r="AT168" s="327">
        <f t="shared" si="172"/>
        <v>0</v>
      </c>
      <c r="AU168" s="523">
        <v>16</v>
      </c>
      <c r="AV168" s="328"/>
      <c r="AW168" s="328"/>
      <c r="AX168" s="332">
        <v>16</v>
      </c>
      <c r="AY168" s="328" t="b">
        <f t="shared" si="151"/>
        <v>1</v>
      </c>
      <c r="AZ168" s="328" t="b">
        <f t="shared" si="152"/>
        <v>0</v>
      </c>
    </row>
    <row r="169" ht="27" customHeight="1" spans="1:52">
      <c r="A169" s="326" t="str">
        <f>INDEX('Rate Card'!$A:$A,MATCH(服务费底表!$T169,'Rate Card'!$F:$F,0))</f>
        <v>临床运营</v>
      </c>
      <c r="B169" s="327" t="str">
        <f>INDEX(二三级标准!$G:$G,MATCH(服务费底表!$K169,二三级标准!B:B,0))</f>
        <v>个</v>
      </c>
      <c r="C169" s="327">
        <f>INDEX(服务费明细!$E:$E,MATCH(服务费底表!$K169,服务费明细!$B:$B,0))</f>
        <v>9</v>
      </c>
      <c r="D169" s="327" t="str">
        <f t="shared" si="160"/>
        <v>A040CRA</v>
      </c>
      <c r="E169" s="327" t="str">
        <f t="shared" si="161"/>
        <v>T0104CRA</v>
      </c>
      <c r="F169" s="328"/>
      <c r="G169" s="328" t="s">
        <v>684</v>
      </c>
      <c r="H169" s="326" t="str">
        <f>INDEX('Rate Card'!$B:$B,MATCH(服务费底表!$T169,'Rate Card'!$F:$F,0))</f>
        <v>临床运营</v>
      </c>
      <c r="I169" s="328" t="s">
        <v>920</v>
      </c>
      <c r="J169" s="328" t="str">
        <f>INDEX(二三级标准!$Q:$Q,MATCH(服务费底表!I169,二三级标准!$O:$O,0))</f>
        <v>临床监查和中心管理</v>
      </c>
      <c r="K169" s="328" t="s">
        <v>183</v>
      </c>
      <c r="L169" s="328" t="str">
        <f>INDEX(二三级标准!C:C,MATCH(服务费底表!K169,二三级标准!$B:$B,0))</f>
        <v>中心安全性报告管理</v>
      </c>
      <c r="M169" s="328" t="s">
        <v>1280</v>
      </c>
      <c r="N169" s="328" t="str">
        <f>INDEX(二三级标准!$M:$M,MATCH(服务费底表!$M169,二三级标准!$L:$L,0))</f>
        <v>跟进研究中心SAE记录和报告</v>
      </c>
      <c r="O169" s="328"/>
      <c r="P169" s="327">
        <f>IF(R169=1,INDEX(服务费明细!$E:$E,MATCH(服务费底表!$K169,服务费明细!$B:$B,0)),0)</f>
        <v>9</v>
      </c>
      <c r="Q169" s="328" t="s">
        <v>1281</v>
      </c>
      <c r="R169" s="520">
        <f>IF(AND(中心安全性报告管理YN=1,临床监查YN=1),1,0)</f>
        <v>1</v>
      </c>
      <c r="S169" s="525" t="str">
        <f>INDEX('Rate Card'!$D:$D,MATCH(服务费底表!$T169,'Rate Card'!F:F,0))</f>
        <v>临床监查</v>
      </c>
      <c r="T169" s="328" t="s">
        <v>595</v>
      </c>
      <c r="U169" s="522" t="str">
        <f>INDEX('Rate Card'!$E:$E,MATCH(服务费底表!$T169,'Rate Card'!$F:$F,0))</f>
        <v>临床监查员</v>
      </c>
      <c r="V169" s="331">
        <f>INDEX('Rate Card'!$J:$J,MATCH($T169,'Rate Card'!$F:$F,0))</f>
        <v>340</v>
      </c>
      <c r="W169" s="523">
        <f t="shared" si="162"/>
        <v>340</v>
      </c>
      <c r="X169" s="523">
        <f t="shared" si="163"/>
        <v>4</v>
      </c>
      <c r="Y169" s="327" cm="1">
        <f t="array" ref="Y169">_xlfn.IFS(报价场景=服务费底表!$AJ$2,服务费底表!$AJ169,报价场景=服务费底表!$AP$2,服务费底表!$AP169,报价场景=服务费底表!$AK$2,服务费底表!$AK169,报价场景=服务费底表!$AL$2,服务费底表!$AL169,报价场景=服务费底表!$AM$2,服务费底表!$AM169,报价场景=服务费底表!$AN$2,服务费底表!$AN169,报价场景=服务费底表!$AQ$2,服务费底表!$AQ169,报价场景=服务费底表!$AO$2,服务费底表!$AO169)</f>
        <v>4</v>
      </c>
      <c r="Z169" s="327"/>
      <c r="AA169" s="332">
        <f t="shared" si="164"/>
        <v>4</v>
      </c>
      <c r="AB169" s="333">
        <f t="shared" si="165"/>
        <v>1360</v>
      </c>
      <c r="AC169" s="328">
        <f t="shared" si="166"/>
        <v>36</v>
      </c>
      <c r="AD169" s="334">
        <f t="shared" si="167"/>
        <v>12240</v>
      </c>
      <c r="AE169" s="334">
        <f>$AB169*(1-INDEX(项目参数!$D$5:$D$14,MATCH(服务费底表!$S169,项目参数!$B$5:$B$14,0)))</f>
        <v>1360</v>
      </c>
      <c r="AF169" s="334">
        <f>$AD169*INDEX(项目参数!$D$5:$D$14,MATCH(服务费底表!$S169,项目参数!$B$5:$B$14,0))</f>
        <v>0</v>
      </c>
      <c r="AG169" s="334">
        <f t="shared" si="173"/>
        <v>12240</v>
      </c>
      <c r="AH169" s="328"/>
      <c r="AI169" s="328" t="s">
        <v>595</v>
      </c>
      <c r="AJ169" s="327">
        <v>4</v>
      </c>
      <c r="AK169" s="327">
        <f t="shared" si="168"/>
        <v>6</v>
      </c>
      <c r="AL169" s="327">
        <f t="shared" ref="AL169:AL180" si="175">AM169</f>
        <v>3</v>
      </c>
      <c r="AM169" s="327">
        <v>3</v>
      </c>
      <c r="AN169" s="327">
        <f>AJ169</f>
        <v>4</v>
      </c>
      <c r="AO169" s="327">
        <f>AL169</f>
        <v>3</v>
      </c>
      <c r="AP169" s="327">
        <v>12</v>
      </c>
      <c r="AQ169" s="327">
        <f t="shared" si="170"/>
        <v>6</v>
      </c>
      <c r="AR169" s="338"/>
      <c r="AS169" s="327">
        <f t="shared" si="171"/>
        <v>36</v>
      </c>
      <c r="AT169" s="327">
        <f t="shared" si="172"/>
        <v>36</v>
      </c>
      <c r="AU169" s="523">
        <v>4</v>
      </c>
      <c r="AV169" s="328"/>
      <c r="AW169" s="328"/>
      <c r="AX169" s="332">
        <v>4</v>
      </c>
      <c r="AY169" s="328" t="b">
        <f t="shared" si="151"/>
        <v>1</v>
      </c>
      <c r="AZ169" s="328" t="b">
        <f t="shared" si="152"/>
        <v>1</v>
      </c>
    </row>
    <row r="170" ht="27" customHeight="1" spans="1:52">
      <c r="A170" s="326" t="str">
        <f>INDEX('Rate Card'!$A:$A,MATCH(服务费底表!$T170,'Rate Card'!$F:$F,0))</f>
        <v>临床运营</v>
      </c>
      <c r="B170" s="327" t="str">
        <f>INDEX(二三级标准!$G:$G,MATCH(服务费底表!$K170,二三级标准!B:B,0))</f>
        <v>个</v>
      </c>
      <c r="C170" s="327">
        <f>INDEX(服务费明细!$E:$E,MATCH(服务费底表!$K170,服务费明细!$B:$B,0))</f>
        <v>9</v>
      </c>
      <c r="D170" s="327" t="str">
        <f t="shared" si="160"/>
        <v>A040PM</v>
      </c>
      <c r="E170" s="327" t="str">
        <f t="shared" si="161"/>
        <v>T0104PM</v>
      </c>
      <c r="F170" s="328"/>
      <c r="G170" s="328" t="s">
        <v>684</v>
      </c>
      <c r="H170" s="326" t="str">
        <f>INDEX('Rate Card'!$B:$B,MATCH(服务费底表!$T170,'Rate Card'!$F:$F,0))</f>
        <v>临床运营</v>
      </c>
      <c r="I170" s="328" t="s">
        <v>920</v>
      </c>
      <c r="J170" s="328" t="str">
        <f>INDEX(二三级标准!$Q:$Q,MATCH(服务费底表!I170,二三级标准!$O:$O,0))</f>
        <v>临床监查和中心管理</v>
      </c>
      <c r="K170" s="328" t="s">
        <v>183</v>
      </c>
      <c r="L170" s="328" t="str">
        <f>INDEX(二三级标准!C:C,MATCH(服务费底表!K170,二三级标准!$B:$B,0))</f>
        <v>中心安全性报告管理</v>
      </c>
      <c r="M170" s="328" t="s">
        <v>1280</v>
      </c>
      <c r="N170" s="328" t="str">
        <f>INDEX(二三级标准!$M:$M,MATCH(服务费底表!$M170,二三级标准!$L:$L,0))</f>
        <v>跟进研究中心SAE记录和报告</v>
      </c>
      <c r="O170" s="328"/>
      <c r="P170" s="327">
        <f>IF(R170=1,INDEX(服务费明细!$E:$E,MATCH(服务费底表!$K170,服务费明细!$B:$B,0)),0)</f>
        <v>9</v>
      </c>
      <c r="Q170" s="328" t="s">
        <v>1281</v>
      </c>
      <c r="R170" s="520">
        <f>IF(AND(中心安全性报告管理YN=1,项目管理YN=1),1,0)</f>
        <v>1</v>
      </c>
      <c r="S170" s="525" t="str">
        <f>INDEX('Rate Card'!$D:$D,MATCH(服务费底表!$T170,'Rate Card'!F:F,0))</f>
        <v>项目管理</v>
      </c>
      <c r="T170" s="328" t="s">
        <v>599</v>
      </c>
      <c r="U170" s="522" t="str">
        <f>INDEX('Rate Card'!$E:$E,MATCH(服务费底表!$T170,'Rate Card'!$F:$F,0))</f>
        <v>临床项目经理</v>
      </c>
      <c r="V170" s="331">
        <f>INDEX('Rate Card'!$J:$J,MATCH($T170,'Rate Card'!$F:$F,0))</f>
        <v>650</v>
      </c>
      <c r="W170" s="523">
        <f t="shared" si="162"/>
        <v>650</v>
      </c>
      <c r="X170" s="523">
        <f t="shared" si="163"/>
        <v>1</v>
      </c>
      <c r="Y170" s="327" cm="1">
        <f t="array" ref="Y170">_xlfn.IFS(报价场景=服务费底表!$AJ$2,服务费底表!$AJ170,报价场景=服务费底表!$AP$2,服务费底表!$AP170,报价场景=服务费底表!$AK$2,服务费底表!$AK170,报价场景=服务费底表!$AL$2,服务费底表!$AL170,报价场景=服务费底表!$AM$2,服务费底表!$AM170,报价场景=服务费底表!$AN$2,服务费底表!$AN170,报价场景=服务费底表!$AQ$2,服务费底表!$AQ170,报价场景=服务费底表!$AO$2,服务费底表!$AO170)</f>
        <v>1</v>
      </c>
      <c r="Z170" s="327"/>
      <c r="AA170" s="332">
        <f t="shared" si="164"/>
        <v>1</v>
      </c>
      <c r="AB170" s="333">
        <f t="shared" si="165"/>
        <v>650</v>
      </c>
      <c r="AC170" s="328">
        <f t="shared" si="166"/>
        <v>9</v>
      </c>
      <c r="AD170" s="334">
        <f t="shared" si="167"/>
        <v>5850</v>
      </c>
      <c r="AE170" s="334">
        <f>$AB170*(1-INDEX(项目参数!$D$5:$D$14,MATCH(服务费底表!$S170,项目参数!$B$5:$B$14,0)))</f>
        <v>650</v>
      </c>
      <c r="AF170" s="334">
        <f>$AD170*INDEX(项目参数!$D$5:$D$14,MATCH(服务费底表!$S170,项目参数!$B$5:$B$14,0))</f>
        <v>0</v>
      </c>
      <c r="AG170" s="334">
        <f t="shared" si="173"/>
        <v>5850</v>
      </c>
      <c r="AH170" s="328"/>
      <c r="AI170" s="328" t="s">
        <v>599</v>
      </c>
      <c r="AJ170" s="327">
        <v>1</v>
      </c>
      <c r="AK170" s="327">
        <f t="shared" si="168"/>
        <v>1.5</v>
      </c>
      <c r="AL170" s="327">
        <f t="shared" si="175"/>
        <v>0.8</v>
      </c>
      <c r="AM170" s="327">
        <v>0.8</v>
      </c>
      <c r="AN170" s="327">
        <f>AJ170</f>
        <v>1</v>
      </c>
      <c r="AO170" s="327">
        <f>AL170</f>
        <v>0.8</v>
      </c>
      <c r="AP170" s="327">
        <v>0.5</v>
      </c>
      <c r="AQ170" s="327">
        <f t="shared" si="170"/>
        <v>1.5</v>
      </c>
      <c r="AR170" s="338"/>
      <c r="AS170" s="327">
        <f t="shared" si="171"/>
        <v>9</v>
      </c>
      <c r="AT170" s="327">
        <f t="shared" si="172"/>
        <v>9</v>
      </c>
      <c r="AU170" s="523">
        <v>1</v>
      </c>
      <c r="AV170" s="328"/>
      <c r="AW170" s="328"/>
      <c r="AX170" s="332">
        <v>1</v>
      </c>
      <c r="AY170" s="328" t="b">
        <f t="shared" si="151"/>
        <v>1</v>
      </c>
      <c r="AZ170" s="328" t="b">
        <f t="shared" si="152"/>
        <v>1</v>
      </c>
    </row>
    <row r="171" ht="27" customHeight="1" spans="1:52">
      <c r="A171" s="326" t="str">
        <f>INDEX('Rate Card'!$A:$A,MATCH(服务费底表!$T171,'Rate Card'!$F:$F,0))</f>
        <v>临床运营</v>
      </c>
      <c r="B171" s="327" t="str">
        <f>INDEX(二三级标准!$G:$G,MATCH(服务费底表!$K171,二三级标准!B:B,0))</f>
        <v>个</v>
      </c>
      <c r="C171" s="327">
        <f>INDEX(服务费明细!$E:$E,MATCH(服务费底表!$K171,服务费明细!$B:$B,0))</f>
        <v>9</v>
      </c>
      <c r="D171" s="327" t="str">
        <f t="shared" si="160"/>
        <v>A040CRA</v>
      </c>
      <c r="E171" s="327" t="str">
        <f t="shared" si="161"/>
        <v>T0105CRA</v>
      </c>
      <c r="F171" s="328"/>
      <c r="G171" s="328" t="s">
        <v>684</v>
      </c>
      <c r="H171" s="326" t="str">
        <f>INDEX('Rate Card'!$B:$B,MATCH(服务费底表!$T171,'Rate Card'!$F:$F,0))</f>
        <v>临床运营</v>
      </c>
      <c r="I171" s="328" t="s">
        <v>920</v>
      </c>
      <c r="J171" s="328" t="str">
        <f>INDEX(二三级标准!$Q:$Q,MATCH(服务费底表!I171,二三级标准!$O:$O,0))</f>
        <v>临床监查和中心管理</v>
      </c>
      <c r="K171" s="328" t="s">
        <v>183</v>
      </c>
      <c r="L171" s="328" t="str">
        <f>INDEX(二三级标准!C:C,MATCH(服务费底表!K171,二三级标准!$B:$B,0))</f>
        <v>中心安全性报告管理</v>
      </c>
      <c r="M171" s="328" t="s">
        <v>1282</v>
      </c>
      <c r="N171" s="328" t="str">
        <f>INDEX(二三级标准!$M:$M,MATCH(服务费底表!$M171,二三级标准!$L:$L,0))</f>
        <v>特别关注事件AESI记录和报告</v>
      </c>
      <c r="O171" s="328"/>
      <c r="P171" s="327">
        <v>0</v>
      </c>
      <c r="Q171" s="328" t="s">
        <v>1281</v>
      </c>
      <c r="R171" s="520">
        <v>0</v>
      </c>
      <c r="S171" s="525" t="str">
        <f>INDEX('Rate Card'!$D:$D,MATCH(服务费底表!$T171,'Rate Card'!F:F,0))</f>
        <v>临床监查</v>
      </c>
      <c r="T171" s="328" t="s">
        <v>595</v>
      </c>
      <c r="U171" s="522" t="str">
        <f>INDEX('Rate Card'!$E:$E,MATCH(服务费底表!$T171,'Rate Card'!$F:$F,0))</f>
        <v>临床监查员</v>
      </c>
      <c r="V171" s="331">
        <f>INDEX('Rate Card'!$J:$J,MATCH($T171,'Rate Card'!$F:$F,0))</f>
        <v>340</v>
      </c>
      <c r="W171" s="523">
        <f t="shared" si="162"/>
        <v>340</v>
      </c>
      <c r="X171" s="523">
        <f t="shared" si="163"/>
        <v>4</v>
      </c>
      <c r="Y171" s="327" cm="1">
        <f t="array" ref="Y171">_xlfn.IFS(报价场景=服务费底表!$AJ$2,服务费底表!$AJ171,报价场景=服务费底表!$AP$2,服务费底表!$AP171,报价场景=服务费底表!$AK$2,服务费底表!$AK171,报价场景=服务费底表!$AL$2,服务费底表!$AL171,报价场景=服务费底表!$AM$2,服务费底表!$AM171,报价场景=服务费底表!$AN$2,服务费底表!$AN171,报价场景=服务费底表!$AQ$2,服务费底表!$AQ171,报价场景=服务费底表!$AO$2,服务费底表!$AO171)</f>
        <v>4</v>
      </c>
      <c r="Z171" s="327"/>
      <c r="AA171" s="332">
        <f t="shared" si="164"/>
        <v>4</v>
      </c>
      <c r="AB171" s="333">
        <f t="shared" si="165"/>
        <v>0</v>
      </c>
      <c r="AC171" s="328">
        <f t="shared" si="166"/>
        <v>0</v>
      </c>
      <c r="AD171" s="334">
        <f t="shared" si="167"/>
        <v>0</v>
      </c>
      <c r="AE171" s="334">
        <f>$AB171*(1-INDEX(项目参数!$D$5:$D$14,MATCH(服务费底表!$S171,项目参数!$B$5:$B$14,0)))</f>
        <v>0</v>
      </c>
      <c r="AF171" s="334">
        <f>$AD171*INDEX(项目参数!$D$5:$D$14,MATCH(服务费底表!$S171,项目参数!$B$5:$B$14,0))</f>
        <v>0</v>
      </c>
      <c r="AG171" s="334">
        <f t="shared" si="173"/>
        <v>0</v>
      </c>
      <c r="AH171" s="328"/>
      <c r="AI171" s="328" t="s">
        <v>595</v>
      </c>
      <c r="AJ171" s="327">
        <v>4</v>
      </c>
      <c r="AK171" s="327">
        <f t="shared" si="168"/>
        <v>6</v>
      </c>
      <c r="AL171" s="327">
        <f>AJ171*0.7</f>
        <v>2.8</v>
      </c>
      <c r="AM171" s="327">
        <f>AJ171*0.7</f>
        <v>2.8</v>
      </c>
      <c r="AN171" s="327">
        <f>AJ171</f>
        <v>4</v>
      </c>
      <c r="AO171" s="327">
        <f>AL171</f>
        <v>2.8</v>
      </c>
      <c r="AP171" s="327">
        <v>4</v>
      </c>
      <c r="AQ171" s="327">
        <f t="shared" si="170"/>
        <v>6</v>
      </c>
      <c r="AR171" s="338"/>
      <c r="AS171" s="327">
        <f t="shared" si="171"/>
        <v>0</v>
      </c>
      <c r="AT171" s="327">
        <f t="shared" si="172"/>
        <v>0</v>
      </c>
      <c r="AU171" s="523">
        <v>4</v>
      </c>
      <c r="AV171" s="328"/>
      <c r="AW171" s="328"/>
      <c r="AX171" s="332">
        <v>4</v>
      </c>
      <c r="AY171" s="328" t="b">
        <f t="shared" si="151"/>
        <v>1</v>
      </c>
      <c r="AZ171" s="328" t="b">
        <f t="shared" si="152"/>
        <v>1</v>
      </c>
    </row>
    <row r="172" ht="27" customHeight="1" spans="1:52">
      <c r="A172" s="326" t="str">
        <f>INDEX('Rate Card'!$A:$A,MATCH(服务费底表!$T172,'Rate Card'!$F:$F,0))</f>
        <v>临床运营</v>
      </c>
      <c r="B172" s="327" t="str">
        <f>INDEX(二三级标准!$G:$G,MATCH(服务费底表!$K172,二三级标准!B:B,0))</f>
        <v>次</v>
      </c>
      <c r="C172" s="327">
        <f>INDEX(服务费明细!$E:$E,MATCH(服务费底表!$K172,服务费明细!$B:$B,0))</f>
        <v>16</v>
      </c>
      <c r="D172" s="327" t="str">
        <f t="shared" si="160"/>
        <v>A041CRA</v>
      </c>
      <c r="E172" s="327" t="str">
        <f t="shared" si="161"/>
        <v>T0106CRA</v>
      </c>
      <c r="F172" s="328"/>
      <c r="G172" s="328" t="s">
        <v>684</v>
      </c>
      <c r="H172" s="326" t="str">
        <f>INDEX('Rate Card'!$B:$B,MATCH(服务费底表!$T172,'Rate Card'!$F:$F,0))</f>
        <v>临床运营</v>
      </c>
      <c r="I172" s="328" t="s">
        <v>920</v>
      </c>
      <c r="J172" s="328" t="str">
        <f>INDEX(二三级标准!$Q:$Q,MATCH(服务费底表!I172,二三级标准!$O:$O,0))</f>
        <v>临床监查和中心管理</v>
      </c>
      <c r="K172" s="328" t="s">
        <v>185</v>
      </c>
      <c r="L172" s="328" t="str">
        <f>INDEX(二三级标准!C:C,MATCH(服务费底表!K172,二三级标准!$B:$B,0))</f>
        <v>中心费用支付支持</v>
      </c>
      <c r="M172" s="328" t="s">
        <v>1283</v>
      </c>
      <c r="N172" s="328" t="str">
        <f>INDEX(二三级标准!$M:$M,MATCH(服务费底表!$M172,二三级标准!$L:$L,0))</f>
        <v>中心费用支付发起及管理</v>
      </c>
      <c r="O172" s="328"/>
      <c r="P172" s="327">
        <f>IF(R172=1,INDEX(服务费明细!$E:$E,MATCH(服务费底表!$K172,服务费明细!$B:$B,0)),0)</f>
        <v>16</v>
      </c>
      <c r="Q172" s="328" t="s">
        <v>1178</v>
      </c>
      <c r="R172" s="520">
        <f>IF(AND(中心费用支付支持YN=1,临床监查YN=1),1,0)</f>
        <v>1</v>
      </c>
      <c r="S172" s="525" t="str">
        <f>INDEX('Rate Card'!$D:$D,MATCH(服务费底表!$T172,'Rate Card'!F:F,0))</f>
        <v>临床监查</v>
      </c>
      <c r="T172" s="328" t="s">
        <v>595</v>
      </c>
      <c r="U172" s="522" t="str">
        <f>INDEX('Rate Card'!$E:$E,MATCH(服务费底表!$T172,'Rate Card'!$F:$F,0))</f>
        <v>临床监查员</v>
      </c>
      <c r="V172" s="331">
        <f>INDEX('Rate Card'!$J:$J,MATCH($T172,'Rate Card'!$F:$F,0))</f>
        <v>340</v>
      </c>
      <c r="W172" s="523">
        <f t="shared" si="162"/>
        <v>340</v>
      </c>
      <c r="X172" s="523">
        <f t="shared" si="163"/>
        <v>2</v>
      </c>
      <c r="Y172" s="327" cm="1">
        <f t="array" ref="Y172">_xlfn.IFS(报价场景=服务费底表!$AJ$2,服务费底表!$AJ172,报价场景=服务费底表!$AP$2,服务费底表!$AP172,报价场景=服务费底表!$AK$2,服务费底表!$AK172,报价场景=服务费底表!$AL$2,服务费底表!$AL172,报价场景=服务费底表!$AM$2,服务费底表!$AM172,报价场景=服务费底表!$AN$2,服务费底表!$AN172,报价场景=服务费底表!$AQ$2,服务费底表!$AQ172,报价场景=服务费底表!$AO$2,服务费底表!$AO172)</f>
        <v>2</v>
      </c>
      <c r="Z172" s="327"/>
      <c r="AA172" s="332">
        <f t="shared" si="164"/>
        <v>2</v>
      </c>
      <c r="AB172" s="333">
        <f t="shared" si="165"/>
        <v>680</v>
      </c>
      <c r="AC172" s="328">
        <f t="shared" si="166"/>
        <v>32</v>
      </c>
      <c r="AD172" s="334">
        <f t="shared" si="167"/>
        <v>10880</v>
      </c>
      <c r="AE172" s="334">
        <f>$AB172*(1-INDEX(项目参数!$D$5:$D$14,MATCH(服务费底表!$S172,项目参数!$B$5:$B$14,0)))</f>
        <v>680</v>
      </c>
      <c r="AF172" s="334">
        <f>$AD172*INDEX(项目参数!$D$5:$D$14,MATCH(服务费底表!$S172,项目参数!$B$5:$B$14,0))</f>
        <v>0</v>
      </c>
      <c r="AG172" s="334">
        <f t="shared" si="173"/>
        <v>10880</v>
      </c>
      <c r="AH172" s="328"/>
      <c r="AI172" s="328" t="s">
        <v>595</v>
      </c>
      <c r="AJ172" s="327">
        <v>2</v>
      </c>
      <c r="AK172" s="327">
        <v>2</v>
      </c>
      <c r="AL172" s="327">
        <v>2</v>
      </c>
      <c r="AM172" s="327">
        <v>2</v>
      </c>
      <c r="AN172" s="327">
        <v>2</v>
      </c>
      <c r="AO172" s="327">
        <v>2</v>
      </c>
      <c r="AP172" s="327">
        <v>2</v>
      </c>
      <c r="AQ172" s="327">
        <f t="shared" si="170"/>
        <v>3</v>
      </c>
      <c r="AR172" s="338"/>
      <c r="AS172" s="327">
        <f t="shared" si="171"/>
        <v>32</v>
      </c>
      <c r="AT172" s="327">
        <f t="shared" si="172"/>
        <v>32</v>
      </c>
      <c r="AU172" s="523">
        <v>2</v>
      </c>
      <c r="AV172" s="328"/>
      <c r="AW172" s="328"/>
      <c r="AX172" s="332">
        <v>2</v>
      </c>
      <c r="AY172" s="328" t="b">
        <f t="shared" si="151"/>
        <v>1</v>
      </c>
      <c r="AZ172" s="328" t="b">
        <f t="shared" si="152"/>
        <v>0</v>
      </c>
    </row>
    <row r="173" ht="27" customHeight="1" spans="1:52">
      <c r="A173" s="326" t="str">
        <f>INDEX('Rate Card'!$A:$A,MATCH(服务费底表!$T173,'Rate Card'!$F:$F,0))</f>
        <v>临床运营</v>
      </c>
      <c r="B173" s="327" t="str">
        <f>INDEX(二三级标准!$G:$G,MATCH(服务费底表!$K173,二三级标准!B:B,0))</f>
        <v>次</v>
      </c>
      <c r="C173" s="327">
        <f>INDEX(服务费明细!$E:$E,MATCH(服务费底表!$K173,服务费明细!$B:$B,0))</f>
        <v>16</v>
      </c>
      <c r="D173" s="327" t="str">
        <f t="shared" si="160"/>
        <v>A041PM</v>
      </c>
      <c r="E173" s="327" t="str">
        <f t="shared" si="161"/>
        <v>T0107PM</v>
      </c>
      <c r="F173" s="328"/>
      <c r="G173" s="328" t="s">
        <v>684</v>
      </c>
      <c r="H173" s="326" t="str">
        <f>INDEX('Rate Card'!$B:$B,MATCH(服务费底表!$T173,'Rate Card'!$F:$F,0))</f>
        <v>临床运营</v>
      </c>
      <c r="I173" s="328" t="s">
        <v>920</v>
      </c>
      <c r="J173" s="328" t="str">
        <f>INDEX(二三级标准!$Q:$Q,MATCH(服务费底表!I173,二三级标准!$O:$O,0))</f>
        <v>临床监查和中心管理</v>
      </c>
      <c r="K173" s="328" t="s">
        <v>185</v>
      </c>
      <c r="L173" s="328" t="str">
        <f>INDEX(二三级标准!C:C,MATCH(服务费底表!K173,二三级标准!$B:$B,0))</f>
        <v>中心费用支付支持</v>
      </c>
      <c r="M173" s="328" t="s">
        <v>1284</v>
      </c>
      <c r="N173" s="328" t="str">
        <f>INDEX(二三级标准!$M:$M,MATCH(服务费底表!$M173,二三级标准!$L:$L,0))</f>
        <v>中心费用审核</v>
      </c>
      <c r="O173" s="328"/>
      <c r="P173" s="327">
        <f>IF(R173=1,INDEX(服务费明细!$E:$E,MATCH(服务费底表!$K173,服务费明细!$B:$B,0)),0)</f>
        <v>16</v>
      </c>
      <c r="Q173" s="328" t="s">
        <v>1178</v>
      </c>
      <c r="R173" s="520">
        <f>IF(AND(中心费用支付支持YN=1,项目管理YN=1),1,0)</f>
        <v>1</v>
      </c>
      <c r="S173" s="525" t="str">
        <f>INDEX('Rate Card'!$D:$D,MATCH(服务费底表!$T173,'Rate Card'!F:F,0))</f>
        <v>项目管理</v>
      </c>
      <c r="T173" s="328" t="s">
        <v>599</v>
      </c>
      <c r="U173" s="522" t="str">
        <f>INDEX('Rate Card'!$E:$E,MATCH(服务费底表!$T173,'Rate Card'!$F:$F,0))</f>
        <v>临床项目经理</v>
      </c>
      <c r="V173" s="331">
        <f>INDEX('Rate Card'!$J:$J,MATCH($T173,'Rate Card'!$F:$F,0))</f>
        <v>650</v>
      </c>
      <c r="W173" s="523">
        <f t="shared" si="162"/>
        <v>650</v>
      </c>
      <c r="X173" s="523">
        <f t="shared" si="163"/>
        <v>1</v>
      </c>
      <c r="Y173" s="327" cm="1">
        <f t="array" ref="Y173">_xlfn.IFS(报价场景=服务费底表!$AJ$2,服务费底表!$AJ173,报价场景=服务费底表!$AP$2,服务费底表!$AP173,报价场景=服务费底表!$AK$2,服务费底表!$AK173,报价场景=服务费底表!$AL$2,服务费底表!$AL173,报价场景=服务费底表!$AM$2,服务费底表!$AM173,报价场景=服务费底表!$AN$2,服务费底表!$AN173,报价场景=服务费底表!$AQ$2,服务费底表!$AQ173,报价场景=服务费底表!$AO$2,服务费底表!$AO173)</f>
        <v>1</v>
      </c>
      <c r="Z173" s="327"/>
      <c r="AA173" s="332">
        <f t="shared" si="164"/>
        <v>1</v>
      </c>
      <c r="AB173" s="333">
        <f t="shared" si="165"/>
        <v>650</v>
      </c>
      <c r="AC173" s="328">
        <f t="shared" si="166"/>
        <v>16</v>
      </c>
      <c r="AD173" s="334">
        <f t="shared" si="167"/>
        <v>10400</v>
      </c>
      <c r="AE173" s="334">
        <f>$AB173*(1-INDEX(项目参数!$D$5:$D$14,MATCH(服务费底表!$S173,项目参数!$B$5:$B$14,0)))</f>
        <v>650</v>
      </c>
      <c r="AF173" s="334">
        <f>$AD173*INDEX(项目参数!$D$5:$D$14,MATCH(服务费底表!$S173,项目参数!$B$5:$B$14,0))</f>
        <v>0</v>
      </c>
      <c r="AG173" s="334">
        <f t="shared" si="173"/>
        <v>10400</v>
      </c>
      <c r="AH173" s="328"/>
      <c r="AI173" s="328" t="s">
        <v>599</v>
      </c>
      <c r="AJ173" s="327">
        <v>1</v>
      </c>
      <c r="AK173" s="327">
        <v>1</v>
      </c>
      <c r="AL173" s="327">
        <v>1</v>
      </c>
      <c r="AM173" s="327">
        <v>1</v>
      </c>
      <c r="AN173" s="327">
        <v>1</v>
      </c>
      <c r="AO173" s="327">
        <v>1</v>
      </c>
      <c r="AP173" s="327">
        <v>1</v>
      </c>
      <c r="AQ173" s="327">
        <f t="shared" si="170"/>
        <v>1.5</v>
      </c>
      <c r="AR173" s="338"/>
      <c r="AS173" s="327">
        <f t="shared" si="171"/>
        <v>16</v>
      </c>
      <c r="AT173" s="327">
        <f t="shared" si="172"/>
        <v>16</v>
      </c>
      <c r="AU173" s="523">
        <v>1</v>
      </c>
      <c r="AV173" s="328"/>
      <c r="AW173" s="328"/>
      <c r="AX173" s="332">
        <v>1</v>
      </c>
      <c r="AY173" s="328" t="b">
        <f t="shared" si="151"/>
        <v>1</v>
      </c>
      <c r="AZ173" s="328" t="b">
        <f t="shared" si="152"/>
        <v>0</v>
      </c>
    </row>
    <row r="174" ht="27" customHeight="1" spans="1:52">
      <c r="A174" s="326" t="str">
        <f>INDEX('Rate Card'!$A:$A,MATCH(服务费底表!$T174,'Rate Card'!$F:$F,0))</f>
        <v>临床运营</v>
      </c>
      <c r="B174" s="327" t="str">
        <f>INDEX(二三级标准!$G:$G,MATCH(服务费底表!$K174,二三级标准!B:B,0))</f>
        <v>次</v>
      </c>
      <c r="C174" s="327">
        <f>INDEX(服务费明细!$E:$E,MATCH(服务费底表!$K174,服务费明细!$B:$B,0))</f>
        <v>16</v>
      </c>
      <c r="D174" s="327" t="str">
        <f t="shared" si="160"/>
        <v>A041CTA</v>
      </c>
      <c r="E174" s="327" t="str">
        <f t="shared" si="161"/>
        <v>T0108CTA</v>
      </c>
      <c r="F174" s="328"/>
      <c r="G174" s="328" t="s">
        <v>684</v>
      </c>
      <c r="H174" s="326" t="str">
        <f>INDEX('Rate Card'!$B:$B,MATCH(服务费底表!$T174,'Rate Card'!$F:$F,0))</f>
        <v>临床运营</v>
      </c>
      <c r="I174" s="328" t="s">
        <v>920</v>
      </c>
      <c r="J174" s="328" t="str">
        <f>INDEX(二三级标准!$Q:$Q,MATCH(服务费底表!I174,二三级标准!$O:$O,0))</f>
        <v>临床监查和中心管理</v>
      </c>
      <c r="K174" s="328" t="s">
        <v>185</v>
      </c>
      <c r="L174" s="328" t="str">
        <f>INDEX(二三级标准!C:C,MATCH(服务费底表!K174,二三级标准!$B:$B,0))</f>
        <v>中心费用支付支持</v>
      </c>
      <c r="M174" s="328" t="s">
        <v>1285</v>
      </c>
      <c r="N174" s="328" t="str">
        <f>INDEX(二三级标准!$M:$M,MATCH(服务费底表!$M174,二三级标准!$L:$L,0))</f>
        <v>中心费用支付财务流程</v>
      </c>
      <c r="O174" s="328"/>
      <c r="P174" s="327">
        <f>IF(R174=1,INDEX(服务费明细!$E:$E,MATCH(服务费底表!$K174,服务费明细!$B:$B,0)),0)</f>
        <v>16</v>
      </c>
      <c r="Q174" s="328" t="s">
        <v>1178</v>
      </c>
      <c r="R174" s="520">
        <f>IF(AND(中心费用支付支持YN=1,临床监查YN=1),1,0)</f>
        <v>1</v>
      </c>
      <c r="S174" s="525" t="str">
        <f>INDEX('Rate Card'!$D:$D,MATCH(服务费底表!$T174,'Rate Card'!F:F,0))</f>
        <v>临床监查</v>
      </c>
      <c r="T174" s="328" t="s">
        <v>597</v>
      </c>
      <c r="U174" s="522" t="str">
        <f>INDEX('Rate Card'!$E:$E,MATCH(服务费底表!$T174,'Rate Card'!$F:$F,0))</f>
        <v>临床试验助理</v>
      </c>
      <c r="V174" s="331">
        <f>INDEX('Rate Card'!$J:$J,MATCH($T174,'Rate Card'!$F:$F,0))</f>
        <v>220</v>
      </c>
      <c r="W174" s="523">
        <f t="shared" si="162"/>
        <v>220</v>
      </c>
      <c r="X174" s="523">
        <f t="shared" si="163"/>
        <v>2</v>
      </c>
      <c r="Y174" s="327" cm="1">
        <f t="array" ref="Y174">_xlfn.IFS(报价场景=服务费底表!$AJ$2,服务费底表!$AJ174,报价场景=服务费底表!$AP$2,服务费底表!$AP174,报价场景=服务费底表!$AK$2,服务费底表!$AK174,报价场景=服务费底表!$AL$2,服务费底表!$AL174,报价场景=服务费底表!$AM$2,服务费底表!$AM174,报价场景=服务费底表!$AN$2,服务费底表!$AN174,报价场景=服务费底表!$AQ$2,服务费底表!$AQ174,报价场景=服务费底表!$AO$2,服务费底表!$AO174)</f>
        <v>2</v>
      </c>
      <c r="Z174" s="327"/>
      <c r="AA174" s="332">
        <f t="shared" si="164"/>
        <v>2</v>
      </c>
      <c r="AB174" s="333">
        <f t="shared" si="165"/>
        <v>440</v>
      </c>
      <c r="AC174" s="328">
        <f t="shared" si="166"/>
        <v>32</v>
      </c>
      <c r="AD174" s="334">
        <f t="shared" si="167"/>
        <v>7040</v>
      </c>
      <c r="AE174" s="334">
        <f>$AB174*(1-INDEX(项目参数!$D$5:$D$14,MATCH(服务费底表!$S174,项目参数!$B$5:$B$14,0)))</f>
        <v>440</v>
      </c>
      <c r="AF174" s="334">
        <f>$AD174*INDEX(项目参数!$D$5:$D$14,MATCH(服务费底表!$S174,项目参数!$B$5:$B$14,0))</f>
        <v>0</v>
      </c>
      <c r="AG174" s="334">
        <f t="shared" si="173"/>
        <v>7040</v>
      </c>
      <c r="AH174" s="328"/>
      <c r="AI174" s="328" t="s">
        <v>597</v>
      </c>
      <c r="AJ174" s="327">
        <v>2</v>
      </c>
      <c r="AK174" s="327">
        <v>2</v>
      </c>
      <c r="AL174" s="327">
        <v>2</v>
      </c>
      <c r="AM174" s="327">
        <v>2</v>
      </c>
      <c r="AN174" s="327">
        <v>2</v>
      </c>
      <c r="AO174" s="327">
        <v>2</v>
      </c>
      <c r="AP174" s="327">
        <v>2</v>
      </c>
      <c r="AQ174" s="327">
        <f t="shared" si="170"/>
        <v>3</v>
      </c>
      <c r="AR174" s="338"/>
      <c r="AS174" s="327">
        <f t="shared" si="171"/>
        <v>32</v>
      </c>
      <c r="AT174" s="327">
        <f t="shared" si="172"/>
        <v>32</v>
      </c>
      <c r="AU174" s="523">
        <v>2</v>
      </c>
      <c r="AV174" s="328"/>
      <c r="AW174" s="328"/>
      <c r="AX174" s="332">
        <v>2</v>
      </c>
      <c r="AY174" s="328" t="b">
        <f t="shared" si="151"/>
        <v>1</v>
      </c>
      <c r="AZ174" s="328" t="b">
        <f t="shared" si="152"/>
        <v>0</v>
      </c>
    </row>
    <row r="175" ht="27" customHeight="1" spans="1:52">
      <c r="A175" s="326" t="str">
        <f>INDEX('Rate Card'!$A:$A,MATCH(服务费底表!$T175,'Rate Card'!$F:$F,0))</f>
        <v>临床运营</v>
      </c>
      <c r="B175" s="327" t="str">
        <f>INDEX(二三级标准!$G:$G,MATCH(服务费底表!$K175,二三级标准!B:B,0))</f>
        <v>份</v>
      </c>
      <c r="C175" s="327">
        <f>INDEX(服务费明细!$E:$E,MATCH(服务费底表!$K175,服务费明细!$B:$B,0))</f>
        <v>10</v>
      </c>
      <c r="D175" s="327" t="str">
        <f t="shared" si="160"/>
        <v>A042CRA</v>
      </c>
      <c r="E175" s="327" t="str">
        <f t="shared" si="161"/>
        <v>T0109CRA</v>
      </c>
      <c r="F175" s="328"/>
      <c r="G175" s="328" t="s">
        <v>684</v>
      </c>
      <c r="H175" s="326" t="str">
        <f>INDEX('Rate Card'!$B:$B,MATCH(服务费底表!$T175,'Rate Card'!$F:$F,0))</f>
        <v>临床运营</v>
      </c>
      <c r="I175" s="328" t="s">
        <v>920</v>
      </c>
      <c r="J175" s="328" t="str">
        <f>INDEX(二三级标准!$Q:$Q,MATCH(服务费底表!I175,二三级标准!$O:$O,0))</f>
        <v>临床监查和中心管理</v>
      </c>
      <c r="K175" s="328" t="s">
        <v>188</v>
      </c>
      <c r="L175" s="328" t="str">
        <f>INDEX(二三级标准!C:C,MATCH(服务费底表!K175,二三级标准!$B:$B,0))</f>
        <v>研究简报撰写</v>
      </c>
      <c r="M175" s="328" t="s">
        <v>1286</v>
      </c>
      <c r="N175" s="328" t="str">
        <f>INDEX(二三级标准!$M:$M,MATCH(服务费底表!$M175,二三级标准!$L:$L,0))</f>
        <v>研究简报信息支持</v>
      </c>
      <c r="O175" s="328"/>
      <c r="P175" s="327">
        <f>IF(R175=1,INDEX(服务费明细!$E:$E,MATCH(服务费底表!$K175,服务费明细!$B:$B,0)),0)</f>
        <v>10</v>
      </c>
      <c r="Q175" s="328" t="s">
        <v>1178</v>
      </c>
      <c r="R175" s="520">
        <f>IF(AND(研究简报撰写YN=1,临床监查YN=1),1,0)</f>
        <v>1</v>
      </c>
      <c r="S175" s="525" t="str">
        <f>INDEX('Rate Card'!$D:$D,MATCH(服务费底表!$T175,'Rate Card'!F:F,0))</f>
        <v>临床监查</v>
      </c>
      <c r="T175" s="328" t="s">
        <v>595</v>
      </c>
      <c r="U175" s="522" t="str">
        <f>INDEX('Rate Card'!$E:$E,MATCH(服务费底表!$T175,'Rate Card'!$F:$F,0))</f>
        <v>临床监查员</v>
      </c>
      <c r="V175" s="331">
        <f>INDEX('Rate Card'!$J:$J,MATCH($T175,'Rate Card'!$F:$F,0))</f>
        <v>340</v>
      </c>
      <c r="W175" s="523">
        <f t="shared" si="162"/>
        <v>340</v>
      </c>
      <c r="X175" s="523">
        <f t="shared" si="163"/>
        <v>2</v>
      </c>
      <c r="Y175" s="327" cm="1">
        <f t="array" ref="Y175">_xlfn.IFS(报价场景=服务费底表!$AJ$2,服务费底表!$AJ175,报价场景=服务费底表!$AP$2,服务费底表!$AP175,报价场景=服务费底表!$AK$2,服务费底表!$AK175,报价场景=服务费底表!$AL$2,服务费底表!$AL175,报价场景=服务费底表!$AM$2,服务费底表!$AM175,报价场景=服务费底表!$AN$2,服务费底表!$AN175,报价场景=服务费底表!$AQ$2,服务费底表!$AQ175,报价场景=服务费底表!$AO$2,服务费底表!$AO175)</f>
        <v>2</v>
      </c>
      <c r="Z175" s="327"/>
      <c r="AA175" s="332">
        <f t="shared" si="164"/>
        <v>2</v>
      </c>
      <c r="AB175" s="333">
        <f t="shared" si="165"/>
        <v>680</v>
      </c>
      <c r="AC175" s="328">
        <f t="shared" si="166"/>
        <v>20</v>
      </c>
      <c r="AD175" s="334">
        <f t="shared" si="167"/>
        <v>6800</v>
      </c>
      <c r="AE175" s="334">
        <f>$AB175*(1-INDEX(项目参数!$D$5:$D$14,MATCH(服务费底表!$S175,项目参数!$B$5:$B$14,0)))</f>
        <v>680</v>
      </c>
      <c r="AF175" s="334">
        <f>$AD175*INDEX(项目参数!$D$5:$D$14,MATCH(服务费底表!$S175,项目参数!$B$5:$B$14,0))</f>
        <v>0</v>
      </c>
      <c r="AG175" s="334">
        <f t="shared" si="173"/>
        <v>6800</v>
      </c>
      <c r="AH175" s="328"/>
      <c r="AI175" s="328" t="s">
        <v>595</v>
      </c>
      <c r="AJ175" s="327">
        <v>2</v>
      </c>
      <c r="AK175" s="327">
        <f t="shared" si="168"/>
        <v>3</v>
      </c>
      <c r="AL175" s="327">
        <f t="shared" si="175"/>
        <v>1.5</v>
      </c>
      <c r="AM175" s="327">
        <v>1.5</v>
      </c>
      <c r="AN175" s="327">
        <f>AJ175</f>
        <v>2</v>
      </c>
      <c r="AO175" s="327">
        <f>AL175</f>
        <v>1.5</v>
      </c>
      <c r="AP175" s="327">
        <v>2</v>
      </c>
      <c r="AQ175" s="327">
        <f t="shared" si="170"/>
        <v>3</v>
      </c>
      <c r="AR175" s="338"/>
      <c r="AS175" s="327">
        <f t="shared" si="171"/>
        <v>20</v>
      </c>
      <c r="AT175" s="327">
        <f t="shared" si="172"/>
        <v>20</v>
      </c>
      <c r="AU175" s="523">
        <v>2</v>
      </c>
      <c r="AV175" s="328"/>
      <c r="AW175" s="328"/>
      <c r="AX175" s="332">
        <v>2</v>
      </c>
      <c r="AY175" s="328" t="b">
        <f t="shared" si="151"/>
        <v>1</v>
      </c>
      <c r="AZ175" s="328" t="b">
        <f t="shared" si="152"/>
        <v>1</v>
      </c>
    </row>
    <row r="176" ht="27" customHeight="1" spans="1:52">
      <c r="A176" s="326" t="str">
        <f>INDEX('Rate Card'!$A:$A,MATCH(服务费底表!$T176,'Rate Card'!$F:$F,0))</f>
        <v>临床运营</v>
      </c>
      <c r="B176" s="327" t="str">
        <f>INDEX(二三级标准!$G:$G,MATCH(服务费底表!$K176,二三级标准!B:B,0))</f>
        <v>份</v>
      </c>
      <c r="C176" s="327">
        <f>INDEX(服务费明细!$E:$E,MATCH(服务费底表!$K176,服务费明细!$B:$B,0))</f>
        <v>10</v>
      </c>
      <c r="D176" s="327" t="str">
        <f t="shared" si="160"/>
        <v>A042PM</v>
      </c>
      <c r="E176" s="327" t="str">
        <f t="shared" si="161"/>
        <v>T0110PM</v>
      </c>
      <c r="F176" s="328"/>
      <c r="G176" s="328" t="s">
        <v>684</v>
      </c>
      <c r="H176" s="326" t="str">
        <f>INDEX('Rate Card'!$B:$B,MATCH(服务费底表!$T176,'Rate Card'!$F:$F,0))</f>
        <v>临床运营</v>
      </c>
      <c r="I176" s="328" t="s">
        <v>920</v>
      </c>
      <c r="J176" s="328" t="str">
        <f>INDEX(二三级标准!$Q:$Q,MATCH(服务费底表!I176,二三级标准!$O:$O,0))</f>
        <v>临床监查和中心管理</v>
      </c>
      <c r="K176" s="328" t="s">
        <v>188</v>
      </c>
      <c r="L176" s="328" t="str">
        <f>INDEX(二三级标准!C:C,MATCH(服务费底表!K176,二三级标准!$B:$B,0))</f>
        <v>研究简报撰写</v>
      </c>
      <c r="M176" s="328" t="s">
        <v>1287</v>
      </c>
      <c r="N176" s="328" t="str">
        <f>INDEX(二三级标准!$M:$M,MATCH(服务费底表!$M176,二三级标准!$L:$L,0))</f>
        <v>撰写研究简报</v>
      </c>
      <c r="O176" s="328"/>
      <c r="P176" s="327">
        <f>IF(R176=1,INDEX(服务费明细!$E:$E,MATCH(服务费底表!$K176,服务费明细!$B:$B,0)),0)</f>
        <v>10</v>
      </c>
      <c r="Q176" s="328" t="s">
        <v>1178</v>
      </c>
      <c r="R176" s="520">
        <f>IF(AND(研究简报撰写YN=1,项目管理YN=1),1,0)</f>
        <v>1</v>
      </c>
      <c r="S176" s="525" t="str">
        <f>INDEX('Rate Card'!$D:$D,MATCH(服务费底表!$T176,'Rate Card'!F:F,0))</f>
        <v>项目管理</v>
      </c>
      <c r="T176" s="328" t="s">
        <v>599</v>
      </c>
      <c r="U176" s="522" t="str">
        <f>INDEX('Rate Card'!$E:$E,MATCH(服务费底表!$T176,'Rate Card'!$F:$F,0))</f>
        <v>临床项目经理</v>
      </c>
      <c r="V176" s="331">
        <f>INDEX('Rate Card'!$J:$J,MATCH($T176,'Rate Card'!$F:$F,0))</f>
        <v>650</v>
      </c>
      <c r="W176" s="523">
        <f t="shared" si="162"/>
        <v>650</v>
      </c>
      <c r="X176" s="523">
        <f t="shared" si="163"/>
        <v>4</v>
      </c>
      <c r="Y176" s="327" cm="1">
        <f t="array" ref="Y176">_xlfn.IFS(报价场景=服务费底表!$AJ$2,服务费底表!$AJ176,报价场景=服务费底表!$AP$2,服务费底表!$AP176,报价场景=服务费底表!$AK$2,服务费底表!$AK176,报价场景=服务费底表!$AL$2,服务费底表!$AL176,报价场景=服务费底表!$AM$2,服务费底表!$AM176,报价场景=服务费底表!$AN$2,服务费底表!$AN176,报价场景=服务费底表!$AQ$2,服务费底表!$AQ176,报价场景=服务费底表!$AO$2,服务费底表!$AO176)</f>
        <v>4</v>
      </c>
      <c r="Z176" s="327"/>
      <c r="AA176" s="332">
        <f t="shared" si="164"/>
        <v>4</v>
      </c>
      <c r="AB176" s="333">
        <f t="shared" si="165"/>
        <v>2600</v>
      </c>
      <c r="AC176" s="328">
        <f t="shared" si="166"/>
        <v>40</v>
      </c>
      <c r="AD176" s="334">
        <f t="shared" si="167"/>
        <v>26000</v>
      </c>
      <c r="AE176" s="334">
        <f>$AB176*(1-INDEX(项目参数!$D$5:$D$14,MATCH(服务费底表!$S176,项目参数!$B$5:$B$14,0)))</f>
        <v>2600</v>
      </c>
      <c r="AF176" s="334">
        <f>$AD176*INDEX(项目参数!$D$5:$D$14,MATCH(服务费底表!$S176,项目参数!$B$5:$B$14,0))</f>
        <v>0</v>
      </c>
      <c r="AG176" s="334">
        <f t="shared" si="173"/>
        <v>26000</v>
      </c>
      <c r="AH176" s="328"/>
      <c r="AI176" s="328" t="s">
        <v>599</v>
      </c>
      <c r="AJ176" s="327">
        <v>4</v>
      </c>
      <c r="AK176" s="327">
        <f t="shared" si="168"/>
        <v>6</v>
      </c>
      <c r="AL176" s="327">
        <f t="shared" si="175"/>
        <v>3</v>
      </c>
      <c r="AM176" s="327">
        <v>3</v>
      </c>
      <c r="AN176" s="327">
        <f>AJ176</f>
        <v>4</v>
      </c>
      <c r="AO176" s="327">
        <f>AL176</f>
        <v>3</v>
      </c>
      <c r="AP176" s="327">
        <v>4</v>
      </c>
      <c r="AQ176" s="327">
        <f t="shared" si="170"/>
        <v>6</v>
      </c>
      <c r="AR176" s="338"/>
      <c r="AS176" s="327">
        <f t="shared" si="171"/>
        <v>40</v>
      </c>
      <c r="AT176" s="327">
        <f t="shared" si="172"/>
        <v>40</v>
      </c>
      <c r="AU176" s="523">
        <v>4</v>
      </c>
      <c r="AV176" s="328"/>
      <c r="AW176" s="328"/>
      <c r="AX176" s="332">
        <v>4</v>
      </c>
      <c r="AY176" s="328" t="b">
        <f t="shared" si="151"/>
        <v>1</v>
      </c>
      <c r="AZ176" s="328" t="b">
        <f t="shared" si="152"/>
        <v>1</v>
      </c>
    </row>
    <row r="177" ht="27" customHeight="1" spans="1:52">
      <c r="A177" s="326" t="str">
        <f>INDEX('Rate Card'!$A:$A,MATCH(服务费底表!$T177,'Rate Card'!$F:$F,0))</f>
        <v>临床运营</v>
      </c>
      <c r="B177" s="327" t="str">
        <f>INDEX(二三级标准!$G:$G,MATCH(服务费底表!$K177,二三级标准!B:B,0))</f>
        <v>次</v>
      </c>
      <c r="C177" s="327">
        <f>INDEX(服务费明细!$E:$E,MATCH(服务费底表!$K177,服务费明细!$B:$B,0))</f>
        <v>28</v>
      </c>
      <c r="D177" s="327" t="str">
        <f t="shared" si="160"/>
        <v>A043CRA</v>
      </c>
      <c r="E177" s="327" t="str">
        <f t="shared" si="161"/>
        <v>T0111CRA</v>
      </c>
      <c r="F177" s="328"/>
      <c r="G177" s="328" t="s">
        <v>684</v>
      </c>
      <c r="H177" s="326" t="str">
        <f>INDEX('Rate Card'!$B:$B,MATCH(服务费底表!$T177,'Rate Card'!$F:$F,0))</f>
        <v>临床运营</v>
      </c>
      <c r="I177" s="328" t="s">
        <v>920</v>
      </c>
      <c r="J177" s="328" t="str">
        <f>INDEX(二三级标准!$Q:$Q,MATCH(服务费底表!I177,二三级标准!$O:$O,0))</f>
        <v>临床监查和中心管理</v>
      </c>
      <c r="K177" s="328" t="s">
        <v>190</v>
      </c>
      <c r="L177" s="328" t="str">
        <f>INDEX(二三级标准!C:C,MATCH(服务费底表!K177,二三级标准!$B:$B,0))</f>
        <v>研究药品申请管理</v>
      </c>
      <c r="M177" s="328" t="s">
        <v>1288</v>
      </c>
      <c r="N177" s="328" t="str">
        <f>INDEX(二三级标准!$M:$M,MATCH(服务费底表!$M177,二三级标准!$L:$L,0))</f>
        <v>研究药品申请管理</v>
      </c>
      <c r="O177" s="328"/>
      <c r="P177" s="327">
        <f>IF(R177=1,INDEX(服务费明细!$E:$E,MATCH(服务费底表!$K177,服务费明细!$B:$B,0)),0)</f>
        <v>28</v>
      </c>
      <c r="Q177" s="328" t="s">
        <v>1178</v>
      </c>
      <c r="R177" s="520">
        <f>IF(AND(研究药品申请管理YN=1,临床监查YN=1),1,0)</f>
        <v>1</v>
      </c>
      <c r="S177" s="525" t="str">
        <f>INDEX('Rate Card'!$D:$D,MATCH(服务费底表!$T177,'Rate Card'!F:F,0))</f>
        <v>临床监查</v>
      </c>
      <c r="T177" s="328" t="s">
        <v>595</v>
      </c>
      <c r="U177" s="522" t="str">
        <f>INDEX('Rate Card'!$E:$E,MATCH(服务费底表!$T177,'Rate Card'!$F:$F,0))</f>
        <v>临床监查员</v>
      </c>
      <c r="V177" s="331">
        <f>INDEX('Rate Card'!$J:$J,MATCH($T177,'Rate Card'!$F:$F,0))</f>
        <v>340</v>
      </c>
      <c r="W177" s="523">
        <f t="shared" si="162"/>
        <v>340</v>
      </c>
      <c r="X177" s="523">
        <f t="shared" si="163"/>
        <v>1</v>
      </c>
      <c r="Y177" s="327" cm="1">
        <f t="array" ref="Y177">_xlfn.IFS(报价场景=服务费底表!$AJ$2,服务费底表!$AJ177,报价场景=服务费底表!$AP$2,服务费底表!$AP177,报价场景=服务费底表!$AK$2,服务费底表!$AK177,报价场景=服务费底表!$AL$2,服务费底表!$AL177,报价场景=服务费底表!$AM$2,服务费底表!$AM177,报价场景=服务费底表!$AN$2,服务费底表!$AN177,报价场景=服务费底表!$AQ$2,服务费底表!$AQ177,报价场景=服务费底表!$AO$2,服务费底表!$AO177)</f>
        <v>1</v>
      </c>
      <c r="Z177" s="327"/>
      <c r="AA177" s="332">
        <f t="shared" si="164"/>
        <v>1</v>
      </c>
      <c r="AB177" s="333">
        <f t="shared" si="165"/>
        <v>340</v>
      </c>
      <c r="AC177" s="328">
        <f t="shared" si="166"/>
        <v>28</v>
      </c>
      <c r="AD177" s="334">
        <f t="shared" si="167"/>
        <v>9520</v>
      </c>
      <c r="AE177" s="334">
        <f>$AB177*(1-INDEX(项目参数!$D$5:$D$14,MATCH(服务费底表!$S177,项目参数!$B$5:$B$14,0)))</f>
        <v>340</v>
      </c>
      <c r="AF177" s="334">
        <f>$AD177*INDEX(项目参数!$D$5:$D$14,MATCH(服务费底表!$S177,项目参数!$B$5:$B$14,0))</f>
        <v>0</v>
      </c>
      <c r="AG177" s="334">
        <f t="shared" si="173"/>
        <v>9520</v>
      </c>
      <c r="AH177" s="328"/>
      <c r="AI177" s="328" t="s">
        <v>595</v>
      </c>
      <c r="AJ177" s="327">
        <v>1</v>
      </c>
      <c r="AK177" s="327">
        <v>1</v>
      </c>
      <c r="AL177" s="327">
        <v>1</v>
      </c>
      <c r="AM177" s="327">
        <v>1</v>
      </c>
      <c r="AN177" s="327">
        <v>1</v>
      </c>
      <c r="AO177" s="327">
        <v>1</v>
      </c>
      <c r="AP177" s="327">
        <v>1</v>
      </c>
      <c r="AQ177" s="327">
        <f t="shared" si="170"/>
        <v>1.5</v>
      </c>
      <c r="AR177" s="338"/>
      <c r="AS177" s="327">
        <f t="shared" si="171"/>
        <v>28</v>
      </c>
      <c r="AT177" s="327">
        <f t="shared" si="172"/>
        <v>28</v>
      </c>
      <c r="AU177" s="523">
        <v>1</v>
      </c>
      <c r="AV177" s="328"/>
      <c r="AW177" s="328"/>
      <c r="AX177" s="332">
        <v>1</v>
      </c>
      <c r="AY177" s="328" t="b">
        <f t="shared" si="151"/>
        <v>1</v>
      </c>
      <c r="AZ177" s="328" t="b">
        <f t="shared" si="152"/>
        <v>0</v>
      </c>
    </row>
    <row r="178" ht="27" customHeight="1" spans="1:52">
      <c r="A178" s="326" t="str">
        <f>INDEX('Rate Card'!$A:$A,MATCH(服务费底表!$T178,'Rate Card'!$F:$F,0))</f>
        <v>临床运营</v>
      </c>
      <c r="B178" s="327" t="str">
        <f>INDEX(二三级标准!$G:$G,MATCH(服务费底表!$K178,二三级标准!B:B,0))</f>
        <v>次</v>
      </c>
      <c r="C178" s="327">
        <f>INDEX(服务费明细!$E:$E,MATCH(服务费底表!$K178,服务费明细!$B:$B,0))</f>
        <v>28</v>
      </c>
      <c r="D178" s="327" t="str">
        <f t="shared" si="160"/>
        <v>A043PM</v>
      </c>
      <c r="E178" s="327" t="str">
        <f t="shared" si="161"/>
        <v>T0111PM</v>
      </c>
      <c r="F178" s="328"/>
      <c r="G178" s="328" t="s">
        <v>684</v>
      </c>
      <c r="H178" s="326" t="str">
        <f>INDEX('Rate Card'!$B:$B,MATCH(服务费底表!$T178,'Rate Card'!$F:$F,0))</f>
        <v>临床运营</v>
      </c>
      <c r="I178" s="328" t="s">
        <v>920</v>
      </c>
      <c r="J178" s="328" t="str">
        <f>INDEX(二三级标准!$Q:$Q,MATCH(服务费底表!I178,二三级标准!$O:$O,0))</f>
        <v>临床监查和中心管理</v>
      </c>
      <c r="K178" s="328" t="s">
        <v>190</v>
      </c>
      <c r="L178" s="328" t="str">
        <f>INDEX(二三级标准!C:C,MATCH(服务费底表!K178,二三级标准!$B:$B,0))</f>
        <v>研究药品申请管理</v>
      </c>
      <c r="M178" s="328" t="s">
        <v>1288</v>
      </c>
      <c r="N178" s="328" t="str">
        <f>INDEX(二三级标准!$M:$M,MATCH(服务费底表!$M178,二三级标准!$L:$L,0))</f>
        <v>研究药品申请管理</v>
      </c>
      <c r="O178" s="328"/>
      <c r="P178" s="327">
        <f>IF(R178=1,INDEX(服务费明细!$E:$E,MATCH(服务费底表!$K178,服务费明细!$B:$B,0)),0)</f>
        <v>28</v>
      </c>
      <c r="Q178" s="328" t="s">
        <v>1178</v>
      </c>
      <c r="R178" s="520">
        <f>IF(AND(研究药品申请管理YN=1,项目管理YN=1),1,0)</f>
        <v>1</v>
      </c>
      <c r="S178" s="525" t="str">
        <f>INDEX('Rate Card'!$D:$D,MATCH(服务费底表!$T178,'Rate Card'!F:F,0))</f>
        <v>项目管理</v>
      </c>
      <c r="T178" s="328" t="s">
        <v>599</v>
      </c>
      <c r="U178" s="522" t="str">
        <f>INDEX('Rate Card'!$E:$E,MATCH(服务费底表!$T178,'Rate Card'!$F:$F,0))</f>
        <v>临床项目经理</v>
      </c>
      <c r="V178" s="331">
        <f>INDEX('Rate Card'!$J:$J,MATCH($T178,'Rate Card'!$F:$F,0))</f>
        <v>650</v>
      </c>
      <c r="W178" s="523">
        <f t="shared" si="162"/>
        <v>650</v>
      </c>
      <c r="X178" s="523">
        <f t="shared" si="163"/>
        <v>0.5</v>
      </c>
      <c r="Y178" s="327" cm="1">
        <f t="array" ref="Y178">_xlfn.IFS(报价场景=服务费底表!$AJ$2,服务费底表!$AJ178,报价场景=服务费底表!$AP$2,服务费底表!$AP178,报价场景=服务费底表!$AK$2,服务费底表!$AK178,报价场景=服务费底表!$AL$2,服务费底表!$AL178,报价场景=服务费底表!$AM$2,服务费底表!$AM178,报价场景=服务费底表!$AN$2,服务费底表!$AN178,报价场景=服务费底表!$AQ$2,服务费底表!$AQ178,报价场景=服务费底表!$AO$2,服务费底表!$AO178)</f>
        <v>0.5</v>
      </c>
      <c r="Z178" s="327"/>
      <c r="AA178" s="332">
        <f t="shared" si="164"/>
        <v>0.5</v>
      </c>
      <c r="AB178" s="333">
        <f t="shared" si="165"/>
        <v>325</v>
      </c>
      <c r="AC178" s="328">
        <f t="shared" si="166"/>
        <v>14</v>
      </c>
      <c r="AD178" s="334">
        <f t="shared" si="167"/>
        <v>9100</v>
      </c>
      <c r="AE178" s="334">
        <f>$AB178*(1-INDEX(项目参数!$D$5:$D$14,MATCH(服务费底表!$S178,项目参数!$B$5:$B$14,0)))</f>
        <v>325</v>
      </c>
      <c r="AF178" s="334">
        <f>$AD178*INDEX(项目参数!$D$5:$D$14,MATCH(服务费底表!$S178,项目参数!$B$5:$B$14,0))</f>
        <v>0</v>
      </c>
      <c r="AG178" s="334">
        <f t="shared" si="173"/>
        <v>9100</v>
      </c>
      <c r="AH178" s="328"/>
      <c r="AI178" s="328" t="s">
        <v>599</v>
      </c>
      <c r="AJ178" s="327">
        <v>0.5</v>
      </c>
      <c r="AK178" s="327">
        <v>0.8</v>
      </c>
      <c r="AL178" s="327">
        <f t="shared" si="175"/>
        <v>0.4</v>
      </c>
      <c r="AM178" s="327">
        <v>0.4</v>
      </c>
      <c r="AN178" s="327">
        <f>AJ178</f>
        <v>0.5</v>
      </c>
      <c r="AO178" s="327">
        <f>AL178</f>
        <v>0.4</v>
      </c>
      <c r="AP178" s="327">
        <v>0.5</v>
      </c>
      <c r="AQ178" s="327">
        <f t="shared" si="170"/>
        <v>0.75</v>
      </c>
      <c r="AR178" s="338"/>
      <c r="AS178" s="327">
        <f t="shared" si="171"/>
        <v>14</v>
      </c>
      <c r="AT178" s="327">
        <f t="shared" si="172"/>
        <v>14</v>
      </c>
      <c r="AU178" s="523">
        <v>0.5</v>
      </c>
      <c r="AV178" s="328"/>
      <c r="AW178" s="328"/>
      <c r="AX178" s="332">
        <v>0.5</v>
      </c>
      <c r="AY178" s="328" t="b">
        <f t="shared" si="151"/>
        <v>1</v>
      </c>
      <c r="AZ178" s="328" t="b">
        <f t="shared" si="152"/>
        <v>0</v>
      </c>
    </row>
    <row r="179" ht="27" customHeight="1" spans="1:52">
      <c r="A179" s="326" t="str">
        <f>INDEX('Rate Card'!$A:$A,MATCH(服务费底表!$T179,'Rate Card'!$F:$F,0))</f>
        <v>临床运营</v>
      </c>
      <c r="B179" s="327" t="str">
        <f>INDEX(二三级标准!$G:$G,MATCH(服务费底表!$K179,二三级标准!B:B,0))</f>
        <v>次 </v>
      </c>
      <c r="C179" s="327">
        <f>INDEX(服务费明细!$E:$E,MATCH(服务费底表!$K179,服务费明细!$B:$B,0))</f>
        <v>9</v>
      </c>
      <c r="D179" s="327" t="str">
        <f t="shared" si="160"/>
        <v>A044CRA</v>
      </c>
      <c r="E179" s="327" t="str">
        <f t="shared" si="161"/>
        <v>T0112CRA</v>
      </c>
      <c r="F179" s="328"/>
      <c r="G179" s="328" t="s">
        <v>684</v>
      </c>
      <c r="H179" s="326" t="str">
        <f>INDEX('Rate Card'!$B:$B,MATCH(服务费底表!$T179,'Rate Card'!$F:$F,0))</f>
        <v>临床运营</v>
      </c>
      <c r="I179" s="328" t="s">
        <v>920</v>
      </c>
      <c r="J179" s="328" t="str">
        <f>INDEX(二三级标准!$Q:$Q,MATCH(服务费底表!I179,二三级标准!$O:$O,0))</f>
        <v>临床监查和中心管理</v>
      </c>
      <c r="K179" s="328" t="s">
        <v>192</v>
      </c>
      <c r="L179" s="328" t="str">
        <f>INDEX(二三级标准!C:C,MATCH(服务费底表!K179,二三级标准!$B:$B,0))</f>
        <v>研究物资申请和采购管理</v>
      </c>
      <c r="M179" s="328" t="s">
        <v>1289</v>
      </c>
      <c r="N179" s="328" t="str">
        <f>INDEX(二三级标准!$M:$M,MATCH(服务费底表!$M179,二三级标准!$L:$L,0))</f>
        <v>研究物资申请和采购管理</v>
      </c>
      <c r="O179" s="328"/>
      <c r="P179" s="327">
        <f>IF(R179=1,INDEX(服务费明细!$E:$E,MATCH(服务费底表!$K179,服务费明细!$B:$B,0)),0)</f>
        <v>9</v>
      </c>
      <c r="Q179" s="328" t="s">
        <v>1178</v>
      </c>
      <c r="R179" s="520">
        <f>IF(AND(研究物资申请和采购管理YN=1,临床监查YN=1),1,0)</f>
        <v>1</v>
      </c>
      <c r="S179" s="525" t="str">
        <f>INDEX('Rate Card'!$D:$D,MATCH(服务费底表!$T179,'Rate Card'!F:F,0))</f>
        <v>临床监查</v>
      </c>
      <c r="T179" s="328" t="s">
        <v>595</v>
      </c>
      <c r="U179" s="522" t="str">
        <f>INDEX('Rate Card'!$E:$E,MATCH(服务费底表!$T179,'Rate Card'!$F:$F,0))</f>
        <v>临床监查员</v>
      </c>
      <c r="V179" s="331">
        <f>INDEX('Rate Card'!$J:$J,MATCH($T179,'Rate Card'!$F:$F,0))</f>
        <v>340</v>
      </c>
      <c r="W179" s="523">
        <f t="shared" si="162"/>
        <v>340</v>
      </c>
      <c r="X179" s="523">
        <f t="shared" si="163"/>
        <v>1</v>
      </c>
      <c r="Y179" s="327" cm="1">
        <f t="array" ref="Y179">_xlfn.IFS(报价场景=服务费底表!$AJ$2,服务费底表!$AJ179,报价场景=服务费底表!$AP$2,服务费底表!$AP179,报价场景=服务费底表!$AK$2,服务费底表!$AK179,报价场景=服务费底表!$AL$2,服务费底表!$AL179,报价场景=服务费底表!$AM$2,服务费底表!$AM179,报价场景=服务费底表!$AN$2,服务费底表!$AN179,报价场景=服务费底表!$AQ$2,服务费底表!$AQ179,报价场景=服务费底表!$AO$2,服务费底表!$AO179)</f>
        <v>1</v>
      </c>
      <c r="Z179" s="327"/>
      <c r="AA179" s="332">
        <f t="shared" si="164"/>
        <v>1</v>
      </c>
      <c r="AB179" s="333">
        <f t="shared" si="165"/>
        <v>340</v>
      </c>
      <c r="AC179" s="328">
        <f t="shared" si="166"/>
        <v>9</v>
      </c>
      <c r="AD179" s="334">
        <f t="shared" si="167"/>
        <v>3060</v>
      </c>
      <c r="AE179" s="334">
        <f>$AB179*(1-INDEX(项目参数!$D$5:$D$14,MATCH(服务费底表!$S179,项目参数!$B$5:$B$14,0)))</f>
        <v>340</v>
      </c>
      <c r="AF179" s="334">
        <f>$AD179*INDEX(项目参数!$D$5:$D$14,MATCH(服务费底表!$S179,项目参数!$B$5:$B$14,0))</f>
        <v>0</v>
      </c>
      <c r="AG179" s="334">
        <f t="shared" si="173"/>
        <v>3060</v>
      </c>
      <c r="AH179" s="328"/>
      <c r="AI179" s="328" t="s">
        <v>595</v>
      </c>
      <c r="AJ179" s="327">
        <v>1</v>
      </c>
      <c r="AK179" s="327">
        <v>1</v>
      </c>
      <c r="AL179" s="327">
        <v>1</v>
      </c>
      <c r="AM179" s="327">
        <v>1</v>
      </c>
      <c r="AN179" s="327">
        <v>1</v>
      </c>
      <c r="AO179" s="327">
        <v>1</v>
      </c>
      <c r="AP179" s="327">
        <v>1</v>
      </c>
      <c r="AQ179" s="327">
        <f t="shared" si="170"/>
        <v>1.5</v>
      </c>
      <c r="AR179" s="338"/>
      <c r="AS179" s="327">
        <f t="shared" si="171"/>
        <v>9</v>
      </c>
      <c r="AT179" s="327">
        <f t="shared" si="172"/>
        <v>9</v>
      </c>
      <c r="AU179" s="523">
        <v>1</v>
      </c>
      <c r="AV179" s="328"/>
      <c r="AW179" s="328"/>
      <c r="AX179" s="332">
        <v>1</v>
      </c>
      <c r="AY179" s="328" t="b">
        <f t="shared" si="151"/>
        <v>1</v>
      </c>
      <c r="AZ179" s="328" t="b">
        <f t="shared" si="152"/>
        <v>1</v>
      </c>
    </row>
    <row r="180" ht="27" customHeight="1" spans="1:52">
      <c r="A180" s="326" t="str">
        <f>INDEX('Rate Card'!$A:$A,MATCH(服务费底表!$T180,'Rate Card'!$F:$F,0))</f>
        <v>临床运营</v>
      </c>
      <c r="B180" s="327" t="str">
        <f>INDEX(二三级标准!$G:$G,MATCH(服务费底表!$K180,二三级标准!B:B,0))</f>
        <v>次 </v>
      </c>
      <c r="C180" s="327">
        <f>INDEX(服务费明细!$E:$E,MATCH(服务费底表!$K180,服务费明细!$B:$B,0))</f>
        <v>9</v>
      </c>
      <c r="D180" s="327" t="str">
        <f t="shared" si="160"/>
        <v>A044PM</v>
      </c>
      <c r="E180" s="327" t="str">
        <f t="shared" si="161"/>
        <v>T0112PM</v>
      </c>
      <c r="F180" s="328"/>
      <c r="G180" s="328" t="s">
        <v>684</v>
      </c>
      <c r="H180" s="326" t="str">
        <f>INDEX('Rate Card'!$B:$B,MATCH(服务费底表!$T180,'Rate Card'!$F:$F,0))</f>
        <v>临床运营</v>
      </c>
      <c r="I180" s="328" t="s">
        <v>920</v>
      </c>
      <c r="J180" s="328" t="str">
        <f>INDEX(二三级标准!$Q:$Q,MATCH(服务费底表!I180,二三级标准!$O:$O,0))</f>
        <v>临床监查和中心管理</v>
      </c>
      <c r="K180" s="328" t="s">
        <v>192</v>
      </c>
      <c r="L180" s="328" t="str">
        <f>INDEX(二三级标准!C:C,MATCH(服务费底表!K180,二三级标准!$B:$B,0))</f>
        <v>研究物资申请和采购管理</v>
      </c>
      <c r="M180" s="328" t="s">
        <v>1289</v>
      </c>
      <c r="N180" s="328" t="str">
        <f>INDEX(二三级标准!$M:$M,MATCH(服务费底表!$M180,二三级标准!$L:$L,0))</f>
        <v>研究物资申请和采购管理</v>
      </c>
      <c r="O180" s="328"/>
      <c r="P180" s="327">
        <f>IF(R180=1,INDEX(服务费明细!$E:$E,MATCH(服务费底表!$K180,服务费明细!$B:$B,0)),0)</f>
        <v>9</v>
      </c>
      <c r="Q180" s="328" t="s">
        <v>1178</v>
      </c>
      <c r="R180" s="520">
        <f>IF(AND(研究物资申请和采购管理YN=1,项目管理YN=1),1,0)</f>
        <v>1</v>
      </c>
      <c r="S180" s="525" t="str">
        <f>INDEX('Rate Card'!$D:$D,MATCH(服务费底表!$T180,'Rate Card'!F:F,0))</f>
        <v>项目管理</v>
      </c>
      <c r="T180" s="328" t="s">
        <v>599</v>
      </c>
      <c r="U180" s="522" t="str">
        <f>INDEX('Rate Card'!$E:$E,MATCH(服务费底表!$T180,'Rate Card'!$F:$F,0))</f>
        <v>临床项目经理</v>
      </c>
      <c r="V180" s="331">
        <f>INDEX('Rate Card'!$J:$J,MATCH($T180,'Rate Card'!$F:$F,0))</f>
        <v>650</v>
      </c>
      <c r="W180" s="523">
        <f t="shared" si="162"/>
        <v>650</v>
      </c>
      <c r="X180" s="523">
        <f t="shared" si="163"/>
        <v>0.5</v>
      </c>
      <c r="Y180" s="327" cm="1">
        <f t="array" ref="Y180">_xlfn.IFS(报价场景=服务费底表!$AJ$2,服务费底表!$AJ180,报价场景=服务费底表!$AP$2,服务费底表!$AP180,报价场景=服务费底表!$AK$2,服务费底表!$AK180,报价场景=服务费底表!$AL$2,服务费底表!$AL180,报价场景=服务费底表!$AM$2,服务费底表!$AM180,报价场景=服务费底表!$AN$2,服务费底表!$AN180,报价场景=服务费底表!$AQ$2,服务费底表!$AQ180,报价场景=服务费底表!$AO$2,服务费底表!$AO180)</f>
        <v>0.5</v>
      </c>
      <c r="Z180" s="327"/>
      <c r="AA180" s="332">
        <f t="shared" si="164"/>
        <v>0.5</v>
      </c>
      <c r="AB180" s="333">
        <f t="shared" si="165"/>
        <v>325</v>
      </c>
      <c r="AC180" s="328">
        <f t="shared" si="166"/>
        <v>4.5</v>
      </c>
      <c r="AD180" s="334">
        <f t="shared" si="167"/>
        <v>2925</v>
      </c>
      <c r="AE180" s="334">
        <f>$AB180*(1-INDEX(项目参数!$D$5:$D$14,MATCH(服务费底表!$S180,项目参数!$B$5:$B$14,0)))</f>
        <v>325</v>
      </c>
      <c r="AF180" s="334">
        <f>$AD180*INDEX(项目参数!$D$5:$D$14,MATCH(服务费底表!$S180,项目参数!$B$5:$B$14,0))</f>
        <v>0</v>
      </c>
      <c r="AG180" s="334">
        <f t="shared" si="173"/>
        <v>2925</v>
      </c>
      <c r="AH180" s="328"/>
      <c r="AI180" s="328" t="s">
        <v>599</v>
      </c>
      <c r="AJ180" s="327">
        <v>0.5</v>
      </c>
      <c r="AK180" s="327">
        <v>0.8</v>
      </c>
      <c r="AL180" s="327">
        <f t="shared" si="175"/>
        <v>0.4</v>
      </c>
      <c r="AM180" s="327">
        <v>0.4</v>
      </c>
      <c r="AN180" s="327">
        <f>AJ180</f>
        <v>0.5</v>
      </c>
      <c r="AO180" s="327">
        <f>AL180</f>
        <v>0.4</v>
      </c>
      <c r="AP180" s="327">
        <v>0.5</v>
      </c>
      <c r="AQ180" s="327">
        <f t="shared" si="170"/>
        <v>0.75</v>
      </c>
      <c r="AR180" s="338"/>
      <c r="AS180" s="327">
        <f t="shared" si="171"/>
        <v>4.5</v>
      </c>
      <c r="AT180" s="327">
        <f t="shared" si="172"/>
        <v>4.5</v>
      </c>
      <c r="AU180" s="523">
        <v>0.5</v>
      </c>
      <c r="AV180" s="328"/>
      <c r="AW180" s="328"/>
      <c r="AX180" s="332">
        <v>0.5</v>
      </c>
      <c r="AY180" s="328" t="b">
        <f t="shared" si="151"/>
        <v>1</v>
      </c>
      <c r="AZ180" s="328" t="b">
        <f t="shared" si="152"/>
        <v>1</v>
      </c>
    </row>
    <row r="181" ht="27" customHeight="1" spans="1:52">
      <c r="A181" s="326" t="str">
        <f>INDEX('Rate Card'!$A:$A,MATCH(服务费底表!$T181,'Rate Card'!$F:$F,0))</f>
        <v>临床运营</v>
      </c>
      <c r="B181" s="327" t="str">
        <f>INDEX(二三级标准!$G:$G,MATCH(服务费底表!$K181,二三级标准!B:B,0))</f>
        <v>次</v>
      </c>
      <c r="C181" s="327">
        <f>INDEX(服务费明细!$E:$E,MATCH(服务费底表!$K181,服务费明细!$B:$B,0))</f>
        <v>0</v>
      </c>
      <c r="D181" s="327" t="str">
        <f t="shared" si="160"/>
        <v>A045CRA</v>
      </c>
      <c r="E181" s="327" t="str">
        <f t="shared" si="161"/>
        <v>T0113CRA</v>
      </c>
      <c r="F181" s="328"/>
      <c r="G181" s="328" t="s">
        <v>684</v>
      </c>
      <c r="H181" s="326" t="str">
        <f>INDEX('Rate Card'!$B:$B,MATCH(服务费底表!$T181,'Rate Card'!$F:$F,0))</f>
        <v>临床运营</v>
      </c>
      <c r="I181" s="328" t="s">
        <v>920</v>
      </c>
      <c r="J181" s="328" t="str">
        <f>INDEX(二三级标准!$Q:$Q,MATCH(服务费底表!I181,二三级标准!$O:$O,0))</f>
        <v>临床监查和中心管理</v>
      </c>
      <c r="K181" s="328" t="s">
        <v>194</v>
      </c>
      <c r="L181" s="328" t="str">
        <f>INDEX(二三级标准!C:C,MATCH(服务费底表!K181,二三级标准!$B:$B,0))</f>
        <v>后续伦理文件准备和递交</v>
      </c>
      <c r="M181" s="328" t="s">
        <v>1290</v>
      </c>
      <c r="N181" s="328" t="str">
        <f>INDEX(二三级标准!$M:$M,MATCH(服务费底表!$M181,二三级标准!$L:$L,0))</f>
        <v>后续伦理文件准备和递交</v>
      </c>
      <c r="O181" s="328"/>
      <c r="P181" s="327">
        <f>IF(R181=1,INDEX(服务费明细!$E:$E,MATCH(服务费底表!$K181,服务费明细!$B:$B,0)),0)</f>
        <v>0</v>
      </c>
      <c r="Q181" s="328" t="s">
        <v>1178</v>
      </c>
      <c r="R181" s="520">
        <f>IF(AND(后续伦理文件准备和递交YN=1,临床监查YN=1),1,0)</f>
        <v>0</v>
      </c>
      <c r="S181" s="525" t="str">
        <f>INDEX('Rate Card'!$D:$D,MATCH(服务费底表!$T181,'Rate Card'!F:F,0))</f>
        <v>临床监查</v>
      </c>
      <c r="T181" s="328" t="s">
        <v>595</v>
      </c>
      <c r="U181" s="522" t="str">
        <f>INDEX('Rate Card'!$E:$E,MATCH(服务费底表!$T181,'Rate Card'!$F:$F,0))</f>
        <v>临床监查员</v>
      </c>
      <c r="V181" s="331">
        <f>INDEX('Rate Card'!$J:$J,MATCH($T181,'Rate Card'!$F:$F,0))</f>
        <v>340</v>
      </c>
      <c r="W181" s="523">
        <f t="shared" si="162"/>
        <v>340</v>
      </c>
      <c r="X181" s="523">
        <f t="shared" si="163"/>
        <v>8</v>
      </c>
      <c r="Y181" s="327" cm="1">
        <f t="array" ref="Y181">_xlfn.IFS(报价场景=服务费底表!$AJ$2,服务费底表!$AJ181,报价场景=服务费底表!$AP$2,服务费底表!$AP181,报价场景=服务费底表!$AK$2,服务费底表!$AK181,报价场景=服务费底表!$AL$2,服务费底表!$AL181,报价场景=服务费底表!$AM$2,服务费底表!$AM181,报价场景=服务费底表!$AN$2,服务费底表!$AN181,报价场景=服务费底表!$AQ$2,服务费底表!$AQ181,报价场景=服务费底表!$AO$2,服务费底表!$AO181)</f>
        <v>8</v>
      </c>
      <c r="Z181" s="327"/>
      <c r="AA181" s="332">
        <f t="shared" si="164"/>
        <v>8</v>
      </c>
      <c r="AB181" s="333">
        <f t="shared" si="165"/>
        <v>0</v>
      </c>
      <c r="AC181" s="328">
        <f t="shared" si="166"/>
        <v>0</v>
      </c>
      <c r="AD181" s="334">
        <f t="shared" si="167"/>
        <v>0</v>
      </c>
      <c r="AE181" s="334">
        <f>$AB181*(1-INDEX(项目参数!$D$5:$D$14,MATCH(服务费底表!$S181,项目参数!$B$5:$B$14,0)))</f>
        <v>0</v>
      </c>
      <c r="AF181" s="334">
        <f>$AD181*INDEX(项目参数!$D$5:$D$14,MATCH(服务费底表!$S181,项目参数!$B$5:$B$14,0))</f>
        <v>0</v>
      </c>
      <c r="AG181" s="334">
        <f t="shared" si="173"/>
        <v>0</v>
      </c>
      <c r="AH181" s="328"/>
      <c r="AI181" s="328" t="s">
        <v>595</v>
      </c>
      <c r="AJ181" s="327">
        <v>8</v>
      </c>
      <c r="AK181" s="327">
        <v>8</v>
      </c>
      <c r="AL181" s="327">
        <v>8</v>
      </c>
      <c r="AM181" s="327">
        <v>8</v>
      </c>
      <c r="AN181" s="327">
        <v>8</v>
      </c>
      <c r="AO181" s="327">
        <v>8</v>
      </c>
      <c r="AP181" s="327">
        <v>8</v>
      </c>
      <c r="AQ181" s="327">
        <f t="shared" si="170"/>
        <v>12</v>
      </c>
      <c r="AR181" s="338"/>
      <c r="AS181" s="327">
        <f t="shared" si="171"/>
        <v>0</v>
      </c>
      <c r="AT181" s="327">
        <f t="shared" si="172"/>
        <v>0</v>
      </c>
      <c r="AU181" s="523">
        <v>8</v>
      </c>
      <c r="AV181" s="328"/>
      <c r="AW181" s="328"/>
      <c r="AX181" s="332">
        <v>8</v>
      </c>
      <c r="AY181" s="328" t="b">
        <f t="shared" si="151"/>
        <v>1</v>
      </c>
      <c r="AZ181" s="328" t="b">
        <f t="shared" si="152"/>
        <v>0</v>
      </c>
    </row>
    <row r="182" ht="27" customHeight="1" spans="1:52">
      <c r="A182" s="326" t="str">
        <f>INDEX('Rate Card'!$A:$A,MATCH(服务费底表!$T182,'Rate Card'!$F:$F,0))</f>
        <v>临床运营</v>
      </c>
      <c r="B182" s="327" t="str">
        <f>INDEX(二三级标准!$G:$G,MATCH(服务费底表!$K182,二三级标准!B:B,0))</f>
        <v>次</v>
      </c>
      <c r="C182" s="327">
        <f>INDEX(服务费明细!$E:$E,MATCH(服务费底表!$K182,服务费明细!$B:$B,0))</f>
        <v>0</v>
      </c>
      <c r="D182" s="327" t="str">
        <f t="shared" si="160"/>
        <v>A045CTA</v>
      </c>
      <c r="E182" s="327" t="str">
        <f t="shared" si="161"/>
        <v>T0113CTA</v>
      </c>
      <c r="F182" s="328"/>
      <c r="G182" s="328" t="s">
        <v>684</v>
      </c>
      <c r="H182" s="326" t="str">
        <f>INDEX('Rate Card'!$B:$B,MATCH(服务费底表!$T182,'Rate Card'!$F:$F,0))</f>
        <v>临床运营</v>
      </c>
      <c r="I182" s="328" t="s">
        <v>920</v>
      </c>
      <c r="J182" s="328" t="str">
        <f>INDEX(二三级标准!$Q:$Q,MATCH(服务费底表!I182,二三级标准!$O:$O,0))</f>
        <v>临床监查和中心管理</v>
      </c>
      <c r="K182" s="328" t="s">
        <v>194</v>
      </c>
      <c r="L182" s="328" t="str">
        <f>INDEX(二三级标准!C:C,MATCH(服务费底表!K182,二三级标准!$B:$B,0))</f>
        <v>后续伦理文件准备和递交</v>
      </c>
      <c r="M182" s="328" t="s">
        <v>1290</v>
      </c>
      <c r="N182" s="328" t="str">
        <f>INDEX(二三级标准!$M:$M,MATCH(服务费底表!$M182,二三级标准!$L:$L,0))</f>
        <v>后续伦理文件准备和递交</v>
      </c>
      <c r="O182" s="328"/>
      <c r="P182" s="327">
        <f>IF(R182=1,INDEX(服务费明细!$E:$E,MATCH(服务费底表!$K182,服务费明细!$B:$B,0)),0)</f>
        <v>0</v>
      </c>
      <c r="Q182" s="328" t="s">
        <v>1178</v>
      </c>
      <c r="R182" s="520">
        <f>IF(AND(后续伦理文件准备和递交YN=1,临床监查YN=1),1,0)</f>
        <v>0</v>
      </c>
      <c r="S182" s="525" t="str">
        <f>INDEX('Rate Card'!$D:$D,MATCH(服务费底表!$T182,'Rate Card'!F:F,0))</f>
        <v>临床监查</v>
      </c>
      <c r="T182" s="328" t="s">
        <v>597</v>
      </c>
      <c r="U182" s="522" t="str">
        <f>INDEX('Rate Card'!$E:$E,MATCH(服务费底表!$T182,'Rate Card'!$F:$F,0))</f>
        <v>临床试验助理</v>
      </c>
      <c r="V182" s="331">
        <f>INDEX('Rate Card'!$J:$J,MATCH($T182,'Rate Card'!$F:$F,0))</f>
        <v>220</v>
      </c>
      <c r="W182" s="523">
        <f t="shared" si="162"/>
        <v>220</v>
      </c>
      <c r="X182" s="523">
        <f t="shared" si="163"/>
        <v>2</v>
      </c>
      <c r="Y182" s="327" cm="1">
        <f t="array" ref="Y182">_xlfn.IFS(报价场景=服务费底表!$AJ$2,服务费底表!$AJ182,报价场景=服务费底表!$AP$2,服务费底表!$AP182,报价场景=服务费底表!$AK$2,服务费底表!$AK182,报价场景=服务费底表!$AL$2,服务费底表!$AL182,报价场景=服务费底表!$AM$2,服务费底表!$AM182,报价场景=服务费底表!$AN$2,服务费底表!$AN182,报价场景=服务费底表!$AQ$2,服务费底表!$AQ182,报价场景=服务费底表!$AO$2,服务费底表!$AO182)</f>
        <v>2</v>
      </c>
      <c r="Z182" s="327"/>
      <c r="AA182" s="332">
        <f t="shared" si="164"/>
        <v>2</v>
      </c>
      <c r="AB182" s="333">
        <f t="shared" si="165"/>
        <v>0</v>
      </c>
      <c r="AC182" s="328">
        <f t="shared" si="166"/>
        <v>0</v>
      </c>
      <c r="AD182" s="334">
        <f t="shared" ref="AD182" si="176">AC182*V182</f>
        <v>0</v>
      </c>
      <c r="AE182" s="334">
        <f>$AB182*(1-INDEX(项目参数!$D$5:$D$14,MATCH(服务费底表!$S182,项目参数!$B$5:$B$14,0)))</f>
        <v>0</v>
      </c>
      <c r="AF182" s="334">
        <f>$AD182*INDEX(项目参数!$D$5:$D$14,MATCH(服务费底表!$S182,项目参数!$B$5:$B$14,0))</f>
        <v>0</v>
      </c>
      <c r="AG182" s="334">
        <f t="shared" ref="AG182" si="177">AD182-AF182</f>
        <v>0</v>
      </c>
      <c r="AH182" s="328"/>
      <c r="AI182" s="328" t="s">
        <v>597</v>
      </c>
      <c r="AJ182" s="327">
        <v>2</v>
      </c>
      <c r="AK182" s="327">
        <v>2</v>
      </c>
      <c r="AL182" s="327">
        <v>2</v>
      </c>
      <c r="AM182" s="327">
        <v>2</v>
      </c>
      <c r="AN182" s="327">
        <v>2</v>
      </c>
      <c r="AO182" s="327">
        <v>2</v>
      </c>
      <c r="AP182" s="327">
        <v>2</v>
      </c>
      <c r="AQ182" s="327">
        <f t="shared" si="170"/>
        <v>3</v>
      </c>
      <c r="AR182" s="338"/>
      <c r="AS182" s="327">
        <f t="shared" si="171"/>
        <v>0</v>
      </c>
      <c r="AT182" s="327">
        <f t="shared" si="172"/>
        <v>0</v>
      </c>
      <c r="AU182" s="523">
        <v>2</v>
      </c>
      <c r="AV182" s="328"/>
      <c r="AW182" s="328"/>
      <c r="AX182" s="332">
        <v>2</v>
      </c>
      <c r="AY182" s="328" t="b">
        <f t="shared" si="151"/>
        <v>1</v>
      </c>
      <c r="AZ182" s="328" t="b">
        <f t="shared" si="152"/>
        <v>0</v>
      </c>
    </row>
    <row r="183" ht="27" customHeight="1" spans="1:52">
      <c r="A183" s="326" t="str">
        <f>INDEX('Rate Card'!$A:$A,MATCH(服务费底表!$T183,'Rate Card'!$F:$F,0))</f>
        <v>临床运营</v>
      </c>
      <c r="B183" s="327" t="str">
        <f>INDEX(二三级标准!$G:$G,MATCH(服务费底表!$K183,二三级标准!B:B,0))</f>
        <v>次</v>
      </c>
      <c r="C183" s="327">
        <f>INDEX(服务费明细!$E:$E,MATCH(服务费底表!$K183,服务费明细!$B:$B,0))</f>
        <v>0</v>
      </c>
      <c r="D183" s="327" t="str">
        <f t="shared" si="160"/>
        <v>A045PM</v>
      </c>
      <c r="E183" s="327" t="str">
        <f t="shared" si="161"/>
        <v>T0114PM</v>
      </c>
      <c r="F183" s="328"/>
      <c r="G183" s="328" t="s">
        <v>684</v>
      </c>
      <c r="H183" s="326" t="str">
        <f>INDEX('Rate Card'!$B:$B,MATCH(服务费底表!$T183,'Rate Card'!$F:$F,0))</f>
        <v>临床运营</v>
      </c>
      <c r="I183" s="328" t="s">
        <v>920</v>
      </c>
      <c r="J183" s="328" t="str">
        <f>INDEX(二三级标准!$Q:$Q,MATCH(服务费底表!I183,二三级标准!$O:$O,0))</f>
        <v>临床监查和中心管理</v>
      </c>
      <c r="K183" s="328" t="s">
        <v>194</v>
      </c>
      <c r="L183" s="328" t="str">
        <f>INDEX(二三级标准!C:C,MATCH(服务费底表!K183,二三级标准!$B:$B,0))</f>
        <v>后续伦理文件准备和递交</v>
      </c>
      <c r="M183" s="328" t="s">
        <v>1291</v>
      </c>
      <c r="N183" s="328" t="str">
        <f>INDEX(二三级标准!$M:$M,MATCH(服务费底表!$M183,二三级标准!$L:$L,0))</f>
        <v>后续伦理文件审核</v>
      </c>
      <c r="O183" s="328"/>
      <c r="P183" s="327">
        <f>IF(R183=1,INDEX(服务费明细!$E:$E,MATCH(服务费底表!$K183,服务费明细!$B:$B,0)),0)</f>
        <v>0</v>
      </c>
      <c r="Q183" s="328" t="s">
        <v>1178</v>
      </c>
      <c r="R183" s="520">
        <f>IF(AND(后续伦理文件准备和递交YN=1,项目管理YN=1),1,0)</f>
        <v>0</v>
      </c>
      <c r="S183" s="525" t="str">
        <f>INDEX('Rate Card'!$D:$D,MATCH(服务费底表!$T183,'Rate Card'!F:F,0))</f>
        <v>项目管理</v>
      </c>
      <c r="T183" s="328" t="s">
        <v>599</v>
      </c>
      <c r="U183" s="522" t="str">
        <f>INDEX('Rate Card'!$E:$E,MATCH(服务费底表!$T183,'Rate Card'!$F:$F,0))</f>
        <v>临床项目经理</v>
      </c>
      <c r="V183" s="331">
        <f>INDEX('Rate Card'!$J:$J,MATCH($T183,'Rate Card'!$F:$F,0))</f>
        <v>650</v>
      </c>
      <c r="W183" s="523">
        <f t="shared" si="162"/>
        <v>650</v>
      </c>
      <c r="X183" s="523">
        <f t="shared" si="163"/>
        <v>2</v>
      </c>
      <c r="Y183" s="327" cm="1">
        <f t="array" ref="Y183">_xlfn.IFS(报价场景=服务费底表!$AJ$2,服务费底表!$AJ183,报价场景=服务费底表!$AP$2,服务费底表!$AP183,报价场景=服务费底表!$AK$2,服务费底表!$AK183,报价场景=服务费底表!$AL$2,服务费底表!$AL183,报价场景=服务费底表!$AM$2,服务费底表!$AM183,报价场景=服务费底表!$AN$2,服务费底表!$AN183,报价场景=服务费底表!$AQ$2,服务费底表!$AQ183,报价场景=服务费底表!$AO$2,服务费底表!$AO183)</f>
        <v>2</v>
      </c>
      <c r="Z183" s="327"/>
      <c r="AA183" s="332">
        <f t="shared" si="164"/>
        <v>2</v>
      </c>
      <c r="AB183" s="333">
        <f t="shared" si="165"/>
        <v>0</v>
      </c>
      <c r="AC183" s="328">
        <f t="shared" si="166"/>
        <v>0</v>
      </c>
      <c r="AD183" s="334">
        <f t="shared" si="167"/>
        <v>0</v>
      </c>
      <c r="AE183" s="334">
        <f>$AB183*(1-INDEX(项目参数!$D$5:$D$14,MATCH(服务费底表!$S183,项目参数!$B$5:$B$14,0)))</f>
        <v>0</v>
      </c>
      <c r="AF183" s="334">
        <f>$AD183*INDEX(项目参数!$D$5:$D$14,MATCH(服务费底表!$S183,项目参数!$B$5:$B$14,0))</f>
        <v>0</v>
      </c>
      <c r="AG183" s="334">
        <f t="shared" si="173"/>
        <v>0</v>
      </c>
      <c r="AH183" s="328"/>
      <c r="AI183" s="328" t="s">
        <v>599</v>
      </c>
      <c r="AJ183" s="327">
        <v>2</v>
      </c>
      <c r="AK183" s="327">
        <v>2</v>
      </c>
      <c r="AL183" s="327">
        <v>2</v>
      </c>
      <c r="AM183" s="327">
        <v>2</v>
      </c>
      <c r="AN183" s="327">
        <v>2</v>
      </c>
      <c r="AO183" s="327">
        <v>2</v>
      </c>
      <c r="AP183" s="327">
        <v>2</v>
      </c>
      <c r="AQ183" s="327">
        <f t="shared" si="170"/>
        <v>3</v>
      </c>
      <c r="AR183" s="338"/>
      <c r="AS183" s="327">
        <f t="shared" si="171"/>
        <v>0</v>
      </c>
      <c r="AT183" s="327">
        <f t="shared" si="172"/>
        <v>0</v>
      </c>
      <c r="AU183" s="523">
        <v>2</v>
      </c>
      <c r="AV183" s="328"/>
      <c r="AW183" s="328"/>
      <c r="AX183" s="332">
        <v>2</v>
      </c>
      <c r="AY183" s="328" t="b">
        <f t="shared" si="151"/>
        <v>1</v>
      </c>
      <c r="AZ183" s="328" t="b">
        <f t="shared" si="152"/>
        <v>0</v>
      </c>
    </row>
    <row r="184" ht="27" customHeight="1" spans="1:52">
      <c r="A184" s="326" t="str">
        <f>INDEX('Rate Card'!$A:$A,MATCH(服务费底表!$T184,'Rate Card'!$F:$F,0))</f>
        <v>临床运营</v>
      </c>
      <c r="B184" s="327" t="str">
        <f>INDEX(二三级标准!$G:$G,MATCH(服务费底表!$K184,二三级标准!B:B,0))</f>
        <v>次</v>
      </c>
      <c r="C184" s="327">
        <f>INDEX(服务费明细!$E:$E,MATCH(服务费底表!$K184,服务费明细!$B:$B,0))</f>
        <v>4</v>
      </c>
      <c r="D184" s="327" t="str">
        <f t="shared" si="160"/>
        <v>A046CRA</v>
      </c>
      <c r="E184" s="327" t="str">
        <f t="shared" si="161"/>
        <v>T0115CRA</v>
      </c>
      <c r="F184" s="328"/>
      <c r="G184" s="328" t="s">
        <v>684</v>
      </c>
      <c r="H184" s="326" t="str">
        <f>INDEX('Rate Card'!$B:$B,MATCH(服务费底表!$T184,'Rate Card'!$F:$F,0))</f>
        <v>临床运营</v>
      </c>
      <c r="I184" s="328" t="s">
        <v>920</v>
      </c>
      <c r="J184" s="328" t="str">
        <f>INDEX(二三级标准!$Q:$Q,MATCH(服务费底表!I184,二三级标准!$O:$O,0))</f>
        <v>临床监查和中心管理</v>
      </c>
      <c r="K184" s="328" t="s">
        <v>196</v>
      </c>
      <c r="L184" s="328" t="str">
        <f>INDEX(二三级标准!C:C,MATCH(服务费底表!K184,二三级标准!$B:$B,0))</f>
        <v>伦理年度报告准备和递交</v>
      </c>
      <c r="M184" s="328" t="s">
        <v>1292</v>
      </c>
      <c r="N184" s="328" t="str">
        <f>INDEX(二三级标准!$M:$M,MATCH(服务费底表!$M184,二三级标准!$L:$L,0))</f>
        <v>伦理年度报告准备和递交</v>
      </c>
      <c r="O184" s="328"/>
      <c r="P184" s="327">
        <f>IF(R184=1,INDEX(服务费明细!$E:$E,MATCH(服务费底表!$K184,服务费明细!$B:$B,0)),0)</f>
        <v>4</v>
      </c>
      <c r="Q184" s="328" t="s">
        <v>1178</v>
      </c>
      <c r="R184" s="520">
        <f>IF(AND(伦理年度报告准备和递交YN=1,临床监查YN=1),1,0)</f>
        <v>1</v>
      </c>
      <c r="S184" s="525" t="str">
        <f>INDEX('Rate Card'!$D:$D,MATCH(服务费底表!$T184,'Rate Card'!F:F,0))</f>
        <v>临床监查</v>
      </c>
      <c r="T184" s="328" t="s">
        <v>595</v>
      </c>
      <c r="U184" s="522" t="str">
        <f>INDEX('Rate Card'!$E:$E,MATCH(服务费底表!$T184,'Rate Card'!$F:$F,0))</f>
        <v>临床监查员</v>
      </c>
      <c r="V184" s="331">
        <f>INDEX('Rate Card'!$J:$J,MATCH($T184,'Rate Card'!$F:$F,0))</f>
        <v>340</v>
      </c>
      <c r="W184" s="523">
        <f t="shared" si="162"/>
        <v>340</v>
      </c>
      <c r="X184" s="523">
        <f t="shared" si="163"/>
        <v>2</v>
      </c>
      <c r="Y184" s="327" cm="1">
        <f t="array" ref="Y184">_xlfn.IFS(报价场景=服务费底表!$AJ$2,服务费底表!$AJ184,报价场景=服务费底表!$AP$2,服务费底表!$AP184,报价场景=服务费底表!$AK$2,服务费底表!$AK184,报价场景=服务费底表!$AL$2,服务费底表!$AL184,报价场景=服务费底表!$AM$2,服务费底表!$AM184,报价场景=服务费底表!$AN$2,服务费底表!$AN184,报价场景=服务费底表!$AQ$2,服务费底表!$AQ184,报价场景=服务费底表!$AO$2,服务费底表!$AO184)</f>
        <v>2</v>
      </c>
      <c r="Z184" s="327"/>
      <c r="AA184" s="332">
        <f t="shared" si="164"/>
        <v>2</v>
      </c>
      <c r="AB184" s="333">
        <f t="shared" si="165"/>
        <v>680</v>
      </c>
      <c r="AC184" s="328">
        <f t="shared" si="166"/>
        <v>8</v>
      </c>
      <c r="AD184" s="334">
        <f t="shared" ref="AD184" si="178">AC184*V184</f>
        <v>2720</v>
      </c>
      <c r="AE184" s="334">
        <f>$AB184*(1-INDEX(项目参数!$D$5:$D$14,MATCH(服务费底表!$S184,项目参数!$B$5:$B$14,0)))</f>
        <v>680</v>
      </c>
      <c r="AF184" s="334">
        <f>$AD184*INDEX(项目参数!$D$5:$D$14,MATCH(服务费底表!$S184,项目参数!$B$5:$B$14,0))</f>
        <v>0</v>
      </c>
      <c r="AG184" s="334">
        <f t="shared" ref="AG184" si="179">AD184-AF184</f>
        <v>2720</v>
      </c>
      <c r="AH184" s="328"/>
      <c r="AI184" s="328" t="s">
        <v>595</v>
      </c>
      <c r="AJ184" s="327">
        <v>2</v>
      </c>
      <c r="AK184" s="327">
        <v>2</v>
      </c>
      <c r="AL184" s="327">
        <v>2</v>
      </c>
      <c r="AM184" s="327">
        <v>2</v>
      </c>
      <c r="AN184" s="327">
        <v>2</v>
      </c>
      <c r="AO184" s="327">
        <v>2</v>
      </c>
      <c r="AP184" s="327">
        <v>2</v>
      </c>
      <c r="AQ184" s="327">
        <f t="shared" si="170"/>
        <v>3</v>
      </c>
      <c r="AR184" s="338"/>
      <c r="AS184" s="327">
        <f t="shared" si="171"/>
        <v>8</v>
      </c>
      <c r="AT184" s="327">
        <f t="shared" si="172"/>
        <v>8</v>
      </c>
      <c r="AU184" s="523">
        <v>2</v>
      </c>
      <c r="AV184" s="328"/>
      <c r="AW184" s="328"/>
      <c r="AX184" s="332">
        <v>2</v>
      </c>
      <c r="AY184" s="328" t="b">
        <f t="shared" si="151"/>
        <v>1</v>
      </c>
      <c r="AZ184" s="328" t="b">
        <f t="shared" si="152"/>
        <v>1</v>
      </c>
    </row>
    <row r="185" ht="27" customHeight="1" spans="1:52">
      <c r="A185" s="326" t="str">
        <f>INDEX('Rate Card'!$A:$A,MATCH(服务费底表!$T185,'Rate Card'!$F:$F,0))</f>
        <v>临床运营</v>
      </c>
      <c r="B185" s="327" t="str">
        <f>INDEX(二三级标准!$G:$G,MATCH(服务费底表!$K185,二三级标准!B:B,0))</f>
        <v>次</v>
      </c>
      <c r="C185" s="327">
        <f>INDEX(服务费明细!$E:$E,MATCH(服务费底表!$K185,服务费明细!$B:$B,0))</f>
        <v>4</v>
      </c>
      <c r="D185" s="327" t="str">
        <f t="shared" si="160"/>
        <v>A046PM</v>
      </c>
      <c r="E185" s="327" t="str">
        <f t="shared" si="161"/>
        <v>T0116PM</v>
      </c>
      <c r="F185" s="328"/>
      <c r="G185" s="328" t="s">
        <v>684</v>
      </c>
      <c r="H185" s="326" t="str">
        <f>INDEX('Rate Card'!$B:$B,MATCH(服务费底表!$T185,'Rate Card'!$F:$F,0))</f>
        <v>临床运营</v>
      </c>
      <c r="I185" s="328" t="s">
        <v>920</v>
      </c>
      <c r="J185" s="328" t="str">
        <f>INDEX(二三级标准!$Q:$Q,MATCH(服务费底表!I185,二三级标准!$O:$O,0))</f>
        <v>临床监查和中心管理</v>
      </c>
      <c r="K185" s="328" t="s">
        <v>196</v>
      </c>
      <c r="L185" s="328" t="str">
        <f>INDEX(二三级标准!C:C,MATCH(服务费底表!K185,二三级标准!$B:$B,0))</f>
        <v>伦理年度报告准备和递交</v>
      </c>
      <c r="M185" s="328" t="s">
        <v>1293</v>
      </c>
      <c r="N185" s="328" t="str">
        <f>INDEX(二三级标准!$M:$M,MATCH(服务费底表!$M185,二三级标准!$L:$L,0))</f>
        <v>伦理年度资料审核</v>
      </c>
      <c r="O185" s="328"/>
      <c r="P185" s="327">
        <f>IF(R185=1,INDEX(服务费明细!$E:$E,MATCH(服务费底表!$K185,服务费明细!$B:$B,0)),0)</f>
        <v>4</v>
      </c>
      <c r="Q185" s="328" t="s">
        <v>1178</v>
      </c>
      <c r="R185" s="520">
        <f>IF(AND(伦理年度报告准备和递交YN=1,项目管理YN=1),1,0)</f>
        <v>1</v>
      </c>
      <c r="S185" s="525" t="str">
        <f>INDEX('Rate Card'!$D:$D,MATCH(服务费底表!$T185,'Rate Card'!F:F,0))</f>
        <v>项目管理</v>
      </c>
      <c r="T185" s="328" t="s">
        <v>599</v>
      </c>
      <c r="U185" s="522" t="str">
        <f>INDEX('Rate Card'!$E:$E,MATCH(服务费底表!$T185,'Rate Card'!$F:$F,0))</f>
        <v>临床项目经理</v>
      </c>
      <c r="V185" s="331">
        <f>INDEX('Rate Card'!$J:$J,MATCH($T185,'Rate Card'!$F:$F,0))</f>
        <v>650</v>
      </c>
      <c r="W185" s="523">
        <f t="shared" si="162"/>
        <v>650</v>
      </c>
      <c r="X185" s="523">
        <f t="shared" si="163"/>
        <v>0.5</v>
      </c>
      <c r="Y185" s="327" cm="1">
        <f t="array" ref="Y185">_xlfn.IFS(报价场景=服务费底表!$AJ$2,服务费底表!$AJ185,报价场景=服务费底表!$AP$2,服务费底表!$AP185,报价场景=服务费底表!$AK$2,服务费底表!$AK185,报价场景=服务费底表!$AL$2,服务费底表!$AL185,报价场景=服务费底表!$AM$2,服务费底表!$AM185,报价场景=服务费底表!$AN$2,服务费底表!$AN185,报价场景=服务费底表!$AQ$2,服务费底表!$AQ185,报价场景=服务费底表!$AO$2,服务费底表!$AO185)</f>
        <v>0.5</v>
      </c>
      <c r="Z185" s="327"/>
      <c r="AA185" s="332">
        <f t="shared" si="164"/>
        <v>0.5</v>
      </c>
      <c r="AB185" s="333">
        <f t="shared" si="165"/>
        <v>325</v>
      </c>
      <c r="AC185" s="328">
        <f t="shared" si="166"/>
        <v>2</v>
      </c>
      <c r="AD185" s="334">
        <f t="shared" si="167"/>
        <v>1300</v>
      </c>
      <c r="AE185" s="334">
        <f>$AB185*(1-INDEX(项目参数!$D$5:$D$14,MATCH(服务费底表!$S185,项目参数!$B$5:$B$14,0)))</f>
        <v>325</v>
      </c>
      <c r="AF185" s="334">
        <f>$AD185*INDEX(项目参数!$D$5:$D$14,MATCH(服务费底表!$S185,项目参数!$B$5:$B$14,0))</f>
        <v>0</v>
      </c>
      <c r="AG185" s="334">
        <f t="shared" si="173"/>
        <v>1300</v>
      </c>
      <c r="AH185" s="328"/>
      <c r="AI185" s="328" t="s">
        <v>599</v>
      </c>
      <c r="AJ185" s="327">
        <v>0.5</v>
      </c>
      <c r="AK185" s="327">
        <v>0.5</v>
      </c>
      <c r="AL185" s="327">
        <v>0.5</v>
      </c>
      <c r="AM185" s="327">
        <v>0.5</v>
      </c>
      <c r="AN185" s="327">
        <v>0.5</v>
      </c>
      <c r="AO185" s="327">
        <v>0.5</v>
      </c>
      <c r="AP185" s="327">
        <v>0.5</v>
      </c>
      <c r="AQ185" s="327">
        <f t="shared" si="170"/>
        <v>0.75</v>
      </c>
      <c r="AR185" s="338"/>
      <c r="AS185" s="327">
        <f t="shared" si="171"/>
        <v>2</v>
      </c>
      <c r="AT185" s="327">
        <f t="shared" si="172"/>
        <v>2</v>
      </c>
      <c r="AU185" s="523">
        <v>0.5</v>
      </c>
      <c r="AV185" s="328"/>
      <c r="AW185" s="328"/>
      <c r="AX185" s="332">
        <v>0.5</v>
      </c>
      <c r="AY185" s="328" t="b">
        <f t="shared" si="151"/>
        <v>1</v>
      </c>
      <c r="AZ185" s="328" t="b">
        <f t="shared" si="152"/>
        <v>1</v>
      </c>
    </row>
    <row r="186" ht="27" customHeight="1" spans="1:52">
      <c r="A186" s="326" t="str">
        <f>INDEX('Rate Card'!$A:$A,MATCH(服务费底表!$T186,'Rate Card'!$F:$F,0))</f>
        <v>临床运营</v>
      </c>
      <c r="B186" s="327" t="str">
        <f>INDEX(二三级标准!$G:$G,MATCH(服务费底表!$K186,二三级标准!B:B,0))</f>
        <v>月*中心</v>
      </c>
      <c r="C186" s="327">
        <f>INDEX(服务费明细!$E:$E,MATCH(服务费底表!$K186,服务费明细!$B:$B,0))</f>
        <v>56</v>
      </c>
      <c r="D186" s="327" t="str">
        <f t="shared" si="160"/>
        <v>A047CRA</v>
      </c>
      <c r="E186" s="327" t="str">
        <f t="shared" si="161"/>
        <v>T0122CRA</v>
      </c>
      <c r="F186" s="328"/>
      <c r="G186" s="328" t="s">
        <v>684</v>
      </c>
      <c r="H186" s="326" t="str">
        <f>INDEX('Rate Card'!$B:$B,MATCH(服务费底表!$T186,'Rate Card'!$F:$F,0))</f>
        <v>临床运营</v>
      </c>
      <c r="I186" s="328" t="s">
        <v>920</v>
      </c>
      <c r="J186" s="328" t="str">
        <f>INDEX(二三级标准!$Q:$Q,MATCH(服务费底表!I186,二三级标准!$O:$O,0))</f>
        <v>临床监查和中心管理</v>
      </c>
      <c r="K186" s="328" t="s">
        <v>198</v>
      </c>
      <c r="L186" s="328" t="str">
        <f>INDEX(二三级标准!C:C,MATCH(服务费底表!K186,二三级标准!$B:$B,0))</f>
        <v>中心日常支持和管理</v>
      </c>
      <c r="M186" s="328" t="s">
        <v>1294</v>
      </c>
      <c r="N186" s="328" t="str">
        <f>INDEX(二三级标准!$M:$M,MATCH(服务费底表!$M186,二三级标准!$L:$L,0))</f>
        <v>日常支持和管理</v>
      </c>
      <c r="O186" s="328"/>
      <c r="P186" s="327" cm="1">
        <f t="array" ref="P186">IF(R186=1,_xlfn.SINGLE(INDEX(服务费明细!$E:$E,MATCH(服务费底表!$K186,服务费明细!$B:$B,0))),0)</f>
        <v>56</v>
      </c>
      <c r="Q186" s="328" t="s">
        <v>1295</v>
      </c>
      <c r="R186" s="520">
        <f>IF(AND(中心日常支持和管理YN=1,临床监查YN=1),1,0)</f>
        <v>1</v>
      </c>
      <c r="S186" s="525" t="str">
        <f>INDEX('Rate Card'!$D:$D,MATCH(服务费底表!$T186,'Rate Card'!F:F,0))</f>
        <v>临床监查</v>
      </c>
      <c r="T186" s="328" t="s">
        <v>595</v>
      </c>
      <c r="U186" s="522" t="str">
        <f>INDEX('Rate Card'!$E:$E,MATCH(服务费底表!$T186,'Rate Card'!$F:$F,0))</f>
        <v>临床监查员</v>
      </c>
      <c r="V186" s="331">
        <f>INDEX('Rate Card'!$J:$J,MATCH($T186,'Rate Card'!$F:$F,0))</f>
        <v>340</v>
      </c>
      <c r="W186" s="523">
        <f t="shared" si="162"/>
        <v>340</v>
      </c>
      <c r="X186" s="523">
        <f t="shared" si="163"/>
        <v>9</v>
      </c>
      <c r="Y186" s="327" cm="1">
        <f t="array" ref="Y186">_xlfn.IFS(报价场景=服务费底表!$AJ$2,服务费底表!$AJ186,报价场景=服务费底表!$AP$2,服务费底表!$AP186,报价场景=服务费底表!$AK$2,服务费底表!$AK186,报价场景=服务费底表!$AL$2,服务费底表!$AL186,报价场景=服务费底表!$AM$2,服务费底表!$AM186,报价场景=服务费底表!$AN$2,服务费底表!$AN186,报价场景=服务费底表!$AQ$2,服务费底表!$AQ186,报价场景=服务费底表!$AO$2,服务费底表!$AO186)</f>
        <v>9</v>
      </c>
      <c r="Z186" s="327"/>
      <c r="AA186" s="332">
        <f t="shared" si="164"/>
        <v>9</v>
      </c>
      <c r="AB186" s="333">
        <f t="shared" si="165"/>
        <v>3060</v>
      </c>
      <c r="AC186" s="328">
        <f t="shared" si="166"/>
        <v>504</v>
      </c>
      <c r="AD186" s="334">
        <f t="shared" si="167"/>
        <v>171360</v>
      </c>
      <c r="AE186" s="334">
        <f>$AB186*(1-INDEX(项目参数!$D$5:$D$14,MATCH(服务费底表!$S186,项目参数!$B$5:$B$14,0)))</f>
        <v>3060</v>
      </c>
      <c r="AF186" s="334">
        <f>$AD186*INDEX(项目参数!$D$5:$D$14,MATCH(服务费底表!$S186,项目参数!$B$5:$B$14,0))</f>
        <v>0</v>
      </c>
      <c r="AG186" s="334">
        <f t="shared" si="173"/>
        <v>171360</v>
      </c>
      <c r="AH186" s="328"/>
      <c r="AI186" s="328" t="s">
        <v>595</v>
      </c>
      <c r="AJ186" s="327">
        <v>9</v>
      </c>
      <c r="AK186" s="327">
        <v>12</v>
      </c>
      <c r="AL186" s="327">
        <v>7</v>
      </c>
      <c r="AM186" s="327">
        <v>7</v>
      </c>
      <c r="AN186" s="327">
        <v>7</v>
      </c>
      <c r="AO186" s="327">
        <f>AL186</f>
        <v>7</v>
      </c>
      <c r="AP186" s="327">
        <v>9</v>
      </c>
      <c r="AQ186" s="327">
        <f t="shared" si="170"/>
        <v>13.5</v>
      </c>
      <c r="AR186" s="338"/>
      <c r="AS186" s="327">
        <f t="shared" si="171"/>
        <v>504</v>
      </c>
      <c r="AT186" s="327">
        <f t="shared" si="172"/>
        <v>504</v>
      </c>
      <c r="AU186" s="523">
        <v>6</v>
      </c>
      <c r="AV186" s="328"/>
      <c r="AW186" s="328"/>
      <c r="AX186" s="332">
        <v>6</v>
      </c>
      <c r="AY186" s="328" t="b">
        <f t="shared" si="151"/>
        <v>0</v>
      </c>
      <c r="AZ186" s="328" t="b">
        <f t="shared" si="152"/>
        <v>0</v>
      </c>
    </row>
    <row r="187" ht="27" customHeight="1" spans="1:52">
      <c r="A187" s="326" t="str">
        <f>INDEX('Rate Card'!$A:$A,MATCH(服务费底表!$T187,'Rate Card'!$F:$F,0))</f>
        <v>临床运营</v>
      </c>
      <c r="B187" s="327" t="str">
        <f>INDEX(二三级标准!$G:$G,MATCH(服务费底表!$K187,二三级标准!B:B,0))</f>
        <v>次</v>
      </c>
      <c r="C187" s="327">
        <f>INDEX(服务费明细!$E:$E,MATCH(服务费底表!$K187,服务费明细!$B:$B,0))</f>
        <v>4</v>
      </c>
      <c r="D187" s="327" t="str">
        <f t="shared" si="160"/>
        <v>A048CRA</v>
      </c>
      <c r="E187" s="327" t="str">
        <f t="shared" si="161"/>
        <v>T0123CRA</v>
      </c>
      <c r="F187" s="328"/>
      <c r="G187" s="328" t="s">
        <v>684</v>
      </c>
      <c r="H187" s="326" t="str">
        <f>INDEX('Rate Card'!$B:$B,MATCH(服务费底表!$T187,'Rate Card'!$F:$F,0))</f>
        <v>临床运营</v>
      </c>
      <c r="I187" s="328" t="s">
        <v>920</v>
      </c>
      <c r="J187" s="328" t="str">
        <f>INDEX(二三级标准!$Q:$Q,MATCH(服务费底表!I187,二三级标准!$O:$O,0))</f>
        <v>临床监查和中心管理</v>
      </c>
      <c r="K187" s="328" t="s">
        <v>200</v>
      </c>
      <c r="L187" s="328" t="str">
        <f>INDEX(二三级标准!C:C,MATCH(服务费底表!K187,二三级标准!$B:$B,0))</f>
        <v>自查访视</v>
      </c>
      <c r="M187" s="328" t="s">
        <v>1296</v>
      </c>
      <c r="N187" s="328" t="str">
        <f>INDEX(二三级标准!$M:$M,MATCH(服务费底表!$M187,二三级标准!$L:$L,0))</f>
        <v>准备机构自查访视</v>
      </c>
      <c r="O187" s="328"/>
      <c r="P187" s="327">
        <f>IF(R187=1,INDEX(服务费明细!$E:$E,MATCH(服务费底表!$K187,服务费明细!$B:$B,0)),0)</f>
        <v>4</v>
      </c>
      <c r="Q187" s="328" t="s">
        <v>1178</v>
      </c>
      <c r="R187" s="520">
        <f>IF(AND(机构自查访视YN=1,临床监查YN=1),1,0)</f>
        <v>1</v>
      </c>
      <c r="S187" s="525" t="str">
        <f>INDEX('Rate Card'!$D:$D,MATCH(服务费底表!$T187,'Rate Card'!F:F,0))</f>
        <v>临床监查</v>
      </c>
      <c r="T187" s="328" t="s">
        <v>595</v>
      </c>
      <c r="U187" s="522" t="str">
        <f>INDEX('Rate Card'!$E:$E,MATCH(服务费底表!$T187,'Rate Card'!$F:$F,0))</f>
        <v>临床监查员</v>
      </c>
      <c r="V187" s="331">
        <f>INDEX('Rate Card'!$J:$J,MATCH($T187,'Rate Card'!$F:$F,0))</f>
        <v>340</v>
      </c>
      <c r="W187" s="523">
        <f t="shared" si="162"/>
        <v>340</v>
      </c>
      <c r="X187" s="523">
        <f t="shared" si="163"/>
        <v>2</v>
      </c>
      <c r="Y187" s="327" cm="1">
        <f t="array" ref="Y187">_xlfn.IFS(报价场景=服务费底表!$AJ$2,服务费底表!$AJ187,报价场景=服务费底表!$AP$2,服务费底表!$AP187,报价场景=服务费底表!$AK$2,服务费底表!$AK187,报价场景=服务费底表!$AL$2,服务费底表!$AL187,报价场景=服务费底表!$AM$2,服务费底表!$AM187,报价场景=服务费底表!$AN$2,服务费底表!$AN187,报价场景=服务费底表!$AQ$2,服务费底表!$AQ187,报价场景=服务费底表!$AO$2,服务费底表!$AO187)</f>
        <v>2</v>
      </c>
      <c r="Z187" s="327"/>
      <c r="AA187" s="332">
        <f t="shared" si="164"/>
        <v>2</v>
      </c>
      <c r="AB187" s="333">
        <f t="shared" si="165"/>
        <v>680</v>
      </c>
      <c r="AC187" s="328">
        <f t="shared" si="166"/>
        <v>8</v>
      </c>
      <c r="AD187" s="334">
        <f t="shared" si="167"/>
        <v>2720</v>
      </c>
      <c r="AE187" s="334">
        <f>$AB187*(1-INDEX(项目参数!$D$5:$D$14,MATCH(服务费底表!$S187,项目参数!$B$5:$B$14,0)))</f>
        <v>680</v>
      </c>
      <c r="AF187" s="334">
        <f>$AD187*INDEX(项目参数!$D$5:$D$14,MATCH(服务费底表!$S187,项目参数!$B$5:$B$14,0))</f>
        <v>0</v>
      </c>
      <c r="AG187" s="334">
        <f t="shared" si="173"/>
        <v>2720</v>
      </c>
      <c r="AH187" s="328"/>
      <c r="AI187" s="328" t="s">
        <v>595</v>
      </c>
      <c r="AJ187" s="327">
        <v>2</v>
      </c>
      <c r="AK187" s="327">
        <f t="shared" si="168"/>
        <v>3</v>
      </c>
      <c r="AL187" s="327">
        <f t="shared" ref="AL184:AL221" si="180">AM187</f>
        <v>2</v>
      </c>
      <c r="AM187" s="327">
        <v>2</v>
      </c>
      <c r="AN187" s="327">
        <v>2</v>
      </c>
      <c r="AO187" s="327">
        <v>2</v>
      </c>
      <c r="AP187" s="327">
        <v>2</v>
      </c>
      <c r="AQ187" s="327">
        <f t="shared" si="170"/>
        <v>3</v>
      </c>
      <c r="AR187" s="338"/>
      <c r="AS187" s="328">
        <f t="shared" ref="AS187:AS192" si="181">AC187</f>
        <v>8</v>
      </c>
      <c r="AT187" s="328">
        <f t="shared" ref="AT187:AT192" si="182">Y187*P187</f>
        <v>8</v>
      </c>
      <c r="AU187" s="523">
        <v>2</v>
      </c>
      <c r="AV187" s="328"/>
      <c r="AW187" s="328"/>
      <c r="AX187" s="332">
        <v>2</v>
      </c>
      <c r="AY187" s="328" t="b">
        <f t="shared" si="151"/>
        <v>1</v>
      </c>
      <c r="AZ187" s="328" t="b">
        <f t="shared" si="152"/>
        <v>1</v>
      </c>
    </row>
    <row r="188" ht="27" customHeight="1" spans="1:52">
      <c r="A188" s="326" t="str">
        <f>INDEX('Rate Card'!$A:$A,MATCH(服务费底表!$T188,'Rate Card'!$F:$F,0))</f>
        <v>临床运营</v>
      </c>
      <c r="B188" s="327" t="str">
        <f>INDEX(二三级标准!$G:$G,MATCH(服务费底表!$K188,二三级标准!B:B,0))</f>
        <v>次</v>
      </c>
      <c r="C188" s="327">
        <f>INDEX(服务费明细!$E:$E,MATCH(服务费底表!$K188,服务费明细!$B:$B,0))</f>
        <v>4</v>
      </c>
      <c r="D188" s="327" t="str">
        <f t="shared" si="160"/>
        <v>A048CRA</v>
      </c>
      <c r="E188" s="327" t="str">
        <f t="shared" si="161"/>
        <v>T0124CRA</v>
      </c>
      <c r="F188" s="328"/>
      <c r="G188" s="328" t="s">
        <v>684</v>
      </c>
      <c r="H188" s="326" t="str">
        <f>INDEX('Rate Card'!$B:$B,MATCH(服务费底表!$T188,'Rate Card'!$F:$F,0))</f>
        <v>临床运营</v>
      </c>
      <c r="I188" s="328" t="s">
        <v>920</v>
      </c>
      <c r="J188" s="328" t="str">
        <f>INDEX(二三级标准!$Q:$Q,MATCH(服务费底表!I188,二三级标准!$O:$O,0))</f>
        <v>临床监查和中心管理</v>
      </c>
      <c r="K188" s="328" t="s">
        <v>200</v>
      </c>
      <c r="L188" s="328" t="str">
        <f>INDEX(二三级标准!C:C,MATCH(服务费底表!K188,二三级标准!$B:$B,0))</f>
        <v>自查访视</v>
      </c>
      <c r="M188" s="328" t="s">
        <v>1297</v>
      </c>
      <c r="N188" s="328" t="str">
        <f>INDEX(二三级标准!$M:$M,MATCH(服务费底表!$M188,二三级标准!$L:$L,0))</f>
        <v>机构自查访视和撰写报告</v>
      </c>
      <c r="O188" s="328"/>
      <c r="P188" s="327">
        <f>IF(R188=1,INDEX(服务费明细!$E:$E,MATCH(服务费底表!$K188,服务费明细!$B:$B,0)),0)</f>
        <v>4</v>
      </c>
      <c r="Q188" s="328" t="s">
        <v>1178</v>
      </c>
      <c r="R188" s="520">
        <f>IF(AND(机构自查访视YN=1,临床监查YN=1),1,0)</f>
        <v>1</v>
      </c>
      <c r="S188" s="525" t="str">
        <f>INDEX('Rate Card'!$D:$D,MATCH(服务费底表!$T188,'Rate Card'!F:F,0))</f>
        <v>临床监查</v>
      </c>
      <c r="T188" s="328" t="s">
        <v>595</v>
      </c>
      <c r="U188" s="522" t="str">
        <f>INDEX('Rate Card'!$E:$E,MATCH(服务费底表!$T188,'Rate Card'!$F:$F,0))</f>
        <v>临床监查员</v>
      </c>
      <c r="V188" s="331">
        <f>INDEX('Rate Card'!$J:$J,MATCH($T188,'Rate Card'!$F:$F,0))</f>
        <v>340</v>
      </c>
      <c r="W188" s="523">
        <f t="shared" si="162"/>
        <v>340</v>
      </c>
      <c r="X188" s="523">
        <f t="shared" si="163"/>
        <v>21</v>
      </c>
      <c r="Y188" s="327" cm="1">
        <f t="array" ref="Y188">_xlfn.IFS(报价场景=服务费底表!$AJ$2,服务费底表!$AJ188,报价场景=服务费底表!$AP$2,服务费底表!$AP188,报价场景=服务费底表!$AK$2,服务费底表!$AK188,报价场景=服务费底表!$AL$2,服务费底表!$AL188,报价场景=服务费底表!$AM$2,服务费底表!$AM188,报价场景=服务费底表!$AN$2,服务费底表!$AN188,报价场景=服务费底表!$AQ$2,服务费底表!$AQ188,报价场景=服务费底表!$AO$2,服务费底表!$AO188)</f>
        <v>21</v>
      </c>
      <c r="Z188" s="327"/>
      <c r="AA188" s="332">
        <f t="shared" si="164"/>
        <v>21</v>
      </c>
      <c r="AB188" s="333">
        <f t="shared" si="165"/>
        <v>7140</v>
      </c>
      <c r="AC188" s="328">
        <f t="shared" si="166"/>
        <v>84</v>
      </c>
      <c r="AD188" s="334">
        <f t="shared" si="167"/>
        <v>28560</v>
      </c>
      <c r="AE188" s="334">
        <f>$AB188*(1-INDEX(项目参数!$D$5:$D$14,MATCH(服务费底表!$S188,项目参数!$B$5:$B$14,0)))</f>
        <v>7140</v>
      </c>
      <c r="AF188" s="334">
        <f>$AD188*INDEX(项目参数!$D$5:$D$14,MATCH(服务费底表!$S188,项目参数!$B$5:$B$14,0))</f>
        <v>0</v>
      </c>
      <c r="AG188" s="334">
        <f t="shared" si="173"/>
        <v>28560</v>
      </c>
      <c r="AH188" s="328"/>
      <c r="AI188" s="328" t="s">
        <v>595</v>
      </c>
      <c r="AJ188" s="327">
        <f>项目时间计划!$I$37</f>
        <v>21</v>
      </c>
      <c r="AK188" s="327">
        <v>32</v>
      </c>
      <c r="AL188" s="327">
        <f t="shared" si="180"/>
        <v>21</v>
      </c>
      <c r="AM188" s="327">
        <v>21</v>
      </c>
      <c r="AN188" s="327">
        <v>21</v>
      </c>
      <c r="AO188" s="327">
        <v>21</v>
      </c>
      <c r="AP188" s="327">
        <v>21</v>
      </c>
      <c r="AQ188" s="327">
        <f t="shared" si="170"/>
        <v>31.5</v>
      </c>
      <c r="AR188" s="338"/>
      <c r="AS188" s="328">
        <f t="shared" si="181"/>
        <v>84</v>
      </c>
      <c r="AT188" s="328">
        <f t="shared" si="182"/>
        <v>84</v>
      </c>
      <c r="AU188" s="523">
        <v>21</v>
      </c>
      <c r="AV188" s="328"/>
      <c r="AW188" s="328"/>
      <c r="AX188" s="332">
        <v>21</v>
      </c>
      <c r="AY188" s="328" t="b">
        <f t="shared" si="151"/>
        <v>1</v>
      </c>
      <c r="AZ188" s="328" t="b">
        <f t="shared" si="152"/>
        <v>1</v>
      </c>
    </row>
    <row r="189" ht="27" customHeight="1" spans="1:52">
      <c r="A189" s="326" t="str">
        <f>INDEX('Rate Card'!$A:$A,MATCH(服务费底表!$T189,'Rate Card'!$F:$F,0))</f>
        <v>临床运营</v>
      </c>
      <c r="B189" s="327" t="str">
        <f>INDEX(二三级标准!$G:$G,MATCH(服务费底表!$K189,二三级标准!B:B,0))</f>
        <v>次</v>
      </c>
      <c r="C189" s="327">
        <f>INDEX(服务费明细!$E:$E,MATCH(服务费底表!$K189,服务费明细!$B:$B,0))</f>
        <v>4</v>
      </c>
      <c r="D189" s="327" t="str">
        <f t="shared" si="160"/>
        <v>A048PM</v>
      </c>
      <c r="E189" s="327" t="str">
        <f t="shared" si="161"/>
        <v>T0125PM</v>
      </c>
      <c r="F189" s="328"/>
      <c r="G189" s="328" t="s">
        <v>684</v>
      </c>
      <c r="H189" s="326" t="str">
        <f>INDEX('Rate Card'!$B:$B,MATCH(服务费底表!$T189,'Rate Card'!$F:$F,0))</f>
        <v>临床运营</v>
      </c>
      <c r="I189" s="328" t="s">
        <v>920</v>
      </c>
      <c r="J189" s="328" t="str">
        <f>INDEX(二三级标准!$Q:$Q,MATCH(服务费底表!I189,二三级标准!$O:$O,0))</f>
        <v>临床监查和中心管理</v>
      </c>
      <c r="K189" s="328" t="s">
        <v>200</v>
      </c>
      <c r="L189" s="328" t="str">
        <f>INDEX(二三级标准!C:C,MATCH(服务费底表!K189,二三级标准!$B:$B,0))</f>
        <v>自查访视</v>
      </c>
      <c r="M189" s="328" t="s">
        <v>1298</v>
      </c>
      <c r="N189" s="328" t="str">
        <f>INDEX(二三级标准!$M:$M,MATCH(服务费底表!$M189,二三级标准!$L:$L,0))</f>
        <v>机构自查访视报告审核</v>
      </c>
      <c r="O189" s="328"/>
      <c r="P189" s="327">
        <f>IF(R189=1,INDEX(服务费明细!$E:$E,MATCH(服务费底表!$K189,服务费明细!$B:$B,0)),0)</f>
        <v>4</v>
      </c>
      <c r="Q189" s="328" t="s">
        <v>1178</v>
      </c>
      <c r="R189" s="520">
        <f>IF(AND(机构自查访视YN=1,项目管理YN=1),1,0)</f>
        <v>1</v>
      </c>
      <c r="S189" s="525" t="str">
        <f>INDEX('Rate Card'!$D:$D,MATCH(服务费底表!$T189,'Rate Card'!F:F,0))</f>
        <v>项目管理</v>
      </c>
      <c r="T189" s="328" t="s">
        <v>599</v>
      </c>
      <c r="U189" s="522" t="str">
        <f>INDEX('Rate Card'!$E:$E,MATCH(服务费底表!$T189,'Rate Card'!$F:$F,0))</f>
        <v>临床项目经理</v>
      </c>
      <c r="V189" s="331">
        <f>INDEX('Rate Card'!$J:$J,MATCH($T189,'Rate Card'!$F:$F,0))</f>
        <v>650</v>
      </c>
      <c r="W189" s="523">
        <f t="shared" si="162"/>
        <v>650</v>
      </c>
      <c r="X189" s="523">
        <f t="shared" si="163"/>
        <v>2</v>
      </c>
      <c r="Y189" s="327" cm="1">
        <f t="array" ref="Y189">_xlfn.IFS(报价场景=服务费底表!$AJ$2,服务费底表!$AJ189,报价场景=服务费底表!$AP$2,服务费底表!$AP189,报价场景=服务费底表!$AK$2,服务费底表!$AK189,报价场景=服务费底表!$AL$2,服务费底表!$AL189,报价场景=服务费底表!$AM$2,服务费底表!$AM189,报价场景=服务费底表!$AN$2,服务费底表!$AN189,报价场景=服务费底表!$AQ$2,服务费底表!$AQ189,报价场景=服务费底表!$AO$2,服务费底表!$AO189)</f>
        <v>2</v>
      </c>
      <c r="Z189" s="327"/>
      <c r="AA189" s="332">
        <f t="shared" si="164"/>
        <v>2</v>
      </c>
      <c r="AB189" s="333">
        <f t="shared" si="165"/>
        <v>1300</v>
      </c>
      <c r="AC189" s="328">
        <f t="shared" si="166"/>
        <v>8</v>
      </c>
      <c r="AD189" s="334">
        <f t="shared" si="167"/>
        <v>5200</v>
      </c>
      <c r="AE189" s="334">
        <f>$AB189*(1-INDEX(项目参数!$D$5:$D$14,MATCH(服务费底表!$S189,项目参数!$B$5:$B$14,0)))</f>
        <v>1300</v>
      </c>
      <c r="AF189" s="334">
        <f>$AD189*INDEX(项目参数!$D$5:$D$14,MATCH(服务费底表!$S189,项目参数!$B$5:$B$14,0))</f>
        <v>0</v>
      </c>
      <c r="AG189" s="334">
        <f t="shared" si="173"/>
        <v>5200</v>
      </c>
      <c r="AH189" s="328"/>
      <c r="AI189" s="328" t="s">
        <v>599</v>
      </c>
      <c r="AJ189" s="327">
        <v>2</v>
      </c>
      <c r="AK189" s="327">
        <f t="shared" si="168"/>
        <v>3</v>
      </c>
      <c r="AL189" s="327">
        <f t="shared" si="180"/>
        <v>2</v>
      </c>
      <c r="AM189" s="327">
        <v>2</v>
      </c>
      <c r="AN189" s="327">
        <v>2</v>
      </c>
      <c r="AO189" s="327">
        <v>2</v>
      </c>
      <c r="AP189" s="327">
        <v>2</v>
      </c>
      <c r="AQ189" s="327">
        <f t="shared" si="170"/>
        <v>3</v>
      </c>
      <c r="AR189" s="338"/>
      <c r="AS189" s="328">
        <f t="shared" si="181"/>
        <v>8</v>
      </c>
      <c r="AT189" s="328">
        <f t="shared" si="182"/>
        <v>8</v>
      </c>
      <c r="AU189" s="523">
        <v>2</v>
      </c>
      <c r="AV189" s="328"/>
      <c r="AW189" s="328"/>
      <c r="AX189" s="332">
        <v>2</v>
      </c>
      <c r="AY189" s="328" t="b">
        <f t="shared" si="151"/>
        <v>1</v>
      </c>
      <c r="AZ189" s="328" t="b">
        <f t="shared" si="152"/>
        <v>1</v>
      </c>
    </row>
    <row r="190" ht="27" customHeight="1" spans="1:52">
      <c r="A190" s="326" t="str">
        <f>INDEX('Rate Card'!$A:$A,MATCH(服务费底表!$T190,'Rate Card'!$F:$F,0))</f>
        <v>临床运营</v>
      </c>
      <c r="B190" s="327" t="str">
        <f>INDEX(二三级标准!$G:$G,MATCH(服务费底表!$K190,二三级标准!B:B,0))</f>
        <v>次</v>
      </c>
      <c r="C190" s="327">
        <f>INDEX(服务费明细!$E:$E,MATCH(服务费底表!$K190,服务费明细!$B:$B,0))</f>
        <v>4</v>
      </c>
      <c r="D190" s="327" t="str">
        <f t="shared" si="160"/>
        <v>A049CRA</v>
      </c>
      <c r="E190" s="327" t="str">
        <f t="shared" si="161"/>
        <v>T0126CRA</v>
      </c>
      <c r="F190" s="328"/>
      <c r="G190" s="328" t="s">
        <v>684</v>
      </c>
      <c r="H190" s="326" t="str">
        <f>INDEX('Rate Card'!$B:$B,MATCH(服务费底表!$T190,'Rate Card'!$F:$F,0))</f>
        <v>临床运营</v>
      </c>
      <c r="I190" s="328" t="s">
        <v>920</v>
      </c>
      <c r="J190" s="328" t="str">
        <f>INDEX(二三级标准!$Q:$Q,MATCH(服务费底表!I190,二三级标准!$O:$O,0))</f>
        <v>临床监查和中心管理</v>
      </c>
      <c r="K190" s="328" t="s">
        <v>203</v>
      </c>
      <c r="L190" s="328" t="str">
        <f>INDEX(二三级标准!C:C,MATCH(服务费底表!K190,二三级标准!$B:$B,0))</f>
        <v>数据清理访视</v>
      </c>
      <c r="M190" s="328" t="s">
        <v>1299</v>
      </c>
      <c r="N190" s="328" t="str">
        <f>INDEX(二三级标准!$M:$M,MATCH(服务费底表!$M190,二三级标准!$L:$L,0))</f>
        <v>准备数据清理访视</v>
      </c>
      <c r="O190" s="328"/>
      <c r="P190" s="327">
        <f>IF(R190=1,INDEX(服务费明细!$E:$E,MATCH(服务费底表!$K190,服务费明细!$B:$B,0)),0)</f>
        <v>4</v>
      </c>
      <c r="Q190" s="328" t="s">
        <v>1178</v>
      </c>
      <c r="R190" s="520">
        <f>IF(AND(数据清理访视YN=1,临床监查YN=1),1,0)</f>
        <v>1</v>
      </c>
      <c r="S190" s="525" t="str">
        <f>INDEX('Rate Card'!$D:$D,MATCH(服务费底表!$T190,'Rate Card'!F:F,0))</f>
        <v>临床监查</v>
      </c>
      <c r="T190" s="328" t="s">
        <v>595</v>
      </c>
      <c r="U190" s="522" t="str">
        <f>INDEX('Rate Card'!$E:$E,MATCH(服务费底表!$T190,'Rate Card'!$F:$F,0))</f>
        <v>临床监查员</v>
      </c>
      <c r="V190" s="331">
        <f>INDEX('Rate Card'!$J:$J,MATCH($T190,'Rate Card'!$F:$F,0))</f>
        <v>340</v>
      </c>
      <c r="W190" s="523">
        <f t="shared" si="162"/>
        <v>340</v>
      </c>
      <c r="X190" s="523">
        <f t="shared" si="163"/>
        <v>2</v>
      </c>
      <c r="Y190" s="327" cm="1">
        <f t="array" ref="Y190">_xlfn.IFS(报价场景=服务费底表!$AJ$2,服务费底表!$AJ190,报价场景=服务费底表!$AP$2,服务费底表!$AP190,报价场景=服务费底表!$AK$2,服务费底表!$AK190,报价场景=服务费底表!$AL$2,服务费底表!$AL190,报价场景=服务费底表!$AM$2,服务费底表!$AM190,报价场景=服务费底表!$AN$2,服务费底表!$AN190,报价场景=服务费底表!$AQ$2,服务费底表!$AQ190,报价场景=服务费底表!$AO$2,服务费底表!$AO190)</f>
        <v>2</v>
      </c>
      <c r="Z190" s="327"/>
      <c r="AA190" s="332">
        <f t="shared" si="164"/>
        <v>2</v>
      </c>
      <c r="AB190" s="333">
        <f t="shared" si="165"/>
        <v>680</v>
      </c>
      <c r="AC190" s="328">
        <f t="shared" si="166"/>
        <v>8</v>
      </c>
      <c r="AD190" s="334">
        <f t="shared" si="167"/>
        <v>2720</v>
      </c>
      <c r="AE190" s="334">
        <f>$AB190*(1-INDEX(项目参数!$D$5:$D$14,MATCH(服务费底表!$S190,项目参数!$B$5:$B$14,0)))</f>
        <v>680</v>
      </c>
      <c r="AF190" s="334">
        <f>$AD190*INDEX(项目参数!$D$5:$D$14,MATCH(服务费底表!$S190,项目参数!$B$5:$B$14,0))</f>
        <v>0</v>
      </c>
      <c r="AG190" s="334">
        <f t="shared" si="173"/>
        <v>2720</v>
      </c>
      <c r="AH190" s="328"/>
      <c r="AI190" s="328" t="s">
        <v>595</v>
      </c>
      <c r="AJ190" s="327">
        <v>2</v>
      </c>
      <c r="AK190" s="327">
        <f t="shared" si="168"/>
        <v>3</v>
      </c>
      <c r="AL190" s="327">
        <f t="shared" si="180"/>
        <v>2</v>
      </c>
      <c r="AM190" s="327">
        <v>2</v>
      </c>
      <c r="AN190" s="327">
        <v>2</v>
      </c>
      <c r="AO190" s="327">
        <v>2</v>
      </c>
      <c r="AP190" s="327">
        <v>2</v>
      </c>
      <c r="AQ190" s="327">
        <f t="shared" si="170"/>
        <v>3</v>
      </c>
      <c r="AR190" s="338"/>
      <c r="AS190" s="328">
        <f t="shared" si="181"/>
        <v>8</v>
      </c>
      <c r="AT190" s="328">
        <f t="shared" si="182"/>
        <v>8</v>
      </c>
      <c r="AU190" s="523">
        <v>2</v>
      </c>
      <c r="AV190" s="328"/>
      <c r="AW190" s="328"/>
      <c r="AX190" s="332">
        <v>2</v>
      </c>
      <c r="AY190" s="328" t="b">
        <f t="shared" si="151"/>
        <v>1</v>
      </c>
      <c r="AZ190" s="328" t="b">
        <f t="shared" si="152"/>
        <v>0</v>
      </c>
    </row>
    <row r="191" ht="27" customHeight="1" spans="1:52">
      <c r="A191" s="326" t="str">
        <f>INDEX('Rate Card'!$A:$A,MATCH(服务费底表!$T191,'Rate Card'!$F:$F,0))</f>
        <v>临床运营</v>
      </c>
      <c r="B191" s="327" t="str">
        <f>INDEX(二三级标准!$G:$G,MATCH(服务费底表!$K191,二三级标准!B:B,0))</f>
        <v>次</v>
      </c>
      <c r="C191" s="327">
        <f>INDEX(服务费明细!$E:$E,MATCH(服务费底表!$K191,服务费明细!$B:$B,0))</f>
        <v>4</v>
      </c>
      <c r="D191" s="327" t="str">
        <f t="shared" si="160"/>
        <v>A049CRA</v>
      </c>
      <c r="E191" s="327" t="str">
        <f t="shared" si="161"/>
        <v>T0127CRA</v>
      </c>
      <c r="F191" s="328"/>
      <c r="G191" s="328" t="s">
        <v>684</v>
      </c>
      <c r="H191" s="326" t="str">
        <f>INDEX('Rate Card'!$B:$B,MATCH(服务费底表!$T191,'Rate Card'!$F:$F,0))</f>
        <v>临床运营</v>
      </c>
      <c r="I191" s="328" t="s">
        <v>920</v>
      </c>
      <c r="J191" s="328" t="str">
        <f>INDEX(二三级标准!$Q:$Q,MATCH(服务费底表!I191,二三级标准!$O:$O,0))</f>
        <v>临床监查和中心管理</v>
      </c>
      <c r="K191" s="328" t="s">
        <v>203</v>
      </c>
      <c r="L191" s="328" t="str">
        <f>INDEX(二三级标准!C:C,MATCH(服务费底表!K191,二三级标准!$B:$B,0))</f>
        <v>数据清理访视</v>
      </c>
      <c r="M191" s="328" t="s">
        <v>1300</v>
      </c>
      <c r="N191" s="328" t="str">
        <f>INDEX(二三级标准!$M:$M,MATCH(服务费底表!$M191,二三级标准!$L:$L,0))</f>
        <v>数据清理访视及撰写报告</v>
      </c>
      <c r="O191" s="328"/>
      <c r="P191" s="327">
        <f>IF(R191=1,INDEX(服务费明细!$E:$E,MATCH(服务费底表!$K191,服务费明细!$B:$B,0)),0)</f>
        <v>4</v>
      </c>
      <c r="Q191" s="328" t="s">
        <v>1178</v>
      </c>
      <c r="R191" s="520">
        <f>IF(AND(数据清理访视YN=1,临床监查YN=1),1,0)</f>
        <v>1</v>
      </c>
      <c r="S191" s="525" t="str">
        <f>INDEX('Rate Card'!$D:$D,MATCH(服务费底表!$T191,'Rate Card'!F:F,0))</f>
        <v>临床监查</v>
      </c>
      <c r="T191" s="328" t="s">
        <v>595</v>
      </c>
      <c r="U191" s="522" t="str">
        <f>INDEX('Rate Card'!$E:$E,MATCH(服务费底表!$T191,'Rate Card'!$F:$F,0))</f>
        <v>临床监查员</v>
      </c>
      <c r="V191" s="331">
        <f>INDEX('Rate Card'!$J:$J,MATCH($T191,'Rate Card'!$F:$F,0))</f>
        <v>340</v>
      </c>
      <c r="W191" s="523">
        <f t="shared" si="162"/>
        <v>340</v>
      </c>
      <c r="X191" s="523">
        <f t="shared" si="163"/>
        <v>17</v>
      </c>
      <c r="Y191" s="327" cm="1">
        <f t="array" ref="Y191">_xlfn.IFS(报价场景=服务费底表!$AJ$2,服务费底表!$AJ191,报价场景=服务费底表!$AP$2,服务费底表!$AP191,报价场景=服务费底表!$AK$2,服务费底表!$AK191,报价场景=服务费底表!$AL$2,服务费底表!$AL191,报价场景=服务费底表!$AM$2,服务费底表!$AM191,报价场景=服务费底表!$AN$2,服务费底表!$AN191,报价场景=服务费底表!$AQ$2,服务费底表!$AQ191,报价场景=服务费底表!$AO$2,服务费底表!$AO191)</f>
        <v>17</v>
      </c>
      <c r="Z191" s="327"/>
      <c r="AA191" s="332">
        <f t="shared" si="164"/>
        <v>17</v>
      </c>
      <c r="AB191" s="333">
        <f t="shared" si="165"/>
        <v>5780</v>
      </c>
      <c r="AC191" s="328">
        <f t="shared" si="166"/>
        <v>68</v>
      </c>
      <c r="AD191" s="334">
        <f t="shared" si="167"/>
        <v>23120</v>
      </c>
      <c r="AE191" s="334">
        <f>$AB191*(1-INDEX(项目参数!$D$5:$D$14,MATCH(服务费底表!$S191,项目参数!$B$5:$B$14,0)))</f>
        <v>5780</v>
      </c>
      <c r="AF191" s="334">
        <f>$AD191*INDEX(项目参数!$D$5:$D$14,MATCH(服务费底表!$S191,项目参数!$B$5:$B$14,0))</f>
        <v>0</v>
      </c>
      <c r="AG191" s="334">
        <f t="shared" si="173"/>
        <v>23120</v>
      </c>
      <c r="AH191" s="328"/>
      <c r="AI191" s="328" t="s">
        <v>595</v>
      </c>
      <c r="AJ191" s="327">
        <f>项目时间计划!$I$32</f>
        <v>17</v>
      </c>
      <c r="AK191" s="327">
        <v>25</v>
      </c>
      <c r="AL191" s="327">
        <f t="shared" si="180"/>
        <v>17</v>
      </c>
      <c r="AM191" s="327">
        <v>17</v>
      </c>
      <c r="AN191" s="327">
        <v>17</v>
      </c>
      <c r="AO191" s="327">
        <v>17</v>
      </c>
      <c r="AP191" s="327">
        <v>17</v>
      </c>
      <c r="AQ191" s="327">
        <f t="shared" si="170"/>
        <v>25.5</v>
      </c>
      <c r="AR191" s="338"/>
      <c r="AS191" s="328">
        <f t="shared" si="181"/>
        <v>68</v>
      </c>
      <c r="AT191" s="328">
        <f t="shared" si="182"/>
        <v>68</v>
      </c>
      <c r="AU191" s="523">
        <v>17</v>
      </c>
      <c r="AV191" s="328"/>
      <c r="AW191" s="328"/>
      <c r="AX191" s="332">
        <v>17</v>
      </c>
      <c r="AY191" s="328" t="b">
        <f t="shared" si="151"/>
        <v>1</v>
      </c>
      <c r="AZ191" s="328" t="b">
        <f t="shared" si="152"/>
        <v>0</v>
      </c>
    </row>
    <row r="192" ht="27" customHeight="1" spans="1:52">
      <c r="A192" s="326" t="str">
        <f>INDEX('Rate Card'!$A:$A,MATCH(服务费底表!$T192,'Rate Card'!$F:$F,0))</f>
        <v>临床运营</v>
      </c>
      <c r="B192" s="327" t="str">
        <f>INDEX(二三级标准!$G:$G,MATCH(服务费底表!$K192,二三级标准!B:B,0))</f>
        <v>次</v>
      </c>
      <c r="C192" s="327">
        <f>INDEX(服务费明细!$E:$E,MATCH(服务费底表!$K192,服务费明细!$B:$B,0))</f>
        <v>4</v>
      </c>
      <c r="D192" s="327" t="str">
        <f t="shared" si="160"/>
        <v>A049PM</v>
      </c>
      <c r="E192" s="327" t="str">
        <f t="shared" si="161"/>
        <v>T0128PM</v>
      </c>
      <c r="F192" s="328"/>
      <c r="G192" s="328" t="s">
        <v>684</v>
      </c>
      <c r="H192" s="326" t="str">
        <f>INDEX('Rate Card'!$B:$B,MATCH(服务费底表!$T192,'Rate Card'!$F:$F,0))</f>
        <v>临床运营</v>
      </c>
      <c r="I192" s="328" t="s">
        <v>920</v>
      </c>
      <c r="J192" s="328" t="str">
        <f>INDEX(二三级标准!$Q:$Q,MATCH(服务费底表!I192,二三级标准!$O:$O,0))</f>
        <v>临床监查和中心管理</v>
      </c>
      <c r="K192" s="328" t="s">
        <v>203</v>
      </c>
      <c r="L192" s="328" t="str">
        <f>INDEX(二三级标准!C:C,MATCH(服务费底表!K192,二三级标准!$B:$B,0))</f>
        <v>数据清理访视</v>
      </c>
      <c r="M192" s="328" t="s">
        <v>1301</v>
      </c>
      <c r="N192" s="328" t="str">
        <f>INDEX(二三级标准!$M:$M,MATCH(服务费底表!$M192,二三级标准!$L:$L,0))</f>
        <v>数据清理访视报告审核</v>
      </c>
      <c r="O192" s="328"/>
      <c r="P192" s="327">
        <f>IF(R192=1,INDEX(服务费明细!$E:$E,MATCH(服务费底表!$K192,服务费明细!$B:$B,0)),0)</f>
        <v>4</v>
      </c>
      <c r="Q192" s="328" t="s">
        <v>1178</v>
      </c>
      <c r="R192" s="520">
        <f>IF(AND(数据清理访视YN=1,项目管理YN=1),1,0)</f>
        <v>1</v>
      </c>
      <c r="S192" s="525" t="str">
        <f>INDEX('Rate Card'!$D:$D,MATCH(服务费底表!$T192,'Rate Card'!F:F,0))</f>
        <v>项目管理</v>
      </c>
      <c r="T192" s="328" t="s">
        <v>599</v>
      </c>
      <c r="U192" s="522" t="str">
        <f>INDEX('Rate Card'!$E:$E,MATCH(服务费底表!$T192,'Rate Card'!$F:$F,0))</f>
        <v>临床项目经理</v>
      </c>
      <c r="V192" s="331">
        <f>INDEX('Rate Card'!$J:$J,MATCH($T192,'Rate Card'!$F:$F,0))</f>
        <v>650</v>
      </c>
      <c r="W192" s="523">
        <f t="shared" si="162"/>
        <v>650</v>
      </c>
      <c r="X192" s="523">
        <f t="shared" si="163"/>
        <v>2</v>
      </c>
      <c r="Y192" s="327" cm="1">
        <f t="array" ref="Y192">_xlfn.IFS(报价场景=服务费底表!$AJ$2,服务费底表!$AJ192,报价场景=服务费底表!$AP$2,服务费底表!$AP192,报价场景=服务费底表!$AK$2,服务费底表!$AK192,报价场景=服务费底表!$AL$2,服务费底表!$AL192,报价场景=服务费底表!$AM$2,服务费底表!$AM192,报价场景=服务费底表!$AN$2,服务费底表!$AN192,报价场景=服务费底表!$AQ$2,服务费底表!$AQ192,报价场景=服务费底表!$AO$2,服务费底表!$AO192)</f>
        <v>2</v>
      </c>
      <c r="Z192" s="327"/>
      <c r="AA192" s="332">
        <f t="shared" si="164"/>
        <v>2</v>
      </c>
      <c r="AB192" s="333">
        <f t="shared" si="165"/>
        <v>1300</v>
      </c>
      <c r="AC192" s="328">
        <f t="shared" si="166"/>
        <v>8</v>
      </c>
      <c r="AD192" s="334">
        <f t="shared" si="167"/>
        <v>5200</v>
      </c>
      <c r="AE192" s="334">
        <f>$AB192*(1-INDEX(项目参数!$D$5:$D$14,MATCH(服务费底表!$S192,项目参数!$B$5:$B$14,0)))</f>
        <v>1300</v>
      </c>
      <c r="AF192" s="334">
        <f>$AD192*INDEX(项目参数!$D$5:$D$14,MATCH(服务费底表!$S192,项目参数!$B$5:$B$14,0))</f>
        <v>0</v>
      </c>
      <c r="AG192" s="334">
        <f t="shared" si="173"/>
        <v>5200</v>
      </c>
      <c r="AH192" s="328"/>
      <c r="AI192" s="328" t="s">
        <v>599</v>
      </c>
      <c r="AJ192" s="327">
        <v>2</v>
      </c>
      <c r="AK192" s="327">
        <f t="shared" si="168"/>
        <v>3</v>
      </c>
      <c r="AL192" s="327">
        <f t="shared" si="180"/>
        <v>2</v>
      </c>
      <c r="AM192" s="327">
        <v>2</v>
      </c>
      <c r="AN192" s="327">
        <v>2</v>
      </c>
      <c r="AO192" s="327">
        <v>2</v>
      </c>
      <c r="AP192" s="327">
        <v>2</v>
      </c>
      <c r="AQ192" s="327">
        <f t="shared" si="170"/>
        <v>3</v>
      </c>
      <c r="AR192" s="338"/>
      <c r="AS192" s="328">
        <f t="shared" si="181"/>
        <v>8</v>
      </c>
      <c r="AT192" s="328">
        <f t="shared" si="182"/>
        <v>8</v>
      </c>
      <c r="AU192" s="523">
        <v>2</v>
      </c>
      <c r="AV192" s="328"/>
      <c r="AW192" s="328"/>
      <c r="AX192" s="332">
        <v>2</v>
      </c>
      <c r="AY192" s="328" t="b">
        <f t="shared" si="151"/>
        <v>1</v>
      </c>
      <c r="AZ192" s="328" t="b">
        <f t="shared" si="152"/>
        <v>0</v>
      </c>
    </row>
    <row r="193" ht="27" customHeight="1" spans="1:52">
      <c r="A193" s="326" t="str">
        <f>INDEX('Rate Card'!$A:$A,MATCH(服务费底表!$T193,'Rate Card'!$F:$F,0))</f>
        <v>临床运营</v>
      </c>
      <c r="B193" s="327" t="str">
        <f>INDEX(二三级标准!$G:$G,MATCH(服务费底表!$K193,二三级标准!B:B,0))</f>
        <v>份</v>
      </c>
      <c r="C193" s="327">
        <f>INDEX(服务费明细!$E:$E,MATCH(服务费底表!$K193,服务费明细!$B:$B,0))</f>
        <v>1</v>
      </c>
      <c r="D193" s="327" t="str">
        <f t="shared" ref="D193:D201" si="183">K193&amp;T193</f>
        <v>A050CRA</v>
      </c>
      <c r="E193" s="327" t="str">
        <f t="shared" ref="E193:E201" si="184">M193&amp;T193</f>
        <v>T0129CRA</v>
      </c>
      <c r="F193" s="328"/>
      <c r="G193" s="328" t="s">
        <v>684</v>
      </c>
      <c r="H193" s="326" t="str">
        <f>INDEX('Rate Card'!$B:$B,MATCH(服务费底表!$T193,'Rate Card'!$F:$F,0))</f>
        <v>临床运营</v>
      </c>
      <c r="I193" s="328" t="s">
        <v>920</v>
      </c>
      <c r="J193" s="328" t="str">
        <f>INDEX(二三级标准!$Q:$Q,MATCH(服务费底表!I193,二三级标准!$O:$O,0))</f>
        <v>临床监查和中心管理</v>
      </c>
      <c r="K193" s="328" t="s">
        <v>205</v>
      </c>
      <c r="L193" s="328" t="str">
        <f>INDEX(二三级标准!C:C,MATCH(服务费底表!K193,二三级标准!$B:$B,0))</f>
        <v>总结报告CSR中心签字和盖章</v>
      </c>
      <c r="M193" s="328" t="s">
        <v>1302</v>
      </c>
      <c r="N193" s="328" t="str">
        <f>INDEX(二三级标准!$M:$M,MATCH(服务费底表!$M193,二三级标准!$L:$L,0))</f>
        <v>总结报告CSR研究中心签字和盖章</v>
      </c>
      <c r="O193" s="328"/>
      <c r="P193" s="327">
        <f>IF(R193=1,INDEX(服务费明细!$E:$E,MATCH(服务费底表!$K193,服务费明细!$B:$B,0)),0)</f>
        <v>1</v>
      </c>
      <c r="Q193" s="328" t="s">
        <v>1178</v>
      </c>
      <c r="R193" s="520">
        <f>IF(AND(总结报告CSR中心签章YN=1,临床监查YN=1),1,0)</f>
        <v>1</v>
      </c>
      <c r="S193" s="525" t="str">
        <f>INDEX('Rate Card'!$D:$D,MATCH(服务费底表!$T193,'Rate Card'!F:F,0))</f>
        <v>临床监查</v>
      </c>
      <c r="T193" s="328" t="s">
        <v>595</v>
      </c>
      <c r="U193" s="522" t="str">
        <f>INDEX('Rate Card'!$E:$E,MATCH(服务费底表!$T193,'Rate Card'!$F:$F,0))</f>
        <v>临床监查员</v>
      </c>
      <c r="V193" s="331">
        <f>INDEX('Rate Card'!$J:$J,MATCH($T193,'Rate Card'!$F:$F,0))</f>
        <v>340</v>
      </c>
      <c r="W193" s="523">
        <f t="shared" si="162"/>
        <v>340</v>
      </c>
      <c r="X193" s="523">
        <f t="shared" si="163"/>
        <v>8</v>
      </c>
      <c r="Y193" s="327" cm="1">
        <f t="array" ref="Y193">_xlfn.IFS(报价场景=服务费底表!$AJ$2,服务费底表!$AJ193,报价场景=服务费底表!$AP$2,服务费底表!$AP193,报价场景=服务费底表!$AK$2,服务费底表!$AK193,报价场景=服务费底表!$AL$2,服务费底表!$AL193,报价场景=服务费底表!$AM$2,服务费底表!$AM193,报价场景=服务费底表!$AN$2,服务费底表!$AN193,报价场景=服务费底表!$AQ$2,服务费底表!$AQ193,报价场景=服务费底表!$AO$2,服务费底表!$AO193)</f>
        <v>8</v>
      </c>
      <c r="Z193" s="327"/>
      <c r="AA193" s="332">
        <f t="shared" ref="AA193:AA215" si="185">IF(ISBLANK($Z193),$Y193,$Z193)</f>
        <v>8</v>
      </c>
      <c r="AB193" s="333">
        <f t="shared" ref="AB193:AB201" si="186">IFERROR(AD193/P193,0)</f>
        <v>2720</v>
      </c>
      <c r="AC193" s="328">
        <f t="shared" ref="AC193:AC201" si="187">AA193*P193*R193</f>
        <v>8</v>
      </c>
      <c r="AD193" s="334">
        <f t="shared" ref="AD193:AD201" si="188">AC193*V193</f>
        <v>2720</v>
      </c>
      <c r="AE193" s="334">
        <f>$AB193*(1-INDEX(项目参数!$D$5:$D$14,MATCH(服务费底表!$S193,项目参数!$B$5:$B$14,0)))</f>
        <v>2720</v>
      </c>
      <c r="AF193" s="334">
        <f>$AD193*INDEX(项目参数!$D$5:$D$14,MATCH(服务费底表!$S193,项目参数!$B$5:$B$14,0))</f>
        <v>0</v>
      </c>
      <c r="AG193" s="334">
        <f t="shared" ref="AG193:AG201" si="189">AD193-AF193</f>
        <v>2720</v>
      </c>
      <c r="AH193" s="328"/>
      <c r="AI193" s="328" t="s">
        <v>595</v>
      </c>
      <c r="AJ193" s="327">
        <v>8</v>
      </c>
      <c r="AK193" s="327">
        <f t="shared" si="168"/>
        <v>12</v>
      </c>
      <c r="AL193" s="327">
        <f t="shared" si="180"/>
        <v>5.5</v>
      </c>
      <c r="AM193" s="327">
        <v>5.5</v>
      </c>
      <c r="AN193" s="327">
        <f>AJ193</f>
        <v>8</v>
      </c>
      <c r="AO193" s="327">
        <f>AL193</f>
        <v>5.5</v>
      </c>
      <c r="AP193" s="327">
        <v>8</v>
      </c>
      <c r="AQ193" s="327">
        <f t="shared" si="170"/>
        <v>12</v>
      </c>
      <c r="AR193" s="338"/>
      <c r="AS193" s="328">
        <f t="shared" ref="AS193:AS215" si="190">AC193</f>
        <v>8</v>
      </c>
      <c r="AT193" s="328">
        <f t="shared" ref="AT193:AT215" si="191">Y193*P193</f>
        <v>8</v>
      </c>
      <c r="AU193" s="523">
        <v>8</v>
      </c>
      <c r="AV193" s="328"/>
      <c r="AW193" s="328"/>
      <c r="AX193" s="332">
        <v>8</v>
      </c>
      <c r="AY193" s="328" t="b">
        <f t="shared" si="151"/>
        <v>1</v>
      </c>
      <c r="AZ193" s="328" t="b">
        <f t="shared" si="152"/>
        <v>1</v>
      </c>
    </row>
    <row r="194" ht="27" customHeight="1" spans="1:52">
      <c r="A194" s="326" t="str">
        <f>INDEX('Rate Card'!$A:$A,MATCH(服务费底表!$T194,'Rate Card'!$F:$F,0))</f>
        <v>临床运营</v>
      </c>
      <c r="B194" s="327" t="str">
        <f>INDEX(二三级标准!$G:$G,MATCH(服务费底表!$K194,二三级标准!B:B,0))</f>
        <v>次</v>
      </c>
      <c r="C194" s="327">
        <f>INDEX(服务费明细!$E:$E,MATCH(服务费底表!$K194,服务费明细!$B:$B,0))</f>
        <v>4</v>
      </c>
      <c r="D194" s="327" t="str">
        <f t="shared" si="183"/>
        <v>A051CRA</v>
      </c>
      <c r="E194" s="327" t="str">
        <f t="shared" si="184"/>
        <v>T0130CRA</v>
      </c>
      <c r="F194" s="328"/>
      <c r="G194" s="328" t="s">
        <v>684</v>
      </c>
      <c r="H194" s="326" t="str">
        <f>INDEX('Rate Card'!$B:$B,MATCH(服务费底表!$T194,'Rate Card'!$F:$F,0))</f>
        <v>临床运营</v>
      </c>
      <c r="I194" s="328" t="s">
        <v>920</v>
      </c>
      <c r="J194" s="328" t="str">
        <f>INDEX(二三级标准!$Q:$Q,MATCH(服务费底表!I194,二三级标准!$O:$O,0))</f>
        <v>临床监查和中心管理</v>
      </c>
      <c r="K194" s="328" t="s">
        <v>207</v>
      </c>
      <c r="L194" s="328" t="str">
        <f>INDEX(二三级标准!C:C,MATCH(服务费底表!K194,二三级标准!$B:$B,0))</f>
        <v>关闭访视</v>
      </c>
      <c r="M194" s="328" t="s">
        <v>1303</v>
      </c>
      <c r="N194" s="328" t="str">
        <f>INDEX(二三级标准!$M:$M,MATCH(服务费底表!$M194,二三级标准!$L:$L,0))</f>
        <v>准备关闭访视</v>
      </c>
      <c r="O194" s="328"/>
      <c r="P194" s="327">
        <f>IF(R194=1,INDEX(服务费明细!$E:$E,MATCH(服务费底表!$K194,服务费明细!$B:$B,0)),0)</f>
        <v>4</v>
      </c>
      <c r="Q194" s="328" t="s">
        <v>1178</v>
      </c>
      <c r="R194" s="520">
        <f>IF(AND(关闭访视YN=1,临床监查YN=1),1,0)</f>
        <v>1</v>
      </c>
      <c r="S194" s="525" t="str">
        <f>INDEX('Rate Card'!$D:$D,MATCH(服务费底表!$T194,'Rate Card'!F:F,0))</f>
        <v>临床监查</v>
      </c>
      <c r="T194" s="328" t="s">
        <v>595</v>
      </c>
      <c r="U194" s="522" t="str">
        <f>INDEX('Rate Card'!$E:$E,MATCH(服务费底表!$T194,'Rate Card'!$F:$F,0))</f>
        <v>临床监查员</v>
      </c>
      <c r="V194" s="331">
        <f>INDEX('Rate Card'!$J:$J,MATCH($T194,'Rate Card'!$F:$F,0))</f>
        <v>340</v>
      </c>
      <c r="W194" s="523">
        <f t="shared" si="162"/>
        <v>340</v>
      </c>
      <c r="X194" s="523">
        <f t="shared" si="163"/>
        <v>4</v>
      </c>
      <c r="Y194" s="327" cm="1">
        <f t="array" ref="Y194">_xlfn.IFS(报价场景=服务费底表!$AJ$2,服务费底表!$AJ194,报价场景=服务费底表!$AP$2,服务费底表!$AP194,报价场景=服务费底表!$AK$2,服务费底表!$AK194,报价场景=服务费底表!$AL$2,服务费底表!$AL194,报价场景=服务费底表!$AM$2,服务费底表!$AM194,报价场景=服务费底表!$AN$2,服务费底表!$AN194,报价场景=服务费底表!$AQ$2,服务费底表!$AQ194,报价场景=服务费底表!$AO$2,服务费底表!$AO194)</f>
        <v>4</v>
      </c>
      <c r="Z194" s="327"/>
      <c r="AA194" s="332">
        <f t="shared" si="185"/>
        <v>4</v>
      </c>
      <c r="AB194" s="333">
        <f t="shared" si="186"/>
        <v>1360</v>
      </c>
      <c r="AC194" s="328">
        <f t="shared" si="187"/>
        <v>16</v>
      </c>
      <c r="AD194" s="334">
        <f t="shared" si="188"/>
        <v>5440</v>
      </c>
      <c r="AE194" s="334">
        <f>$AB194*(1-INDEX(项目参数!$D$5:$D$14,MATCH(服务费底表!$S194,项目参数!$B$5:$B$14,0)))</f>
        <v>1360</v>
      </c>
      <c r="AF194" s="334">
        <f>$AD194*INDEX(项目参数!$D$5:$D$14,MATCH(服务费底表!$S194,项目参数!$B$5:$B$14,0))</f>
        <v>0</v>
      </c>
      <c r="AG194" s="334">
        <f t="shared" si="189"/>
        <v>5440</v>
      </c>
      <c r="AH194" s="328"/>
      <c r="AI194" s="328" t="s">
        <v>595</v>
      </c>
      <c r="AJ194" s="327">
        <v>4</v>
      </c>
      <c r="AK194" s="327">
        <f t="shared" si="168"/>
        <v>6</v>
      </c>
      <c r="AL194" s="327">
        <f t="shared" si="180"/>
        <v>4</v>
      </c>
      <c r="AM194" s="327">
        <v>4</v>
      </c>
      <c r="AN194" s="327">
        <v>4</v>
      </c>
      <c r="AO194" s="327">
        <v>4</v>
      </c>
      <c r="AP194" s="327">
        <v>2</v>
      </c>
      <c r="AQ194" s="327">
        <f t="shared" si="170"/>
        <v>6</v>
      </c>
      <c r="AR194" s="338"/>
      <c r="AS194" s="328">
        <f t="shared" si="190"/>
        <v>16</v>
      </c>
      <c r="AT194" s="328">
        <f t="shared" si="191"/>
        <v>16</v>
      </c>
      <c r="AU194" s="523">
        <v>4</v>
      </c>
      <c r="AV194" s="328"/>
      <c r="AW194" s="328"/>
      <c r="AX194" s="332">
        <v>4</v>
      </c>
      <c r="AY194" s="328" t="b">
        <f t="shared" si="151"/>
        <v>1</v>
      </c>
      <c r="AZ194" s="328" t="b">
        <f t="shared" si="152"/>
        <v>0</v>
      </c>
    </row>
    <row r="195" ht="27" customHeight="1" spans="1:52">
      <c r="A195" s="326" t="str">
        <f>INDEX('Rate Card'!$A:$A,MATCH(服务费底表!$T195,'Rate Card'!$F:$F,0))</f>
        <v>临床运营</v>
      </c>
      <c r="B195" s="327" t="str">
        <f>INDEX(二三级标准!$G:$G,MATCH(服务费底表!$K195,二三级标准!B:B,0))</f>
        <v>次</v>
      </c>
      <c r="C195" s="327">
        <f>INDEX(服务费明细!$E:$E,MATCH(服务费底表!$K195,服务费明细!$B:$B,0))</f>
        <v>4</v>
      </c>
      <c r="D195" s="327" t="str">
        <f t="shared" si="183"/>
        <v>A051CRA</v>
      </c>
      <c r="E195" s="327" t="str">
        <f t="shared" si="184"/>
        <v>T0131CRA</v>
      </c>
      <c r="F195" s="328"/>
      <c r="G195" s="328" t="s">
        <v>684</v>
      </c>
      <c r="H195" s="326" t="str">
        <f>INDEX('Rate Card'!$B:$B,MATCH(服务费底表!$T195,'Rate Card'!$F:$F,0))</f>
        <v>临床运营</v>
      </c>
      <c r="I195" s="328" t="s">
        <v>920</v>
      </c>
      <c r="J195" s="328" t="str">
        <f>INDEX(二三级标准!$Q:$Q,MATCH(服务费底表!I195,二三级标准!$O:$O,0))</f>
        <v>临床监查和中心管理</v>
      </c>
      <c r="K195" s="328" t="s">
        <v>207</v>
      </c>
      <c r="L195" s="328" t="str">
        <f>INDEX(二三级标准!C:C,MATCH(服务费底表!K195,二三级标准!$B:$B,0))</f>
        <v>关闭访视</v>
      </c>
      <c r="M195" s="328" t="s">
        <v>1304</v>
      </c>
      <c r="N195" s="328" t="str">
        <f>INDEX(二三级标准!$M:$M,MATCH(服务费底表!$M195,二三级标准!$L:$L,0))</f>
        <v>关闭访视及撰写报告</v>
      </c>
      <c r="O195" s="328"/>
      <c r="P195" s="327">
        <f>IF(R195=1,INDEX(服务费明细!$E:$E,MATCH(服务费底表!$K195,服务费明细!$B:$B,0)),0)</f>
        <v>4</v>
      </c>
      <c r="Q195" s="328" t="s">
        <v>1178</v>
      </c>
      <c r="R195" s="520">
        <f>IF(AND(关闭访视YN=1,临床监查YN=1),1,0)</f>
        <v>1</v>
      </c>
      <c r="S195" s="525" t="str">
        <f>INDEX('Rate Card'!$D:$D,MATCH(服务费底表!$T195,'Rate Card'!F:F,0))</f>
        <v>临床监查</v>
      </c>
      <c r="T195" s="328" t="s">
        <v>595</v>
      </c>
      <c r="U195" s="522" t="str">
        <f>INDEX('Rate Card'!$E:$E,MATCH(服务费底表!$T195,'Rate Card'!$F:$F,0))</f>
        <v>临床监查员</v>
      </c>
      <c r="V195" s="331">
        <f>INDEX('Rate Card'!$J:$J,MATCH($T195,'Rate Card'!$F:$F,0))</f>
        <v>340</v>
      </c>
      <c r="W195" s="523">
        <f t="shared" si="162"/>
        <v>340</v>
      </c>
      <c r="X195" s="523">
        <f t="shared" si="163"/>
        <v>32</v>
      </c>
      <c r="Y195" s="327" cm="1">
        <f t="array" ref="Y195">_xlfn.IFS(报价场景=服务费底表!$AJ$2,服务费底表!$AJ195,报价场景=服务费底表!$AP$2,服务费底表!$AP195,报价场景=服务费底表!$AK$2,服务费底表!$AK195,报价场景=服务费底表!$AL$2,服务费底表!$AL195,报价场景=服务费底表!$AM$2,服务费底表!$AM195,报价场景=服务费底表!$AN$2,服务费底表!$AN195,报价场景=服务费底表!$AQ$2,服务费底表!$AQ195,报价场景=服务费底表!$AO$2,服务费底表!$AO195)</f>
        <v>32</v>
      </c>
      <c r="Z195" s="327"/>
      <c r="AA195" s="332">
        <f t="shared" si="185"/>
        <v>32</v>
      </c>
      <c r="AB195" s="333">
        <f t="shared" si="186"/>
        <v>10880</v>
      </c>
      <c r="AC195" s="328">
        <f t="shared" si="187"/>
        <v>128</v>
      </c>
      <c r="AD195" s="334">
        <f t="shared" si="188"/>
        <v>43520</v>
      </c>
      <c r="AE195" s="334">
        <f>$AB195*(1-INDEX(项目参数!$D$5:$D$14,MATCH(服务费底表!$S195,项目参数!$B$5:$B$14,0)))</f>
        <v>10880</v>
      </c>
      <c r="AF195" s="334">
        <f>$AD195*INDEX(项目参数!$D$5:$D$14,MATCH(服务费底表!$S195,项目参数!$B$5:$B$14,0))</f>
        <v>0</v>
      </c>
      <c r="AG195" s="334">
        <f t="shared" si="189"/>
        <v>43520</v>
      </c>
      <c r="AH195" s="328"/>
      <c r="AI195" s="328" t="s">
        <v>595</v>
      </c>
      <c r="AJ195" s="327">
        <v>32</v>
      </c>
      <c r="AK195" s="327">
        <f t="shared" si="168"/>
        <v>48</v>
      </c>
      <c r="AL195" s="327">
        <f t="shared" si="180"/>
        <v>32</v>
      </c>
      <c r="AM195" s="327">
        <v>32</v>
      </c>
      <c r="AN195" s="327">
        <v>32</v>
      </c>
      <c r="AO195" s="327">
        <v>32</v>
      </c>
      <c r="AP195" s="327">
        <v>26</v>
      </c>
      <c r="AQ195" s="327">
        <f t="shared" si="170"/>
        <v>48</v>
      </c>
      <c r="AR195" s="338"/>
      <c r="AS195" s="328">
        <f t="shared" si="190"/>
        <v>128</v>
      </c>
      <c r="AT195" s="328">
        <f t="shared" si="191"/>
        <v>128</v>
      </c>
      <c r="AU195" s="523">
        <v>32</v>
      </c>
      <c r="AV195" s="328"/>
      <c r="AW195" s="328"/>
      <c r="AX195" s="332">
        <v>32</v>
      </c>
      <c r="AY195" s="328" t="b">
        <f t="shared" si="151"/>
        <v>1</v>
      </c>
      <c r="AZ195" s="328" t="b">
        <f t="shared" si="152"/>
        <v>0</v>
      </c>
    </row>
    <row r="196" ht="27" customHeight="1" spans="1:52">
      <c r="A196" s="326" t="str">
        <f>INDEX('Rate Card'!$A:$A,MATCH(服务费底表!$T196,'Rate Card'!$F:$F,0))</f>
        <v>临床运营</v>
      </c>
      <c r="B196" s="327" t="str">
        <f>INDEX(二三级标准!$G:$G,MATCH(服务费底表!$K196,二三级标准!B:B,0))</f>
        <v>次</v>
      </c>
      <c r="C196" s="327">
        <f>INDEX(服务费明细!$E:$E,MATCH(服务费底表!$K196,服务费明细!$B:$B,0))</f>
        <v>4</v>
      </c>
      <c r="D196" s="327" t="str">
        <f t="shared" si="183"/>
        <v>A051PM</v>
      </c>
      <c r="E196" s="327" t="str">
        <f t="shared" si="184"/>
        <v>T0132PM</v>
      </c>
      <c r="F196" s="328"/>
      <c r="G196" s="328" t="s">
        <v>684</v>
      </c>
      <c r="H196" s="326" t="str">
        <f>INDEX('Rate Card'!$B:$B,MATCH(服务费底表!$T196,'Rate Card'!$F:$F,0))</f>
        <v>临床运营</v>
      </c>
      <c r="I196" s="328" t="s">
        <v>920</v>
      </c>
      <c r="J196" s="328" t="str">
        <f>INDEX(二三级标准!$Q:$Q,MATCH(服务费底表!I196,二三级标准!$O:$O,0))</f>
        <v>临床监查和中心管理</v>
      </c>
      <c r="K196" s="328" t="s">
        <v>207</v>
      </c>
      <c r="L196" s="328" t="str">
        <f>INDEX(二三级标准!C:C,MATCH(服务费底表!K196,二三级标准!$B:$B,0))</f>
        <v>关闭访视</v>
      </c>
      <c r="M196" s="328" t="s">
        <v>1305</v>
      </c>
      <c r="N196" s="328" t="str">
        <f>INDEX(二三级标准!$M:$M,MATCH(服务费底表!$M196,二三级标准!$L:$L,0))</f>
        <v>关闭访视报告审核</v>
      </c>
      <c r="O196" s="328"/>
      <c r="P196" s="327">
        <f>IF(R196=1,INDEX(服务费明细!$E:$E,MATCH(服务费底表!$K196,服务费明细!$B:$B,0)),0)</f>
        <v>4</v>
      </c>
      <c r="Q196" s="328" t="s">
        <v>1178</v>
      </c>
      <c r="R196" s="520">
        <f>IF(AND(关闭访视YN=1,项目管理YN=1),1,0)</f>
        <v>1</v>
      </c>
      <c r="S196" s="525" t="str">
        <f>INDEX('Rate Card'!$D:$D,MATCH(服务费底表!$T196,'Rate Card'!F:F,0))</f>
        <v>项目管理</v>
      </c>
      <c r="T196" s="328" t="s">
        <v>599</v>
      </c>
      <c r="U196" s="522" t="str">
        <f>INDEX('Rate Card'!$E:$E,MATCH(服务费底表!$T196,'Rate Card'!$F:$F,0))</f>
        <v>临床项目经理</v>
      </c>
      <c r="V196" s="331">
        <f>INDEX('Rate Card'!$J:$J,MATCH($T196,'Rate Card'!$F:$F,0))</f>
        <v>650</v>
      </c>
      <c r="W196" s="523">
        <f t="shared" si="162"/>
        <v>650</v>
      </c>
      <c r="X196" s="523">
        <f t="shared" si="163"/>
        <v>2</v>
      </c>
      <c r="Y196" s="327" cm="1">
        <f t="array" ref="Y196">_xlfn.IFS(报价场景=服务费底表!$AJ$2,服务费底表!$AJ196,报价场景=服务费底表!$AP$2,服务费底表!$AP196,报价场景=服务费底表!$AK$2,服务费底表!$AK196,报价场景=服务费底表!$AL$2,服务费底表!$AL196,报价场景=服务费底表!$AM$2,服务费底表!$AM196,报价场景=服务费底表!$AN$2,服务费底表!$AN196,报价场景=服务费底表!$AQ$2,服务费底表!$AQ196,报价场景=服务费底表!$AO$2,服务费底表!$AO196)</f>
        <v>2</v>
      </c>
      <c r="Z196" s="327"/>
      <c r="AA196" s="332">
        <f t="shared" si="185"/>
        <v>2</v>
      </c>
      <c r="AB196" s="333">
        <f t="shared" si="186"/>
        <v>1300</v>
      </c>
      <c r="AC196" s="328">
        <f t="shared" si="187"/>
        <v>8</v>
      </c>
      <c r="AD196" s="334">
        <f t="shared" si="188"/>
        <v>5200</v>
      </c>
      <c r="AE196" s="334">
        <f>$AB196*(1-INDEX(项目参数!$D$5:$D$14,MATCH(服务费底表!$S196,项目参数!$B$5:$B$14,0)))</f>
        <v>1300</v>
      </c>
      <c r="AF196" s="334">
        <f>$AD196*INDEX(项目参数!$D$5:$D$14,MATCH(服务费底表!$S196,项目参数!$B$5:$B$14,0))</f>
        <v>0</v>
      </c>
      <c r="AG196" s="334">
        <f t="shared" si="189"/>
        <v>5200</v>
      </c>
      <c r="AH196" s="328"/>
      <c r="AI196" s="328" t="s">
        <v>599</v>
      </c>
      <c r="AJ196" s="327">
        <v>2</v>
      </c>
      <c r="AK196" s="327">
        <f t="shared" si="168"/>
        <v>3</v>
      </c>
      <c r="AL196" s="327">
        <f t="shared" si="180"/>
        <v>2</v>
      </c>
      <c r="AM196" s="327">
        <v>2</v>
      </c>
      <c r="AN196" s="327">
        <v>2</v>
      </c>
      <c r="AO196" s="327">
        <v>2</v>
      </c>
      <c r="AP196" s="327">
        <v>2</v>
      </c>
      <c r="AQ196" s="327">
        <f t="shared" si="170"/>
        <v>3</v>
      </c>
      <c r="AR196" s="338"/>
      <c r="AS196" s="328">
        <f t="shared" si="190"/>
        <v>8</v>
      </c>
      <c r="AT196" s="328">
        <f t="shared" si="191"/>
        <v>8</v>
      </c>
      <c r="AU196" s="523">
        <v>2</v>
      </c>
      <c r="AV196" s="328"/>
      <c r="AW196" s="328"/>
      <c r="AX196" s="332">
        <v>2</v>
      </c>
      <c r="AY196" s="328" t="b">
        <f t="shared" ref="AY196:AY259" si="192">IF(AX196=AJ196,TRUE,FALSE)</f>
        <v>1</v>
      </c>
      <c r="AZ196" s="328" t="b">
        <f t="shared" ref="AZ196:AZ259" si="193">IF(K196&lt;&gt;K195,IF(AZ195=TRUE,FALSE,TRUE),AZ195)</f>
        <v>0</v>
      </c>
    </row>
    <row r="197" ht="27" customHeight="1" spans="1:52">
      <c r="A197" s="326" t="str">
        <f>INDEX('Rate Card'!$A:$A,MATCH(服务费底表!$T197,'Rate Card'!$F:$F,0))</f>
        <v>临床运营</v>
      </c>
      <c r="B197" s="327" t="str">
        <f>INDEX(二三级标准!$G:$G,MATCH(服务费底表!$K197,二三级标准!B:B,0))</f>
        <v>份</v>
      </c>
      <c r="C197" s="327">
        <f>INDEX(服务费明细!$E:$E,MATCH(服务费底表!$K197,服务费明细!$B:$B,0))</f>
        <v>1</v>
      </c>
      <c r="D197" s="327" t="str">
        <f t="shared" si="183"/>
        <v>A052PM</v>
      </c>
      <c r="E197" s="327" t="str">
        <f t="shared" si="184"/>
        <v>T0133PM</v>
      </c>
      <c r="F197" s="328"/>
      <c r="G197" s="328" t="s">
        <v>684</v>
      </c>
      <c r="H197" s="326" t="str">
        <f>INDEX('Rate Card'!$B:$B,MATCH(服务费底表!$T197,'Rate Card'!$F:$F,0))</f>
        <v>临床运营</v>
      </c>
      <c r="I197" s="328" t="s">
        <v>921</v>
      </c>
      <c r="J197" s="328" t="str">
        <f>INDEX(二三级标准!$Q:$Q,MATCH(服务费底表!I197,二三级标准!$O:$O,0))</f>
        <v>项目管理</v>
      </c>
      <c r="K197" s="328" t="s">
        <v>209</v>
      </c>
      <c r="L197" s="328" t="str">
        <f>INDEX(二三级标准!C:C,MATCH(服务费底表!K197,二三级标准!$B:$B,0))</f>
        <v>项目管理计划PMP撰写</v>
      </c>
      <c r="M197" s="328" t="s">
        <v>1306</v>
      </c>
      <c r="N197" s="328" t="str">
        <f>INDEX(二三级标准!$M:$M,MATCH(服务费底表!$M197,二三级标准!$L:$L,0))</f>
        <v>服务范围和时间计划撰写和审核</v>
      </c>
      <c r="O197" s="328"/>
      <c r="P197" s="327">
        <f>IF(R197=1,INDEX(服务费明细!$E:$E,MATCH(服务费底表!$K197,服务费明细!$B:$B,0)),0)</f>
        <v>1</v>
      </c>
      <c r="Q197" s="328" t="s">
        <v>1176</v>
      </c>
      <c r="R197" s="520">
        <f>IF(AND(PMP撰写YN=1,项目管理YN=1),1,0)</f>
        <v>1</v>
      </c>
      <c r="S197" s="525" t="str">
        <f>INDEX('Rate Card'!$D:$D,MATCH(服务费底表!$T197,'Rate Card'!F:F,0))</f>
        <v>项目管理</v>
      </c>
      <c r="T197" s="328" t="s">
        <v>599</v>
      </c>
      <c r="U197" s="522" t="str">
        <f>INDEX('Rate Card'!$E:$E,MATCH(服务费底表!$T197,'Rate Card'!$F:$F,0))</f>
        <v>临床项目经理</v>
      </c>
      <c r="V197" s="331">
        <f>INDEX('Rate Card'!$J:$J,MATCH($T197,'Rate Card'!$F:$F,0))</f>
        <v>650</v>
      </c>
      <c r="W197" s="523">
        <f t="shared" si="162"/>
        <v>650</v>
      </c>
      <c r="X197" s="523">
        <f t="shared" si="163"/>
        <v>8</v>
      </c>
      <c r="Y197" s="327" cm="1">
        <f t="array" ref="Y197">_xlfn.IFS(报价场景=服务费底表!$AJ$2,服务费底表!$AJ197,报价场景=服务费底表!$AP$2,服务费底表!$AP197,报价场景=服务费底表!$AK$2,服务费底表!$AK197,报价场景=服务费底表!$AL$2,服务费底表!$AL197,报价场景=服务费底表!$AM$2,服务费底表!$AM197,报价场景=服务费底表!$AN$2,服务费底表!$AN197,报价场景=服务费底表!$AQ$2,服务费底表!$AQ197,报价场景=服务费底表!$AO$2,服务费底表!$AO197)</f>
        <v>8</v>
      </c>
      <c r="Z197" s="327"/>
      <c r="AA197" s="332">
        <f t="shared" si="185"/>
        <v>8</v>
      </c>
      <c r="AB197" s="333">
        <f t="shared" si="186"/>
        <v>5200</v>
      </c>
      <c r="AC197" s="328">
        <f t="shared" si="187"/>
        <v>8</v>
      </c>
      <c r="AD197" s="334">
        <f t="shared" si="188"/>
        <v>5200</v>
      </c>
      <c r="AE197" s="334">
        <f>$AB197*(1-INDEX(项目参数!$D$5:$D$14,MATCH(服务费底表!$S197,项目参数!$B$5:$B$14,0)))</f>
        <v>5200</v>
      </c>
      <c r="AF197" s="334">
        <f>$AD197*INDEX(项目参数!$D$5:$D$14,MATCH(服务费底表!$S197,项目参数!$B$5:$B$14,0))</f>
        <v>0</v>
      </c>
      <c r="AG197" s="334">
        <f t="shared" si="189"/>
        <v>5200</v>
      </c>
      <c r="AH197" s="328"/>
      <c r="AI197" s="328" t="s">
        <v>599</v>
      </c>
      <c r="AJ197" s="327">
        <v>8</v>
      </c>
      <c r="AK197" s="327">
        <f t="shared" si="168"/>
        <v>12</v>
      </c>
      <c r="AL197" s="327">
        <f t="shared" si="180"/>
        <v>5.5</v>
      </c>
      <c r="AM197" s="327">
        <v>5.5</v>
      </c>
      <c r="AN197" s="327">
        <f t="shared" ref="AN197:AN212" si="194">AJ197</f>
        <v>8</v>
      </c>
      <c r="AO197" s="327">
        <f t="shared" ref="AO197:AO212" si="195">AL197</f>
        <v>5.5</v>
      </c>
      <c r="AP197" s="327">
        <v>8</v>
      </c>
      <c r="AQ197" s="327">
        <f t="shared" si="170"/>
        <v>12</v>
      </c>
      <c r="AR197" s="338"/>
      <c r="AS197" s="328">
        <f t="shared" si="190"/>
        <v>8</v>
      </c>
      <c r="AT197" s="328">
        <f t="shared" si="191"/>
        <v>8</v>
      </c>
      <c r="AU197" s="523">
        <v>8</v>
      </c>
      <c r="AV197" s="328"/>
      <c r="AW197" s="328"/>
      <c r="AX197" s="332">
        <v>8</v>
      </c>
      <c r="AY197" s="328" t="b">
        <f t="shared" si="192"/>
        <v>1</v>
      </c>
      <c r="AZ197" s="328" t="b">
        <f t="shared" si="193"/>
        <v>1</v>
      </c>
    </row>
    <row r="198" ht="27" customHeight="1" spans="1:52">
      <c r="A198" s="326" t="str">
        <f>INDEX('Rate Card'!$A:$A,MATCH(服务费底表!$T198,'Rate Card'!$F:$F,0))</f>
        <v>临床运营</v>
      </c>
      <c r="B198" s="327" t="str">
        <f>INDEX(二三级标准!$G:$G,MATCH(服务费底表!$K198,二三级标准!B:B,0))</f>
        <v>份</v>
      </c>
      <c r="C198" s="327">
        <f>INDEX(服务费明细!$E:$E,MATCH(服务费底表!$K198,服务费明细!$B:$B,0))</f>
        <v>1</v>
      </c>
      <c r="D198" s="327" t="str">
        <f t="shared" si="183"/>
        <v>A052PMD</v>
      </c>
      <c r="E198" s="327" t="str">
        <f t="shared" si="184"/>
        <v>T0133PMD</v>
      </c>
      <c r="F198" s="328"/>
      <c r="G198" s="328" t="s">
        <v>684</v>
      </c>
      <c r="H198" s="326" t="str">
        <f>INDEX('Rate Card'!$B:$B,MATCH(服务费底表!$T198,'Rate Card'!$F:$F,0))</f>
        <v>临床运营</v>
      </c>
      <c r="I198" s="328" t="s">
        <v>921</v>
      </c>
      <c r="J198" s="328" t="str">
        <f>INDEX(二三级标准!$Q:$Q,MATCH(服务费底表!I198,二三级标准!$O:$O,0))</f>
        <v>项目管理</v>
      </c>
      <c r="K198" s="328" t="s">
        <v>209</v>
      </c>
      <c r="L198" s="328" t="str">
        <f>INDEX(二三级标准!C:C,MATCH(服务费底表!K198,二三级标准!$B:$B,0))</f>
        <v>项目管理计划PMP撰写</v>
      </c>
      <c r="M198" s="328" t="s">
        <v>1306</v>
      </c>
      <c r="N198" s="328" t="str">
        <f>INDEX(二三级标准!$M:$M,MATCH(服务费底表!$M198,二三级标准!$L:$L,0))</f>
        <v>服务范围和时间计划撰写和审核</v>
      </c>
      <c r="O198" s="328"/>
      <c r="P198" s="327">
        <f>IF(R198=1,INDEX(服务费明细!$E:$E,MATCH(服务费底表!$K198,服务费明细!$B:$B,0)),0)</f>
        <v>1</v>
      </c>
      <c r="Q198" s="328" t="s">
        <v>1176</v>
      </c>
      <c r="R198" s="520">
        <f>IF(AND(PMP撰写YN=1,项目管理YN=1),1,0)</f>
        <v>1</v>
      </c>
      <c r="S198" s="525" t="str">
        <f>INDEX('Rate Card'!$D:$D,MATCH(服务费底表!$T198,'Rate Card'!F:F,0))</f>
        <v>项目管理</v>
      </c>
      <c r="T198" s="328" t="s">
        <v>601</v>
      </c>
      <c r="U198" s="522" t="str">
        <f>INDEX('Rate Card'!$E:$E,MATCH(服务费底表!$T198,'Rate Card'!$F:$F,0))</f>
        <v>临床项目总监</v>
      </c>
      <c r="V198" s="331">
        <f>INDEX('Rate Card'!$J:$J,MATCH($T198,'Rate Card'!$F:$F,0))</f>
        <v>800</v>
      </c>
      <c r="W198" s="523">
        <f t="shared" si="162"/>
        <v>800</v>
      </c>
      <c r="X198" s="523">
        <f t="shared" si="163"/>
        <v>2</v>
      </c>
      <c r="Y198" s="327" cm="1">
        <f t="array" ref="Y198">_xlfn.IFS(报价场景=服务费底表!$AJ$2,服务费底表!$AJ198,报价场景=服务费底表!$AP$2,服务费底表!$AP198,报价场景=服务费底表!$AK$2,服务费底表!$AK198,报价场景=服务费底表!$AL$2,服务费底表!$AL198,报价场景=服务费底表!$AM$2,服务费底表!$AM198,报价场景=服务费底表!$AN$2,服务费底表!$AN198,报价场景=服务费底表!$AQ$2,服务费底表!$AQ198,报价场景=服务费底表!$AO$2,服务费底表!$AO198)</f>
        <v>2</v>
      </c>
      <c r="Z198" s="327"/>
      <c r="AA198" s="332">
        <f t="shared" si="185"/>
        <v>2</v>
      </c>
      <c r="AB198" s="333">
        <f t="shared" si="186"/>
        <v>1600</v>
      </c>
      <c r="AC198" s="328">
        <f t="shared" si="187"/>
        <v>2</v>
      </c>
      <c r="AD198" s="334">
        <f t="shared" si="188"/>
        <v>1600</v>
      </c>
      <c r="AE198" s="334">
        <f>$AB198*(1-INDEX(项目参数!$D$5:$D$14,MATCH(服务费底表!$S198,项目参数!$B$5:$B$14,0)))</f>
        <v>1600</v>
      </c>
      <c r="AF198" s="334">
        <f>$AD198*INDEX(项目参数!$D$5:$D$14,MATCH(服务费底表!$S198,项目参数!$B$5:$B$14,0))</f>
        <v>0</v>
      </c>
      <c r="AG198" s="334">
        <f t="shared" si="189"/>
        <v>1600</v>
      </c>
      <c r="AH198" s="328"/>
      <c r="AI198" s="328" t="s">
        <v>601</v>
      </c>
      <c r="AJ198" s="327">
        <v>2</v>
      </c>
      <c r="AK198" s="327">
        <f t="shared" si="168"/>
        <v>3</v>
      </c>
      <c r="AL198" s="327">
        <f t="shared" si="180"/>
        <v>1.5</v>
      </c>
      <c r="AM198" s="327">
        <v>1.5</v>
      </c>
      <c r="AN198" s="327">
        <f t="shared" si="194"/>
        <v>2</v>
      </c>
      <c r="AO198" s="327">
        <f t="shared" si="195"/>
        <v>1.5</v>
      </c>
      <c r="AP198" s="327">
        <v>2</v>
      </c>
      <c r="AQ198" s="327">
        <f t="shared" si="170"/>
        <v>3</v>
      </c>
      <c r="AR198" s="338"/>
      <c r="AS198" s="328">
        <f t="shared" si="190"/>
        <v>2</v>
      </c>
      <c r="AT198" s="328">
        <f t="shared" si="191"/>
        <v>2</v>
      </c>
      <c r="AU198" s="523">
        <v>2</v>
      </c>
      <c r="AV198" s="328"/>
      <c r="AW198" s="328"/>
      <c r="AX198" s="332">
        <v>2</v>
      </c>
      <c r="AY198" s="328" t="b">
        <f t="shared" si="192"/>
        <v>1</v>
      </c>
      <c r="AZ198" s="328" t="b">
        <f t="shared" si="193"/>
        <v>1</v>
      </c>
    </row>
    <row r="199" ht="27" customHeight="1" spans="1:52">
      <c r="A199" s="326" t="str">
        <f>INDEX('Rate Card'!$A:$A,MATCH(服务费底表!$T199,'Rate Card'!$F:$F,0))</f>
        <v>临床运营</v>
      </c>
      <c r="B199" s="327" t="str">
        <f>INDEX(二三级标准!$G:$G,MATCH(服务费底表!$K199,二三级标准!B:B,0))</f>
        <v>份</v>
      </c>
      <c r="C199" s="327">
        <f>INDEX(服务费明细!$E:$E,MATCH(服务费底表!$K199,服务费明细!$B:$B,0))</f>
        <v>1</v>
      </c>
      <c r="D199" s="327" t="str">
        <f t="shared" si="183"/>
        <v>A052PM</v>
      </c>
      <c r="E199" s="327" t="str">
        <f t="shared" si="184"/>
        <v>T0134PM</v>
      </c>
      <c r="F199" s="328"/>
      <c r="G199" s="328" t="s">
        <v>684</v>
      </c>
      <c r="H199" s="326" t="str">
        <f>INDEX('Rate Card'!$B:$B,MATCH(服务费底表!$T199,'Rate Card'!$F:$F,0))</f>
        <v>临床运营</v>
      </c>
      <c r="I199" s="328" t="s">
        <v>921</v>
      </c>
      <c r="J199" s="328" t="str">
        <f>INDEX(二三级标准!$Q:$Q,MATCH(服务费底表!I199,二三级标准!$O:$O,0))</f>
        <v>项目管理</v>
      </c>
      <c r="K199" s="328" t="s">
        <v>209</v>
      </c>
      <c r="L199" s="328" t="str">
        <f>INDEX(二三级标准!C:C,MATCH(服务费底表!K199,二三级标准!$B:$B,0))</f>
        <v>项目管理计划PMP撰写</v>
      </c>
      <c r="M199" s="328" t="s">
        <v>1307</v>
      </c>
      <c r="N199" s="328" t="str">
        <f>INDEX(二三级标准!$M:$M,MATCH(服务费底表!$M199,二三级标准!$L:$L,0))</f>
        <v>质量管理计划撰写和审核</v>
      </c>
      <c r="O199" s="328"/>
      <c r="P199" s="327">
        <f>IF(R199=1,INDEX(服务费明细!$E:$E,MATCH(服务费底表!$K199,服务费明细!$B:$B,0)),0)</f>
        <v>1</v>
      </c>
      <c r="Q199" s="328" t="s">
        <v>1176</v>
      </c>
      <c r="R199" s="520">
        <f>IF(AND(PMP撰写YN=1,项目管理YN=1),1,0)</f>
        <v>1</v>
      </c>
      <c r="S199" s="525" t="str">
        <f>INDEX('Rate Card'!$D:$D,MATCH(服务费底表!$T199,'Rate Card'!F:F,0))</f>
        <v>项目管理</v>
      </c>
      <c r="T199" s="328" t="s">
        <v>599</v>
      </c>
      <c r="U199" s="522" t="str">
        <f>INDEX('Rate Card'!$E:$E,MATCH(服务费底表!$T199,'Rate Card'!$F:$F,0))</f>
        <v>临床项目经理</v>
      </c>
      <c r="V199" s="331">
        <f>INDEX('Rate Card'!$J:$J,MATCH($T199,'Rate Card'!$F:$F,0))</f>
        <v>650</v>
      </c>
      <c r="W199" s="523">
        <f t="shared" si="162"/>
        <v>650</v>
      </c>
      <c r="X199" s="523">
        <f t="shared" si="163"/>
        <v>8</v>
      </c>
      <c r="Y199" s="327" cm="1">
        <f t="array" ref="Y199">_xlfn.IFS(报价场景=服务费底表!$AJ$2,服务费底表!$AJ199,报价场景=服务费底表!$AP$2,服务费底表!$AP199,报价场景=服务费底表!$AK$2,服务费底表!$AK199,报价场景=服务费底表!$AL$2,服务费底表!$AL199,报价场景=服务费底表!$AM$2,服务费底表!$AM199,报价场景=服务费底表!$AN$2,服务费底表!$AN199,报价场景=服务费底表!$AQ$2,服务费底表!$AQ199,报价场景=服务费底表!$AO$2,服务费底表!$AO199)</f>
        <v>8</v>
      </c>
      <c r="Z199" s="327"/>
      <c r="AA199" s="332">
        <f t="shared" si="185"/>
        <v>8</v>
      </c>
      <c r="AB199" s="333">
        <f t="shared" si="186"/>
        <v>5200</v>
      </c>
      <c r="AC199" s="328">
        <f t="shared" si="187"/>
        <v>8</v>
      </c>
      <c r="AD199" s="334">
        <f t="shared" si="188"/>
        <v>5200</v>
      </c>
      <c r="AE199" s="334">
        <f>$AB199*(1-INDEX(项目参数!$D$5:$D$14,MATCH(服务费底表!$S199,项目参数!$B$5:$B$14,0)))</f>
        <v>5200</v>
      </c>
      <c r="AF199" s="334">
        <f>$AD199*INDEX(项目参数!$D$5:$D$14,MATCH(服务费底表!$S199,项目参数!$B$5:$B$14,0))</f>
        <v>0</v>
      </c>
      <c r="AG199" s="334">
        <f t="shared" si="189"/>
        <v>5200</v>
      </c>
      <c r="AH199" s="328"/>
      <c r="AI199" s="328" t="s">
        <v>599</v>
      </c>
      <c r="AJ199" s="327">
        <v>8</v>
      </c>
      <c r="AK199" s="327">
        <f t="shared" si="168"/>
        <v>12</v>
      </c>
      <c r="AL199" s="327">
        <f t="shared" si="180"/>
        <v>5.5</v>
      </c>
      <c r="AM199" s="327">
        <v>5.5</v>
      </c>
      <c r="AN199" s="327">
        <f t="shared" si="194"/>
        <v>8</v>
      </c>
      <c r="AO199" s="327">
        <f t="shared" si="195"/>
        <v>5.5</v>
      </c>
      <c r="AP199" s="327">
        <v>8</v>
      </c>
      <c r="AQ199" s="327">
        <f t="shared" si="170"/>
        <v>12</v>
      </c>
      <c r="AR199" s="338"/>
      <c r="AS199" s="328">
        <f t="shared" si="190"/>
        <v>8</v>
      </c>
      <c r="AT199" s="328">
        <f t="shared" si="191"/>
        <v>8</v>
      </c>
      <c r="AU199" s="523">
        <v>8</v>
      </c>
      <c r="AV199" s="328"/>
      <c r="AW199" s="328"/>
      <c r="AX199" s="332">
        <v>8</v>
      </c>
      <c r="AY199" s="328" t="b">
        <f t="shared" si="192"/>
        <v>1</v>
      </c>
      <c r="AZ199" s="328" t="b">
        <f t="shared" si="193"/>
        <v>1</v>
      </c>
    </row>
    <row r="200" ht="27" customHeight="1" spans="1:52">
      <c r="A200" s="326" t="str">
        <f>INDEX('Rate Card'!$A:$A,MATCH(服务费底表!$T200,'Rate Card'!$F:$F,0))</f>
        <v>临床运营</v>
      </c>
      <c r="B200" s="327" t="str">
        <f>INDEX(二三级标准!$G:$G,MATCH(服务费底表!$K200,二三级标准!B:B,0))</f>
        <v>份</v>
      </c>
      <c r="C200" s="327">
        <f>INDEX(服务费明细!$E:$E,MATCH(服务费底表!$K200,服务费明细!$B:$B,0))</f>
        <v>1</v>
      </c>
      <c r="D200" s="327" t="str">
        <f t="shared" si="183"/>
        <v>A052PMD</v>
      </c>
      <c r="E200" s="327" t="str">
        <f t="shared" si="184"/>
        <v>T0134PMD</v>
      </c>
      <c r="F200" s="328"/>
      <c r="G200" s="328" t="s">
        <v>684</v>
      </c>
      <c r="H200" s="326" t="str">
        <f>INDEX('Rate Card'!$B:$B,MATCH(服务费底表!$T200,'Rate Card'!$F:$F,0))</f>
        <v>临床运营</v>
      </c>
      <c r="I200" s="328" t="s">
        <v>921</v>
      </c>
      <c r="J200" s="328" t="str">
        <f>INDEX(二三级标准!$Q:$Q,MATCH(服务费底表!I200,二三级标准!$O:$O,0))</f>
        <v>项目管理</v>
      </c>
      <c r="K200" s="328" t="s">
        <v>209</v>
      </c>
      <c r="L200" s="328" t="str">
        <f>INDEX(二三级标准!C:C,MATCH(服务费底表!K200,二三级标准!$B:$B,0))</f>
        <v>项目管理计划PMP撰写</v>
      </c>
      <c r="M200" s="328" t="s">
        <v>1307</v>
      </c>
      <c r="N200" s="328" t="str">
        <f>INDEX(二三级标准!$M:$M,MATCH(服务费底表!$M200,二三级标准!$L:$L,0))</f>
        <v>质量管理计划撰写和审核</v>
      </c>
      <c r="O200" s="328"/>
      <c r="P200" s="327">
        <f>IF(R200=1,INDEX(服务费明细!$E:$E,MATCH(服务费底表!$K200,服务费明细!$B:$B,0)),0)</f>
        <v>1</v>
      </c>
      <c r="Q200" s="328" t="s">
        <v>1176</v>
      </c>
      <c r="R200" s="520">
        <f>IF(AND(PMP撰写YN=1,项目管理YN=1),1,0)</f>
        <v>1</v>
      </c>
      <c r="S200" s="525" t="str">
        <f>INDEX('Rate Card'!$D:$D,MATCH(服务费底表!$T200,'Rate Card'!F:F,0))</f>
        <v>项目管理</v>
      </c>
      <c r="T200" s="328" t="s">
        <v>601</v>
      </c>
      <c r="U200" s="522" t="str">
        <f>INDEX('Rate Card'!$E:$E,MATCH(服务费底表!$T200,'Rate Card'!$F:$F,0))</f>
        <v>临床项目总监</v>
      </c>
      <c r="V200" s="331">
        <f>INDEX('Rate Card'!$J:$J,MATCH($T200,'Rate Card'!$F:$F,0))</f>
        <v>800</v>
      </c>
      <c r="W200" s="523">
        <f t="shared" si="162"/>
        <v>800</v>
      </c>
      <c r="X200" s="523">
        <f t="shared" si="163"/>
        <v>2</v>
      </c>
      <c r="Y200" s="327" cm="1">
        <f t="array" ref="Y200">_xlfn.IFS(报价场景=服务费底表!$AJ$2,服务费底表!$AJ200,报价场景=服务费底表!$AP$2,服务费底表!$AP200,报价场景=服务费底表!$AK$2,服务费底表!$AK200,报价场景=服务费底表!$AL$2,服务费底表!$AL200,报价场景=服务费底表!$AM$2,服务费底表!$AM200,报价场景=服务费底表!$AN$2,服务费底表!$AN200,报价场景=服务费底表!$AQ$2,服务费底表!$AQ200,报价场景=服务费底表!$AO$2,服务费底表!$AO200)</f>
        <v>2</v>
      </c>
      <c r="Z200" s="327"/>
      <c r="AA200" s="332">
        <f t="shared" si="185"/>
        <v>2</v>
      </c>
      <c r="AB200" s="333">
        <f t="shared" si="186"/>
        <v>1600</v>
      </c>
      <c r="AC200" s="328">
        <f t="shared" si="187"/>
        <v>2</v>
      </c>
      <c r="AD200" s="334">
        <f t="shared" si="188"/>
        <v>1600</v>
      </c>
      <c r="AE200" s="334">
        <f>$AB200*(1-INDEX(项目参数!$D$5:$D$14,MATCH(服务费底表!$S200,项目参数!$B$5:$B$14,0)))</f>
        <v>1600</v>
      </c>
      <c r="AF200" s="334">
        <f>$AD200*INDEX(项目参数!$D$5:$D$14,MATCH(服务费底表!$S200,项目参数!$B$5:$B$14,0))</f>
        <v>0</v>
      </c>
      <c r="AG200" s="334">
        <f t="shared" si="189"/>
        <v>1600</v>
      </c>
      <c r="AH200" s="328"/>
      <c r="AI200" s="328" t="s">
        <v>601</v>
      </c>
      <c r="AJ200" s="327">
        <v>2</v>
      </c>
      <c r="AK200" s="327">
        <f t="shared" si="168"/>
        <v>3</v>
      </c>
      <c r="AL200" s="327">
        <f t="shared" si="180"/>
        <v>1.5</v>
      </c>
      <c r="AM200" s="327">
        <v>1.5</v>
      </c>
      <c r="AN200" s="327">
        <f t="shared" si="194"/>
        <v>2</v>
      </c>
      <c r="AO200" s="327">
        <f t="shared" si="195"/>
        <v>1.5</v>
      </c>
      <c r="AP200" s="327">
        <v>2</v>
      </c>
      <c r="AQ200" s="327">
        <f t="shared" si="170"/>
        <v>3</v>
      </c>
      <c r="AR200" s="338"/>
      <c r="AS200" s="328">
        <f t="shared" si="190"/>
        <v>2</v>
      </c>
      <c r="AT200" s="328">
        <f t="shared" si="191"/>
        <v>2</v>
      </c>
      <c r="AU200" s="523">
        <v>2</v>
      </c>
      <c r="AV200" s="328"/>
      <c r="AW200" s="328"/>
      <c r="AX200" s="332">
        <v>2</v>
      </c>
      <c r="AY200" s="328" t="b">
        <f t="shared" si="192"/>
        <v>1</v>
      </c>
      <c r="AZ200" s="328" t="b">
        <f t="shared" si="193"/>
        <v>1</v>
      </c>
    </row>
    <row r="201" ht="27" customHeight="1" spans="1:52">
      <c r="A201" s="326" t="str">
        <f>INDEX('Rate Card'!$A:$A,MATCH(服务费底表!$T201,'Rate Card'!$F:$F,0))</f>
        <v>临床运营</v>
      </c>
      <c r="B201" s="327" t="str">
        <f>INDEX(二三级标准!$G:$G,MATCH(服务费底表!$K201,二三级标准!B:B,0))</f>
        <v>份</v>
      </c>
      <c r="C201" s="327">
        <f>INDEX(服务费明细!$E:$E,MATCH(服务费底表!$K201,服务费明细!$B:$B,0))</f>
        <v>1</v>
      </c>
      <c r="D201" s="327" t="str">
        <f t="shared" si="183"/>
        <v>A052PM</v>
      </c>
      <c r="E201" s="327" t="str">
        <f t="shared" si="184"/>
        <v>T0135PM</v>
      </c>
      <c r="F201" s="328"/>
      <c r="G201" s="328" t="s">
        <v>684</v>
      </c>
      <c r="H201" s="326" t="str">
        <f>INDEX('Rate Card'!$B:$B,MATCH(服务费底表!$T201,'Rate Card'!$F:$F,0))</f>
        <v>临床运营</v>
      </c>
      <c r="I201" s="328" t="s">
        <v>921</v>
      </c>
      <c r="J201" s="328" t="str">
        <f>INDEX(二三级标准!$Q:$Q,MATCH(服务费底表!I201,二三级标准!$O:$O,0))</f>
        <v>项目管理</v>
      </c>
      <c r="K201" s="328" t="s">
        <v>209</v>
      </c>
      <c r="L201" s="328" t="str">
        <f>INDEX(二三级标准!C:C,MATCH(服务费底表!K201,二三级标准!$B:$B,0))</f>
        <v>项目管理计划PMP撰写</v>
      </c>
      <c r="M201" s="328" t="s">
        <v>1308</v>
      </c>
      <c r="N201" s="328" t="str">
        <f>INDEX(二三级标准!$M:$M,MATCH(服务费底表!$M201,二三级标准!$L:$L,0))</f>
        <v>沟通管理计划撰写和审核</v>
      </c>
      <c r="O201" s="328"/>
      <c r="P201" s="327">
        <f>IF(R201=1,INDEX(服务费明细!$E:$E,MATCH(服务费底表!$K201,服务费明细!$B:$B,0)),0)</f>
        <v>1</v>
      </c>
      <c r="Q201" s="328" t="s">
        <v>1176</v>
      </c>
      <c r="R201" s="520">
        <f>IF(AND(PMP撰写YN=1,项目管理YN=1),1,0)</f>
        <v>1</v>
      </c>
      <c r="S201" s="525" t="str">
        <f>INDEX('Rate Card'!$D:$D,MATCH(服务费底表!$T201,'Rate Card'!F:F,0))</f>
        <v>项目管理</v>
      </c>
      <c r="T201" s="328" t="s">
        <v>599</v>
      </c>
      <c r="U201" s="522" t="str">
        <f>INDEX('Rate Card'!$E:$E,MATCH(服务费底表!$T201,'Rate Card'!$F:$F,0))</f>
        <v>临床项目经理</v>
      </c>
      <c r="V201" s="331">
        <f>INDEX('Rate Card'!$J:$J,MATCH($T201,'Rate Card'!$F:$F,0))</f>
        <v>650</v>
      </c>
      <c r="W201" s="523">
        <f t="shared" si="162"/>
        <v>650</v>
      </c>
      <c r="X201" s="523">
        <f t="shared" si="163"/>
        <v>4</v>
      </c>
      <c r="Y201" s="327" cm="1">
        <f t="array" ref="Y201">_xlfn.IFS(报价场景=服务费底表!$AJ$2,服务费底表!$AJ201,报价场景=服务费底表!$AP$2,服务费底表!$AP201,报价场景=服务费底表!$AK$2,服务费底表!$AK201,报价场景=服务费底表!$AL$2,服务费底表!$AL201,报价场景=服务费底表!$AM$2,服务费底表!$AM201,报价场景=服务费底表!$AN$2,服务费底表!$AN201,报价场景=服务费底表!$AQ$2,服务费底表!$AQ201,报价场景=服务费底表!$AO$2,服务费底表!$AO201)</f>
        <v>4</v>
      </c>
      <c r="Z201" s="327"/>
      <c r="AA201" s="332">
        <f t="shared" si="185"/>
        <v>4</v>
      </c>
      <c r="AB201" s="333">
        <f t="shared" si="186"/>
        <v>2600</v>
      </c>
      <c r="AC201" s="328">
        <f t="shared" si="187"/>
        <v>4</v>
      </c>
      <c r="AD201" s="334">
        <f t="shared" si="188"/>
        <v>2600</v>
      </c>
      <c r="AE201" s="334">
        <f>$AB201*(1-INDEX(项目参数!$D$5:$D$14,MATCH(服务费底表!$S201,项目参数!$B$5:$B$14,0)))</f>
        <v>2600</v>
      </c>
      <c r="AF201" s="334">
        <f>$AD201*INDEX(项目参数!$D$5:$D$14,MATCH(服务费底表!$S201,项目参数!$B$5:$B$14,0))</f>
        <v>0</v>
      </c>
      <c r="AG201" s="334">
        <f t="shared" si="189"/>
        <v>2600</v>
      </c>
      <c r="AH201" s="328"/>
      <c r="AI201" s="328" t="s">
        <v>599</v>
      </c>
      <c r="AJ201" s="327">
        <v>4</v>
      </c>
      <c r="AK201" s="327">
        <f t="shared" si="168"/>
        <v>6</v>
      </c>
      <c r="AL201" s="327">
        <f t="shared" si="180"/>
        <v>3</v>
      </c>
      <c r="AM201" s="327">
        <v>3</v>
      </c>
      <c r="AN201" s="327">
        <f t="shared" si="194"/>
        <v>4</v>
      </c>
      <c r="AO201" s="327">
        <f t="shared" si="195"/>
        <v>3</v>
      </c>
      <c r="AP201" s="327">
        <v>4</v>
      </c>
      <c r="AQ201" s="327">
        <f t="shared" si="170"/>
        <v>6</v>
      </c>
      <c r="AR201" s="338"/>
      <c r="AS201" s="328">
        <f t="shared" si="190"/>
        <v>4</v>
      </c>
      <c r="AT201" s="328">
        <f t="shared" si="191"/>
        <v>4</v>
      </c>
      <c r="AU201" s="523">
        <v>4</v>
      </c>
      <c r="AV201" s="328"/>
      <c r="AW201" s="328"/>
      <c r="AX201" s="332">
        <v>4</v>
      </c>
      <c r="AY201" s="328" t="b">
        <f t="shared" si="192"/>
        <v>1</v>
      </c>
      <c r="AZ201" s="328" t="b">
        <f t="shared" si="193"/>
        <v>1</v>
      </c>
    </row>
    <row r="202" ht="27" customHeight="1" spans="1:52">
      <c r="A202" s="326" t="str">
        <f>INDEX('Rate Card'!$A:$A,MATCH(服务费底表!$T202,'Rate Card'!$F:$F,0))</f>
        <v>临床运营</v>
      </c>
      <c r="B202" s="327" t="str">
        <f>INDEX(二三级标准!$G:$G,MATCH(服务费底表!$K202,二三级标准!B:B,0))</f>
        <v>份</v>
      </c>
      <c r="C202" s="327">
        <f>INDEX(服务费明细!$E:$E,MATCH(服务费底表!$K202,服务费明细!$B:$B,0))</f>
        <v>1</v>
      </c>
      <c r="D202" s="327" t="str">
        <f t="shared" ref="D202:D215" si="196">K202&amp;T202</f>
        <v>A052PMD</v>
      </c>
      <c r="E202" s="327" t="str">
        <f t="shared" ref="E202:E215" si="197">M202&amp;T202</f>
        <v>T0135PMD</v>
      </c>
      <c r="F202" s="328"/>
      <c r="G202" s="328" t="s">
        <v>684</v>
      </c>
      <c r="H202" s="326" t="str">
        <f>INDEX('Rate Card'!$B:$B,MATCH(服务费底表!$T202,'Rate Card'!$F:$F,0))</f>
        <v>临床运营</v>
      </c>
      <c r="I202" s="328" t="s">
        <v>921</v>
      </c>
      <c r="J202" s="328" t="str">
        <f>INDEX(二三级标准!$Q:$Q,MATCH(服务费底表!I202,二三级标准!$O:$O,0))</f>
        <v>项目管理</v>
      </c>
      <c r="K202" s="328" t="s">
        <v>209</v>
      </c>
      <c r="L202" s="328" t="str">
        <f>INDEX(二三级标准!C:C,MATCH(服务费底表!K202,二三级标准!$B:$B,0))</f>
        <v>项目管理计划PMP撰写</v>
      </c>
      <c r="M202" s="328" t="s">
        <v>1308</v>
      </c>
      <c r="N202" s="328" t="str">
        <f>INDEX(二三级标准!$M:$M,MATCH(服务费底表!$M202,二三级标准!$L:$L,0))</f>
        <v>沟通管理计划撰写和审核</v>
      </c>
      <c r="O202" s="328"/>
      <c r="P202" s="327">
        <f>IF(R202=1,INDEX(服务费明细!$E:$E,MATCH(服务费底表!$K202,服务费明细!$B:$B,0)),0)</f>
        <v>1</v>
      </c>
      <c r="Q202" s="328" t="s">
        <v>1176</v>
      </c>
      <c r="R202" s="520">
        <f>IF(AND(PMP撰写YN=1,项目管理YN=1),1,0)</f>
        <v>1</v>
      </c>
      <c r="S202" s="525" t="str">
        <f>INDEX('Rate Card'!$D:$D,MATCH(服务费底表!$T202,'Rate Card'!F:F,0))</f>
        <v>项目管理</v>
      </c>
      <c r="T202" s="328" t="s">
        <v>601</v>
      </c>
      <c r="U202" s="522" t="str">
        <f>INDEX('Rate Card'!$E:$E,MATCH(服务费底表!$T202,'Rate Card'!$F:$F,0))</f>
        <v>临床项目总监</v>
      </c>
      <c r="V202" s="331">
        <f>INDEX('Rate Card'!$J:$J,MATCH($T202,'Rate Card'!$F:$F,0))</f>
        <v>800</v>
      </c>
      <c r="W202" s="523">
        <f t="shared" si="162"/>
        <v>800</v>
      </c>
      <c r="X202" s="523">
        <f t="shared" si="163"/>
        <v>2</v>
      </c>
      <c r="Y202" s="327" cm="1">
        <f t="array" ref="Y202">_xlfn.IFS(报价场景=服务费底表!$AJ$2,服务费底表!$AJ202,报价场景=服务费底表!$AP$2,服务费底表!$AP202,报价场景=服务费底表!$AK$2,服务费底表!$AK202,报价场景=服务费底表!$AL$2,服务费底表!$AL202,报价场景=服务费底表!$AM$2,服务费底表!$AM202,报价场景=服务费底表!$AN$2,服务费底表!$AN202,报价场景=服务费底表!$AQ$2,服务费底表!$AQ202,报价场景=服务费底表!$AO$2,服务费底表!$AO202)</f>
        <v>2</v>
      </c>
      <c r="Z202" s="327"/>
      <c r="AA202" s="332">
        <f t="shared" si="185"/>
        <v>2</v>
      </c>
      <c r="AB202" s="333">
        <f t="shared" ref="AB202:AB215" si="198">IFERROR(AD202/P202,0)</f>
        <v>1600</v>
      </c>
      <c r="AC202" s="328">
        <f t="shared" ref="AC202:AC215" si="199">AA202*P202*R202</f>
        <v>2</v>
      </c>
      <c r="AD202" s="334">
        <f t="shared" ref="AD202:AD215" si="200">AC202*V202</f>
        <v>1600</v>
      </c>
      <c r="AE202" s="334">
        <f>$AB202*(1-INDEX(项目参数!$D$5:$D$14,MATCH(服务费底表!$S202,项目参数!$B$5:$B$14,0)))</f>
        <v>1600</v>
      </c>
      <c r="AF202" s="334">
        <f>$AD202*INDEX(项目参数!$D$5:$D$14,MATCH(服务费底表!$S202,项目参数!$B$5:$B$14,0))</f>
        <v>0</v>
      </c>
      <c r="AG202" s="334">
        <f t="shared" ref="AG202:AG215" si="201">AD202-AF202</f>
        <v>1600</v>
      </c>
      <c r="AH202" s="328"/>
      <c r="AI202" s="328" t="s">
        <v>601</v>
      </c>
      <c r="AJ202" s="327">
        <v>2</v>
      </c>
      <c r="AK202" s="327">
        <f t="shared" si="168"/>
        <v>3</v>
      </c>
      <c r="AL202" s="327">
        <f t="shared" si="180"/>
        <v>1.5</v>
      </c>
      <c r="AM202" s="327">
        <v>1.5</v>
      </c>
      <c r="AN202" s="327">
        <f t="shared" si="194"/>
        <v>2</v>
      </c>
      <c r="AO202" s="327">
        <f t="shared" si="195"/>
        <v>1.5</v>
      </c>
      <c r="AP202" s="327">
        <v>2</v>
      </c>
      <c r="AQ202" s="327">
        <f t="shared" si="170"/>
        <v>3</v>
      </c>
      <c r="AR202" s="338"/>
      <c r="AS202" s="328">
        <f t="shared" si="190"/>
        <v>2</v>
      </c>
      <c r="AT202" s="328">
        <f t="shared" si="191"/>
        <v>2</v>
      </c>
      <c r="AU202" s="523">
        <v>2</v>
      </c>
      <c r="AV202" s="328"/>
      <c r="AW202" s="328"/>
      <c r="AX202" s="332">
        <v>2</v>
      </c>
      <c r="AY202" s="328" t="b">
        <f t="shared" si="192"/>
        <v>1</v>
      </c>
      <c r="AZ202" s="328" t="b">
        <f t="shared" si="193"/>
        <v>1</v>
      </c>
    </row>
    <row r="203" ht="27" customHeight="1" spans="1:52">
      <c r="A203" s="326" t="str">
        <f>INDEX('Rate Card'!$A:$A,MATCH(服务费底表!$T203,'Rate Card'!$F:$F,0))</f>
        <v>临床运营</v>
      </c>
      <c r="B203" s="327" t="str">
        <f>INDEX(二三级标准!$G:$G,MATCH(服务费底表!$K203,二三级标准!B:B,0))</f>
        <v>份</v>
      </c>
      <c r="C203" s="327">
        <f>INDEX(服务费明细!$E:$E,MATCH(服务费底表!$K203,服务费明细!$B:$B,0))</f>
        <v>1</v>
      </c>
      <c r="D203" s="327" t="str">
        <f t="shared" si="196"/>
        <v>A052PM</v>
      </c>
      <c r="E203" s="327" t="str">
        <f t="shared" si="197"/>
        <v>T0136PM</v>
      </c>
      <c r="F203" s="328"/>
      <c r="G203" s="328" t="s">
        <v>684</v>
      </c>
      <c r="H203" s="326" t="str">
        <f>INDEX('Rate Card'!$B:$B,MATCH(服务费底表!$T203,'Rate Card'!$F:$F,0))</f>
        <v>临床运营</v>
      </c>
      <c r="I203" s="328" t="s">
        <v>921</v>
      </c>
      <c r="J203" s="328" t="str">
        <f>INDEX(二三级标准!$Q:$Q,MATCH(服务费底表!I203,二三级标准!$O:$O,0))</f>
        <v>项目管理</v>
      </c>
      <c r="K203" s="328" t="s">
        <v>209</v>
      </c>
      <c r="L203" s="328" t="str">
        <f>INDEX(二三级标准!C:C,MATCH(服务费底表!K203,二三级标准!$B:$B,0))</f>
        <v>项目管理计划PMP撰写</v>
      </c>
      <c r="M203" s="328" t="s">
        <v>1309</v>
      </c>
      <c r="N203" s="328" t="str">
        <f>INDEX(二三级标准!$M:$M,MATCH(服务费底表!$M203,二三级标准!$L:$L,0))</f>
        <v>风险管理计划撰写和审核</v>
      </c>
      <c r="O203" s="328"/>
      <c r="P203" s="327">
        <f>IF(R203=1,INDEX(服务费明细!$E:$E,MATCH(服务费底表!$K203,服务费明细!$B:$B,0)),0)</f>
        <v>1</v>
      </c>
      <c r="Q203" s="328" t="s">
        <v>1176</v>
      </c>
      <c r="R203" s="520">
        <f>IF(AND(PMP撰写YN=1,项目管理YN=1),1,0)</f>
        <v>1</v>
      </c>
      <c r="S203" s="525" t="str">
        <f>INDEX('Rate Card'!$D:$D,MATCH(服务费底表!$T203,'Rate Card'!F:F,0))</f>
        <v>项目管理</v>
      </c>
      <c r="T203" s="328" t="s">
        <v>599</v>
      </c>
      <c r="U203" s="522" t="str">
        <f>INDEX('Rate Card'!$E:$E,MATCH(服务费底表!$T203,'Rate Card'!$F:$F,0))</f>
        <v>临床项目经理</v>
      </c>
      <c r="V203" s="331">
        <f>INDEX('Rate Card'!$J:$J,MATCH($T203,'Rate Card'!$F:$F,0))</f>
        <v>650</v>
      </c>
      <c r="W203" s="523">
        <f t="shared" si="162"/>
        <v>650</v>
      </c>
      <c r="X203" s="523">
        <f t="shared" si="163"/>
        <v>8</v>
      </c>
      <c r="Y203" s="327" cm="1">
        <f t="array" ref="Y203">_xlfn.IFS(报价场景=服务费底表!$AJ$2,服务费底表!$AJ203,报价场景=服务费底表!$AP$2,服务费底表!$AP203,报价场景=服务费底表!$AK$2,服务费底表!$AK203,报价场景=服务费底表!$AL$2,服务费底表!$AL203,报价场景=服务费底表!$AM$2,服务费底表!$AM203,报价场景=服务费底表!$AN$2,服务费底表!$AN203,报价场景=服务费底表!$AQ$2,服务费底表!$AQ203,报价场景=服务费底表!$AO$2,服务费底表!$AO203)</f>
        <v>8</v>
      </c>
      <c r="Z203" s="327"/>
      <c r="AA203" s="332">
        <f t="shared" si="185"/>
        <v>8</v>
      </c>
      <c r="AB203" s="333">
        <f t="shared" si="198"/>
        <v>5200</v>
      </c>
      <c r="AC203" s="328">
        <f t="shared" si="199"/>
        <v>8</v>
      </c>
      <c r="AD203" s="334">
        <f t="shared" si="200"/>
        <v>5200</v>
      </c>
      <c r="AE203" s="334">
        <f>$AB203*(1-INDEX(项目参数!$D$5:$D$14,MATCH(服务费底表!$S203,项目参数!$B$5:$B$14,0)))</f>
        <v>5200</v>
      </c>
      <c r="AF203" s="334">
        <f>$AD203*INDEX(项目参数!$D$5:$D$14,MATCH(服务费底表!$S203,项目参数!$B$5:$B$14,0))</f>
        <v>0</v>
      </c>
      <c r="AG203" s="334">
        <f t="shared" si="201"/>
        <v>5200</v>
      </c>
      <c r="AH203" s="328"/>
      <c r="AI203" s="328" t="s">
        <v>599</v>
      </c>
      <c r="AJ203" s="327">
        <v>8</v>
      </c>
      <c r="AK203" s="327">
        <f t="shared" si="168"/>
        <v>12</v>
      </c>
      <c r="AL203" s="327">
        <f t="shared" si="180"/>
        <v>5.5</v>
      </c>
      <c r="AM203" s="327">
        <v>5.5</v>
      </c>
      <c r="AN203" s="327">
        <f t="shared" si="194"/>
        <v>8</v>
      </c>
      <c r="AO203" s="327">
        <f t="shared" si="195"/>
        <v>5.5</v>
      </c>
      <c r="AP203" s="327">
        <v>8</v>
      </c>
      <c r="AQ203" s="327">
        <f t="shared" si="170"/>
        <v>12</v>
      </c>
      <c r="AR203" s="338"/>
      <c r="AS203" s="328">
        <f t="shared" si="190"/>
        <v>8</v>
      </c>
      <c r="AT203" s="328">
        <f t="shared" si="191"/>
        <v>8</v>
      </c>
      <c r="AU203" s="523">
        <v>8</v>
      </c>
      <c r="AV203" s="328"/>
      <c r="AW203" s="328"/>
      <c r="AX203" s="332">
        <v>8</v>
      </c>
      <c r="AY203" s="328" t="b">
        <f t="shared" si="192"/>
        <v>1</v>
      </c>
      <c r="AZ203" s="328" t="b">
        <f t="shared" si="193"/>
        <v>1</v>
      </c>
    </row>
    <row r="204" ht="27" customHeight="1" spans="1:52">
      <c r="A204" s="326" t="str">
        <f>INDEX('Rate Card'!$A:$A,MATCH(服务费底表!$T204,'Rate Card'!$F:$F,0))</f>
        <v>临床运营</v>
      </c>
      <c r="B204" s="327" t="str">
        <f>INDEX(二三级标准!$G:$G,MATCH(服务费底表!$K204,二三级标准!B:B,0))</f>
        <v>份</v>
      </c>
      <c r="C204" s="327">
        <f>INDEX(服务费明细!$E:$E,MATCH(服务费底表!$K204,服务费明细!$B:$B,0))</f>
        <v>1</v>
      </c>
      <c r="D204" s="327" t="str">
        <f t="shared" si="196"/>
        <v>A052PMD</v>
      </c>
      <c r="E204" s="327" t="str">
        <f t="shared" si="197"/>
        <v>T0136PMD</v>
      </c>
      <c r="F204" s="328"/>
      <c r="G204" s="328" t="s">
        <v>684</v>
      </c>
      <c r="H204" s="326" t="str">
        <f>INDEX('Rate Card'!$B:$B,MATCH(服务费底表!$T204,'Rate Card'!$F:$F,0))</f>
        <v>临床运营</v>
      </c>
      <c r="I204" s="328" t="s">
        <v>921</v>
      </c>
      <c r="J204" s="328" t="str">
        <f>INDEX(二三级标准!$Q:$Q,MATCH(服务费底表!I204,二三级标准!$O:$O,0))</f>
        <v>项目管理</v>
      </c>
      <c r="K204" s="328" t="s">
        <v>209</v>
      </c>
      <c r="L204" s="328" t="str">
        <f>INDEX(二三级标准!C:C,MATCH(服务费底表!K204,二三级标准!$B:$B,0))</f>
        <v>项目管理计划PMP撰写</v>
      </c>
      <c r="M204" s="328" t="s">
        <v>1309</v>
      </c>
      <c r="N204" s="328" t="str">
        <f>INDEX(二三级标准!$M:$M,MATCH(服务费底表!$M204,二三级标准!$L:$L,0))</f>
        <v>风险管理计划撰写和审核</v>
      </c>
      <c r="O204" s="328"/>
      <c r="P204" s="327">
        <f>IF(R204=1,INDEX(服务费明细!$E:$E,MATCH(服务费底表!$K204,服务费明细!$B:$B,0)),0)</f>
        <v>1</v>
      </c>
      <c r="Q204" s="328" t="s">
        <v>1176</v>
      </c>
      <c r="R204" s="520">
        <f>IF(AND(PMP撰写YN=1,项目管理YN=1),1,0)</f>
        <v>1</v>
      </c>
      <c r="S204" s="525" t="str">
        <f>INDEX('Rate Card'!$D:$D,MATCH(服务费底表!$T204,'Rate Card'!F:F,0))</f>
        <v>项目管理</v>
      </c>
      <c r="T204" s="328" t="s">
        <v>601</v>
      </c>
      <c r="U204" s="522" t="str">
        <f>INDEX('Rate Card'!$E:$E,MATCH(服务费底表!$T204,'Rate Card'!$F:$F,0))</f>
        <v>临床项目总监</v>
      </c>
      <c r="V204" s="331">
        <f>INDEX('Rate Card'!$J:$J,MATCH($T204,'Rate Card'!$F:$F,0))</f>
        <v>800</v>
      </c>
      <c r="W204" s="523">
        <f t="shared" si="162"/>
        <v>800</v>
      </c>
      <c r="X204" s="523">
        <f t="shared" si="163"/>
        <v>2</v>
      </c>
      <c r="Y204" s="327" cm="1">
        <f t="array" ref="Y204">_xlfn.IFS(报价场景=服务费底表!$AJ$2,服务费底表!$AJ204,报价场景=服务费底表!$AP$2,服务费底表!$AP204,报价场景=服务费底表!$AK$2,服务费底表!$AK204,报价场景=服务费底表!$AL$2,服务费底表!$AL204,报价场景=服务费底表!$AM$2,服务费底表!$AM204,报价场景=服务费底表!$AN$2,服务费底表!$AN204,报价场景=服务费底表!$AQ$2,服务费底表!$AQ204,报价场景=服务费底表!$AO$2,服务费底表!$AO204)</f>
        <v>2</v>
      </c>
      <c r="Z204" s="327"/>
      <c r="AA204" s="332">
        <f t="shared" si="185"/>
        <v>2</v>
      </c>
      <c r="AB204" s="333">
        <f t="shared" si="198"/>
        <v>1600</v>
      </c>
      <c r="AC204" s="328">
        <f t="shared" si="199"/>
        <v>2</v>
      </c>
      <c r="AD204" s="334">
        <f t="shared" si="200"/>
        <v>1600</v>
      </c>
      <c r="AE204" s="334">
        <f>$AB204*(1-INDEX(项目参数!$D$5:$D$14,MATCH(服务费底表!$S204,项目参数!$B$5:$B$14,0)))</f>
        <v>1600</v>
      </c>
      <c r="AF204" s="334">
        <f>$AD204*INDEX(项目参数!$D$5:$D$14,MATCH(服务费底表!$S204,项目参数!$B$5:$B$14,0))</f>
        <v>0</v>
      </c>
      <c r="AG204" s="334">
        <f t="shared" si="201"/>
        <v>1600</v>
      </c>
      <c r="AH204" s="328"/>
      <c r="AI204" s="328" t="s">
        <v>601</v>
      </c>
      <c r="AJ204" s="327">
        <v>2</v>
      </c>
      <c r="AK204" s="327">
        <f t="shared" si="168"/>
        <v>3</v>
      </c>
      <c r="AL204" s="327">
        <f t="shared" si="180"/>
        <v>1.5</v>
      </c>
      <c r="AM204" s="327">
        <v>1.5</v>
      </c>
      <c r="AN204" s="327">
        <f t="shared" si="194"/>
        <v>2</v>
      </c>
      <c r="AO204" s="327">
        <f t="shared" si="195"/>
        <v>1.5</v>
      </c>
      <c r="AP204" s="327">
        <v>2</v>
      </c>
      <c r="AQ204" s="327">
        <f t="shared" si="170"/>
        <v>3</v>
      </c>
      <c r="AR204" s="338"/>
      <c r="AS204" s="328">
        <f t="shared" si="190"/>
        <v>2</v>
      </c>
      <c r="AT204" s="328">
        <f t="shared" si="191"/>
        <v>2</v>
      </c>
      <c r="AU204" s="523">
        <v>2</v>
      </c>
      <c r="AV204" s="328"/>
      <c r="AW204" s="328"/>
      <c r="AX204" s="332">
        <v>2</v>
      </c>
      <c r="AY204" s="328" t="b">
        <f t="shared" si="192"/>
        <v>1</v>
      </c>
      <c r="AZ204" s="328" t="b">
        <f t="shared" si="193"/>
        <v>1</v>
      </c>
    </row>
    <row r="205" ht="27" customHeight="1" spans="1:52">
      <c r="A205" s="326" t="str">
        <f>INDEX('Rate Card'!$A:$A,MATCH(服务费底表!$T205,'Rate Card'!$F:$F,0))</f>
        <v>临床运营</v>
      </c>
      <c r="B205" s="327" t="str">
        <f>INDEX(二三级标准!$G:$G,MATCH(服务费底表!$K205,二三级标准!B:B,0))</f>
        <v>份</v>
      </c>
      <c r="C205" s="327">
        <f>INDEX(服务费明细!$E:$E,MATCH(服务费底表!$K205,服务费明细!$B:$B,0))</f>
        <v>1</v>
      </c>
      <c r="D205" s="327" t="str">
        <f t="shared" si="196"/>
        <v>A052PM</v>
      </c>
      <c r="E205" s="327" t="str">
        <f t="shared" si="197"/>
        <v>T0137PM</v>
      </c>
      <c r="F205" s="328"/>
      <c r="G205" s="328" t="s">
        <v>684</v>
      </c>
      <c r="H205" s="326" t="str">
        <f>INDEX('Rate Card'!$B:$B,MATCH(服务费底表!$T205,'Rate Card'!$F:$F,0))</f>
        <v>临床运营</v>
      </c>
      <c r="I205" s="328" t="s">
        <v>921</v>
      </c>
      <c r="J205" s="328" t="str">
        <f>INDEX(二三级标准!$Q:$Q,MATCH(服务费底表!I205,二三级标准!$O:$O,0))</f>
        <v>项目管理</v>
      </c>
      <c r="K205" s="328" t="s">
        <v>209</v>
      </c>
      <c r="L205" s="328" t="str">
        <f>INDEX(二三级标准!C:C,MATCH(服务费底表!K205,二三级标准!$B:$B,0))</f>
        <v>项目管理计划PMP撰写</v>
      </c>
      <c r="M205" s="328" t="s">
        <v>1310</v>
      </c>
      <c r="N205" s="328" t="str">
        <f>INDEX(二三级标准!$M:$M,MATCH(服务费底表!$M205,二三级标准!$L:$L,0))</f>
        <v>文件管理计划撰写和审核</v>
      </c>
      <c r="O205" s="328"/>
      <c r="P205" s="327">
        <f>IF(R205=1,INDEX(服务费明细!$E:$E,MATCH(服务费底表!$K205,服务费明细!$B:$B,0)),0)</f>
        <v>1</v>
      </c>
      <c r="Q205" s="328" t="s">
        <v>1176</v>
      </c>
      <c r="R205" s="520">
        <f>IF(AND(PMP撰写YN=1,项目管理YN=1),1,0)</f>
        <v>1</v>
      </c>
      <c r="S205" s="525" t="str">
        <f>INDEX('Rate Card'!$D:$D,MATCH(服务费底表!$T205,'Rate Card'!F:F,0))</f>
        <v>项目管理</v>
      </c>
      <c r="T205" s="328" t="s">
        <v>599</v>
      </c>
      <c r="U205" s="522" t="str">
        <f>INDEX('Rate Card'!$E:$E,MATCH(服务费底表!$T205,'Rate Card'!$F:$F,0))</f>
        <v>临床项目经理</v>
      </c>
      <c r="V205" s="331">
        <f>INDEX('Rate Card'!$J:$J,MATCH($T205,'Rate Card'!$F:$F,0))</f>
        <v>650</v>
      </c>
      <c r="W205" s="523">
        <f t="shared" si="162"/>
        <v>650</v>
      </c>
      <c r="X205" s="523">
        <f t="shared" si="163"/>
        <v>8</v>
      </c>
      <c r="Y205" s="327" cm="1">
        <f t="array" ref="Y205">_xlfn.IFS(报价场景=服务费底表!$AJ$2,服务费底表!$AJ205,报价场景=服务费底表!$AP$2,服务费底表!$AP205,报价场景=服务费底表!$AK$2,服务费底表!$AK205,报价场景=服务费底表!$AL$2,服务费底表!$AL205,报价场景=服务费底表!$AM$2,服务费底表!$AM205,报价场景=服务费底表!$AN$2,服务费底表!$AN205,报价场景=服务费底表!$AQ$2,服务费底表!$AQ205,报价场景=服务费底表!$AO$2,服务费底表!$AO205)</f>
        <v>8</v>
      </c>
      <c r="Z205" s="327"/>
      <c r="AA205" s="332">
        <f t="shared" si="185"/>
        <v>8</v>
      </c>
      <c r="AB205" s="333">
        <f t="shared" si="198"/>
        <v>5200</v>
      </c>
      <c r="AC205" s="328">
        <f t="shared" si="199"/>
        <v>8</v>
      </c>
      <c r="AD205" s="334">
        <f t="shared" si="200"/>
        <v>5200</v>
      </c>
      <c r="AE205" s="334">
        <f>$AB205*(1-INDEX(项目参数!$D$5:$D$14,MATCH(服务费底表!$S205,项目参数!$B$5:$B$14,0)))</f>
        <v>5200</v>
      </c>
      <c r="AF205" s="334">
        <f>$AD205*INDEX(项目参数!$D$5:$D$14,MATCH(服务费底表!$S205,项目参数!$B$5:$B$14,0))</f>
        <v>0</v>
      </c>
      <c r="AG205" s="334">
        <f t="shared" si="201"/>
        <v>5200</v>
      </c>
      <c r="AH205" s="328"/>
      <c r="AI205" s="328" t="s">
        <v>599</v>
      </c>
      <c r="AJ205" s="327">
        <v>8</v>
      </c>
      <c r="AK205" s="327">
        <f t="shared" si="168"/>
        <v>12</v>
      </c>
      <c r="AL205" s="327">
        <f t="shared" si="180"/>
        <v>5.5</v>
      </c>
      <c r="AM205" s="327">
        <v>5.5</v>
      </c>
      <c r="AN205" s="327">
        <f t="shared" si="194"/>
        <v>8</v>
      </c>
      <c r="AO205" s="327">
        <f t="shared" si="195"/>
        <v>5.5</v>
      </c>
      <c r="AP205" s="327">
        <v>8</v>
      </c>
      <c r="AQ205" s="327">
        <f t="shared" si="170"/>
        <v>12</v>
      </c>
      <c r="AR205" s="338"/>
      <c r="AS205" s="328">
        <f t="shared" si="190"/>
        <v>8</v>
      </c>
      <c r="AT205" s="328">
        <f t="shared" si="191"/>
        <v>8</v>
      </c>
      <c r="AU205" s="523">
        <v>8</v>
      </c>
      <c r="AV205" s="328"/>
      <c r="AW205" s="328"/>
      <c r="AX205" s="332">
        <v>8</v>
      </c>
      <c r="AY205" s="328" t="b">
        <f t="shared" si="192"/>
        <v>1</v>
      </c>
      <c r="AZ205" s="328" t="b">
        <f t="shared" si="193"/>
        <v>1</v>
      </c>
    </row>
    <row r="206" ht="27" customHeight="1" spans="1:52">
      <c r="A206" s="326" t="str">
        <f>INDEX('Rate Card'!$A:$A,MATCH(服务费底表!$T206,'Rate Card'!$F:$F,0))</f>
        <v>临床运营</v>
      </c>
      <c r="B206" s="327" t="str">
        <f>INDEX(二三级标准!$G:$G,MATCH(服务费底表!$K206,二三级标准!B:B,0))</f>
        <v>份</v>
      </c>
      <c r="C206" s="327">
        <f>INDEX(服务费明细!$E:$E,MATCH(服务费底表!$K206,服务费明细!$B:$B,0))</f>
        <v>1</v>
      </c>
      <c r="D206" s="327" t="str">
        <f t="shared" si="196"/>
        <v>A052PMD</v>
      </c>
      <c r="E206" s="327" t="str">
        <f t="shared" si="197"/>
        <v>T0137PMD</v>
      </c>
      <c r="F206" s="328"/>
      <c r="G206" s="328" t="s">
        <v>684</v>
      </c>
      <c r="H206" s="326" t="str">
        <f>INDEX('Rate Card'!$B:$B,MATCH(服务费底表!$T206,'Rate Card'!$F:$F,0))</f>
        <v>临床运营</v>
      </c>
      <c r="I206" s="328" t="s">
        <v>921</v>
      </c>
      <c r="J206" s="328" t="str">
        <f>INDEX(二三级标准!$Q:$Q,MATCH(服务费底表!I206,二三级标准!$O:$O,0))</f>
        <v>项目管理</v>
      </c>
      <c r="K206" s="328" t="s">
        <v>209</v>
      </c>
      <c r="L206" s="328" t="str">
        <f>INDEX(二三级标准!C:C,MATCH(服务费底表!K206,二三级标准!$B:$B,0))</f>
        <v>项目管理计划PMP撰写</v>
      </c>
      <c r="M206" s="328" t="s">
        <v>1310</v>
      </c>
      <c r="N206" s="328" t="str">
        <f>INDEX(二三级标准!$M:$M,MATCH(服务费底表!$M206,二三级标准!$L:$L,0))</f>
        <v>文件管理计划撰写和审核</v>
      </c>
      <c r="O206" s="328"/>
      <c r="P206" s="327">
        <f>IF(R206=1,INDEX(服务费明细!$E:$E,MATCH(服务费底表!$K206,服务费明细!$B:$B,0)),0)</f>
        <v>1</v>
      </c>
      <c r="Q206" s="328" t="s">
        <v>1176</v>
      </c>
      <c r="R206" s="520">
        <f>IF(AND(PMP撰写YN=1,项目管理YN=1),1,0)</f>
        <v>1</v>
      </c>
      <c r="S206" s="525" t="str">
        <f>INDEX('Rate Card'!$D:$D,MATCH(服务费底表!$T206,'Rate Card'!F:F,0))</f>
        <v>项目管理</v>
      </c>
      <c r="T206" s="328" t="s">
        <v>601</v>
      </c>
      <c r="U206" s="522" t="str">
        <f>INDEX('Rate Card'!$E:$E,MATCH(服务费底表!$T206,'Rate Card'!$F:$F,0))</f>
        <v>临床项目总监</v>
      </c>
      <c r="V206" s="331">
        <f>INDEX('Rate Card'!$J:$J,MATCH($T206,'Rate Card'!$F:$F,0))</f>
        <v>800</v>
      </c>
      <c r="W206" s="523">
        <f t="shared" si="162"/>
        <v>800</v>
      </c>
      <c r="X206" s="523">
        <f t="shared" si="163"/>
        <v>2</v>
      </c>
      <c r="Y206" s="327" cm="1">
        <f t="array" ref="Y206">_xlfn.IFS(报价场景=服务费底表!$AJ$2,服务费底表!$AJ206,报价场景=服务费底表!$AP$2,服务费底表!$AP206,报价场景=服务费底表!$AK$2,服务费底表!$AK206,报价场景=服务费底表!$AL$2,服务费底表!$AL206,报价场景=服务费底表!$AM$2,服务费底表!$AM206,报价场景=服务费底表!$AN$2,服务费底表!$AN206,报价场景=服务费底表!$AQ$2,服务费底表!$AQ206,报价场景=服务费底表!$AO$2,服务费底表!$AO206)</f>
        <v>2</v>
      </c>
      <c r="Z206" s="327"/>
      <c r="AA206" s="332">
        <f t="shared" si="185"/>
        <v>2</v>
      </c>
      <c r="AB206" s="333">
        <f t="shared" si="198"/>
        <v>1600</v>
      </c>
      <c r="AC206" s="328">
        <f t="shared" si="199"/>
        <v>2</v>
      </c>
      <c r="AD206" s="334">
        <f t="shared" si="200"/>
        <v>1600</v>
      </c>
      <c r="AE206" s="334">
        <f>$AB206*(1-INDEX(项目参数!$D$5:$D$14,MATCH(服务费底表!$S206,项目参数!$B$5:$B$14,0)))</f>
        <v>1600</v>
      </c>
      <c r="AF206" s="334">
        <f>$AD206*INDEX(项目参数!$D$5:$D$14,MATCH(服务费底表!$S206,项目参数!$B$5:$B$14,0))</f>
        <v>0</v>
      </c>
      <c r="AG206" s="334">
        <f t="shared" si="201"/>
        <v>1600</v>
      </c>
      <c r="AH206" s="328"/>
      <c r="AI206" s="328" t="s">
        <v>601</v>
      </c>
      <c r="AJ206" s="327">
        <v>2</v>
      </c>
      <c r="AK206" s="327">
        <f t="shared" si="168"/>
        <v>3</v>
      </c>
      <c r="AL206" s="327">
        <f t="shared" si="180"/>
        <v>1.5</v>
      </c>
      <c r="AM206" s="327">
        <v>1.5</v>
      </c>
      <c r="AN206" s="327">
        <f t="shared" si="194"/>
        <v>2</v>
      </c>
      <c r="AO206" s="327">
        <f t="shared" si="195"/>
        <v>1.5</v>
      </c>
      <c r="AP206" s="327">
        <v>2</v>
      </c>
      <c r="AQ206" s="327">
        <f t="shared" si="170"/>
        <v>3</v>
      </c>
      <c r="AR206" s="338"/>
      <c r="AS206" s="328">
        <f t="shared" si="190"/>
        <v>2</v>
      </c>
      <c r="AT206" s="328">
        <f t="shared" si="191"/>
        <v>2</v>
      </c>
      <c r="AU206" s="523">
        <v>2</v>
      </c>
      <c r="AV206" s="328"/>
      <c r="AW206" s="328"/>
      <c r="AX206" s="332">
        <v>2</v>
      </c>
      <c r="AY206" s="328" t="b">
        <f t="shared" si="192"/>
        <v>1</v>
      </c>
      <c r="AZ206" s="328" t="b">
        <f t="shared" si="193"/>
        <v>1</v>
      </c>
    </row>
    <row r="207" ht="27" customHeight="1" spans="1:52">
      <c r="A207" s="326" t="str">
        <f>INDEX('Rate Card'!$A:$A,MATCH(服务费底表!$T207,'Rate Card'!$F:$F,0))</f>
        <v>临床运营</v>
      </c>
      <c r="B207" s="327" t="str">
        <f>INDEX(二三级标准!$G:$G,MATCH(服务费底表!$K207,二三级标准!B:B,0))</f>
        <v>份</v>
      </c>
      <c r="C207" s="327">
        <f>INDEX(服务费明细!$E:$E,MATCH(服务费底表!$K207,服务费明细!$B:$B,0))</f>
        <v>1</v>
      </c>
      <c r="D207" s="327" t="str">
        <f t="shared" si="196"/>
        <v>A053PM</v>
      </c>
      <c r="E207" s="327" t="str">
        <f t="shared" si="197"/>
        <v>T0138PM</v>
      </c>
      <c r="F207" s="328"/>
      <c r="G207" s="328" t="s">
        <v>684</v>
      </c>
      <c r="H207" s="326" t="str">
        <f>INDEX('Rate Card'!$B:$B,MATCH(服务费底表!$T207,'Rate Card'!$F:$F,0))</f>
        <v>临床运营</v>
      </c>
      <c r="I207" s="328" t="s">
        <v>921</v>
      </c>
      <c r="J207" s="328" t="str">
        <f>INDEX(二三级标准!$Q:$Q,MATCH(服务费底表!I207,二三级标准!$O:$O,0))</f>
        <v>项目管理</v>
      </c>
      <c r="K207" s="328" t="s">
        <v>211</v>
      </c>
      <c r="L207" s="328" t="str">
        <f>INDEX(二三级标准!C:C,MATCH(服务费底表!K207,二三级标准!$B:$B,0))</f>
        <v>研究中心监查和管理计划CMP撰写</v>
      </c>
      <c r="M207" s="328" t="s">
        <v>1311</v>
      </c>
      <c r="N207" s="328" t="str">
        <f>INDEX(二三级标准!$M:$M,MATCH(服务费底表!$M207,二三级标准!$L:$L,0))</f>
        <v>CMP的撰写</v>
      </c>
      <c r="O207" s="328"/>
      <c r="P207" s="327">
        <f>IF(R207=1,INDEX(服务费明细!$E:$E,MATCH(服务费底表!$K207,服务费明细!$B:$B,0)),0)</f>
        <v>1</v>
      </c>
      <c r="Q207" s="328" t="s">
        <v>1176</v>
      </c>
      <c r="R207" s="520">
        <f>IF(AND(CMP撰写YN=1,项目管理YN=1),1,0)</f>
        <v>1</v>
      </c>
      <c r="S207" s="525" t="str">
        <f>INDEX('Rate Card'!$D:$D,MATCH(服务费底表!$T207,'Rate Card'!F:F,0))</f>
        <v>项目管理</v>
      </c>
      <c r="T207" s="328" t="s">
        <v>599</v>
      </c>
      <c r="U207" s="522" t="str">
        <f>INDEX('Rate Card'!$E:$E,MATCH(服务费底表!$T207,'Rate Card'!$F:$F,0))</f>
        <v>临床项目经理</v>
      </c>
      <c r="V207" s="331">
        <f>INDEX('Rate Card'!$J:$J,MATCH($T207,'Rate Card'!$F:$F,0))</f>
        <v>650</v>
      </c>
      <c r="W207" s="523">
        <f t="shared" si="162"/>
        <v>650</v>
      </c>
      <c r="X207" s="523">
        <f t="shared" si="163"/>
        <v>8</v>
      </c>
      <c r="Y207" s="327" cm="1">
        <f t="array" ref="Y207">_xlfn.IFS(报价场景=服务费底表!$AJ$2,服务费底表!$AJ207,报价场景=服务费底表!$AP$2,服务费底表!$AP207,报价场景=服务费底表!$AK$2,服务费底表!$AK207,报价场景=服务费底表!$AL$2,服务费底表!$AL207,报价场景=服务费底表!$AM$2,服务费底表!$AM207,报价场景=服务费底表!$AN$2,服务费底表!$AN207,报价场景=服务费底表!$AQ$2,服务费底表!$AQ207,报价场景=服务费底表!$AO$2,服务费底表!$AO207)</f>
        <v>8</v>
      </c>
      <c r="Z207" s="327"/>
      <c r="AA207" s="332">
        <f t="shared" si="185"/>
        <v>8</v>
      </c>
      <c r="AB207" s="333">
        <f t="shared" si="198"/>
        <v>5200</v>
      </c>
      <c r="AC207" s="328">
        <f t="shared" si="199"/>
        <v>8</v>
      </c>
      <c r="AD207" s="334">
        <f t="shared" si="200"/>
        <v>5200</v>
      </c>
      <c r="AE207" s="334">
        <f>$AB207*(1-INDEX(项目参数!$D$5:$D$14,MATCH(服务费底表!$S207,项目参数!$B$5:$B$14,0)))</f>
        <v>5200</v>
      </c>
      <c r="AF207" s="334">
        <f>$AD207*INDEX(项目参数!$D$5:$D$14,MATCH(服务费底表!$S207,项目参数!$B$5:$B$14,0))</f>
        <v>0</v>
      </c>
      <c r="AG207" s="334">
        <f t="shared" si="201"/>
        <v>5200</v>
      </c>
      <c r="AH207" s="328"/>
      <c r="AI207" s="328" t="s">
        <v>599</v>
      </c>
      <c r="AJ207" s="327">
        <v>8</v>
      </c>
      <c r="AK207" s="327">
        <f t="shared" si="168"/>
        <v>12</v>
      </c>
      <c r="AL207" s="327">
        <f t="shared" si="180"/>
        <v>5.5</v>
      </c>
      <c r="AM207" s="327">
        <v>5.5</v>
      </c>
      <c r="AN207" s="327">
        <f t="shared" si="194"/>
        <v>8</v>
      </c>
      <c r="AO207" s="327">
        <f t="shared" si="195"/>
        <v>5.5</v>
      </c>
      <c r="AP207" s="327">
        <v>12</v>
      </c>
      <c r="AQ207" s="327">
        <f t="shared" si="170"/>
        <v>12</v>
      </c>
      <c r="AR207" s="338"/>
      <c r="AS207" s="328">
        <f t="shared" si="190"/>
        <v>8</v>
      </c>
      <c r="AT207" s="328">
        <f t="shared" si="191"/>
        <v>8</v>
      </c>
      <c r="AU207" s="523">
        <v>8</v>
      </c>
      <c r="AV207" s="328"/>
      <c r="AW207" s="328"/>
      <c r="AX207" s="332">
        <v>8</v>
      </c>
      <c r="AY207" s="328" t="b">
        <f t="shared" si="192"/>
        <v>1</v>
      </c>
      <c r="AZ207" s="328" t="b">
        <f t="shared" si="193"/>
        <v>0</v>
      </c>
    </row>
    <row r="208" ht="27" customHeight="1" spans="1:52">
      <c r="A208" s="326" t="str">
        <f>INDEX('Rate Card'!$A:$A,MATCH(服务费底表!$T208,'Rate Card'!$F:$F,0))</f>
        <v>临床运营</v>
      </c>
      <c r="B208" s="327" t="str">
        <f>INDEX(二三级标准!$G:$G,MATCH(服务费底表!$K208,二三级标准!B:B,0))</f>
        <v>份</v>
      </c>
      <c r="C208" s="327">
        <f>INDEX(服务费明细!$E:$E,MATCH(服务费底表!$K208,服务费明细!$B:$B,0))</f>
        <v>1</v>
      </c>
      <c r="D208" s="327" t="str">
        <f t="shared" si="196"/>
        <v>A053PMD</v>
      </c>
      <c r="E208" s="327" t="str">
        <f t="shared" si="197"/>
        <v>T0139PMD</v>
      </c>
      <c r="F208" s="328"/>
      <c r="G208" s="328" t="s">
        <v>684</v>
      </c>
      <c r="H208" s="326" t="str">
        <f>INDEX('Rate Card'!$B:$B,MATCH(服务费底表!$T208,'Rate Card'!$F:$F,0))</f>
        <v>临床运营</v>
      </c>
      <c r="I208" s="328" t="s">
        <v>921</v>
      </c>
      <c r="J208" s="328" t="str">
        <f>INDEX(二三级标准!$Q:$Q,MATCH(服务费底表!I208,二三级标准!$O:$O,0))</f>
        <v>项目管理</v>
      </c>
      <c r="K208" s="328" t="s">
        <v>211</v>
      </c>
      <c r="L208" s="328" t="str">
        <f>INDEX(二三级标准!C:C,MATCH(服务费底表!K208,二三级标准!$B:$B,0))</f>
        <v>研究中心监查和管理计划CMP撰写</v>
      </c>
      <c r="M208" s="328" t="s">
        <v>1312</v>
      </c>
      <c r="N208" s="328" t="str">
        <f>INDEX(二三级标准!$M:$M,MATCH(服务费底表!$M208,二三级标准!$L:$L,0))</f>
        <v>CMP的审核</v>
      </c>
      <c r="O208" s="328"/>
      <c r="P208" s="327">
        <f>IF(R208=1,INDEX(服务费明细!$E:$E,MATCH(服务费底表!$K208,服务费明细!$B:$B,0)),0)</f>
        <v>1</v>
      </c>
      <c r="Q208" s="328" t="s">
        <v>1176</v>
      </c>
      <c r="R208" s="520">
        <f>IF(AND(CMP撰写YN=1,项目管理YN=1),1,0)</f>
        <v>1</v>
      </c>
      <c r="S208" s="525" t="str">
        <f>INDEX('Rate Card'!$D:$D,MATCH(服务费底表!$T208,'Rate Card'!F:F,0))</f>
        <v>项目管理</v>
      </c>
      <c r="T208" s="328" t="s">
        <v>601</v>
      </c>
      <c r="U208" s="522" t="str">
        <f>INDEX('Rate Card'!$E:$E,MATCH(服务费底表!$T208,'Rate Card'!$F:$F,0))</f>
        <v>临床项目总监</v>
      </c>
      <c r="V208" s="331">
        <f>INDEX('Rate Card'!$J:$J,MATCH($T208,'Rate Card'!$F:$F,0))</f>
        <v>800</v>
      </c>
      <c r="W208" s="523">
        <f t="shared" si="162"/>
        <v>800</v>
      </c>
      <c r="X208" s="523">
        <f t="shared" si="163"/>
        <v>2</v>
      </c>
      <c r="Y208" s="327" cm="1">
        <f t="array" ref="Y208">_xlfn.IFS(报价场景=服务费底表!$AJ$2,服务费底表!$AJ208,报价场景=服务费底表!$AP$2,服务费底表!$AP208,报价场景=服务费底表!$AK$2,服务费底表!$AK208,报价场景=服务费底表!$AL$2,服务费底表!$AL208,报价场景=服务费底表!$AM$2,服务费底表!$AM208,报价场景=服务费底表!$AN$2,服务费底表!$AN208,报价场景=服务费底表!$AQ$2,服务费底表!$AQ208,报价场景=服务费底表!$AO$2,服务费底表!$AO208)</f>
        <v>2</v>
      </c>
      <c r="Z208" s="327"/>
      <c r="AA208" s="332">
        <f t="shared" si="185"/>
        <v>2</v>
      </c>
      <c r="AB208" s="333">
        <f t="shared" si="198"/>
        <v>1600</v>
      </c>
      <c r="AC208" s="328">
        <f t="shared" si="199"/>
        <v>2</v>
      </c>
      <c r="AD208" s="334">
        <f t="shared" si="200"/>
        <v>1600</v>
      </c>
      <c r="AE208" s="334">
        <f>$AB208*(1-INDEX(项目参数!$D$5:$D$14,MATCH(服务费底表!$S208,项目参数!$B$5:$B$14,0)))</f>
        <v>1600</v>
      </c>
      <c r="AF208" s="334">
        <f>$AD208*INDEX(项目参数!$D$5:$D$14,MATCH(服务费底表!$S208,项目参数!$B$5:$B$14,0))</f>
        <v>0</v>
      </c>
      <c r="AG208" s="334">
        <f t="shared" si="201"/>
        <v>1600</v>
      </c>
      <c r="AH208" s="328"/>
      <c r="AI208" s="328" t="s">
        <v>601</v>
      </c>
      <c r="AJ208" s="327">
        <v>2</v>
      </c>
      <c r="AK208" s="327">
        <f t="shared" si="168"/>
        <v>3</v>
      </c>
      <c r="AL208" s="327">
        <f t="shared" si="180"/>
        <v>1.5</v>
      </c>
      <c r="AM208" s="327">
        <v>1.5</v>
      </c>
      <c r="AN208" s="327">
        <f t="shared" si="194"/>
        <v>2</v>
      </c>
      <c r="AO208" s="327">
        <f t="shared" si="195"/>
        <v>1.5</v>
      </c>
      <c r="AP208" s="327">
        <v>3</v>
      </c>
      <c r="AQ208" s="327">
        <f t="shared" si="170"/>
        <v>3</v>
      </c>
      <c r="AR208" s="338"/>
      <c r="AS208" s="328">
        <f t="shared" si="190"/>
        <v>2</v>
      </c>
      <c r="AT208" s="328">
        <f t="shared" si="191"/>
        <v>2</v>
      </c>
      <c r="AU208" s="523">
        <v>2</v>
      </c>
      <c r="AV208" s="328"/>
      <c r="AW208" s="328"/>
      <c r="AX208" s="332">
        <v>2</v>
      </c>
      <c r="AY208" s="328" t="b">
        <f t="shared" si="192"/>
        <v>1</v>
      </c>
      <c r="AZ208" s="328" t="b">
        <f t="shared" si="193"/>
        <v>0</v>
      </c>
    </row>
    <row r="209" ht="27" customHeight="1" spans="1:52">
      <c r="A209" s="326" t="str">
        <f>INDEX('Rate Card'!$A:$A,MATCH(服务费底表!$T209,'Rate Card'!$F:$F,0))</f>
        <v>临床运营</v>
      </c>
      <c r="B209" s="327" t="str">
        <f>INDEX(二三级标准!$G:$G,MATCH(服务费底表!$K209,二三级标准!B:B,0))</f>
        <v>次</v>
      </c>
      <c r="C209" s="327">
        <f>INDEX(服务费明细!$E:$E,MATCH(服务费底表!$K209,服务费明细!$B:$B,0))</f>
        <v>1</v>
      </c>
      <c r="D209" s="327" t="str">
        <f t="shared" si="196"/>
        <v>A054PM</v>
      </c>
      <c r="E209" s="327" t="str">
        <f t="shared" si="197"/>
        <v>T0140PM</v>
      </c>
      <c r="F209" s="328"/>
      <c r="G209" s="328" t="s">
        <v>684</v>
      </c>
      <c r="H209" s="326" t="str">
        <f>INDEX('Rate Card'!$B:$B,MATCH(服务费底表!$T209,'Rate Card'!$F:$F,0))</f>
        <v>临床运营</v>
      </c>
      <c r="I209" s="328" t="s">
        <v>921</v>
      </c>
      <c r="J209" s="328" t="str">
        <f>INDEX(二三级标准!$Q:$Q,MATCH(服务费底表!I209,二三级标准!$O:$O,0))</f>
        <v>项目管理</v>
      </c>
      <c r="K209" s="328" t="s">
        <v>213</v>
      </c>
      <c r="L209" s="328" t="str">
        <f>INDEX(二三级标准!C:C,MATCH(服务费底表!K209,二三级标准!$B:$B,0))</f>
        <v>中心实验室操作手册审核</v>
      </c>
      <c r="M209" s="328" t="s">
        <v>1313</v>
      </c>
      <c r="N209" s="328" t="str">
        <f>INDEX(二三级标准!$M:$M,MATCH(服务费底表!$M209,二三级标准!$L:$L,0))</f>
        <v>中心实验室操作手册审核</v>
      </c>
      <c r="O209" s="328"/>
      <c r="P209" s="327">
        <f>IF(R209=1,INDEX(服务费明细!$E:$E,MATCH(服务费底表!$K209,服务费明细!$B:$B,0)),0)</f>
        <v>1</v>
      </c>
      <c r="Q209" s="328" t="s">
        <v>1178</v>
      </c>
      <c r="R209" s="520">
        <f>IF(AND(中心实验室操作手册审核YN=1,项目管理YN=1),1,0)</f>
        <v>1</v>
      </c>
      <c r="S209" s="525" t="str">
        <f>INDEX('Rate Card'!$D:$D,MATCH(服务费底表!$T209,'Rate Card'!F:F,0))</f>
        <v>项目管理</v>
      </c>
      <c r="T209" s="328" t="s">
        <v>599</v>
      </c>
      <c r="U209" s="522" t="str">
        <f>INDEX('Rate Card'!$E:$E,MATCH(服务费底表!$T209,'Rate Card'!$F:$F,0))</f>
        <v>临床项目经理</v>
      </c>
      <c r="V209" s="331">
        <f>INDEX('Rate Card'!$J:$J,MATCH($T209,'Rate Card'!$F:$F,0))</f>
        <v>650</v>
      </c>
      <c r="W209" s="523">
        <f t="shared" si="162"/>
        <v>650</v>
      </c>
      <c r="X209" s="523">
        <f t="shared" si="163"/>
        <v>4</v>
      </c>
      <c r="Y209" s="327" cm="1">
        <f t="array" ref="Y209">_xlfn.IFS(报价场景=服务费底表!$AJ$2,服务费底表!$AJ209,报价场景=服务费底表!$AP$2,服务费底表!$AP209,报价场景=服务费底表!$AK$2,服务费底表!$AK209,报价场景=服务费底表!$AL$2,服务费底表!$AL209,报价场景=服务费底表!$AM$2,服务费底表!$AM209,报价场景=服务费底表!$AN$2,服务费底表!$AN209,报价场景=服务费底表!$AQ$2,服务费底表!$AQ209,报价场景=服务费底表!$AO$2,服务费底表!$AO209)</f>
        <v>4</v>
      </c>
      <c r="Z209" s="327"/>
      <c r="AA209" s="332">
        <f t="shared" si="185"/>
        <v>4</v>
      </c>
      <c r="AB209" s="333">
        <f t="shared" si="198"/>
        <v>2600</v>
      </c>
      <c r="AC209" s="328">
        <f t="shared" si="199"/>
        <v>4</v>
      </c>
      <c r="AD209" s="334">
        <f t="shared" si="200"/>
        <v>2600</v>
      </c>
      <c r="AE209" s="334">
        <f>$AB209*(1-INDEX(项目参数!$D$5:$D$14,MATCH(服务费底表!$S209,项目参数!$B$5:$B$14,0)))</f>
        <v>2600</v>
      </c>
      <c r="AF209" s="334">
        <f>$AD209*INDEX(项目参数!$D$5:$D$14,MATCH(服务费底表!$S209,项目参数!$B$5:$B$14,0))</f>
        <v>0</v>
      </c>
      <c r="AG209" s="334">
        <f t="shared" si="201"/>
        <v>2600</v>
      </c>
      <c r="AH209" s="328"/>
      <c r="AI209" s="328" t="s">
        <v>599</v>
      </c>
      <c r="AJ209" s="327">
        <v>4</v>
      </c>
      <c r="AK209" s="327">
        <f t="shared" si="168"/>
        <v>6</v>
      </c>
      <c r="AL209" s="327">
        <f t="shared" si="180"/>
        <v>3</v>
      </c>
      <c r="AM209" s="327">
        <v>3</v>
      </c>
      <c r="AN209" s="327">
        <f t="shared" si="194"/>
        <v>4</v>
      </c>
      <c r="AO209" s="327">
        <f t="shared" si="195"/>
        <v>3</v>
      </c>
      <c r="AP209" s="327">
        <v>4</v>
      </c>
      <c r="AQ209" s="327">
        <f t="shared" si="170"/>
        <v>6</v>
      </c>
      <c r="AR209" s="338"/>
      <c r="AS209" s="328">
        <f t="shared" si="190"/>
        <v>4</v>
      </c>
      <c r="AT209" s="328">
        <f t="shared" si="191"/>
        <v>4</v>
      </c>
      <c r="AU209" s="523">
        <v>4</v>
      </c>
      <c r="AV209" s="328"/>
      <c r="AW209" s="328"/>
      <c r="AX209" s="332">
        <v>4</v>
      </c>
      <c r="AY209" s="328" t="b">
        <f t="shared" si="192"/>
        <v>1</v>
      </c>
      <c r="AZ209" s="328" t="b">
        <f t="shared" si="193"/>
        <v>1</v>
      </c>
    </row>
    <row r="210" ht="27" customHeight="1" spans="1:52">
      <c r="A210" s="326" t="str">
        <f>INDEX('Rate Card'!$A:$A,MATCH(服务费底表!$T210,'Rate Card'!$F:$F,0))</f>
        <v>临床运营</v>
      </c>
      <c r="B210" s="327" t="str">
        <f>INDEX(二三级标准!$G:$G,MATCH(服务费底表!$K210,二三级标准!B:B,0))</f>
        <v>次</v>
      </c>
      <c r="C210" s="327">
        <f>INDEX(服务费明细!$E:$E,MATCH(服务费底表!$K210,服务费明细!$B:$B,0))</f>
        <v>1</v>
      </c>
      <c r="D210" s="327" t="str">
        <f t="shared" si="196"/>
        <v>A055PM</v>
      </c>
      <c r="E210" s="327" t="str">
        <f t="shared" si="197"/>
        <v>T0141PM</v>
      </c>
      <c r="F210" s="328"/>
      <c r="G210" s="328" t="s">
        <v>684</v>
      </c>
      <c r="H210" s="326" t="str">
        <f>INDEX('Rate Card'!$B:$B,MATCH(服务费底表!$T210,'Rate Card'!$F:$F,0))</f>
        <v>临床运营</v>
      </c>
      <c r="I210" s="328" t="s">
        <v>921</v>
      </c>
      <c r="J210" s="328" t="str">
        <f>INDEX(二三级标准!$Q:$Q,MATCH(服务费底表!I210,二三级标准!$O:$O,0))</f>
        <v>项目管理</v>
      </c>
      <c r="K210" s="328" t="s">
        <v>215</v>
      </c>
      <c r="L210" s="328" t="str">
        <f>INDEX(二三级标准!C:C,MATCH(服务费底表!K210,二三级标准!$B:$B,0))</f>
        <v>药物管理手册IPMP审核</v>
      </c>
      <c r="M210" s="328" t="s">
        <v>1314</v>
      </c>
      <c r="N210" s="328" t="str">
        <f>INDEX(二三级标准!$M:$M,MATCH(服务费底表!$M210,二三级标准!$L:$L,0))</f>
        <v>药物管理手册IPMP审核</v>
      </c>
      <c r="O210" s="328"/>
      <c r="P210" s="327">
        <f>IF(R210=1,INDEX(服务费明细!$E:$E,MATCH(服务费底表!$K210,服务费明细!$B:$B,0)),0)</f>
        <v>1</v>
      </c>
      <c r="Q210" s="328" t="s">
        <v>1178</v>
      </c>
      <c r="R210" s="520">
        <f>IF(AND(IPMP审核YN=1,项目管理YN=1),1,0)</f>
        <v>1</v>
      </c>
      <c r="S210" s="525" t="str">
        <f>INDEX('Rate Card'!$D:$D,MATCH(服务费底表!$T210,'Rate Card'!F:F,0))</f>
        <v>项目管理</v>
      </c>
      <c r="T210" s="328" t="s">
        <v>599</v>
      </c>
      <c r="U210" s="522" t="str">
        <f>INDEX('Rate Card'!$E:$E,MATCH(服务费底表!$T210,'Rate Card'!$F:$F,0))</f>
        <v>临床项目经理</v>
      </c>
      <c r="V210" s="331">
        <f>INDEX('Rate Card'!$J:$J,MATCH($T210,'Rate Card'!$F:$F,0))</f>
        <v>650</v>
      </c>
      <c r="W210" s="523">
        <f t="shared" si="162"/>
        <v>650</v>
      </c>
      <c r="X210" s="523">
        <f t="shared" si="163"/>
        <v>4</v>
      </c>
      <c r="Y210" s="327" cm="1">
        <f t="array" ref="Y210">_xlfn.IFS(报价场景=服务费底表!$AJ$2,服务费底表!$AJ210,报价场景=服务费底表!$AP$2,服务费底表!$AP210,报价场景=服务费底表!$AK$2,服务费底表!$AK210,报价场景=服务费底表!$AL$2,服务费底表!$AL210,报价场景=服务费底表!$AM$2,服务费底表!$AM210,报价场景=服务费底表!$AN$2,服务费底表!$AN210,报价场景=服务费底表!$AQ$2,服务费底表!$AQ210,报价场景=服务费底表!$AO$2,服务费底表!$AO210)</f>
        <v>4</v>
      </c>
      <c r="Z210" s="327"/>
      <c r="AA210" s="332">
        <f t="shared" si="185"/>
        <v>4</v>
      </c>
      <c r="AB210" s="333">
        <f t="shared" si="198"/>
        <v>2600</v>
      </c>
      <c r="AC210" s="328">
        <f t="shared" si="199"/>
        <v>4</v>
      </c>
      <c r="AD210" s="334">
        <f t="shared" si="200"/>
        <v>2600</v>
      </c>
      <c r="AE210" s="334">
        <f>$AB210*(1-INDEX(项目参数!$D$5:$D$14,MATCH(服务费底表!$S210,项目参数!$B$5:$B$14,0)))</f>
        <v>2600</v>
      </c>
      <c r="AF210" s="334">
        <f>$AD210*INDEX(项目参数!$D$5:$D$14,MATCH(服务费底表!$S210,项目参数!$B$5:$B$14,0))</f>
        <v>0</v>
      </c>
      <c r="AG210" s="334">
        <f t="shared" si="201"/>
        <v>2600</v>
      </c>
      <c r="AH210" s="328"/>
      <c r="AI210" s="328" t="s">
        <v>599</v>
      </c>
      <c r="AJ210" s="327">
        <v>4</v>
      </c>
      <c r="AK210" s="327">
        <f t="shared" si="168"/>
        <v>6</v>
      </c>
      <c r="AL210" s="327">
        <f t="shared" si="180"/>
        <v>3</v>
      </c>
      <c r="AM210" s="327">
        <v>3</v>
      </c>
      <c r="AN210" s="327">
        <f t="shared" si="194"/>
        <v>4</v>
      </c>
      <c r="AO210" s="327">
        <f t="shared" si="195"/>
        <v>3</v>
      </c>
      <c r="AP210" s="327">
        <v>4</v>
      </c>
      <c r="AQ210" s="327">
        <f t="shared" si="170"/>
        <v>6</v>
      </c>
      <c r="AR210" s="338"/>
      <c r="AS210" s="328">
        <f t="shared" si="190"/>
        <v>4</v>
      </c>
      <c r="AT210" s="328">
        <f t="shared" si="191"/>
        <v>4</v>
      </c>
      <c r="AU210" s="523">
        <v>4</v>
      </c>
      <c r="AV210" s="328"/>
      <c r="AW210" s="328"/>
      <c r="AX210" s="332">
        <v>4</v>
      </c>
      <c r="AY210" s="328" t="b">
        <f t="shared" si="192"/>
        <v>1</v>
      </c>
      <c r="AZ210" s="328" t="b">
        <f t="shared" si="193"/>
        <v>0</v>
      </c>
    </row>
    <row r="211" ht="27" customHeight="1" spans="1:52">
      <c r="A211" s="326" t="str">
        <f>INDEX('Rate Card'!$A:$A,MATCH(服务费底表!$T211,'Rate Card'!$F:$F,0))</f>
        <v>临床运营</v>
      </c>
      <c r="B211" s="327" t="str">
        <f>INDEX(二三级标准!$G:$G,MATCH(服务费底表!$K211,二三级标准!B:B,0))</f>
        <v>次</v>
      </c>
      <c r="C211" s="327">
        <f>INDEX(服务费明细!$E:$E,MATCH(服务费底表!$K211,服务费明细!$B:$B,0))</f>
        <v>4</v>
      </c>
      <c r="D211" s="327" t="str">
        <f t="shared" si="196"/>
        <v>A246CRA</v>
      </c>
      <c r="E211" s="327" t="str">
        <f t="shared" si="197"/>
        <v>T0707CRA</v>
      </c>
      <c r="F211" s="328"/>
      <c r="G211" s="328" t="s">
        <v>684</v>
      </c>
      <c r="H211" s="326" t="str">
        <f>INDEX('Rate Card'!$B:$B,MATCH(服务费底表!$T211,'Rate Card'!$F:$F,0))</f>
        <v>临床运营</v>
      </c>
      <c r="I211" s="328" t="s">
        <v>921</v>
      </c>
      <c r="J211" s="328" t="str">
        <f>INDEX(二三级标准!$Q:$Q,MATCH(服务费底表!I211,二三级标准!$O:$O,0))</f>
        <v>项目管理</v>
      </c>
      <c r="K211" s="328" t="s">
        <v>1019</v>
      </c>
      <c r="L211" s="328" t="str">
        <f>INDEX(二三级标准!C:C,MATCH(服务费底表!K211,二三级标准!$B:$B,0))</f>
        <v>促进入组现场拜访</v>
      </c>
      <c r="M211" s="328" t="s">
        <v>1315</v>
      </c>
      <c r="N211" s="328" t="str">
        <f>INDEX(二三级标准!$M:$M,MATCH(服务费底表!$M211,二三级标准!$L:$L,0))</f>
        <v>促进入组现场拜访</v>
      </c>
      <c r="O211" s="328"/>
      <c r="P211" s="327">
        <f>IF(R211=1,INDEX(服务费明细!$E:$E,MATCH(服务费底表!$K211,服务费明细!$B:$B,0)),0)</f>
        <v>4</v>
      </c>
      <c r="Q211" s="328" t="s">
        <v>1178</v>
      </c>
      <c r="R211" s="520">
        <f>IF(AND(促进入组现场拜访YN=1,临床监查YN=1),1,0)</f>
        <v>1</v>
      </c>
      <c r="S211" s="525" t="str">
        <f>INDEX('Rate Card'!$D:$D,MATCH(服务费底表!$T211,'Rate Card'!F:F,0))</f>
        <v>临床监查</v>
      </c>
      <c r="T211" s="328" t="s">
        <v>595</v>
      </c>
      <c r="U211" s="522" t="str">
        <f>INDEX('Rate Card'!$E:$E,MATCH(服务费底表!$T211,'Rate Card'!$F:$F,0))</f>
        <v>临床监查员</v>
      </c>
      <c r="V211" s="331">
        <f>INDEX('Rate Card'!$J:$J,MATCH($T211,'Rate Card'!$F:$F,0))</f>
        <v>340</v>
      </c>
      <c r="W211" s="523">
        <f t="shared" si="162"/>
        <v>340</v>
      </c>
      <c r="X211" s="523">
        <f t="shared" si="163"/>
        <v>1</v>
      </c>
      <c r="Y211" s="327" cm="1">
        <f t="array" ref="Y211">_xlfn.IFS(报价场景=服务费底表!$AJ$2,服务费底表!$AJ211,报价场景=服务费底表!$AP$2,服务费底表!$AP211,报价场景=服务费底表!$AK$2,服务费底表!$AK211,报价场景=服务费底表!$AL$2,服务费底表!$AL211,报价场景=服务费底表!$AM$2,服务费底表!$AM211,报价场景=服务费底表!$AN$2,服务费底表!$AN211,报价场景=服务费底表!$AQ$2,服务费底表!$AQ211,报价场景=服务费底表!$AO$2,服务费底表!$AO211)</f>
        <v>1</v>
      </c>
      <c r="Z211" s="327"/>
      <c r="AA211" s="332">
        <f t="shared" si="185"/>
        <v>1</v>
      </c>
      <c r="AB211" s="333">
        <f t="shared" si="198"/>
        <v>340</v>
      </c>
      <c r="AC211" s="328">
        <f t="shared" si="199"/>
        <v>4</v>
      </c>
      <c r="AD211" s="334">
        <f t="shared" si="200"/>
        <v>1360</v>
      </c>
      <c r="AE211" s="334">
        <f>$AB211*(1-INDEX(项目参数!$D$5:$D$14,MATCH(服务费底表!$S211,项目参数!$B$5:$B$14,0)))</f>
        <v>340</v>
      </c>
      <c r="AF211" s="334">
        <f>$AD211*INDEX(项目参数!$D$5:$D$14,MATCH(服务费底表!$S211,项目参数!$B$5:$B$14,0))</f>
        <v>0</v>
      </c>
      <c r="AG211" s="334">
        <f t="shared" si="201"/>
        <v>1360</v>
      </c>
      <c r="AH211" s="328"/>
      <c r="AI211" s="328" t="s">
        <v>595</v>
      </c>
      <c r="AJ211" s="327">
        <v>1</v>
      </c>
      <c r="AK211" s="327">
        <f t="shared" si="168"/>
        <v>1.5</v>
      </c>
      <c r="AL211" s="327">
        <f t="shared" si="180"/>
        <v>0.8</v>
      </c>
      <c r="AM211" s="327">
        <v>0.8</v>
      </c>
      <c r="AN211" s="327">
        <f t="shared" si="194"/>
        <v>1</v>
      </c>
      <c r="AO211" s="327">
        <f t="shared" si="195"/>
        <v>0.8</v>
      </c>
      <c r="AP211" s="327">
        <v>1</v>
      </c>
      <c r="AQ211" s="327">
        <f t="shared" si="170"/>
        <v>1.5</v>
      </c>
      <c r="AR211" s="338"/>
      <c r="AS211" s="327">
        <f t="shared" si="190"/>
        <v>4</v>
      </c>
      <c r="AT211" s="327">
        <f t="shared" si="191"/>
        <v>4</v>
      </c>
      <c r="AU211" s="523">
        <v>1</v>
      </c>
      <c r="AV211" s="328"/>
      <c r="AW211" s="328"/>
      <c r="AX211" s="332">
        <v>1</v>
      </c>
      <c r="AY211" s="328" t="b">
        <f t="shared" si="192"/>
        <v>1</v>
      </c>
      <c r="AZ211" s="328" t="b">
        <f t="shared" si="193"/>
        <v>1</v>
      </c>
    </row>
    <row r="212" ht="27" customHeight="1" spans="1:52">
      <c r="A212" s="326" t="str">
        <f>INDEX('Rate Card'!$A:$A,MATCH(服务费底表!$T212,'Rate Card'!$F:$F,0))</f>
        <v>临床运营</v>
      </c>
      <c r="B212" s="327" t="str">
        <f>INDEX(二三级标准!$G:$G,MATCH(服务费底表!$K212,二三级标准!B:B,0))</f>
        <v>次</v>
      </c>
      <c r="C212" s="327">
        <f>INDEX(服务费明细!$E:$E,MATCH(服务费底表!$K212,服务费明细!$B:$B,0))</f>
        <v>4</v>
      </c>
      <c r="D212" s="327" t="str">
        <f t="shared" si="196"/>
        <v>A246PM</v>
      </c>
      <c r="E212" s="327" t="str">
        <f t="shared" si="197"/>
        <v>T0707PM</v>
      </c>
      <c r="F212" s="328"/>
      <c r="G212" s="328" t="s">
        <v>684</v>
      </c>
      <c r="H212" s="326" t="str">
        <f>INDEX('Rate Card'!$B:$B,MATCH(服务费底表!$T212,'Rate Card'!$F:$F,0))</f>
        <v>临床运营</v>
      </c>
      <c r="I212" s="328" t="s">
        <v>921</v>
      </c>
      <c r="J212" s="328" t="str">
        <f>INDEX(二三级标准!$Q:$Q,MATCH(服务费底表!I212,二三级标准!$O:$O,0))</f>
        <v>项目管理</v>
      </c>
      <c r="K212" s="328" t="s">
        <v>1019</v>
      </c>
      <c r="L212" s="328" t="str">
        <f>INDEX(二三级标准!C:C,MATCH(服务费底表!K212,二三级标准!$B:$B,0))</f>
        <v>促进入组现场拜访</v>
      </c>
      <c r="M212" s="328" t="s">
        <v>1315</v>
      </c>
      <c r="N212" s="328" t="str">
        <f>INDEX(二三级标准!$M:$M,MATCH(服务费底表!$M212,二三级标准!$L:$L,0))</f>
        <v>促进入组现场拜访</v>
      </c>
      <c r="O212" s="328"/>
      <c r="P212" s="327">
        <f>IF(R212=1,INDEX(服务费明细!$E:$E,MATCH(服务费底表!$K212,服务费明细!$B:$B,0)),0)</f>
        <v>4</v>
      </c>
      <c r="Q212" s="328" t="s">
        <v>1178</v>
      </c>
      <c r="R212" s="520">
        <f>IF(AND(促进入组现场拜访YN=1,项目管理YN=1),1,0)</f>
        <v>1</v>
      </c>
      <c r="S212" s="525" t="str">
        <f>INDEX('Rate Card'!$D:$D,MATCH(服务费底表!$T212,'Rate Card'!F:F,0))</f>
        <v>项目管理</v>
      </c>
      <c r="T212" s="328" t="s">
        <v>599</v>
      </c>
      <c r="U212" s="522" t="str">
        <f>INDEX('Rate Card'!$E:$E,MATCH(服务费底表!$T212,'Rate Card'!$F:$F,0))</f>
        <v>临床项目经理</v>
      </c>
      <c r="V212" s="331">
        <f>INDEX('Rate Card'!$J:$J,MATCH($T212,'Rate Card'!$F:$F,0))</f>
        <v>650</v>
      </c>
      <c r="W212" s="523">
        <f t="shared" si="162"/>
        <v>650</v>
      </c>
      <c r="X212" s="523">
        <f t="shared" si="163"/>
        <v>1</v>
      </c>
      <c r="Y212" s="327" cm="1">
        <f t="array" ref="Y212">_xlfn.IFS(报价场景=服务费底表!$AJ$2,服务费底表!$AJ212,报价场景=服务费底表!$AP$2,服务费底表!$AP212,报价场景=服务费底表!$AK$2,服务费底表!$AK212,报价场景=服务费底表!$AL$2,服务费底表!$AL212,报价场景=服务费底表!$AM$2,服务费底表!$AM212,报价场景=服务费底表!$AN$2,服务费底表!$AN212,报价场景=服务费底表!$AQ$2,服务费底表!$AQ212,报价场景=服务费底表!$AO$2,服务费底表!$AO212)</f>
        <v>1</v>
      </c>
      <c r="Z212" s="327"/>
      <c r="AA212" s="332">
        <f t="shared" si="185"/>
        <v>1</v>
      </c>
      <c r="AB212" s="333">
        <f t="shared" si="198"/>
        <v>650</v>
      </c>
      <c r="AC212" s="328">
        <f t="shared" si="199"/>
        <v>4</v>
      </c>
      <c r="AD212" s="334">
        <f t="shared" si="200"/>
        <v>2600</v>
      </c>
      <c r="AE212" s="334">
        <f>$AB212*(1-INDEX(项目参数!$D$5:$D$14,MATCH(服务费底表!$S212,项目参数!$B$5:$B$14,0)))</f>
        <v>650</v>
      </c>
      <c r="AF212" s="334">
        <f>$AD212*INDEX(项目参数!$D$5:$D$14,MATCH(服务费底表!$S212,项目参数!$B$5:$B$14,0))</f>
        <v>0</v>
      </c>
      <c r="AG212" s="334">
        <f t="shared" si="201"/>
        <v>2600</v>
      </c>
      <c r="AH212" s="328"/>
      <c r="AI212" s="328" t="s">
        <v>599</v>
      </c>
      <c r="AJ212" s="327">
        <v>1</v>
      </c>
      <c r="AK212" s="327">
        <f t="shared" si="168"/>
        <v>1.5</v>
      </c>
      <c r="AL212" s="327">
        <f t="shared" si="180"/>
        <v>0.8</v>
      </c>
      <c r="AM212" s="327">
        <v>0.8</v>
      </c>
      <c r="AN212" s="327">
        <f t="shared" si="194"/>
        <v>1</v>
      </c>
      <c r="AO212" s="327">
        <f t="shared" si="195"/>
        <v>0.8</v>
      </c>
      <c r="AP212" s="327">
        <v>1</v>
      </c>
      <c r="AQ212" s="327">
        <f t="shared" si="170"/>
        <v>1.5</v>
      </c>
      <c r="AR212" s="338"/>
      <c r="AS212" s="327">
        <f t="shared" si="190"/>
        <v>4</v>
      </c>
      <c r="AT212" s="327">
        <f t="shared" si="191"/>
        <v>4</v>
      </c>
      <c r="AU212" s="523">
        <v>1</v>
      </c>
      <c r="AV212" s="328"/>
      <c r="AW212" s="328"/>
      <c r="AX212" s="332">
        <v>1</v>
      </c>
      <c r="AY212" s="328" t="b">
        <f t="shared" si="192"/>
        <v>1</v>
      </c>
      <c r="AZ212" s="328" t="b">
        <f t="shared" si="193"/>
        <v>1</v>
      </c>
    </row>
    <row r="213" ht="27" customHeight="1" spans="1:52">
      <c r="A213" s="326" t="str">
        <f>INDEX('Rate Card'!$A:$A,MATCH(服务费底表!$T213,'Rate Card'!$F:$F,0))</f>
        <v>临床运营</v>
      </c>
      <c r="B213" s="327" t="str">
        <f>INDEX(二三级标准!$G:$G,MATCH(服务费底表!$K213,二三级标准!B:B,0))</f>
        <v>月</v>
      </c>
      <c r="C213" s="327">
        <f>INDEX(服务费明细!$E:$E,MATCH(服务费底表!$K213,服务费明细!$B:$B,0))</f>
        <v>17</v>
      </c>
      <c r="D213" s="327" t="str">
        <f t="shared" si="196"/>
        <v>A056PM</v>
      </c>
      <c r="E213" s="327" t="str">
        <f t="shared" si="197"/>
        <v>T0142aPM</v>
      </c>
      <c r="F213" s="328"/>
      <c r="G213" s="328" t="s">
        <v>684</v>
      </c>
      <c r="H213" s="326" t="str">
        <f>INDEX('Rate Card'!$B:$B,MATCH(服务费底表!$T213,'Rate Card'!$F:$F,0))</f>
        <v>临床运营</v>
      </c>
      <c r="I213" s="328" t="s">
        <v>921</v>
      </c>
      <c r="J213" s="328" t="str">
        <f>INDEX(二三级标准!$Q:$Q,MATCH(服务费底表!I213,二三级标准!$O:$O,0))</f>
        <v>项目管理</v>
      </c>
      <c r="K213" s="328" t="s">
        <v>217</v>
      </c>
      <c r="L213" s="328" t="str">
        <f>INDEX(二三级标准!C:C,MATCH(服务费底表!K213,二三级标准!$B:$B,0))</f>
        <v>文件创建和维护</v>
      </c>
      <c r="M213" s="328" t="s">
        <v>1316</v>
      </c>
      <c r="N213" s="328" t="str">
        <f>INDEX(二三级标准!$M:$M,MATCH(服务费底表!$M213,二三级标准!$L:$L,0))</f>
        <v>文件夹创建及维护(CTMS,TMF,表格等)</v>
      </c>
      <c r="O213" s="328"/>
      <c r="P213" s="327">
        <f>IF(R213=1,INDEX(服务费明细!$E:$E,MATCH(服务费底表!$K213,服务费明细!$B:$B,0)),0)</f>
        <v>17</v>
      </c>
      <c r="Q213" s="328" t="s">
        <v>1220</v>
      </c>
      <c r="R213" s="520">
        <f>IF(AND(文件创建和维护YN=1,项目管理YN=1),1,0)</f>
        <v>1</v>
      </c>
      <c r="S213" s="525" t="str">
        <f>INDEX('Rate Card'!$D:$D,MATCH(服务费底表!$T213,'Rate Card'!F:F,0))</f>
        <v>项目管理</v>
      </c>
      <c r="T213" s="328" t="s">
        <v>599</v>
      </c>
      <c r="U213" s="522" t="str">
        <f>INDEX('Rate Card'!$E:$E,MATCH(服务费底表!$T213,'Rate Card'!$F:$F,0))</f>
        <v>临床项目经理</v>
      </c>
      <c r="V213" s="331">
        <f>INDEX('Rate Card'!$J:$J,MATCH($T213,'Rate Card'!$F:$F,0))</f>
        <v>650</v>
      </c>
      <c r="W213" s="523">
        <f t="shared" ref="W205:W276" si="202">V213*(1-$W$1)</f>
        <v>650</v>
      </c>
      <c r="X213" s="523">
        <f t="shared" ref="X205:X276" si="203">Y213*$X$1</f>
        <v>6</v>
      </c>
      <c r="Y213" s="327" cm="1">
        <f t="array" ref="Y213">_xlfn.IFS(报价场景=服务费底表!$AJ$2,服务费底表!$AJ213,报价场景=服务费底表!$AP$2,服务费底表!$AP213,报价场景=服务费底表!$AK$2,服务费底表!$AK213,报价场景=服务费底表!$AL$2,服务费底表!$AL213,报价场景=服务费底表!$AM$2,服务费底表!$AM213,报价场景=服务费底表!$AN$2,服务费底表!$AN213,报价场景=服务费底表!$AQ$2,服务费底表!$AQ213,报价场景=服务费底表!$AO$2,服务费底表!$AO213)</f>
        <v>6</v>
      </c>
      <c r="Z213" s="327"/>
      <c r="AA213" s="332">
        <f t="shared" si="185"/>
        <v>6</v>
      </c>
      <c r="AB213" s="333">
        <f t="shared" si="198"/>
        <v>3900</v>
      </c>
      <c r="AC213" s="328">
        <f t="shared" si="199"/>
        <v>102</v>
      </c>
      <c r="AD213" s="334">
        <f t="shared" si="200"/>
        <v>66300</v>
      </c>
      <c r="AE213" s="334">
        <f>$AB213*(1-INDEX(项目参数!$D$5:$D$14,MATCH(服务费底表!$S213,项目参数!$B$5:$B$14,0)))</f>
        <v>3900</v>
      </c>
      <c r="AF213" s="334">
        <f>$AD213*INDEX(项目参数!$D$5:$D$14,MATCH(服务费底表!$S213,项目参数!$B$5:$B$14,0))</f>
        <v>0</v>
      </c>
      <c r="AG213" s="334">
        <f t="shared" si="201"/>
        <v>66300</v>
      </c>
      <c r="AH213" s="328"/>
      <c r="AI213" s="328" t="s">
        <v>599</v>
      </c>
      <c r="AJ213" s="327">
        <v>6</v>
      </c>
      <c r="AK213" s="327">
        <f t="shared" ref="AK208:AK235" si="204">AJ213*1.5</f>
        <v>9</v>
      </c>
      <c r="AL213" s="327">
        <f t="shared" si="180"/>
        <v>4</v>
      </c>
      <c r="AM213" s="327">
        <v>4</v>
      </c>
      <c r="AN213" s="327">
        <f t="shared" ref="AN210:AN234" si="205">AJ213</f>
        <v>6</v>
      </c>
      <c r="AO213" s="327">
        <f t="shared" ref="AO198:AO261" si="206">AL213</f>
        <v>4</v>
      </c>
      <c r="AP213" s="327">
        <v>6</v>
      </c>
      <c r="AQ213" s="327">
        <f t="shared" ref="AQ205:AQ276" si="207">AJ213*$AQ$1</f>
        <v>9</v>
      </c>
      <c r="AR213" s="338"/>
      <c r="AS213" s="328">
        <f t="shared" si="190"/>
        <v>102</v>
      </c>
      <c r="AT213" s="328">
        <f t="shared" si="191"/>
        <v>102</v>
      </c>
      <c r="AU213" s="523">
        <v>6</v>
      </c>
      <c r="AV213" s="328"/>
      <c r="AW213" s="328"/>
      <c r="AX213" s="332">
        <v>6</v>
      </c>
      <c r="AY213" s="328" t="b">
        <f t="shared" si="192"/>
        <v>1</v>
      </c>
      <c r="AZ213" s="328" t="b">
        <f t="shared" si="193"/>
        <v>0</v>
      </c>
    </row>
    <row r="214" ht="27" customHeight="1" spans="1:52">
      <c r="A214" s="326" t="str">
        <f>INDEX('Rate Card'!$A:$A,MATCH(服务费底表!$T214,'Rate Card'!$F:$F,0))</f>
        <v>临床运营</v>
      </c>
      <c r="B214" s="327" t="str">
        <f>INDEX(二三级标准!$G:$G,MATCH(服务费底表!$K214,二三级标准!B:B,0))</f>
        <v>月</v>
      </c>
      <c r="C214" s="327">
        <f>INDEX(服务费明细!$E:$E,MATCH(服务费底表!$K214,服务费明细!$B:$B,0))</f>
        <v>17</v>
      </c>
      <c r="D214" s="327" t="str">
        <f t="shared" si="196"/>
        <v>A056CRA</v>
      </c>
      <c r="E214" s="327" t="str">
        <f t="shared" si="197"/>
        <v>T0142aCRA</v>
      </c>
      <c r="F214" s="328"/>
      <c r="G214" s="328" t="s">
        <v>684</v>
      </c>
      <c r="H214" s="326" t="str">
        <f>INDEX('Rate Card'!$B:$B,MATCH(服务费底表!$T214,'Rate Card'!$F:$F,0))</f>
        <v>临床运营</v>
      </c>
      <c r="I214" s="328" t="s">
        <v>921</v>
      </c>
      <c r="J214" s="328" t="str">
        <f>INDEX(二三级标准!$Q:$Q,MATCH(服务费底表!I214,二三级标准!$O:$O,0))</f>
        <v>项目管理</v>
      </c>
      <c r="K214" s="328" t="s">
        <v>217</v>
      </c>
      <c r="L214" s="328" t="str">
        <f>INDEX(二三级标准!C:C,MATCH(服务费底表!K214,二三级标准!$B:$B,0))</f>
        <v>文件创建和维护</v>
      </c>
      <c r="M214" s="328" t="s">
        <v>1316</v>
      </c>
      <c r="N214" s="328" t="str">
        <f>INDEX(二三级标准!$M:$M,MATCH(服务费底表!$M214,二三级标准!$L:$L,0))</f>
        <v>文件夹创建及维护(CTMS,TMF,表格等)</v>
      </c>
      <c r="O214" s="328"/>
      <c r="P214" s="327">
        <f>IF(R214=1,INDEX(服务费明细!$E:$E,MATCH(服务费底表!$K214,服务费明细!$B:$B,0)),0)</f>
        <v>17</v>
      </c>
      <c r="Q214" s="328" t="s">
        <v>1220</v>
      </c>
      <c r="R214" s="520">
        <f>IF(AND(文件创建和维护YN=1,临床监查YN=1),1,0)</f>
        <v>1</v>
      </c>
      <c r="S214" s="525" t="str">
        <f>INDEX('Rate Card'!$D:$D,MATCH(服务费底表!$T214,'Rate Card'!F:F,0))</f>
        <v>临床监查</v>
      </c>
      <c r="T214" s="328" t="s">
        <v>595</v>
      </c>
      <c r="U214" s="522" t="str">
        <f>INDEX('Rate Card'!$E:$E,MATCH(服务费底表!$T214,'Rate Card'!$F:$F,0))</f>
        <v>临床监查员</v>
      </c>
      <c r="V214" s="331">
        <f>INDEX('Rate Card'!$J:$J,MATCH($T214,'Rate Card'!$F:$F,0))</f>
        <v>340</v>
      </c>
      <c r="W214" s="523">
        <f t="shared" si="202"/>
        <v>340</v>
      </c>
      <c r="X214" s="523">
        <f t="shared" si="203"/>
        <v>6.5</v>
      </c>
      <c r="Y214" s="327" cm="1">
        <f t="array" ref="Y214">_xlfn.IFS(报价场景=服务费底表!$AJ$2,服务费底表!$AJ214,报价场景=服务费底表!$AP$2,服务费底表!$AP214,报价场景=服务费底表!$AK$2,服务费底表!$AK214,报价场景=服务费底表!$AL$2,服务费底表!$AL214,报价场景=服务费底表!$AM$2,服务费底表!$AM214,报价场景=服务费底表!$AN$2,服务费底表!$AN214,报价场景=服务费底表!$AQ$2,服务费底表!$AQ214,报价场景=服务费底表!$AO$2,服务费底表!$AO214)</f>
        <v>6.5</v>
      </c>
      <c r="Z214" s="327"/>
      <c r="AA214" s="332">
        <f t="shared" si="185"/>
        <v>6.5</v>
      </c>
      <c r="AB214" s="333">
        <f t="shared" si="198"/>
        <v>2210</v>
      </c>
      <c r="AC214" s="328">
        <f t="shared" si="199"/>
        <v>110.5</v>
      </c>
      <c r="AD214" s="334">
        <f t="shared" si="200"/>
        <v>37570</v>
      </c>
      <c r="AE214" s="334">
        <f>$AB214*(1-INDEX(项目参数!$D$5:$D$14,MATCH(服务费底表!$S214,项目参数!$B$5:$B$14,0)))</f>
        <v>2210</v>
      </c>
      <c r="AF214" s="334">
        <f>$AD214*INDEX(项目参数!$D$5:$D$14,MATCH(服务费底表!$S214,项目参数!$B$5:$B$14,0))</f>
        <v>0</v>
      </c>
      <c r="AG214" s="334">
        <f t="shared" si="201"/>
        <v>37570</v>
      </c>
      <c r="AH214" s="328"/>
      <c r="AI214" s="328" t="s">
        <v>595</v>
      </c>
      <c r="AJ214" s="327">
        <v>6.5</v>
      </c>
      <c r="AK214" s="327">
        <f t="shared" si="204"/>
        <v>9.75</v>
      </c>
      <c r="AL214" s="327">
        <f t="shared" si="180"/>
        <v>4.5</v>
      </c>
      <c r="AM214" s="327">
        <v>4.5</v>
      </c>
      <c r="AN214" s="327">
        <f t="shared" si="205"/>
        <v>6.5</v>
      </c>
      <c r="AO214" s="327">
        <f t="shared" si="206"/>
        <v>4.5</v>
      </c>
      <c r="AP214" s="327">
        <v>6.5</v>
      </c>
      <c r="AQ214" s="327">
        <f t="shared" si="207"/>
        <v>9.75</v>
      </c>
      <c r="AR214" s="338"/>
      <c r="AS214" s="328">
        <f t="shared" si="190"/>
        <v>110.5</v>
      </c>
      <c r="AT214" s="328">
        <f t="shared" si="191"/>
        <v>110.5</v>
      </c>
      <c r="AU214" s="523">
        <v>6.5</v>
      </c>
      <c r="AV214" s="328"/>
      <c r="AW214" s="328"/>
      <c r="AX214" s="332">
        <v>6.5</v>
      </c>
      <c r="AY214" s="328" t="b">
        <f t="shared" si="192"/>
        <v>1</v>
      </c>
      <c r="AZ214" s="328" t="b">
        <f t="shared" si="193"/>
        <v>0</v>
      </c>
    </row>
    <row r="215" ht="27" customHeight="1" spans="1:52">
      <c r="A215" s="326" t="str">
        <f>INDEX('Rate Card'!$A:$A,MATCH(服务费底表!$T215,'Rate Card'!$F:$F,0))</f>
        <v>临床运营</v>
      </c>
      <c r="B215" s="327" t="str">
        <f>INDEX(二三级标准!$G:$G,MATCH(服务费底表!$K215,二三级标准!B:B,0))</f>
        <v>月</v>
      </c>
      <c r="C215" s="327">
        <f>INDEX(服务费明细!$E:$E,MATCH(服务费底表!$K215,服务费明细!$B:$B,0))</f>
        <v>17</v>
      </c>
      <c r="D215" s="327" t="str">
        <f t="shared" si="196"/>
        <v>A056CTA</v>
      </c>
      <c r="E215" s="327" t="str">
        <f t="shared" si="197"/>
        <v>T0142aCTA</v>
      </c>
      <c r="F215" s="328"/>
      <c r="G215" s="328" t="s">
        <v>684</v>
      </c>
      <c r="H215" s="326" t="str">
        <f>INDEX('Rate Card'!$B:$B,MATCH(服务费底表!$T215,'Rate Card'!$F:$F,0))</f>
        <v>临床运营</v>
      </c>
      <c r="I215" s="328" t="s">
        <v>921</v>
      </c>
      <c r="J215" s="328" t="str">
        <f>INDEX(二三级标准!$Q:$Q,MATCH(服务费底表!I215,二三级标准!$O:$O,0))</f>
        <v>项目管理</v>
      </c>
      <c r="K215" s="328" t="s">
        <v>217</v>
      </c>
      <c r="L215" s="328" t="str">
        <f>INDEX(二三级标准!C:C,MATCH(服务费底表!K215,二三级标准!$B:$B,0))</f>
        <v>文件创建和维护</v>
      </c>
      <c r="M215" s="328" t="s">
        <v>1316</v>
      </c>
      <c r="N215" s="328" t="str">
        <f>INDEX(二三级标准!$M:$M,MATCH(服务费底表!$M215,二三级标准!$L:$L,0))</f>
        <v>文件夹创建及维护(CTMS,TMF,表格等)</v>
      </c>
      <c r="O215" s="328"/>
      <c r="P215" s="327">
        <f>IF(R215=1,INDEX(服务费明细!$E:$E,MATCH(服务费底表!$K215,服务费明细!$B:$B,0)),0)</f>
        <v>17</v>
      </c>
      <c r="Q215" s="328" t="s">
        <v>1220</v>
      </c>
      <c r="R215" s="520">
        <f>IF(AND(文件创建和维护YN=1,临床监查YN=1),1,0)</f>
        <v>1</v>
      </c>
      <c r="S215" s="525" t="str">
        <f>INDEX('Rate Card'!$D:$D,MATCH(服务费底表!$T215,'Rate Card'!F:F,0))</f>
        <v>临床监查</v>
      </c>
      <c r="T215" s="328" t="s">
        <v>597</v>
      </c>
      <c r="U215" s="522" t="str">
        <f>INDEX('Rate Card'!$E:$E,MATCH(服务费底表!$T215,'Rate Card'!$F:$F,0))</f>
        <v>临床试验助理</v>
      </c>
      <c r="V215" s="331">
        <f>INDEX('Rate Card'!$J:$J,MATCH($T215,'Rate Card'!$F:$F,0))</f>
        <v>220</v>
      </c>
      <c r="W215" s="523">
        <f t="shared" si="202"/>
        <v>220</v>
      </c>
      <c r="X215" s="523">
        <f t="shared" si="203"/>
        <v>6</v>
      </c>
      <c r="Y215" s="327" cm="1">
        <f t="array" ref="Y215">_xlfn.IFS(报价场景=服务费底表!$AJ$2,服务费底表!$AJ215,报价场景=服务费底表!$AP$2,服务费底表!$AP215,报价场景=服务费底表!$AK$2,服务费底表!$AK215,报价场景=服务费底表!$AL$2,服务费底表!$AL215,报价场景=服务费底表!$AM$2,服务费底表!$AM215,报价场景=服务费底表!$AN$2,服务费底表!$AN215,报价场景=服务费底表!$AQ$2,服务费底表!$AQ215,报价场景=服务费底表!$AO$2,服务费底表!$AO215)</f>
        <v>6</v>
      </c>
      <c r="Z215" s="327"/>
      <c r="AA215" s="332">
        <f t="shared" si="185"/>
        <v>6</v>
      </c>
      <c r="AB215" s="333">
        <f t="shared" si="198"/>
        <v>1320</v>
      </c>
      <c r="AC215" s="328">
        <f t="shared" si="199"/>
        <v>102</v>
      </c>
      <c r="AD215" s="334">
        <f t="shared" si="200"/>
        <v>22440</v>
      </c>
      <c r="AE215" s="334">
        <f>$AB215*(1-INDEX(项目参数!$D$5:$D$14,MATCH(服务费底表!$S215,项目参数!$B$5:$B$14,0)))</f>
        <v>1320</v>
      </c>
      <c r="AF215" s="334">
        <f>$AD215*INDEX(项目参数!$D$5:$D$14,MATCH(服务费底表!$S215,项目参数!$B$5:$B$14,0))</f>
        <v>0</v>
      </c>
      <c r="AG215" s="334">
        <f t="shared" si="201"/>
        <v>22440</v>
      </c>
      <c r="AH215" s="328"/>
      <c r="AI215" s="328" t="s">
        <v>597</v>
      </c>
      <c r="AJ215" s="327">
        <v>6</v>
      </c>
      <c r="AK215" s="327">
        <f t="shared" si="204"/>
        <v>9</v>
      </c>
      <c r="AL215" s="327">
        <f t="shared" si="180"/>
        <v>4</v>
      </c>
      <c r="AM215" s="327">
        <v>4</v>
      </c>
      <c r="AN215" s="327">
        <f t="shared" si="205"/>
        <v>6</v>
      </c>
      <c r="AO215" s="327">
        <f t="shared" si="206"/>
        <v>4</v>
      </c>
      <c r="AP215" s="327">
        <v>8</v>
      </c>
      <c r="AQ215" s="327">
        <f t="shared" si="207"/>
        <v>9</v>
      </c>
      <c r="AR215" s="338"/>
      <c r="AS215" s="328">
        <f t="shared" si="190"/>
        <v>102</v>
      </c>
      <c r="AT215" s="328">
        <f t="shared" si="191"/>
        <v>102</v>
      </c>
      <c r="AU215" s="523">
        <v>6</v>
      </c>
      <c r="AV215" s="328"/>
      <c r="AW215" s="328"/>
      <c r="AX215" s="332">
        <v>6</v>
      </c>
      <c r="AY215" s="328" t="b">
        <f t="shared" si="192"/>
        <v>1</v>
      </c>
      <c r="AZ215" s="328" t="b">
        <f t="shared" si="193"/>
        <v>0</v>
      </c>
    </row>
    <row r="216" ht="27" customHeight="1" spans="1:52">
      <c r="A216" s="326" t="str">
        <f>INDEX('Rate Card'!$A:$A,MATCH(服务费底表!$T216,'Rate Card'!$F:$F,0))</f>
        <v>临床运营</v>
      </c>
      <c r="B216" s="327" t="str">
        <f>INDEX(二三级标准!$G:$G,MATCH(服务费底表!$K216,二三级标准!B:B,0))</f>
        <v>月</v>
      </c>
      <c r="C216" s="327">
        <f>INDEX(服务费明细!$E:$E,MATCH(服务费底表!$K216,服务费明细!$B:$B,0))</f>
        <v>17</v>
      </c>
      <c r="D216" s="327" t="str">
        <f t="shared" ref="D216:D263" si="208">K216&amp;T216</f>
        <v>A056QCM</v>
      </c>
      <c r="E216" s="327" t="str">
        <f t="shared" ref="E216:E263" si="209">M216&amp;T216</f>
        <v>T0147QCM</v>
      </c>
      <c r="F216" s="328"/>
      <c r="G216" s="328" t="s">
        <v>684</v>
      </c>
      <c r="H216" s="326" t="str">
        <f>INDEX('Rate Card'!$B:$B,MATCH(服务费底表!$T216,'Rate Card'!$F:$F,0))</f>
        <v>临床运营</v>
      </c>
      <c r="I216" s="328" t="s">
        <v>921</v>
      </c>
      <c r="J216" s="328" t="str">
        <f>INDEX(二三级标准!$Q:$Q,MATCH(服务费底表!I216,二三级标准!$O:$O,0))</f>
        <v>项目管理</v>
      </c>
      <c r="K216" s="328" t="s">
        <v>217</v>
      </c>
      <c r="L216" s="328" t="str">
        <f>INDEX(二三级标准!C:C,MATCH(服务费底表!K216,二三级标准!$B:$B,0))</f>
        <v>文件创建和维护</v>
      </c>
      <c r="M216" s="328" t="s">
        <v>1317</v>
      </c>
      <c r="N216" s="328" t="str">
        <f>INDEX(二三级标准!$M:$M,MATCH(服务费底表!$M216,二三级标准!$L:$L,0))</f>
        <v>TMF质控/服务期</v>
      </c>
      <c r="O216" s="328"/>
      <c r="P216" s="327">
        <f>IF(R216=1,INDEX(服务费明细!$E:$E,MATCH(服务费底表!$K216,服务费明细!$B:$B,0)),0)</f>
        <v>17</v>
      </c>
      <c r="Q216" s="328" t="s">
        <v>1220</v>
      </c>
      <c r="R216" s="520">
        <f>IF(AND(文件创建和维护YN=1,临床监查YN=1),1,0)</f>
        <v>1</v>
      </c>
      <c r="S216" s="525" t="str">
        <f>INDEX('Rate Card'!$D:$D,MATCH(服务费底表!$T216,'Rate Card'!F:F,0))</f>
        <v>临床监查</v>
      </c>
      <c r="T216" s="328" t="s">
        <v>603</v>
      </c>
      <c r="U216" s="522" t="str">
        <f>INDEX('Rate Card'!$E:$E,MATCH(服务费底表!$T216,'Rate Card'!$F:$F,0))</f>
        <v>临床质量控制经理</v>
      </c>
      <c r="V216" s="331">
        <f>INDEX('Rate Card'!$J:$J,MATCH($T216,'Rate Card'!$F:$F,0))</f>
        <v>600</v>
      </c>
      <c r="W216" s="523">
        <f t="shared" si="202"/>
        <v>600</v>
      </c>
      <c r="X216" s="523">
        <f t="shared" si="203"/>
        <v>3</v>
      </c>
      <c r="Y216" s="327" cm="1">
        <f t="array" ref="Y216">_xlfn.IFS(报价场景=服务费底表!$AJ$2,服务费底表!$AJ216,报价场景=服务费底表!$AP$2,服务费底表!$AP216,报价场景=服务费底表!$AK$2,服务费底表!$AK216,报价场景=服务费底表!$AL$2,服务费底表!$AL216,报价场景=服务费底表!$AM$2,服务费底表!$AM216,报价场景=服务费底表!$AN$2,服务费底表!$AN216,报价场景=服务费底表!$AQ$2,服务费底表!$AQ216,报价场景=服务费底表!$AO$2,服务费底表!$AO216)</f>
        <v>3</v>
      </c>
      <c r="Z216" s="327"/>
      <c r="AA216" s="332">
        <f t="shared" ref="AA216:AA263" si="210">IF(ISBLANK($Z216),$Y216,$Z216)</f>
        <v>3</v>
      </c>
      <c r="AB216" s="333">
        <f t="shared" ref="AB216:AB263" si="211">IFERROR(AD216/P216,0)</f>
        <v>1800</v>
      </c>
      <c r="AC216" s="328">
        <f t="shared" ref="AC216:AC263" si="212">AA216*P216*R216</f>
        <v>51</v>
      </c>
      <c r="AD216" s="334">
        <f t="shared" ref="AD216:AD231" si="213">AC216*V216</f>
        <v>30600</v>
      </c>
      <c r="AE216" s="334">
        <f>$AB216*(1-INDEX(项目参数!$D$5:$D$14,MATCH(服务费底表!$S216,项目参数!$B$5:$B$14,0)))</f>
        <v>1800</v>
      </c>
      <c r="AF216" s="334">
        <f>$AD216*INDEX(项目参数!$D$5:$D$14,MATCH(服务费底表!$S216,项目参数!$B$5:$B$14,0))</f>
        <v>0</v>
      </c>
      <c r="AG216" s="334">
        <f t="shared" ref="AG216:AG231" si="214">AD216-AF216</f>
        <v>30600</v>
      </c>
      <c r="AH216" s="328"/>
      <c r="AI216" s="328" t="s">
        <v>603</v>
      </c>
      <c r="AJ216" s="327">
        <v>3</v>
      </c>
      <c r="AK216" s="327">
        <f t="shared" si="204"/>
        <v>4.5</v>
      </c>
      <c r="AL216" s="327">
        <f t="shared" si="180"/>
        <v>2</v>
      </c>
      <c r="AM216" s="327">
        <v>2</v>
      </c>
      <c r="AN216" s="327">
        <f t="shared" si="205"/>
        <v>3</v>
      </c>
      <c r="AO216" s="327">
        <f t="shared" si="206"/>
        <v>2</v>
      </c>
      <c r="AP216" s="327">
        <v>3</v>
      </c>
      <c r="AQ216" s="327">
        <f t="shared" si="207"/>
        <v>4.5</v>
      </c>
      <c r="AR216" s="338"/>
      <c r="AS216" s="328">
        <f t="shared" ref="AS216:AS233" si="215">AC216</f>
        <v>51</v>
      </c>
      <c r="AT216" s="328">
        <f t="shared" ref="AT216:AT233" si="216">Y216*P216</f>
        <v>51</v>
      </c>
      <c r="AU216" s="523">
        <v>3</v>
      </c>
      <c r="AV216" s="328"/>
      <c r="AW216" s="328"/>
      <c r="AX216" s="332">
        <v>3</v>
      </c>
      <c r="AY216" s="328" t="b">
        <f t="shared" si="192"/>
        <v>1</v>
      </c>
      <c r="AZ216" s="328" t="b">
        <f t="shared" si="193"/>
        <v>0</v>
      </c>
    </row>
    <row r="217" ht="27" customHeight="1" spans="1:52">
      <c r="A217" s="326" t="str">
        <f>INDEX('Rate Card'!$A:$A,MATCH(服务费底表!$T217,'Rate Card'!$F:$F,0))</f>
        <v>临床运营</v>
      </c>
      <c r="B217" s="327" t="str">
        <f>INDEX(二三级标准!$G:$G,MATCH(服务费底表!$K217,二三级标准!B:B,0))</f>
        <v>个</v>
      </c>
      <c r="C217" s="327">
        <f>INDEX(服务费明细!$E:$E,MATCH(服务费底表!$K217,服务费明细!$B:$B,0))</f>
        <v>5</v>
      </c>
      <c r="D217" s="327" t="str">
        <f t="shared" si="208"/>
        <v>A057PM</v>
      </c>
      <c r="E217" s="327" t="str">
        <f t="shared" si="209"/>
        <v>T0148PM</v>
      </c>
      <c r="F217" s="328"/>
      <c r="G217" s="328" t="s">
        <v>684</v>
      </c>
      <c r="H217" s="326" t="str">
        <f>INDEX('Rate Card'!$B:$B,MATCH(服务费底表!$T217,'Rate Card'!$F:$F,0))</f>
        <v>临床运营</v>
      </c>
      <c r="I217" s="328" t="s">
        <v>921</v>
      </c>
      <c r="J217" s="328" t="str">
        <f>INDEX(二三级标准!$Q:$Q,MATCH(服务费底表!I217,二三级标准!$O:$O,0))</f>
        <v>项目管理</v>
      </c>
      <c r="K217" s="328" t="s">
        <v>219</v>
      </c>
      <c r="L217" s="328" t="str">
        <f>INDEX(二三级标准!C:C,MATCH(服务费底表!K217,二三级标准!$B:$B,0))</f>
        <v>供应商筛选和合同建立</v>
      </c>
      <c r="M217" s="328" t="s">
        <v>1318</v>
      </c>
      <c r="N217" s="328" t="str">
        <f>INDEX(二三级标准!$M:$M,MATCH(服务费底表!$M217,二三级标准!$L:$L,0))</f>
        <v>供应商筛选和合同建立</v>
      </c>
      <c r="O217" s="328"/>
      <c r="P217" s="531">
        <f>IF(R217=1,INDEX(服务费明细!$E:$E,MATCH(服务费底表!$K217,服务费明细!$B:$B,0)),0)</f>
        <v>5</v>
      </c>
      <c r="Q217" s="328" t="s">
        <v>1281</v>
      </c>
      <c r="R217" s="520">
        <f>IF(AND(供应商筛选和合同建立YN=1,项目管理YN=1),1,0)</f>
        <v>1</v>
      </c>
      <c r="S217" s="525" t="str">
        <f>INDEX('Rate Card'!$D:$D,MATCH(服务费底表!$T217,'Rate Card'!F:F,0))</f>
        <v>项目管理</v>
      </c>
      <c r="T217" s="328" t="s">
        <v>599</v>
      </c>
      <c r="U217" s="522" t="str">
        <f>INDEX('Rate Card'!$E:$E,MATCH(服务费底表!$T217,'Rate Card'!$F:$F,0))</f>
        <v>临床项目经理</v>
      </c>
      <c r="V217" s="331">
        <f>INDEX('Rate Card'!$J:$J,MATCH($T217,'Rate Card'!$F:$F,0))</f>
        <v>650</v>
      </c>
      <c r="W217" s="523">
        <f t="shared" si="202"/>
        <v>650</v>
      </c>
      <c r="X217" s="523">
        <f t="shared" si="203"/>
        <v>8</v>
      </c>
      <c r="Y217" s="327" cm="1">
        <f t="array" ref="Y217">_xlfn.IFS(报价场景=服务费底表!$AJ$2,服务费底表!$AJ217,报价场景=服务费底表!$AP$2,服务费底表!$AP217,报价场景=服务费底表!$AK$2,服务费底表!$AK217,报价场景=服务费底表!$AL$2,服务费底表!$AL217,报价场景=服务费底表!$AM$2,服务费底表!$AM217,报价场景=服务费底表!$AN$2,服务费底表!$AN217,报价场景=服务费底表!$AQ$2,服务费底表!$AQ217,报价场景=服务费底表!$AO$2,服务费底表!$AO217)</f>
        <v>8</v>
      </c>
      <c r="Z217" s="327"/>
      <c r="AA217" s="332">
        <f t="shared" si="210"/>
        <v>8</v>
      </c>
      <c r="AB217" s="333">
        <f t="shared" si="211"/>
        <v>5200</v>
      </c>
      <c r="AC217" s="328">
        <f t="shared" si="212"/>
        <v>40</v>
      </c>
      <c r="AD217" s="334">
        <f t="shared" si="213"/>
        <v>26000</v>
      </c>
      <c r="AE217" s="334">
        <f>$AB217*(1-INDEX(项目参数!$D$5:$D$14,MATCH(服务费底表!$S217,项目参数!$B$5:$B$14,0)))</f>
        <v>5200</v>
      </c>
      <c r="AF217" s="334">
        <f>$AD217*INDEX(项目参数!$D$5:$D$14,MATCH(服务费底表!$S217,项目参数!$B$5:$B$14,0))</f>
        <v>0</v>
      </c>
      <c r="AG217" s="334">
        <f t="shared" si="214"/>
        <v>26000</v>
      </c>
      <c r="AH217" s="328"/>
      <c r="AI217" s="328" t="s">
        <v>599</v>
      </c>
      <c r="AJ217" s="327">
        <v>8</v>
      </c>
      <c r="AK217" s="327">
        <f t="shared" si="204"/>
        <v>12</v>
      </c>
      <c r="AL217" s="327">
        <f t="shared" si="180"/>
        <v>5.5</v>
      </c>
      <c r="AM217" s="327">
        <v>5.5</v>
      </c>
      <c r="AN217" s="327">
        <f t="shared" si="205"/>
        <v>8</v>
      </c>
      <c r="AO217" s="327">
        <f t="shared" si="206"/>
        <v>5.5</v>
      </c>
      <c r="AP217" s="327">
        <v>8</v>
      </c>
      <c r="AQ217" s="327">
        <f t="shared" si="207"/>
        <v>12</v>
      </c>
      <c r="AR217" s="338"/>
      <c r="AS217" s="328">
        <f t="shared" si="215"/>
        <v>40</v>
      </c>
      <c r="AT217" s="328">
        <f t="shared" si="216"/>
        <v>40</v>
      </c>
      <c r="AU217" s="523">
        <v>8</v>
      </c>
      <c r="AV217" s="328"/>
      <c r="AW217" s="328"/>
      <c r="AX217" s="332">
        <v>8</v>
      </c>
      <c r="AY217" s="328" t="b">
        <f t="shared" si="192"/>
        <v>1</v>
      </c>
      <c r="AZ217" s="328" t="b">
        <f t="shared" si="193"/>
        <v>1</v>
      </c>
    </row>
    <row r="218" ht="27" customHeight="1" spans="1:52">
      <c r="A218" s="326" t="str">
        <f>INDEX('Rate Card'!$A:$A,MATCH(服务费底表!$T218,'Rate Card'!$F:$F,0))</f>
        <v>临床运营</v>
      </c>
      <c r="B218" s="327" t="str">
        <f>INDEX(二三级标准!$G:$G,MATCH(服务费底表!$K218,二三级标准!B:B,0))</f>
        <v>月</v>
      </c>
      <c r="C218" s="327">
        <f>INDEX(服务费明细!$E:$E,MATCH(服务费底表!$K218,服务费明细!$B:$B,0))</f>
        <v>17</v>
      </c>
      <c r="D218" s="327" t="str">
        <f t="shared" si="208"/>
        <v>A058PM</v>
      </c>
      <c r="E218" s="327" t="str">
        <f t="shared" si="209"/>
        <v>T0149PM</v>
      </c>
      <c r="F218" s="328"/>
      <c r="G218" s="328" t="s">
        <v>684</v>
      </c>
      <c r="H218" s="326" t="str">
        <f>INDEX('Rate Card'!$B:$B,MATCH(服务费底表!$T218,'Rate Card'!$F:$F,0))</f>
        <v>临床运营</v>
      </c>
      <c r="I218" s="328" t="s">
        <v>921</v>
      </c>
      <c r="J218" s="328" t="str">
        <f>INDEX(二三级标准!$Q:$Q,MATCH(服务费底表!I218,二三级标准!$O:$O,0))</f>
        <v>项目管理</v>
      </c>
      <c r="K218" s="328" t="s">
        <v>221</v>
      </c>
      <c r="L218" s="328" t="str">
        <f>INDEX(二三级标准!C:C,MATCH(服务费底表!K218,二三级标准!$B:$B,0))</f>
        <v>SMO日常沟通</v>
      </c>
      <c r="M218" s="328" t="s">
        <v>1319</v>
      </c>
      <c r="N218" s="328" t="str">
        <f>INDEX(二三级标准!$M:$M,MATCH(服务费底表!$M218,二三级标准!$L:$L,0))</f>
        <v>SMO日常沟通</v>
      </c>
      <c r="O218" s="328"/>
      <c r="P218" s="531">
        <f>IF(R218=1,INDEX(服务费明细!$E:$E,MATCH(服务费底表!$K218,服务费明细!$B:$B,0)),0)</f>
        <v>17</v>
      </c>
      <c r="Q218" s="328" t="s">
        <v>1220</v>
      </c>
      <c r="R218" s="520">
        <f>IF(AND(SMO日常沟通YN=1,项目管理YN=1),1,0)</f>
        <v>1</v>
      </c>
      <c r="S218" s="525" t="str">
        <f>INDEX('Rate Card'!$D:$D,MATCH(服务费底表!$T218,'Rate Card'!F:F,0))</f>
        <v>项目管理</v>
      </c>
      <c r="T218" s="328" t="s">
        <v>599</v>
      </c>
      <c r="U218" s="522" t="str">
        <f>INDEX('Rate Card'!$E:$E,MATCH(服务费底表!$T218,'Rate Card'!$F:$F,0))</f>
        <v>临床项目经理</v>
      </c>
      <c r="V218" s="331">
        <f>INDEX('Rate Card'!$J:$J,MATCH($T218,'Rate Card'!$F:$F,0))</f>
        <v>650</v>
      </c>
      <c r="W218" s="523">
        <f t="shared" si="202"/>
        <v>650</v>
      </c>
      <c r="X218" s="523">
        <f t="shared" si="203"/>
        <v>2</v>
      </c>
      <c r="Y218" s="327" cm="1">
        <f t="array" ref="Y218">_xlfn.IFS(报价场景=服务费底表!$AJ$2,服务费底表!$AJ218,报价场景=服务费底表!$AP$2,服务费底表!$AP218,报价场景=服务费底表!$AK$2,服务费底表!$AK218,报价场景=服务费底表!$AL$2,服务费底表!$AL218,报价场景=服务费底表!$AM$2,服务费底表!$AM218,报价场景=服务费底表!$AN$2,服务费底表!$AN218,报价场景=服务费底表!$AQ$2,服务费底表!$AQ218,报价场景=服务费底表!$AO$2,服务费底表!$AO218)</f>
        <v>2</v>
      </c>
      <c r="Z218" s="327"/>
      <c r="AA218" s="332">
        <f t="shared" si="210"/>
        <v>2</v>
      </c>
      <c r="AB218" s="333">
        <f t="shared" si="211"/>
        <v>1300</v>
      </c>
      <c r="AC218" s="328">
        <f t="shared" si="212"/>
        <v>34</v>
      </c>
      <c r="AD218" s="334">
        <f t="shared" si="213"/>
        <v>22100</v>
      </c>
      <c r="AE218" s="334">
        <f>$AB218*(1-INDEX(项目参数!$D$5:$D$14,MATCH(服务费底表!$S218,项目参数!$B$5:$B$14,0)))</f>
        <v>1300</v>
      </c>
      <c r="AF218" s="334">
        <f>$AD218*INDEX(项目参数!$D$5:$D$14,MATCH(服务费底表!$S218,项目参数!$B$5:$B$14,0))</f>
        <v>0</v>
      </c>
      <c r="AG218" s="334">
        <f t="shared" si="214"/>
        <v>22100</v>
      </c>
      <c r="AH218" s="328"/>
      <c r="AI218" s="328" t="s">
        <v>599</v>
      </c>
      <c r="AJ218" s="327">
        <f>IF(启动中心数&lt;=8,2,2+0.25*(启动中心数-8))</f>
        <v>2</v>
      </c>
      <c r="AK218" s="327">
        <f t="shared" si="204"/>
        <v>3</v>
      </c>
      <c r="AL218" s="327">
        <f t="shared" si="180"/>
        <v>1.5</v>
      </c>
      <c r="AM218" s="327">
        <v>1.5</v>
      </c>
      <c r="AN218" s="327">
        <f t="shared" si="205"/>
        <v>2</v>
      </c>
      <c r="AO218" s="327">
        <f t="shared" si="206"/>
        <v>1.5</v>
      </c>
      <c r="AP218" s="327">
        <v>2</v>
      </c>
      <c r="AQ218" s="327">
        <f t="shared" si="207"/>
        <v>3</v>
      </c>
      <c r="AR218" s="338"/>
      <c r="AS218" s="328">
        <f t="shared" si="215"/>
        <v>34</v>
      </c>
      <c r="AT218" s="328">
        <f t="shared" si="216"/>
        <v>34</v>
      </c>
      <c r="AU218" s="523">
        <v>2</v>
      </c>
      <c r="AV218" s="328"/>
      <c r="AW218" s="328"/>
      <c r="AX218" s="332">
        <v>2</v>
      </c>
      <c r="AY218" s="328" t="b">
        <f t="shared" si="192"/>
        <v>1</v>
      </c>
      <c r="AZ218" s="328" t="b">
        <f t="shared" si="193"/>
        <v>0</v>
      </c>
    </row>
    <row r="219" ht="27" customHeight="1" spans="1:52">
      <c r="A219" s="326" t="str">
        <f>INDEX('Rate Card'!$A:$A,MATCH(服务费底表!$T219,'Rate Card'!$F:$F,0))</f>
        <v>临床运营</v>
      </c>
      <c r="B219" s="327" t="str">
        <f>INDEX(二三级标准!$G:$G,MATCH(服务费底表!$K219,二三级标准!B:B,0))</f>
        <v>月</v>
      </c>
      <c r="C219" s="327">
        <f>INDEX(服务费明细!$E:$E,MATCH(服务费底表!$K219,服务费明细!$B:$B,0))</f>
        <v>6</v>
      </c>
      <c r="D219" s="327" t="str">
        <f t="shared" si="208"/>
        <v>A059PM</v>
      </c>
      <c r="E219" s="327" t="str">
        <f t="shared" si="209"/>
        <v>T0150PM</v>
      </c>
      <c r="F219" s="328"/>
      <c r="G219" s="328" t="s">
        <v>684</v>
      </c>
      <c r="H219" s="326" t="str">
        <f>INDEX('Rate Card'!$B:$B,MATCH(服务费底表!$T219,'Rate Card'!$F:$F,0))</f>
        <v>临床运营</v>
      </c>
      <c r="I219" s="328" t="s">
        <v>921</v>
      </c>
      <c r="J219" s="328" t="str">
        <f>INDEX(二三级标准!$Q:$Q,MATCH(服务费底表!I219,二三级标准!$O:$O,0))</f>
        <v>项目管理</v>
      </c>
      <c r="K219" s="328" t="s">
        <v>223</v>
      </c>
      <c r="L219" s="328" t="str">
        <f>INDEX(二三级标准!C:C,MATCH(服务费底表!K219,二三级标准!$B:$B,0))</f>
        <v>招募日常沟通</v>
      </c>
      <c r="M219" s="328" t="s">
        <v>1320</v>
      </c>
      <c r="N219" s="328" t="str">
        <f>INDEX(二三级标准!$M:$M,MATCH(服务费底表!$M219,二三级标准!$L:$L,0))</f>
        <v>招募日常沟通</v>
      </c>
      <c r="O219" s="328"/>
      <c r="P219" s="531">
        <f>IF(R219=1,INDEX(服务费明细!$E:$E,MATCH(服务费底表!$K219,服务费明细!$B:$B,0)),0)</f>
        <v>6</v>
      </c>
      <c r="Q219" s="328" t="s">
        <v>1220</v>
      </c>
      <c r="R219" s="520">
        <f>IF(AND(招募日常沟通YN=1,项目管理YN=1),1,0)</f>
        <v>1</v>
      </c>
      <c r="S219" s="525" t="str">
        <f>INDEX('Rate Card'!$D:$D,MATCH(服务费底表!$T219,'Rate Card'!F:F,0))</f>
        <v>项目管理</v>
      </c>
      <c r="T219" s="328" t="s">
        <v>599</v>
      </c>
      <c r="U219" s="522" t="str">
        <f>INDEX('Rate Card'!$E:$E,MATCH(服务费底表!$T219,'Rate Card'!$F:$F,0))</f>
        <v>临床项目经理</v>
      </c>
      <c r="V219" s="331">
        <f>INDEX('Rate Card'!$J:$J,MATCH($T219,'Rate Card'!$F:$F,0))</f>
        <v>650</v>
      </c>
      <c r="W219" s="523">
        <f t="shared" si="202"/>
        <v>650</v>
      </c>
      <c r="X219" s="523">
        <f t="shared" si="203"/>
        <v>2</v>
      </c>
      <c r="Y219" s="327" cm="1">
        <f t="array" ref="Y219">_xlfn.IFS(报价场景=服务费底表!$AJ$2,服务费底表!$AJ219,报价场景=服务费底表!$AP$2,服务费底表!$AP219,报价场景=服务费底表!$AK$2,服务费底表!$AK219,报价场景=服务费底表!$AL$2,服务费底表!$AL219,报价场景=服务费底表!$AM$2,服务费底表!$AM219,报价场景=服务费底表!$AN$2,服务费底表!$AN219,报价场景=服务费底表!$AQ$2,服务费底表!$AQ219,报价场景=服务费底表!$AO$2,服务费底表!$AO219)</f>
        <v>2</v>
      </c>
      <c r="Z219" s="327"/>
      <c r="AA219" s="332">
        <f t="shared" si="210"/>
        <v>2</v>
      </c>
      <c r="AB219" s="333">
        <f t="shared" si="211"/>
        <v>1300</v>
      </c>
      <c r="AC219" s="328">
        <f t="shared" si="212"/>
        <v>12</v>
      </c>
      <c r="AD219" s="334">
        <f t="shared" si="213"/>
        <v>7800</v>
      </c>
      <c r="AE219" s="334">
        <f>$AB219*(1-INDEX(项目参数!$D$5:$D$14,MATCH(服务费底表!$S219,项目参数!$B$5:$B$14,0)))</f>
        <v>1300</v>
      </c>
      <c r="AF219" s="334">
        <f>$AD219*INDEX(项目参数!$D$5:$D$14,MATCH(服务费底表!$S219,项目参数!$B$5:$B$14,0))</f>
        <v>0</v>
      </c>
      <c r="AG219" s="334">
        <f t="shared" si="214"/>
        <v>7800</v>
      </c>
      <c r="AH219" s="328"/>
      <c r="AI219" s="328" t="s">
        <v>599</v>
      </c>
      <c r="AJ219" s="327">
        <v>2</v>
      </c>
      <c r="AK219" s="327">
        <f t="shared" si="204"/>
        <v>3</v>
      </c>
      <c r="AL219" s="327">
        <f t="shared" si="180"/>
        <v>1.5</v>
      </c>
      <c r="AM219" s="327">
        <v>1.5</v>
      </c>
      <c r="AN219" s="327">
        <f t="shared" si="205"/>
        <v>2</v>
      </c>
      <c r="AO219" s="327">
        <f t="shared" si="206"/>
        <v>1.5</v>
      </c>
      <c r="AP219" s="327">
        <v>2</v>
      </c>
      <c r="AQ219" s="327">
        <f t="shared" si="207"/>
        <v>3</v>
      </c>
      <c r="AR219" s="338"/>
      <c r="AS219" s="328">
        <f t="shared" si="215"/>
        <v>12</v>
      </c>
      <c r="AT219" s="328">
        <f t="shared" si="216"/>
        <v>12</v>
      </c>
      <c r="AU219" s="523">
        <v>2</v>
      </c>
      <c r="AV219" s="328"/>
      <c r="AW219" s="328"/>
      <c r="AX219" s="332">
        <v>2</v>
      </c>
      <c r="AY219" s="328" t="b">
        <f t="shared" si="192"/>
        <v>1</v>
      </c>
      <c r="AZ219" s="328" t="b">
        <f t="shared" si="193"/>
        <v>1</v>
      </c>
    </row>
    <row r="220" ht="27" customHeight="1" spans="1:52">
      <c r="A220" s="326" t="str">
        <f>INDEX('Rate Card'!$A:$A,MATCH(服务费底表!$T220,'Rate Card'!$F:$F,0))</f>
        <v>临床运营</v>
      </c>
      <c r="B220" s="327" t="str">
        <f>INDEX(二三级标准!$G:$G,MATCH(服务费底表!$K220,二三级标准!B:B,0))</f>
        <v>月</v>
      </c>
      <c r="C220" s="327">
        <f>INDEX(服务费明细!$E:$E,MATCH(服务费底表!$K220,服务费明细!$B:$B,0))</f>
        <v>13</v>
      </c>
      <c r="D220" s="327" t="str">
        <f t="shared" si="208"/>
        <v>A060PM</v>
      </c>
      <c r="E220" s="327" t="str">
        <f t="shared" si="209"/>
        <v>T0151PM</v>
      </c>
      <c r="F220" s="328"/>
      <c r="G220" s="328" t="s">
        <v>684</v>
      </c>
      <c r="H220" s="326" t="str">
        <f>INDEX('Rate Card'!$B:$B,MATCH(服务费底表!$T220,'Rate Card'!$F:$F,0))</f>
        <v>临床运营</v>
      </c>
      <c r="I220" s="328" t="s">
        <v>921</v>
      </c>
      <c r="J220" s="328" t="str">
        <f>INDEX(二三级标准!$Q:$Q,MATCH(服务费底表!I220,二三级标准!$O:$O,0))</f>
        <v>项目管理</v>
      </c>
      <c r="K220" s="328" t="s">
        <v>225</v>
      </c>
      <c r="L220" s="328" t="str">
        <f>INDEX(二三级标准!C:C,MATCH(服务费底表!K220,二三级标准!$B:$B,0))</f>
        <v>生物分析实验室日常沟通</v>
      </c>
      <c r="M220" s="328" t="s">
        <v>1321</v>
      </c>
      <c r="N220" s="328" t="str">
        <f>INDEX(二三级标准!$M:$M,MATCH(服务费底表!$M220,二三级标准!$L:$L,0))</f>
        <v>生物分析实验室日常沟通</v>
      </c>
      <c r="O220" s="328"/>
      <c r="P220" s="531">
        <f>IF(R220=1,INDEX(服务费明细!$E:$E,MATCH(服务费底表!$K220,服务费明细!$B:$B,0)),0)</f>
        <v>13</v>
      </c>
      <c r="Q220" s="328" t="s">
        <v>1220</v>
      </c>
      <c r="R220" s="520">
        <f>IF(AND(生物分析实验室日常沟通YN=1,项目管理YN=1),1,0)</f>
        <v>1</v>
      </c>
      <c r="S220" s="525" t="str">
        <f>INDEX('Rate Card'!$D:$D,MATCH(服务费底表!$T220,'Rate Card'!F:F,0))</f>
        <v>项目管理</v>
      </c>
      <c r="T220" s="328" t="s">
        <v>599</v>
      </c>
      <c r="U220" s="522" t="str">
        <f>INDEX('Rate Card'!$E:$E,MATCH(服务费底表!$T220,'Rate Card'!$F:$F,0))</f>
        <v>临床项目经理</v>
      </c>
      <c r="V220" s="331">
        <f>INDEX('Rate Card'!$J:$J,MATCH($T220,'Rate Card'!$F:$F,0))</f>
        <v>650</v>
      </c>
      <c r="W220" s="523">
        <f t="shared" si="202"/>
        <v>650</v>
      </c>
      <c r="X220" s="523">
        <f t="shared" si="203"/>
        <v>2</v>
      </c>
      <c r="Y220" s="327" cm="1">
        <f t="array" ref="Y220">_xlfn.IFS(报价场景=服务费底表!$AJ$2,服务费底表!$AJ220,报价场景=服务费底表!$AP$2,服务费底表!$AP220,报价场景=服务费底表!$AK$2,服务费底表!$AK220,报价场景=服务费底表!$AL$2,服务费底表!$AL220,报价场景=服务费底表!$AM$2,服务费底表!$AM220,报价场景=服务费底表!$AN$2,服务费底表!$AN220,报价场景=服务费底表!$AQ$2,服务费底表!$AQ220,报价场景=服务费底表!$AO$2,服务费底表!$AO220)</f>
        <v>2</v>
      </c>
      <c r="Z220" s="327"/>
      <c r="AA220" s="332">
        <f t="shared" si="210"/>
        <v>2</v>
      </c>
      <c r="AB220" s="333">
        <f t="shared" si="211"/>
        <v>1300</v>
      </c>
      <c r="AC220" s="328">
        <f t="shared" si="212"/>
        <v>26</v>
      </c>
      <c r="AD220" s="334">
        <f t="shared" si="213"/>
        <v>16900</v>
      </c>
      <c r="AE220" s="334">
        <f>$AB220*(1-INDEX(项目参数!$D$5:$D$14,MATCH(服务费底表!$S220,项目参数!$B$5:$B$14,0)))</f>
        <v>1300</v>
      </c>
      <c r="AF220" s="334">
        <f>$AD220*INDEX(项目参数!$D$5:$D$14,MATCH(服务费底表!$S220,项目参数!$B$5:$B$14,0))</f>
        <v>0</v>
      </c>
      <c r="AG220" s="334">
        <f t="shared" si="214"/>
        <v>16900</v>
      </c>
      <c r="AH220" s="328"/>
      <c r="AI220" s="328" t="s">
        <v>599</v>
      </c>
      <c r="AJ220" s="327">
        <v>2</v>
      </c>
      <c r="AK220" s="327">
        <f t="shared" si="204"/>
        <v>3</v>
      </c>
      <c r="AL220" s="327">
        <f t="shared" si="180"/>
        <v>1.5</v>
      </c>
      <c r="AM220" s="327">
        <v>1.5</v>
      </c>
      <c r="AN220" s="327">
        <f t="shared" si="205"/>
        <v>2</v>
      </c>
      <c r="AO220" s="327">
        <f t="shared" si="206"/>
        <v>1.5</v>
      </c>
      <c r="AP220" s="327">
        <v>2</v>
      </c>
      <c r="AQ220" s="327">
        <f t="shared" si="207"/>
        <v>3</v>
      </c>
      <c r="AR220" s="338"/>
      <c r="AS220" s="328">
        <f t="shared" si="215"/>
        <v>26</v>
      </c>
      <c r="AT220" s="328">
        <f t="shared" si="216"/>
        <v>26</v>
      </c>
      <c r="AU220" s="523">
        <v>2</v>
      </c>
      <c r="AV220" s="328"/>
      <c r="AW220" s="328"/>
      <c r="AX220" s="332">
        <v>2</v>
      </c>
      <c r="AY220" s="328" t="b">
        <f t="shared" si="192"/>
        <v>1</v>
      </c>
      <c r="AZ220" s="328" t="b">
        <f t="shared" si="193"/>
        <v>0</v>
      </c>
    </row>
    <row r="221" ht="27" customHeight="1" spans="1:52">
      <c r="A221" s="326" t="str">
        <f>INDEX('Rate Card'!$A:$A,MATCH(服务费底表!$T221,'Rate Card'!$F:$F,0))</f>
        <v>临床运营</v>
      </c>
      <c r="B221" s="327" t="str">
        <f>INDEX(二三级标准!$G:$G,MATCH(服务费底表!$K221,二三级标准!B:B,0))</f>
        <v>月</v>
      </c>
      <c r="C221" s="327">
        <f>INDEX(服务费明细!$E:$E,MATCH(服务费底表!$K221,服务费明细!$B:$B,0))</f>
        <v>13</v>
      </c>
      <c r="D221" s="327" t="str">
        <f t="shared" si="208"/>
        <v>A061PM</v>
      </c>
      <c r="E221" s="327" t="str">
        <f t="shared" si="209"/>
        <v>T0152PM</v>
      </c>
      <c r="F221" s="328"/>
      <c r="G221" s="328" t="s">
        <v>684</v>
      </c>
      <c r="H221" s="326" t="str">
        <f>INDEX('Rate Card'!$B:$B,MATCH(服务费底表!$T221,'Rate Card'!$F:$F,0))</f>
        <v>临床运营</v>
      </c>
      <c r="I221" s="328" t="s">
        <v>921</v>
      </c>
      <c r="J221" s="328" t="str">
        <f>INDEX(二三级标准!$Q:$Q,MATCH(服务费底表!I221,二三级标准!$O:$O,0))</f>
        <v>项目管理</v>
      </c>
      <c r="K221" s="328" t="s">
        <v>227</v>
      </c>
      <c r="L221" s="328" t="str">
        <f>INDEX(二三级标准!C:C,MATCH(服务费底表!K221,二三级标准!$B:$B,0))</f>
        <v>物流日常沟通</v>
      </c>
      <c r="M221" s="328" t="s">
        <v>1322</v>
      </c>
      <c r="N221" s="328" t="str">
        <f>INDEX(二三级标准!$M:$M,MATCH(服务费底表!$M221,二三级标准!$L:$L,0))</f>
        <v>物流日常沟通</v>
      </c>
      <c r="O221" s="328"/>
      <c r="P221" s="531">
        <f>IF(R221=1,INDEX(服务费明细!$E:$E,MATCH(服务费底表!$K221,服务费明细!$B:$B,0)),0)</f>
        <v>13</v>
      </c>
      <c r="Q221" s="328" t="s">
        <v>1220</v>
      </c>
      <c r="R221" s="520">
        <f>IF(AND(物流日常沟通YN=1,项目管理YN=1),1,0)</f>
        <v>1</v>
      </c>
      <c r="S221" s="525" t="str">
        <f>INDEX('Rate Card'!$D:$D,MATCH(服务费底表!$T221,'Rate Card'!F:F,0))</f>
        <v>项目管理</v>
      </c>
      <c r="T221" s="328" t="s">
        <v>599</v>
      </c>
      <c r="U221" s="522" t="str">
        <f>INDEX('Rate Card'!$E:$E,MATCH(服务费底表!$T221,'Rate Card'!$F:$F,0))</f>
        <v>临床项目经理</v>
      </c>
      <c r="V221" s="331">
        <f>INDEX('Rate Card'!$J:$J,MATCH($T221,'Rate Card'!$F:$F,0))</f>
        <v>650</v>
      </c>
      <c r="W221" s="523">
        <f t="shared" si="202"/>
        <v>650</v>
      </c>
      <c r="X221" s="523">
        <f t="shared" si="203"/>
        <v>1</v>
      </c>
      <c r="Y221" s="327" cm="1">
        <f t="array" ref="Y221">_xlfn.IFS(报价场景=服务费底表!$AJ$2,服务费底表!$AJ221,报价场景=服务费底表!$AP$2,服务费底表!$AP221,报价场景=服务费底表!$AK$2,服务费底表!$AK221,报价场景=服务费底表!$AL$2,服务费底表!$AL221,报价场景=服务费底表!$AM$2,服务费底表!$AM221,报价场景=服务费底表!$AN$2,服务费底表!$AN221,报价场景=服务费底表!$AQ$2,服务费底表!$AQ221,报价场景=服务费底表!$AO$2,服务费底表!$AO221)</f>
        <v>1</v>
      </c>
      <c r="Z221" s="327"/>
      <c r="AA221" s="332">
        <f t="shared" si="210"/>
        <v>1</v>
      </c>
      <c r="AB221" s="333">
        <f t="shared" si="211"/>
        <v>650</v>
      </c>
      <c r="AC221" s="328">
        <f t="shared" si="212"/>
        <v>13</v>
      </c>
      <c r="AD221" s="334">
        <f t="shared" si="213"/>
        <v>8450</v>
      </c>
      <c r="AE221" s="334">
        <f>$AB221*(1-INDEX(项目参数!$D$5:$D$14,MATCH(服务费底表!$S221,项目参数!$B$5:$B$14,0)))</f>
        <v>650</v>
      </c>
      <c r="AF221" s="334">
        <f>$AD221*INDEX(项目参数!$D$5:$D$14,MATCH(服务费底表!$S221,项目参数!$B$5:$B$14,0))</f>
        <v>0</v>
      </c>
      <c r="AG221" s="334">
        <f t="shared" si="214"/>
        <v>8450</v>
      </c>
      <c r="AH221" s="328"/>
      <c r="AI221" s="328" t="s">
        <v>599</v>
      </c>
      <c r="AJ221" s="327">
        <v>1</v>
      </c>
      <c r="AK221" s="327">
        <f t="shared" si="204"/>
        <v>1.5</v>
      </c>
      <c r="AL221" s="327">
        <f t="shared" si="180"/>
        <v>0.8</v>
      </c>
      <c r="AM221" s="327">
        <v>0.8</v>
      </c>
      <c r="AN221" s="327">
        <f t="shared" si="205"/>
        <v>1</v>
      </c>
      <c r="AO221" s="327">
        <f t="shared" si="206"/>
        <v>0.8</v>
      </c>
      <c r="AP221" s="327">
        <v>1</v>
      </c>
      <c r="AQ221" s="327">
        <f t="shared" si="207"/>
        <v>1.5</v>
      </c>
      <c r="AR221" s="338"/>
      <c r="AS221" s="328">
        <f t="shared" si="215"/>
        <v>13</v>
      </c>
      <c r="AT221" s="328">
        <f t="shared" si="216"/>
        <v>13</v>
      </c>
      <c r="AU221" s="523">
        <v>1</v>
      </c>
      <c r="AV221" s="328"/>
      <c r="AW221" s="328"/>
      <c r="AX221" s="332">
        <v>1</v>
      </c>
      <c r="AY221" s="328" t="b">
        <f t="shared" si="192"/>
        <v>1</v>
      </c>
      <c r="AZ221" s="328" t="b">
        <f t="shared" si="193"/>
        <v>1</v>
      </c>
    </row>
    <row r="222" ht="27" customHeight="1" spans="1:52">
      <c r="A222" s="326" t="str">
        <f>INDEX('Rate Card'!$A:$A,MATCH(服务费底表!$T222,'Rate Card'!$F:$F,0))</f>
        <v>临床运营</v>
      </c>
      <c r="B222" s="327" t="str">
        <f>INDEX(二三级标准!$G:$G,MATCH(服务费底表!$K222,二三级标准!B:B,0))</f>
        <v>月</v>
      </c>
      <c r="C222" s="327">
        <f>INDEX(服务费明细!$E:$E,MATCH(服务费底表!$K222,服务费明细!$B:$B,0))</f>
        <v>0</v>
      </c>
      <c r="D222" s="327" t="str">
        <f t="shared" si="208"/>
        <v>A062PM</v>
      </c>
      <c r="E222" s="327" t="str">
        <f t="shared" si="209"/>
        <v>T0153PM</v>
      </c>
      <c r="F222" s="328"/>
      <c r="G222" s="328" t="s">
        <v>684</v>
      </c>
      <c r="H222" s="326" t="str">
        <f>INDEX('Rate Card'!$B:$B,MATCH(服务费底表!$T222,'Rate Card'!$F:$F,0))</f>
        <v>临床运营</v>
      </c>
      <c r="I222" s="328" t="s">
        <v>921</v>
      </c>
      <c r="J222" s="328" t="str">
        <f>INDEX(二三级标准!$Q:$Q,MATCH(服务费底表!I222,二三级标准!$O:$O,0))</f>
        <v>项目管理</v>
      </c>
      <c r="K222" s="328" t="s">
        <v>229</v>
      </c>
      <c r="L222" s="328" t="str">
        <f>INDEX(二三级标准!C:C,MATCH(服务费底表!K222,二三级标准!$B:$B,0))</f>
        <v>IRC日常沟通</v>
      </c>
      <c r="M222" s="328" t="s">
        <v>1323</v>
      </c>
      <c r="N222" s="328" t="str">
        <f>INDEX(二三级标准!$M:$M,MATCH(服务费底表!$M222,二三级标准!$L:$L,0))</f>
        <v>IRC日常沟通</v>
      </c>
      <c r="O222" s="328"/>
      <c r="P222" s="531">
        <f>IF(R222=1,INDEX(服务费明细!$E:$E,MATCH(服务费底表!$K222,服务费明细!$B:$B,0)),0)</f>
        <v>0</v>
      </c>
      <c r="Q222" s="328" t="s">
        <v>1220</v>
      </c>
      <c r="R222" s="520">
        <f>IF(AND(IRC日常沟通YN=1,项目管理YN=1),1,0)</f>
        <v>0</v>
      </c>
      <c r="S222" s="525" t="str">
        <f>INDEX('Rate Card'!$D:$D,MATCH(服务费底表!$T222,'Rate Card'!F:F,0))</f>
        <v>项目管理</v>
      </c>
      <c r="T222" s="328" t="s">
        <v>599</v>
      </c>
      <c r="U222" s="522" t="str">
        <f>INDEX('Rate Card'!$E:$E,MATCH(服务费底表!$T222,'Rate Card'!$F:$F,0))</f>
        <v>临床项目经理</v>
      </c>
      <c r="V222" s="331">
        <f>INDEX('Rate Card'!$J:$J,MATCH($T222,'Rate Card'!$F:$F,0))</f>
        <v>650</v>
      </c>
      <c r="W222" s="523">
        <f t="shared" si="202"/>
        <v>650</v>
      </c>
      <c r="X222" s="523">
        <f t="shared" si="203"/>
        <v>1</v>
      </c>
      <c r="Y222" s="327" cm="1">
        <f t="array" ref="Y222">_xlfn.IFS(报价场景=服务费底表!$AJ$2,服务费底表!$AJ222,报价场景=服务费底表!$AP$2,服务费底表!$AP222,报价场景=服务费底表!$AK$2,服务费底表!$AK222,报价场景=服务费底表!$AL$2,服务费底表!$AL222,报价场景=服务费底表!$AM$2,服务费底表!$AM222,报价场景=服务费底表!$AN$2,服务费底表!$AN222,报价场景=服务费底表!$AQ$2,服务费底表!$AQ222,报价场景=服务费底表!$AO$2,服务费底表!$AO222)</f>
        <v>1</v>
      </c>
      <c r="Z222" s="327"/>
      <c r="AA222" s="332">
        <f t="shared" si="210"/>
        <v>1</v>
      </c>
      <c r="AB222" s="333">
        <f t="shared" si="211"/>
        <v>0</v>
      </c>
      <c r="AC222" s="328">
        <f t="shared" si="212"/>
        <v>0</v>
      </c>
      <c r="AD222" s="334">
        <f t="shared" si="213"/>
        <v>0</v>
      </c>
      <c r="AE222" s="334">
        <f>$AB222*(1-INDEX(项目参数!$D$5:$D$14,MATCH(服务费底表!$S222,项目参数!$B$5:$B$14,0)))</f>
        <v>0</v>
      </c>
      <c r="AF222" s="334">
        <f>$AD222*INDEX(项目参数!$D$5:$D$14,MATCH(服务费底表!$S222,项目参数!$B$5:$B$14,0))</f>
        <v>0</v>
      </c>
      <c r="AG222" s="334">
        <f t="shared" si="214"/>
        <v>0</v>
      </c>
      <c r="AH222" s="328"/>
      <c r="AI222" s="328" t="s">
        <v>599</v>
      </c>
      <c r="AJ222" s="327">
        <v>1</v>
      </c>
      <c r="AK222" s="327">
        <f t="shared" si="204"/>
        <v>1.5</v>
      </c>
      <c r="AL222" s="327">
        <f>AJ222*0.7</f>
        <v>0.7</v>
      </c>
      <c r="AM222" s="327">
        <f>AJ222*0.7</f>
        <v>0.7</v>
      </c>
      <c r="AN222" s="327">
        <f t="shared" si="205"/>
        <v>1</v>
      </c>
      <c r="AO222" s="327">
        <f t="shared" si="206"/>
        <v>0.7</v>
      </c>
      <c r="AP222" s="327">
        <v>1</v>
      </c>
      <c r="AQ222" s="327">
        <f t="shared" si="207"/>
        <v>1.5</v>
      </c>
      <c r="AR222" s="338"/>
      <c r="AS222" s="328">
        <f t="shared" si="215"/>
        <v>0</v>
      </c>
      <c r="AT222" s="328">
        <f t="shared" si="216"/>
        <v>0</v>
      </c>
      <c r="AU222" s="523">
        <v>1</v>
      </c>
      <c r="AV222" s="328"/>
      <c r="AW222" s="328"/>
      <c r="AX222" s="332">
        <v>1</v>
      </c>
      <c r="AY222" s="328" t="b">
        <f t="shared" si="192"/>
        <v>1</v>
      </c>
      <c r="AZ222" s="328" t="b">
        <f t="shared" si="193"/>
        <v>0</v>
      </c>
    </row>
    <row r="223" ht="27" customHeight="1" spans="1:52">
      <c r="A223" s="326" t="str">
        <f>INDEX('Rate Card'!$A:$A,MATCH(服务费底表!$T223,'Rate Card'!$F:$F,0))</f>
        <v>临床运营</v>
      </c>
      <c r="B223" s="327" t="str">
        <f>INDEX(二三级标准!$G:$G,MATCH(服务费底表!$K223,二三级标准!B:B,0))</f>
        <v>次</v>
      </c>
      <c r="C223" s="327">
        <f>INDEX(服务费明细!$E:$E,MATCH(服务费底表!$K223,服务费明细!$B:$B,0))</f>
        <v>9</v>
      </c>
      <c r="D223" s="327" t="str">
        <f t="shared" si="208"/>
        <v>A063PM</v>
      </c>
      <c r="E223" s="327" t="str">
        <f t="shared" si="209"/>
        <v>T0154PM</v>
      </c>
      <c r="F223" s="328"/>
      <c r="G223" s="328" t="s">
        <v>684</v>
      </c>
      <c r="H223" s="326" t="str">
        <f>INDEX('Rate Card'!$B:$B,MATCH(服务费底表!$T223,'Rate Card'!$F:$F,0))</f>
        <v>临床运营</v>
      </c>
      <c r="I223" s="328" t="s">
        <v>921</v>
      </c>
      <c r="J223" s="328" t="str">
        <f>INDEX(二三级标准!$Q:$Q,MATCH(服务费底表!I223,二三级标准!$O:$O,0))</f>
        <v>项目管理</v>
      </c>
      <c r="K223" s="328" t="s">
        <v>231</v>
      </c>
      <c r="L223" s="328" t="str">
        <f>INDEX(二三级标准!C:C,MATCH(服务费底表!K223,二三级标准!$B:$B,0))</f>
        <v>保险日常沟通</v>
      </c>
      <c r="M223" s="328" t="s">
        <v>1324</v>
      </c>
      <c r="N223" s="328" t="str">
        <f>INDEX(二三级标准!$M:$M,MATCH(服务费底表!$M223,二三级标准!$L:$L,0))</f>
        <v>保险日常沟通</v>
      </c>
      <c r="O223" s="328"/>
      <c r="P223" s="531">
        <f>IF(R223=1,INDEX(服务费明细!$E:$E,MATCH(服务费底表!$K223,服务费明细!$B:$B,0)),0)</f>
        <v>9</v>
      </c>
      <c r="Q223" s="328" t="s">
        <v>1178</v>
      </c>
      <c r="R223" s="520">
        <f>IF(AND(保险日常沟通YN=1,项目管理YN=1),1,0)</f>
        <v>1</v>
      </c>
      <c r="S223" s="525" t="str">
        <f>INDEX('Rate Card'!$D:$D,MATCH(服务费底表!$T223,'Rate Card'!F:F,0))</f>
        <v>项目管理</v>
      </c>
      <c r="T223" s="328" t="s">
        <v>599</v>
      </c>
      <c r="U223" s="522" t="str">
        <f>INDEX('Rate Card'!$E:$E,MATCH(服务费底表!$T223,'Rate Card'!$F:$F,0))</f>
        <v>临床项目经理</v>
      </c>
      <c r="V223" s="331">
        <f>INDEX('Rate Card'!$J:$J,MATCH($T223,'Rate Card'!$F:$F,0))</f>
        <v>650</v>
      </c>
      <c r="W223" s="523">
        <f t="shared" si="202"/>
        <v>650</v>
      </c>
      <c r="X223" s="523">
        <f t="shared" si="203"/>
        <v>1</v>
      </c>
      <c r="Y223" s="327" cm="1">
        <f t="array" ref="Y223">_xlfn.IFS(报价场景=服务费底表!$AJ$2,服务费底表!$AJ223,报价场景=服务费底表!$AP$2,服务费底表!$AP223,报价场景=服务费底表!$AK$2,服务费底表!$AK223,报价场景=服务费底表!$AL$2,服务费底表!$AL223,报价场景=服务费底表!$AM$2,服务费底表!$AM223,报价场景=服务费底表!$AN$2,服务费底表!$AN223,报价场景=服务费底表!$AQ$2,服务费底表!$AQ223,报价场景=服务费底表!$AO$2,服务费底表!$AO223)</f>
        <v>1</v>
      </c>
      <c r="Z223" s="327"/>
      <c r="AA223" s="332">
        <f t="shared" si="210"/>
        <v>1</v>
      </c>
      <c r="AB223" s="333">
        <f t="shared" si="211"/>
        <v>650</v>
      </c>
      <c r="AC223" s="328">
        <f t="shared" si="212"/>
        <v>9</v>
      </c>
      <c r="AD223" s="334">
        <f t="shared" si="213"/>
        <v>5850</v>
      </c>
      <c r="AE223" s="334">
        <f>$AB223*(1-INDEX(项目参数!$D$5:$D$14,MATCH(服务费底表!$S223,项目参数!$B$5:$B$14,0)))</f>
        <v>650</v>
      </c>
      <c r="AF223" s="334">
        <f>$AD223*INDEX(项目参数!$D$5:$D$14,MATCH(服务费底表!$S223,项目参数!$B$5:$B$14,0))</f>
        <v>0</v>
      </c>
      <c r="AG223" s="334">
        <f t="shared" si="214"/>
        <v>5850</v>
      </c>
      <c r="AH223" s="328"/>
      <c r="AI223" s="328" t="s">
        <v>599</v>
      </c>
      <c r="AJ223" s="327">
        <v>1</v>
      </c>
      <c r="AK223" s="327">
        <f t="shared" si="204"/>
        <v>1.5</v>
      </c>
      <c r="AL223" s="327">
        <f>AM223</f>
        <v>0.8</v>
      </c>
      <c r="AM223" s="327">
        <v>0.8</v>
      </c>
      <c r="AN223" s="327">
        <f t="shared" si="205"/>
        <v>1</v>
      </c>
      <c r="AO223" s="327">
        <f t="shared" si="206"/>
        <v>0.8</v>
      </c>
      <c r="AP223" s="327">
        <v>1</v>
      </c>
      <c r="AQ223" s="327">
        <f t="shared" si="207"/>
        <v>1.5</v>
      </c>
      <c r="AR223" s="338"/>
      <c r="AS223" s="328">
        <f t="shared" si="215"/>
        <v>9</v>
      </c>
      <c r="AT223" s="328">
        <f t="shared" si="216"/>
        <v>9</v>
      </c>
      <c r="AU223" s="523">
        <v>1</v>
      </c>
      <c r="AV223" s="328"/>
      <c r="AW223" s="328"/>
      <c r="AX223" s="332">
        <v>1</v>
      </c>
      <c r="AY223" s="328" t="b">
        <f t="shared" si="192"/>
        <v>1</v>
      </c>
      <c r="AZ223" s="328" t="b">
        <f t="shared" si="193"/>
        <v>1</v>
      </c>
    </row>
    <row r="224" ht="27" customHeight="1" spans="1:52">
      <c r="A224" s="326" t="str">
        <f>INDEX('Rate Card'!$A:$A,MATCH(服务费底表!$T224,'Rate Card'!$F:$F,0))</f>
        <v>临床运营</v>
      </c>
      <c r="B224" s="327" t="str">
        <f>INDEX(二三级标准!$G:$G,MATCH(服务费底表!$K224,二三级标准!B:B,0))</f>
        <v>月</v>
      </c>
      <c r="C224" s="327">
        <f>INDEX(服务费明细!$E:$E,MATCH(服务费底表!$K224,服务费明细!$B:$B,0))</f>
        <v>0</v>
      </c>
      <c r="D224" s="327" t="str">
        <f t="shared" si="208"/>
        <v>A064PM</v>
      </c>
      <c r="E224" s="327" t="str">
        <f t="shared" si="209"/>
        <v>T0155PM</v>
      </c>
      <c r="F224" s="328"/>
      <c r="G224" s="328" t="s">
        <v>684</v>
      </c>
      <c r="H224" s="326" t="str">
        <f>INDEX('Rate Card'!$B:$B,MATCH(服务费底表!$T224,'Rate Card'!$F:$F,0))</f>
        <v>临床运营</v>
      </c>
      <c r="I224" s="328" t="s">
        <v>921</v>
      </c>
      <c r="J224" s="328" t="str">
        <f>INDEX(二三级标准!$Q:$Q,MATCH(服务费底表!I224,二三级标准!$O:$O,0))</f>
        <v>项目管理</v>
      </c>
      <c r="K224" s="328" t="s">
        <v>233</v>
      </c>
      <c r="L224" s="328" t="str">
        <f>INDEX(二三级标准!C:C,MATCH(服务费底表!K224,二三级标准!$B:$B,0))</f>
        <v>中心实验室日常沟通</v>
      </c>
      <c r="M224" s="328" t="s">
        <v>1325</v>
      </c>
      <c r="N224" s="328" t="str">
        <f>INDEX(二三级标准!$M:$M,MATCH(服务费底表!$M224,二三级标准!$L:$L,0))</f>
        <v>中心实验室日常沟通</v>
      </c>
      <c r="O224" s="328"/>
      <c r="P224" s="531">
        <f>IF(R224=1,INDEX(服务费明细!$E:$E,MATCH(服务费底表!$K224,服务费明细!$B:$B,0)),0)</f>
        <v>0</v>
      </c>
      <c r="Q224" s="328" t="s">
        <v>1220</v>
      </c>
      <c r="R224" s="520">
        <f>IF(AND(中心实验室日常沟通YN=1,项目管理YN=1),1,0)</f>
        <v>0</v>
      </c>
      <c r="S224" s="525" t="str">
        <f>INDEX('Rate Card'!$D:$D,MATCH(服务费底表!$T224,'Rate Card'!F:F,0))</f>
        <v>项目管理</v>
      </c>
      <c r="T224" s="328" t="s">
        <v>599</v>
      </c>
      <c r="U224" s="522" t="str">
        <f>INDEX('Rate Card'!$E:$E,MATCH(服务费底表!$T224,'Rate Card'!$F:$F,0))</f>
        <v>临床项目经理</v>
      </c>
      <c r="V224" s="331">
        <f>INDEX('Rate Card'!$J:$J,MATCH($T224,'Rate Card'!$F:$F,0))</f>
        <v>650</v>
      </c>
      <c r="W224" s="523">
        <f t="shared" si="202"/>
        <v>650</v>
      </c>
      <c r="X224" s="523">
        <f t="shared" si="203"/>
        <v>2</v>
      </c>
      <c r="Y224" s="327" cm="1">
        <f t="array" ref="Y224">_xlfn.IFS(报价场景=服务费底表!$AJ$2,服务费底表!$AJ224,报价场景=服务费底表!$AP$2,服务费底表!$AP224,报价场景=服务费底表!$AK$2,服务费底表!$AK224,报价场景=服务费底表!$AL$2,服务费底表!$AL224,报价场景=服务费底表!$AM$2,服务费底表!$AM224,报价场景=服务费底表!$AN$2,服务费底表!$AN224,报价场景=服务费底表!$AQ$2,服务费底表!$AQ224,报价场景=服务费底表!$AO$2,服务费底表!$AO224)</f>
        <v>2</v>
      </c>
      <c r="Z224" s="327"/>
      <c r="AA224" s="332">
        <f t="shared" si="210"/>
        <v>2</v>
      </c>
      <c r="AB224" s="333">
        <f t="shared" si="211"/>
        <v>0</v>
      </c>
      <c r="AC224" s="328">
        <f t="shared" si="212"/>
        <v>0</v>
      </c>
      <c r="AD224" s="334">
        <f t="shared" si="213"/>
        <v>0</v>
      </c>
      <c r="AE224" s="334">
        <f>$AB224*(1-INDEX(项目参数!$D$5:$D$14,MATCH(服务费底表!$S224,项目参数!$B$5:$B$14,0)))</f>
        <v>0</v>
      </c>
      <c r="AF224" s="334">
        <f>$AD224*INDEX(项目参数!$D$5:$D$14,MATCH(服务费底表!$S224,项目参数!$B$5:$B$14,0))</f>
        <v>0</v>
      </c>
      <c r="AG224" s="334">
        <f t="shared" si="214"/>
        <v>0</v>
      </c>
      <c r="AH224" s="328"/>
      <c r="AI224" s="328" t="s">
        <v>599</v>
      </c>
      <c r="AJ224" s="327">
        <v>2</v>
      </c>
      <c r="AK224" s="327">
        <f t="shared" si="204"/>
        <v>3</v>
      </c>
      <c r="AL224" s="327">
        <f>AJ224*0.7</f>
        <v>1.4</v>
      </c>
      <c r="AM224" s="327">
        <f>AJ224*0.7</f>
        <v>1.4</v>
      </c>
      <c r="AN224" s="327">
        <f t="shared" si="205"/>
        <v>2</v>
      </c>
      <c r="AO224" s="327">
        <f t="shared" si="206"/>
        <v>1.4</v>
      </c>
      <c r="AP224" s="327">
        <v>2</v>
      </c>
      <c r="AQ224" s="327">
        <f t="shared" si="207"/>
        <v>3</v>
      </c>
      <c r="AR224" s="338"/>
      <c r="AS224" s="328">
        <f t="shared" si="215"/>
        <v>0</v>
      </c>
      <c r="AT224" s="328">
        <f t="shared" si="216"/>
        <v>0</v>
      </c>
      <c r="AU224" s="523">
        <v>2</v>
      </c>
      <c r="AV224" s="328"/>
      <c r="AW224" s="328"/>
      <c r="AX224" s="332">
        <v>2</v>
      </c>
      <c r="AY224" s="328" t="b">
        <f t="shared" si="192"/>
        <v>1</v>
      </c>
      <c r="AZ224" s="328" t="b">
        <f t="shared" si="193"/>
        <v>0</v>
      </c>
    </row>
    <row r="225" ht="27" customHeight="1" spans="1:52">
      <c r="A225" s="326" t="str">
        <f>INDEX('Rate Card'!$A:$A,MATCH(服务费底表!$T225,'Rate Card'!$F:$F,0))</f>
        <v>临床运营</v>
      </c>
      <c r="B225" s="327" t="str">
        <f>INDEX(二三级标准!$G:$G,MATCH(服务费底表!$K225,二三级标准!B:B,0))</f>
        <v>月</v>
      </c>
      <c r="C225" s="327">
        <f>INDEX(服务费明细!$E:$E,MATCH(服务费底表!$K225,服务费明细!$B:$B,0))</f>
        <v>0</v>
      </c>
      <c r="D225" s="327" t="str">
        <f t="shared" si="208"/>
        <v>A065PM</v>
      </c>
      <c r="E225" s="327" t="str">
        <f t="shared" si="209"/>
        <v>T0156PM</v>
      </c>
      <c r="F225" s="328"/>
      <c r="G225" s="328" t="s">
        <v>684</v>
      </c>
      <c r="H225" s="326" t="str">
        <f>INDEX('Rate Card'!$B:$B,MATCH(服务费底表!$T225,'Rate Card'!$F:$F,0))</f>
        <v>临床运营</v>
      </c>
      <c r="I225" s="328" t="s">
        <v>921</v>
      </c>
      <c r="J225" s="328" t="str">
        <f>INDEX(二三级标准!$Q:$Q,MATCH(服务费底表!I225,二三级标准!$O:$O,0))</f>
        <v>项目管理</v>
      </c>
      <c r="K225" s="328" t="s">
        <v>235</v>
      </c>
      <c r="L225" s="328" t="str">
        <f>INDEX(二三级标准!C:C,MATCH(服务费底表!K225,二三级标准!$B:$B,0))</f>
        <v>其他供应商日常沟通</v>
      </c>
      <c r="M225" s="328" t="s">
        <v>1326</v>
      </c>
      <c r="N225" s="328" t="str">
        <f>INDEX(二三级标准!$M:$M,MATCH(服务费底表!$M225,二三级标准!$L:$L,0))</f>
        <v>其他供应商日常沟通</v>
      </c>
      <c r="O225" s="328"/>
      <c r="P225" s="531">
        <f>IF(R225=1,INDEX(服务费明细!$E:$E,MATCH(服务费底表!$K225,服务费明细!$B:$B,0)),0)</f>
        <v>0</v>
      </c>
      <c r="Q225" s="328" t="s">
        <v>1220</v>
      </c>
      <c r="R225" s="520">
        <f>IF(AND(其他供应商日常沟通YN=1,项目管理YN=1),1,0)</f>
        <v>0</v>
      </c>
      <c r="S225" s="525" t="str">
        <f>INDEX('Rate Card'!$D:$D,MATCH(服务费底表!$T225,'Rate Card'!F:F,0))</f>
        <v>项目管理</v>
      </c>
      <c r="T225" s="328" t="s">
        <v>599</v>
      </c>
      <c r="U225" s="522" t="str">
        <f>INDEX('Rate Card'!$E:$E,MATCH(服务费底表!$T225,'Rate Card'!$F:$F,0))</f>
        <v>临床项目经理</v>
      </c>
      <c r="V225" s="331">
        <f>INDEX('Rate Card'!$J:$J,MATCH($T225,'Rate Card'!$F:$F,0))</f>
        <v>650</v>
      </c>
      <c r="W225" s="523">
        <f t="shared" si="202"/>
        <v>650</v>
      </c>
      <c r="X225" s="523">
        <f t="shared" si="203"/>
        <v>1</v>
      </c>
      <c r="Y225" s="327" cm="1">
        <f t="array" ref="Y225">_xlfn.IFS(报价场景=服务费底表!$AJ$2,服务费底表!$AJ225,报价场景=服务费底表!$AP$2,服务费底表!$AP225,报价场景=服务费底表!$AK$2,服务费底表!$AK225,报价场景=服务费底表!$AL$2,服务费底表!$AL225,报价场景=服务费底表!$AM$2,服务费底表!$AM225,报价场景=服务费底表!$AN$2,服务费底表!$AN225,报价场景=服务费底表!$AQ$2,服务费底表!$AQ225,报价场景=服务费底表!$AO$2,服务费底表!$AO225)</f>
        <v>1</v>
      </c>
      <c r="Z225" s="327"/>
      <c r="AA225" s="332">
        <f t="shared" si="210"/>
        <v>1</v>
      </c>
      <c r="AB225" s="333">
        <f t="shared" si="211"/>
        <v>0</v>
      </c>
      <c r="AC225" s="328">
        <f t="shared" si="212"/>
        <v>0</v>
      </c>
      <c r="AD225" s="334">
        <f t="shared" si="213"/>
        <v>0</v>
      </c>
      <c r="AE225" s="334">
        <f>$AB225*(1-INDEX(项目参数!$D$5:$D$14,MATCH(服务费底表!$S225,项目参数!$B$5:$B$14,0)))</f>
        <v>0</v>
      </c>
      <c r="AF225" s="334">
        <f>$AD225*INDEX(项目参数!$D$5:$D$14,MATCH(服务费底表!$S225,项目参数!$B$5:$B$14,0))</f>
        <v>0</v>
      </c>
      <c r="AG225" s="334">
        <f t="shared" si="214"/>
        <v>0</v>
      </c>
      <c r="AH225" s="328"/>
      <c r="AI225" s="328" t="s">
        <v>599</v>
      </c>
      <c r="AJ225" s="327">
        <v>1</v>
      </c>
      <c r="AK225" s="327">
        <f t="shared" si="204"/>
        <v>1.5</v>
      </c>
      <c r="AL225" s="327">
        <f>AJ225*0.7</f>
        <v>0.7</v>
      </c>
      <c r="AM225" s="327">
        <f>AJ225*0.7</f>
        <v>0.7</v>
      </c>
      <c r="AN225" s="327">
        <f t="shared" si="205"/>
        <v>1</v>
      </c>
      <c r="AO225" s="327">
        <f t="shared" si="206"/>
        <v>0.7</v>
      </c>
      <c r="AP225" s="327">
        <v>1</v>
      </c>
      <c r="AQ225" s="327">
        <f t="shared" si="207"/>
        <v>1.5</v>
      </c>
      <c r="AR225" s="338"/>
      <c r="AS225" s="328">
        <f t="shared" si="215"/>
        <v>0</v>
      </c>
      <c r="AT225" s="328">
        <f t="shared" si="216"/>
        <v>0</v>
      </c>
      <c r="AU225" s="523">
        <v>1</v>
      </c>
      <c r="AV225" s="328"/>
      <c r="AW225" s="328"/>
      <c r="AX225" s="332">
        <v>1</v>
      </c>
      <c r="AY225" s="328" t="b">
        <f t="shared" si="192"/>
        <v>1</v>
      </c>
      <c r="AZ225" s="328" t="b">
        <f t="shared" si="193"/>
        <v>1</v>
      </c>
    </row>
    <row r="226" ht="27" customHeight="1" spans="1:52">
      <c r="A226" s="326" t="str">
        <f>INDEX('Rate Card'!$A:$A,MATCH(服务费底表!$T226,'Rate Card'!$F:$F,0))</f>
        <v>临床运营</v>
      </c>
      <c r="B226" s="327" t="str">
        <f>INDEX(二三级标准!$G:$G,MATCH(服务费底表!$K226,二三级标准!B:B,0))</f>
        <v>次</v>
      </c>
      <c r="C226" s="327">
        <f>INDEX(服务费明细!$E:$E,MATCH(服务费底表!$K226,服务费明细!$B:$B,0))</f>
        <v>0</v>
      </c>
      <c r="D226" s="327" t="str">
        <f t="shared" si="208"/>
        <v>A245PM</v>
      </c>
      <c r="E226" s="327" t="str">
        <f t="shared" si="209"/>
        <v>T0705PM</v>
      </c>
      <c r="F226" s="328"/>
      <c r="G226" s="328" t="s">
        <v>684</v>
      </c>
      <c r="H226" s="326" t="str">
        <f>INDEX('Rate Card'!$B:$B,MATCH(服务费底表!$T226,'Rate Card'!$F:$F,0))</f>
        <v>临床运营</v>
      </c>
      <c r="I226" s="328" t="s">
        <v>921</v>
      </c>
      <c r="J226" s="328" t="str">
        <f>INDEX(二三级标准!$Q:$Q,MATCH(服务费底表!I226,二三级标准!$O:$O,0))</f>
        <v>项目管理</v>
      </c>
      <c r="K226" s="328" t="s">
        <v>1023</v>
      </c>
      <c r="L226" s="328" t="str">
        <f>INDEX(二三级标准!C:C,MATCH(服务费底表!K226,二三级标准!$B:$B,0))</f>
        <v>Leading Pl沟通会</v>
      </c>
      <c r="M226" s="328" t="s">
        <v>1327</v>
      </c>
      <c r="N226" s="328" t="str">
        <f>INDEX(二三级标准!$M:$M,MATCH(服务费底表!$M226,二三级标准!$L:$L,0))</f>
        <v>Leading Pl沟通会准备</v>
      </c>
      <c r="O226" s="328"/>
      <c r="P226" s="531">
        <f>IF(R226=1,INDEX(服务费明细!$E:$E,MATCH(服务费底表!$K226,服务费明细!$B:$B,0)),0)</f>
        <v>0</v>
      </c>
      <c r="Q226" s="328" t="s">
        <v>1178</v>
      </c>
      <c r="R226" s="520">
        <f>IF(AND(Leading_PI沟通会YN=1,项目管理YN=1),1,0)</f>
        <v>0</v>
      </c>
      <c r="S226" s="525" t="str">
        <f>INDEX('Rate Card'!$D:$D,MATCH(服务费底表!$T226,'Rate Card'!F:F,0))</f>
        <v>项目管理</v>
      </c>
      <c r="T226" s="328" t="s">
        <v>599</v>
      </c>
      <c r="U226" s="522" t="str">
        <f>INDEX('Rate Card'!$E:$E,MATCH(服务费底表!$T226,'Rate Card'!$F:$F,0))</f>
        <v>临床项目经理</v>
      </c>
      <c r="V226" s="331">
        <f>INDEX('Rate Card'!$J:$J,MATCH($T226,'Rate Card'!$F:$F,0))</f>
        <v>650</v>
      </c>
      <c r="W226" s="523">
        <f t="shared" si="202"/>
        <v>650</v>
      </c>
      <c r="X226" s="523">
        <f t="shared" si="203"/>
        <v>1</v>
      </c>
      <c r="Y226" s="327" cm="1">
        <f t="array" ref="Y226">_xlfn.IFS(报价场景=服务费底表!$AJ$2,服务费底表!$AJ226,报价场景=服务费底表!$AP$2,服务费底表!$AP226,报价场景=服务费底表!$AK$2,服务费底表!$AK226,报价场景=服务费底表!$AL$2,服务费底表!$AL226,报价场景=服务费底表!$AM$2,服务费底表!$AM226,报价场景=服务费底表!$AN$2,服务费底表!$AN226,报价场景=服务费底表!$AQ$2,服务费底表!$AQ226,报价场景=服务费底表!$AO$2,服务费底表!$AO226)</f>
        <v>1</v>
      </c>
      <c r="Z226" s="327"/>
      <c r="AA226" s="332">
        <f t="shared" si="210"/>
        <v>1</v>
      </c>
      <c r="AB226" s="333">
        <f t="shared" si="211"/>
        <v>0</v>
      </c>
      <c r="AC226" s="328">
        <f t="shared" si="212"/>
        <v>0</v>
      </c>
      <c r="AD226" s="334">
        <f t="shared" si="213"/>
        <v>0</v>
      </c>
      <c r="AE226" s="334">
        <f>$AB226*(1-INDEX(项目参数!$D$5:$D$14,MATCH(服务费底表!$S226,项目参数!$B$5:$B$14,0)))</f>
        <v>0</v>
      </c>
      <c r="AF226" s="334">
        <f>$AD226*INDEX(项目参数!$D$5:$D$14,MATCH(服务费底表!$S226,项目参数!$B$5:$B$14,0))</f>
        <v>0</v>
      </c>
      <c r="AG226" s="334">
        <f t="shared" si="214"/>
        <v>0</v>
      </c>
      <c r="AH226" s="328"/>
      <c r="AI226" s="328" t="s">
        <v>599</v>
      </c>
      <c r="AJ226" s="327">
        <v>1</v>
      </c>
      <c r="AK226" s="327">
        <f t="shared" si="204"/>
        <v>1.5</v>
      </c>
      <c r="AL226" s="327">
        <f>AM226</f>
        <v>0.8</v>
      </c>
      <c r="AM226" s="327">
        <v>0.8</v>
      </c>
      <c r="AN226" s="327">
        <f t="shared" si="205"/>
        <v>1</v>
      </c>
      <c r="AO226" s="327">
        <f t="shared" si="206"/>
        <v>0.8</v>
      </c>
      <c r="AP226" s="327">
        <v>1</v>
      </c>
      <c r="AQ226" s="327">
        <f t="shared" si="207"/>
        <v>1.5</v>
      </c>
      <c r="AR226" s="338"/>
      <c r="AS226" s="328">
        <f t="shared" si="215"/>
        <v>0</v>
      </c>
      <c r="AT226" s="328">
        <f t="shared" si="216"/>
        <v>0</v>
      </c>
      <c r="AU226" s="523">
        <v>1</v>
      </c>
      <c r="AV226" s="328"/>
      <c r="AW226" s="328"/>
      <c r="AX226" s="332">
        <v>1</v>
      </c>
      <c r="AY226" s="328" t="b">
        <f t="shared" si="192"/>
        <v>1</v>
      </c>
      <c r="AZ226" s="328" t="b">
        <f t="shared" si="193"/>
        <v>0</v>
      </c>
    </row>
    <row r="227" ht="27" customHeight="1" spans="1:52">
      <c r="A227" s="326" t="str">
        <f>INDEX('Rate Card'!$A:$A,MATCH(服务费底表!$T227,'Rate Card'!$F:$F,0))</f>
        <v>临床运营</v>
      </c>
      <c r="B227" s="327" t="str">
        <f>INDEX(二三级标准!$G:$G,MATCH(服务费底表!$K227,二三级标准!B:B,0))</f>
        <v>次</v>
      </c>
      <c r="C227" s="327">
        <f>INDEX(服务费明细!$E:$E,MATCH(服务费底表!$K227,服务费明细!$B:$B,0))</f>
        <v>0</v>
      </c>
      <c r="D227" s="327" t="str">
        <f t="shared" si="208"/>
        <v>A245PM</v>
      </c>
      <c r="E227" s="327" t="str">
        <f t="shared" si="209"/>
        <v>T0706PM</v>
      </c>
      <c r="F227" s="328"/>
      <c r="G227" s="328" t="s">
        <v>684</v>
      </c>
      <c r="H227" s="326" t="str">
        <f>INDEX('Rate Card'!$B:$B,MATCH(服务费底表!$T227,'Rate Card'!$F:$F,0))</f>
        <v>临床运营</v>
      </c>
      <c r="I227" s="328" t="s">
        <v>921</v>
      </c>
      <c r="J227" s="328" t="str">
        <f>INDEX(二三级标准!$Q:$Q,MATCH(服务费底表!I227,二三级标准!$O:$O,0))</f>
        <v>项目管理</v>
      </c>
      <c r="K227" s="328" t="s">
        <v>1023</v>
      </c>
      <c r="L227" s="328" t="str">
        <f>INDEX(二三级标准!C:C,MATCH(服务费底表!K227,二三级标准!$B:$B,0))</f>
        <v>Leading Pl沟通会</v>
      </c>
      <c r="M227" s="328" t="s">
        <v>1328</v>
      </c>
      <c r="N227" s="328" t="str">
        <f>INDEX(二三级标准!$M:$M,MATCH(服务费底表!$M227,二三级标准!$L:$L,0))</f>
        <v>Leading Pl沟通会参加</v>
      </c>
      <c r="O227" s="328"/>
      <c r="P227" s="531">
        <f>IF(R227=1,INDEX(服务费明细!$E:$E,MATCH(服务费底表!$K227,服务费明细!$B:$B,0)),0)</f>
        <v>0</v>
      </c>
      <c r="Q227" s="328" t="s">
        <v>1178</v>
      </c>
      <c r="R227" s="520">
        <f>IF(AND(Leading_PI沟通会YN=1,项目管理YN=1),1,0)</f>
        <v>0</v>
      </c>
      <c r="S227" s="525" t="str">
        <f>INDEX('Rate Card'!$D:$D,MATCH(服务费底表!$T227,'Rate Card'!F:F,0))</f>
        <v>项目管理</v>
      </c>
      <c r="T227" s="328" t="s">
        <v>599</v>
      </c>
      <c r="U227" s="522" t="str">
        <f>INDEX('Rate Card'!$E:$E,MATCH(服务费底表!$T227,'Rate Card'!$F:$F,0))</f>
        <v>临床项目经理</v>
      </c>
      <c r="V227" s="331">
        <f>INDEX('Rate Card'!$J:$J,MATCH($T227,'Rate Card'!$F:$F,0))</f>
        <v>650</v>
      </c>
      <c r="W227" s="523">
        <f t="shared" si="202"/>
        <v>650</v>
      </c>
      <c r="X227" s="523">
        <f t="shared" si="203"/>
        <v>1</v>
      </c>
      <c r="Y227" s="327" cm="1">
        <f t="array" ref="Y227">_xlfn.IFS(报价场景=服务费底表!$AJ$2,服务费底表!$AJ227,报价场景=服务费底表!$AP$2,服务费底表!$AP227,报价场景=服务费底表!$AK$2,服务费底表!$AK227,报价场景=服务费底表!$AL$2,服务费底表!$AL227,报价场景=服务费底表!$AM$2,服务费底表!$AM227,报价场景=服务费底表!$AN$2,服务费底表!$AN227,报价场景=服务费底表!$AQ$2,服务费底表!$AQ227,报价场景=服务费底表!$AO$2,服务费底表!$AO227)</f>
        <v>1</v>
      </c>
      <c r="Z227" s="327"/>
      <c r="AA227" s="332">
        <f t="shared" si="210"/>
        <v>1</v>
      </c>
      <c r="AB227" s="333">
        <f t="shared" si="211"/>
        <v>0</v>
      </c>
      <c r="AC227" s="328">
        <f t="shared" si="212"/>
        <v>0</v>
      </c>
      <c r="AD227" s="334">
        <f t="shared" si="213"/>
        <v>0</v>
      </c>
      <c r="AE227" s="334">
        <f>$AB227*(1-INDEX(项目参数!$D$5:$D$14,MATCH(服务费底表!$S227,项目参数!$B$5:$B$14,0)))</f>
        <v>0</v>
      </c>
      <c r="AF227" s="334">
        <f>$AD227*INDEX(项目参数!$D$5:$D$14,MATCH(服务费底表!$S227,项目参数!$B$5:$B$14,0))</f>
        <v>0</v>
      </c>
      <c r="AG227" s="334">
        <f t="shared" si="214"/>
        <v>0</v>
      </c>
      <c r="AH227" s="328"/>
      <c r="AI227" s="328" t="s">
        <v>599</v>
      </c>
      <c r="AJ227" s="327">
        <v>1</v>
      </c>
      <c r="AK227" s="327">
        <v>1</v>
      </c>
      <c r="AL227" s="327">
        <v>1</v>
      </c>
      <c r="AM227" s="327">
        <v>1</v>
      </c>
      <c r="AN227" s="327">
        <f t="shared" si="205"/>
        <v>1</v>
      </c>
      <c r="AO227" s="327">
        <f t="shared" si="206"/>
        <v>1</v>
      </c>
      <c r="AP227" s="327">
        <v>1</v>
      </c>
      <c r="AQ227" s="327">
        <f t="shared" si="207"/>
        <v>1.5</v>
      </c>
      <c r="AR227" s="338"/>
      <c r="AS227" s="328">
        <f t="shared" si="215"/>
        <v>0</v>
      </c>
      <c r="AT227" s="328">
        <f t="shared" si="216"/>
        <v>0</v>
      </c>
      <c r="AU227" s="523">
        <v>1</v>
      </c>
      <c r="AV227" s="328"/>
      <c r="AW227" s="328"/>
      <c r="AX227" s="332">
        <v>1</v>
      </c>
      <c r="AY227" s="328" t="b">
        <f t="shared" si="192"/>
        <v>1</v>
      </c>
      <c r="AZ227" s="328" t="b">
        <f t="shared" si="193"/>
        <v>0</v>
      </c>
    </row>
    <row r="228" ht="27" customHeight="1" spans="1:52">
      <c r="A228" s="326" t="str">
        <f>INDEX('Rate Card'!$A:$A,MATCH(服务费底表!$T228,'Rate Card'!$F:$F,0))</f>
        <v>临床运营</v>
      </c>
      <c r="B228" s="327" t="str">
        <f>INDEX(二三级标准!$G:$G,MATCH(服务费底表!$K228,二三级标准!B:B,0))</f>
        <v>次</v>
      </c>
      <c r="C228" s="327">
        <f>INDEX(服务费明细!$E:$E,MATCH(服务费底表!$K228,服务费明细!$B:$B,0))</f>
        <v>0</v>
      </c>
      <c r="D228" s="327" t="str">
        <f t="shared" si="208"/>
        <v>A245PMD</v>
      </c>
      <c r="E228" s="327" t="str">
        <f t="shared" si="209"/>
        <v>T0706PMD</v>
      </c>
      <c r="F228" s="328"/>
      <c r="G228" s="328" t="s">
        <v>684</v>
      </c>
      <c r="H228" s="326" t="str">
        <f>INDEX('Rate Card'!$B:$B,MATCH(服务费底表!$T228,'Rate Card'!$F:$F,0))</f>
        <v>临床运营</v>
      </c>
      <c r="I228" s="328" t="s">
        <v>921</v>
      </c>
      <c r="J228" s="328" t="str">
        <f>INDEX(二三级标准!$Q:$Q,MATCH(服务费底表!I228,二三级标准!$O:$O,0))</f>
        <v>项目管理</v>
      </c>
      <c r="K228" s="328" t="s">
        <v>1023</v>
      </c>
      <c r="L228" s="328" t="str">
        <f>INDEX(二三级标准!C:C,MATCH(服务费底表!K228,二三级标准!$B:$B,0))</f>
        <v>Leading Pl沟通会</v>
      </c>
      <c r="M228" s="328" t="s">
        <v>1328</v>
      </c>
      <c r="N228" s="328" t="str">
        <f>INDEX(二三级标准!$M:$M,MATCH(服务费底表!$M228,二三级标准!$L:$L,0))</f>
        <v>Leading Pl沟通会参加</v>
      </c>
      <c r="O228" s="328"/>
      <c r="P228" s="531">
        <f>IF(R228=1,INDEX(服务费明细!$E:$E,MATCH(服务费底表!$K228,服务费明细!$B:$B,0)),0)</f>
        <v>0</v>
      </c>
      <c r="Q228" s="328" t="s">
        <v>1178</v>
      </c>
      <c r="R228" s="520">
        <f>IF(AND(Leading_PI沟通会YN=1,项目管理YN=1),1,0)</f>
        <v>0</v>
      </c>
      <c r="S228" s="525" t="str">
        <f>INDEX('Rate Card'!$D:$D,MATCH(服务费底表!$T228,'Rate Card'!F:F,0))</f>
        <v>项目管理</v>
      </c>
      <c r="T228" s="328" t="s">
        <v>601</v>
      </c>
      <c r="U228" s="522" t="str">
        <f>INDEX('Rate Card'!$E:$E,MATCH(服务费底表!$T228,'Rate Card'!$F:$F,0))</f>
        <v>临床项目总监</v>
      </c>
      <c r="V228" s="331">
        <f>INDEX('Rate Card'!$J:$J,MATCH($T228,'Rate Card'!$F:$F,0))</f>
        <v>800</v>
      </c>
      <c r="W228" s="523">
        <f t="shared" si="202"/>
        <v>800</v>
      </c>
      <c r="X228" s="523">
        <f t="shared" si="203"/>
        <v>1</v>
      </c>
      <c r="Y228" s="327" cm="1">
        <f t="array" ref="Y228">_xlfn.IFS(报价场景=服务费底表!$AJ$2,服务费底表!$AJ228,报价场景=服务费底表!$AP$2,服务费底表!$AP228,报价场景=服务费底表!$AK$2,服务费底表!$AK228,报价场景=服务费底表!$AL$2,服务费底表!$AL228,报价场景=服务费底表!$AM$2,服务费底表!$AM228,报价场景=服务费底表!$AN$2,服务费底表!$AN228,报价场景=服务费底表!$AQ$2,服务费底表!$AQ228,报价场景=服务费底表!$AO$2,服务费底表!$AO228)</f>
        <v>1</v>
      </c>
      <c r="Z228" s="327"/>
      <c r="AA228" s="332">
        <f t="shared" si="210"/>
        <v>1</v>
      </c>
      <c r="AB228" s="333">
        <f t="shared" si="211"/>
        <v>0</v>
      </c>
      <c r="AC228" s="328">
        <f t="shared" si="212"/>
        <v>0</v>
      </c>
      <c r="AD228" s="334">
        <f t="shared" si="213"/>
        <v>0</v>
      </c>
      <c r="AE228" s="334">
        <f>$AB228*(1-INDEX(项目参数!$D$5:$D$14,MATCH(服务费底表!$S228,项目参数!$B$5:$B$14,0)))</f>
        <v>0</v>
      </c>
      <c r="AF228" s="334">
        <f>$AD228*INDEX(项目参数!$D$5:$D$14,MATCH(服务费底表!$S228,项目参数!$B$5:$B$14,0))</f>
        <v>0</v>
      </c>
      <c r="AG228" s="334">
        <f t="shared" si="214"/>
        <v>0</v>
      </c>
      <c r="AH228" s="328"/>
      <c r="AI228" s="328" t="s">
        <v>601</v>
      </c>
      <c r="AJ228" s="327">
        <v>1</v>
      </c>
      <c r="AK228" s="327">
        <v>1</v>
      </c>
      <c r="AL228" s="327">
        <v>1</v>
      </c>
      <c r="AM228" s="327">
        <v>1</v>
      </c>
      <c r="AN228" s="327">
        <f t="shared" si="205"/>
        <v>1</v>
      </c>
      <c r="AO228" s="327">
        <f t="shared" si="206"/>
        <v>1</v>
      </c>
      <c r="AP228" s="327">
        <v>1</v>
      </c>
      <c r="AQ228" s="327">
        <f t="shared" si="207"/>
        <v>1.5</v>
      </c>
      <c r="AR228" s="338"/>
      <c r="AS228" s="328">
        <f t="shared" si="215"/>
        <v>0</v>
      </c>
      <c r="AT228" s="328">
        <f t="shared" si="216"/>
        <v>0</v>
      </c>
      <c r="AU228" s="523">
        <v>1</v>
      </c>
      <c r="AV228" s="328"/>
      <c r="AW228" s="328"/>
      <c r="AX228" s="332">
        <v>1</v>
      </c>
      <c r="AY228" s="328" t="b">
        <f t="shared" si="192"/>
        <v>1</v>
      </c>
      <c r="AZ228" s="328" t="b">
        <f t="shared" si="193"/>
        <v>0</v>
      </c>
    </row>
    <row r="229" ht="27" customHeight="1" spans="1:52">
      <c r="A229" s="326" t="str">
        <f>INDEX('Rate Card'!$A:$A,MATCH(服务费底表!$T229,'Rate Card'!$F:$F,0))</f>
        <v>临床运营</v>
      </c>
      <c r="B229" s="327" t="str">
        <f>INDEX(二三级标准!$G:$G,MATCH(服务费底表!$K229,二三级标准!B:B,0))</f>
        <v>次</v>
      </c>
      <c r="C229" s="327">
        <f>INDEX(服务费明细!$E:$E,MATCH(服务费底表!$K229,服务费明细!$B:$B,0))</f>
        <v>0</v>
      </c>
      <c r="D229" s="327" t="str">
        <f t="shared" si="208"/>
        <v>A245CRA</v>
      </c>
      <c r="E229" s="327" t="str">
        <f t="shared" si="209"/>
        <v>T0706CRA</v>
      </c>
      <c r="F229" s="328"/>
      <c r="G229" s="328" t="s">
        <v>684</v>
      </c>
      <c r="H229" s="326" t="str">
        <f>INDEX('Rate Card'!$B:$B,MATCH(服务费底表!$T229,'Rate Card'!$F:$F,0))</f>
        <v>临床运营</v>
      </c>
      <c r="I229" s="328" t="s">
        <v>921</v>
      </c>
      <c r="J229" s="328" t="str">
        <f>INDEX(二三级标准!$Q:$Q,MATCH(服务费底表!I229,二三级标准!$O:$O,0))</f>
        <v>项目管理</v>
      </c>
      <c r="K229" s="328" t="s">
        <v>1023</v>
      </c>
      <c r="L229" s="328" t="str">
        <f>INDEX(二三级标准!C:C,MATCH(服务费底表!K229,二三级标准!$B:$B,0))</f>
        <v>Leading Pl沟通会</v>
      </c>
      <c r="M229" s="328" t="s">
        <v>1328</v>
      </c>
      <c r="N229" s="328" t="str">
        <f>INDEX(二三级标准!$M:$M,MATCH(服务费底表!$M229,二三级标准!$L:$L,0))</f>
        <v>Leading Pl沟通会参加</v>
      </c>
      <c r="O229" s="328"/>
      <c r="P229" s="531">
        <f>IF(R229=1,INDEX(服务费明细!$E:$E,MATCH(服务费底表!$K229,服务费明细!$B:$B,0)),0)</f>
        <v>0</v>
      </c>
      <c r="Q229" s="328" t="s">
        <v>1178</v>
      </c>
      <c r="R229" s="520">
        <f>IF(AND(Leading_PI沟通会YN=1,临床监查YN=1),1,0)</f>
        <v>0</v>
      </c>
      <c r="S229" s="525" t="str">
        <f>INDEX('Rate Card'!$D:$D,MATCH(服务费底表!$T229,'Rate Card'!F:F,0))</f>
        <v>临床监查</v>
      </c>
      <c r="T229" s="328" t="s">
        <v>595</v>
      </c>
      <c r="U229" s="522" t="str">
        <f>INDEX('Rate Card'!$E:$E,MATCH(服务费底表!$T229,'Rate Card'!$F:$F,0))</f>
        <v>临床监查员</v>
      </c>
      <c r="V229" s="331">
        <f>INDEX('Rate Card'!$J:$J,MATCH($T229,'Rate Card'!$F:$F,0))</f>
        <v>340</v>
      </c>
      <c r="W229" s="523">
        <f t="shared" si="202"/>
        <v>340</v>
      </c>
      <c r="X229" s="523">
        <f t="shared" si="203"/>
        <v>1</v>
      </c>
      <c r="Y229" s="327" cm="1">
        <f t="array" ref="Y229">_xlfn.IFS(报价场景=服务费底表!$AJ$2,服务费底表!$AJ229,报价场景=服务费底表!$AP$2,服务费底表!$AP229,报价场景=服务费底表!$AK$2,服务费底表!$AK229,报价场景=服务费底表!$AL$2,服务费底表!$AL229,报价场景=服务费底表!$AM$2,服务费底表!$AM229,报价场景=服务费底表!$AN$2,服务费底表!$AN229,报价场景=服务费底表!$AQ$2,服务费底表!$AQ229,报价场景=服务费底表!$AO$2,服务费底表!$AO229)</f>
        <v>1</v>
      </c>
      <c r="Z229" s="327"/>
      <c r="AA229" s="332">
        <f t="shared" si="210"/>
        <v>1</v>
      </c>
      <c r="AB229" s="333">
        <f t="shared" si="211"/>
        <v>0</v>
      </c>
      <c r="AC229" s="328">
        <f t="shared" si="212"/>
        <v>0</v>
      </c>
      <c r="AD229" s="334">
        <f t="shared" si="213"/>
        <v>0</v>
      </c>
      <c r="AE229" s="334">
        <f>$AB229*(1-INDEX(项目参数!$D$5:$D$14,MATCH(服务费底表!$S229,项目参数!$B$5:$B$14,0)))</f>
        <v>0</v>
      </c>
      <c r="AF229" s="334">
        <f>$AD229*INDEX(项目参数!$D$5:$D$14,MATCH(服务费底表!$S229,项目参数!$B$5:$B$14,0))</f>
        <v>0</v>
      </c>
      <c r="AG229" s="334">
        <f t="shared" si="214"/>
        <v>0</v>
      </c>
      <c r="AH229" s="328"/>
      <c r="AI229" s="328" t="s">
        <v>595</v>
      </c>
      <c r="AJ229" s="327">
        <v>1</v>
      </c>
      <c r="AK229" s="327">
        <v>1</v>
      </c>
      <c r="AL229" s="327">
        <v>1</v>
      </c>
      <c r="AM229" s="327">
        <v>1</v>
      </c>
      <c r="AN229" s="327">
        <f t="shared" si="205"/>
        <v>1</v>
      </c>
      <c r="AO229" s="327">
        <f t="shared" si="206"/>
        <v>1</v>
      </c>
      <c r="AP229" s="327">
        <v>1</v>
      </c>
      <c r="AQ229" s="327">
        <f t="shared" si="207"/>
        <v>1.5</v>
      </c>
      <c r="AR229" s="338"/>
      <c r="AS229" s="328">
        <f t="shared" si="215"/>
        <v>0</v>
      </c>
      <c r="AT229" s="328">
        <f t="shared" si="216"/>
        <v>0</v>
      </c>
      <c r="AU229" s="523">
        <v>1</v>
      </c>
      <c r="AV229" s="328"/>
      <c r="AW229" s="328"/>
      <c r="AX229" s="332">
        <v>1</v>
      </c>
      <c r="AY229" s="328" t="b">
        <f t="shared" si="192"/>
        <v>1</v>
      </c>
      <c r="AZ229" s="328" t="b">
        <f t="shared" si="193"/>
        <v>0</v>
      </c>
    </row>
    <row r="230" ht="27" customHeight="1" spans="1:52">
      <c r="A230" s="326" t="str">
        <f>INDEX('Rate Card'!$A:$A,MATCH(服务费底表!$T230,'Rate Card'!$F:$F,0))</f>
        <v>临床运营</v>
      </c>
      <c r="B230" s="327" t="str">
        <f>INDEX(二三级标准!$G:$G,MATCH(服务费底表!$K230,二三级标准!B:B,0))</f>
        <v>次</v>
      </c>
      <c r="C230" s="327">
        <f>INDEX(服务费明细!$E:$E,MATCH(服务费底表!$K230,服务费明细!$B:$B,0))</f>
        <v>0</v>
      </c>
      <c r="D230" s="327" t="str">
        <f t="shared" si="208"/>
        <v>A245CTA</v>
      </c>
      <c r="E230" s="327" t="str">
        <f t="shared" si="209"/>
        <v>T0706CTA</v>
      </c>
      <c r="F230" s="328"/>
      <c r="G230" s="328" t="s">
        <v>684</v>
      </c>
      <c r="H230" s="326" t="str">
        <f>INDEX('Rate Card'!$B:$B,MATCH(服务费底表!$T230,'Rate Card'!$F:$F,0))</f>
        <v>临床运营</v>
      </c>
      <c r="I230" s="328" t="s">
        <v>921</v>
      </c>
      <c r="J230" s="328" t="str">
        <f>INDEX(二三级标准!$Q:$Q,MATCH(服务费底表!I230,二三级标准!$O:$O,0))</f>
        <v>项目管理</v>
      </c>
      <c r="K230" s="328" t="s">
        <v>1023</v>
      </c>
      <c r="L230" s="328" t="str">
        <f>INDEX(二三级标准!C:C,MATCH(服务费底表!K230,二三级标准!$B:$B,0))</f>
        <v>Leading Pl沟通会</v>
      </c>
      <c r="M230" s="328" t="s">
        <v>1328</v>
      </c>
      <c r="N230" s="328" t="str">
        <f>INDEX(二三级标准!$M:$M,MATCH(服务费底表!$M230,二三级标准!$L:$L,0))</f>
        <v>Leading Pl沟通会参加</v>
      </c>
      <c r="O230" s="328"/>
      <c r="P230" s="531">
        <f>IF(R230=1,INDEX(服务费明细!$E:$E,MATCH(服务费底表!$K230,服务费明细!$B:$B,0)),0)</f>
        <v>0</v>
      </c>
      <c r="Q230" s="328" t="s">
        <v>1178</v>
      </c>
      <c r="R230" s="520">
        <f>IF(AND(Leading_PI沟通会YN=1,临床监查YN=1),1,0)</f>
        <v>0</v>
      </c>
      <c r="S230" s="525" t="str">
        <f>INDEX('Rate Card'!$D:$D,MATCH(服务费底表!$T230,'Rate Card'!F:F,0))</f>
        <v>临床监查</v>
      </c>
      <c r="T230" s="328" t="s">
        <v>597</v>
      </c>
      <c r="U230" s="522" t="str">
        <f>INDEX('Rate Card'!$E:$E,MATCH(服务费底表!$T230,'Rate Card'!$F:$F,0))</f>
        <v>临床试验助理</v>
      </c>
      <c r="V230" s="331">
        <f>INDEX('Rate Card'!$J:$J,MATCH($T230,'Rate Card'!$F:$F,0))</f>
        <v>220</v>
      </c>
      <c r="W230" s="523">
        <f t="shared" si="202"/>
        <v>220</v>
      </c>
      <c r="X230" s="523">
        <f t="shared" si="203"/>
        <v>1</v>
      </c>
      <c r="Y230" s="327" cm="1">
        <f t="array" ref="Y230">_xlfn.IFS(报价场景=服务费底表!$AJ$2,服务费底表!$AJ230,报价场景=服务费底表!$AP$2,服务费底表!$AP230,报价场景=服务费底表!$AK$2,服务费底表!$AK230,报价场景=服务费底表!$AL$2,服务费底表!$AL230,报价场景=服务费底表!$AM$2,服务费底表!$AM230,报价场景=服务费底表!$AN$2,服务费底表!$AN230,报价场景=服务费底表!$AQ$2,服务费底表!$AQ230,报价场景=服务费底表!$AO$2,服务费底表!$AO230)</f>
        <v>1</v>
      </c>
      <c r="Z230" s="327"/>
      <c r="AA230" s="332">
        <f t="shared" si="210"/>
        <v>1</v>
      </c>
      <c r="AB230" s="333">
        <f t="shared" si="211"/>
        <v>0</v>
      </c>
      <c r="AC230" s="328">
        <f t="shared" si="212"/>
        <v>0</v>
      </c>
      <c r="AD230" s="334">
        <f t="shared" si="213"/>
        <v>0</v>
      </c>
      <c r="AE230" s="334">
        <f>$AB230*(1-INDEX(项目参数!$D$5:$D$14,MATCH(服务费底表!$S230,项目参数!$B$5:$B$14,0)))</f>
        <v>0</v>
      </c>
      <c r="AF230" s="334">
        <f>$AD230*INDEX(项目参数!$D$5:$D$14,MATCH(服务费底表!$S230,项目参数!$B$5:$B$14,0))</f>
        <v>0</v>
      </c>
      <c r="AG230" s="334">
        <f t="shared" si="214"/>
        <v>0</v>
      </c>
      <c r="AH230" s="328"/>
      <c r="AI230" s="328" t="s">
        <v>597</v>
      </c>
      <c r="AJ230" s="327">
        <v>1</v>
      </c>
      <c r="AK230" s="327">
        <v>1</v>
      </c>
      <c r="AL230" s="327">
        <v>1</v>
      </c>
      <c r="AM230" s="327">
        <v>1</v>
      </c>
      <c r="AN230" s="327">
        <f t="shared" si="205"/>
        <v>1</v>
      </c>
      <c r="AO230" s="327">
        <f t="shared" si="206"/>
        <v>1</v>
      </c>
      <c r="AP230" s="327">
        <v>1</v>
      </c>
      <c r="AQ230" s="327">
        <f t="shared" si="207"/>
        <v>1.5</v>
      </c>
      <c r="AR230" s="338"/>
      <c r="AS230" s="328">
        <f t="shared" si="215"/>
        <v>0</v>
      </c>
      <c r="AT230" s="328">
        <f t="shared" si="216"/>
        <v>0</v>
      </c>
      <c r="AU230" s="523">
        <v>1</v>
      </c>
      <c r="AV230" s="328"/>
      <c r="AW230" s="328"/>
      <c r="AX230" s="332">
        <v>1</v>
      </c>
      <c r="AY230" s="328" t="b">
        <f t="shared" si="192"/>
        <v>1</v>
      </c>
      <c r="AZ230" s="328" t="b">
        <f t="shared" si="193"/>
        <v>0</v>
      </c>
    </row>
    <row r="231" ht="27" customHeight="1" spans="1:52">
      <c r="A231" s="326" t="str">
        <f>INDEX('Rate Card'!$A:$A,MATCH(服务费底表!$T231,'Rate Card'!$F:$F,0))</f>
        <v>临床运营</v>
      </c>
      <c r="B231" s="327" t="str">
        <f>INDEX(二三级标准!$G:$G,MATCH(服务费底表!$K231,二三级标准!B:B,0))</f>
        <v>次</v>
      </c>
      <c r="C231" s="327">
        <f>INDEX(服务费明细!$E:$E,MATCH(服务费底表!$K231,服务费明细!$B:$B,0))</f>
        <v>23</v>
      </c>
      <c r="D231" s="327" t="str">
        <f t="shared" si="208"/>
        <v>A066PM</v>
      </c>
      <c r="E231" s="327" t="str">
        <f t="shared" si="209"/>
        <v>T0157PM</v>
      </c>
      <c r="F231" s="328"/>
      <c r="G231" s="328" t="s">
        <v>684</v>
      </c>
      <c r="H231" s="326" t="str">
        <f>INDEX('Rate Card'!$B:$B,MATCH(服务费底表!$T231,'Rate Card'!$F:$F,0))</f>
        <v>临床运营</v>
      </c>
      <c r="I231" s="328" t="s">
        <v>921</v>
      </c>
      <c r="J231" s="328" t="str">
        <f>INDEX(二三级标准!$Q:$Q,MATCH(服务费底表!I231,二三级标准!$O:$O,0))</f>
        <v>项目管理</v>
      </c>
      <c r="K231" s="328" t="s">
        <v>237</v>
      </c>
      <c r="L231" s="328" t="str">
        <f>INDEX(二三级标准!C:C,MATCH(服务费底表!K231,二三级标准!$B:$B,0))</f>
        <v>召开客户电话会</v>
      </c>
      <c r="M231" s="328" t="s">
        <v>1329</v>
      </c>
      <c r="N231" s="328" t="str">
        <f>INDEX(二三级标准!$M:$M,MATCH(服务费底表!$M231,二三级标准!$L:$L,0))</f>
        <v>准备客户电话会</v>
      </c>
      <c r="O231" s="328"/>
      <c r="P231" s="531">
        <f>IF(R231=1,INDEX(服务费明细!$E:$E,MATCH(服务费底表!$K231,服务费明细!$B:$B,0)),0)</f>
        <v>23</v>
      </c>
      <c r="Q231" s="328" t="s">
        <v>1178</v>
      </c>
      <c r="R231" s="520">
        <f>IF(AND(召开客户电话会YN=1,项目管理YN=1),1,0)</f>
        <v>1</v>
      </c>
      <c r="S231" s="525" t="str">
        <f>INDEX('Rate Card'!$D:$D,MATCH(服务费底表!$T231,'Rate Card'!F:F,0))</f>
        <v>项目管理</v>
      </c>
      <c r="T231" s="328" t="s">
        <v>599</v>
      </c>
      <c r="U231" s="522" t="str">
        <f>INDEX('Rate Card'!$E:$E,MATCH(服务费底表!$T231,'Rate Card'!$F:$F,0))</f>
        <v>临床项目经理</v>
      </c>
      <c r="V231" s="331">
        <f>INDEX('Rate Card'!$J:$J,MATCH($T231,'Rate Card'!$F:$F,0))</f>
        <v>650</v>
      </c>
      <c r="W231" s="523">
        <f t="shared" si="202"/>
        <v>650</v>
      </c>
      <c r="X231" s="523">
        <f t="shared" si="203"/>
        <v>1</v>
      </c>
      <c r="Y231" s="327" cm="1">
        <f t="array" ref="Y231">_xlfn.IFS(报价场景=服务费底表!$AJ$2,服务费底表!$AJ231,报价场景=服务费底表!$AP$2,服务费底表!$AP231,报价场景=服务费底表!$AK$2,服务费底表!$AK231,报价场景=服务费底表!$AL$2,服务费底表!$AL231,报价场景=服务费底表!$AM$2,服务费底表!$AM231,报价场景=服务费底表!$AN$2,服务费底表!$AN231,报价场景=服务费底表!$AQ$2,服务费底表!$AQ231,报价场景=服务费底表!$AO$2,服务费底表!$AO231)</f>
        <v>1</v>
      </c>
      <c r="Z231" s="327"/>
      <c r="AA231" s="332">
        <f t="shared" si="210"/>
        <v>1</v>
      </c>
      <c r="AB231" s="333">
        <f t="shared" si="211"/>
        <v>650</v>
      </c>
      <c r="AC231" s="328">
        <f t="shared" si="212"/>
        <v>23</v>
      </c>
      <c r="AD231" s="334">
        <f t="shared" si="213"/>
        <v>14950</v>
      </c>
      <c r="AE231" s="334">
        <f>$AB231*(1-INDEX(项目参数!$D$5:$D$14,MATCH(服务费底表!$S231,项目参数!$B$5:$B$14,0)))</f>
        <v>650</v>
      </c>
      <c r="AF231" s="334">
        <f>$AD231*INDEX(项目参数!$D$5:$D$14,MATCH(服务费底表!$S231,项目参数!$B$5:$B$14,0))</f>
        <v>0</v>
      </c>
      <c r="AG231" s="334">
        <f t="shared" si="214"/>
        <v>14950</v>
      </c>
      <c r="AH231" s="328"/>
      <c r="AI231" s="328" t="s">
        <v>599</v>
      </c>
      <c r="AJ231" s="327">
        <v>1</v>
      </c>
      <c r="AK231" s="327">
        <f t="shared" si="204"/>
        <v>1.5</v>
      </c>
      <c r="AL231" s="327">
        <f>AM231</f>
        <v>0.8</v>
      </c>
      <c r="AM231" s="327">
        <v>0.8</v>
      </c>
      <c r="AN231" s="327">
        <f t="shared" si="205"/>
        <v>1</v>
      </c>
      <c r="AO231" s="327">
        <f t="shared" si="206"/>
        <v>0.8</v>
      </c>
      <c r="AP231" s="327">
        <v>1</v>
      </c>
      <c r="AQ231" s="327">
        <f t="shared" si="207"/>
        <v>1.5</v>
      </c>
      <c r="AR231" s="338"/>
      <c r="AS231" s="328">
        <f t="shared" ref="AS231:AS238" si="217">AC231</f>
        <v>23</v>
      </c>
      <c r="AT231" s="328">
        <f t="shared" ref="AT231:AT238" si="218">Y231*P231</f>
        <v>23</v>
      </c>
      <c r="AU231" s="523">
        <v>1</v>
      </c>
      <c r="AV231" s="328"/>
      <c r="AW231" s="328"/>
      <c r="AX231" s="332">
        <v>1</v>
      </c>
      <c r="AY231" s="328" t="b">
        <f t="shared" si="192"/>
        <v>1</v>
      </c>
      <c r="AZ231" s="328" t="b">
        <f t="shared" si="193"/>
        <v>1</v>
      </c>
    </row>
    <row r="232" ht="27" customHeight="1" spans="1:52">
      <c r="A232" s="326" t="str">
        <f>INDEX('Rate Card'!$A:$A,MATCH(服务费底表!$T232,'Rate Card'!$F:$F,0))</f>
        <v>临床运营</v>
      </c>
      <c r="B232" s="327" t="str">
        <f>INDEX(二三级标准!$G:$G,MATCH(服务费底表!$K232,二三级标准!B:B,0))</f>
        <v>次</v>
      </c>
      <c r="C232" s="327">
        <f>INDEX(服务费明细!$E:$E,MATCH(服务费底表!$K232,服务费明细!$B:$B,0))</f>
        <v>23</v>
      </c>
      <c r="D232" s="327" t="str">
        <f t="shared" si="208"/>
        <v>A066PM</v>
      </c>
      <c r="E232" s="327" t="str">
        <f t="shared" si="209"/>
        <v>T0158PM</v>
      </c>
      <c r="F232" s="328"/>
      <c r="G232" s="328" t="s">
        <v>684</v>
      </c>
      <c r="H232" s="326" t="str">
        <f>INDEX('Rate Card'!$B:$B,MATCH(服务费底表!$T232,'Rate Card'!$F:$F,0))</f>
        <v>临床运营</v>
      </c>
      <c r="I232" s="328" t="s">
        <v>921</v>
      </c>
      <c r="J232" s="328" t="str">
        <f>INDEX(二三级标准!$Q:$Q,MATCH(服务费底表!I232,二三级标准!$O:$O,0))</f>
        <v>项目管理</v>
      </c>
      <c r="K232" s="328" t="s">
        <v>237</v>
      </c>
      <c r="L232" s="328" t="str">
        <f>INDEX(二三级标准!C:C,MATCH(服务费底表!K232,二三级标准!$B:$B,0))</f>
        <v>召开客户电话会</v>
      </c>
      <c r="M232" s="328" t="s">
        <v>1330</v>
      </c>
      <c r="N232" s="328" t="str">
        <f>INDEX(二三级标准!$M:$M,MATCH(服务费底表!$M232,二三级标准!$L:$L,0))</f>
        <v>参加客户电话会</v>
      </c>
      <c r="O232" s="328"/>
      <c r="P232" s="531">
        <f>IF(R232=1,INDEX(服务费明细!$E:$E,MATCH(服务费底表!$K232,服务费明细!$B:$B,0)),0)</f>
        <v>23</v>
      </c>
      <c r="Q232" s="328" t="s">
        <v>1178</v>
      </c>
      <c r="R232" s="520">
        <f>IF(AND(召开客户电话会YN=1,项目管理YN=1),1,0)</f>
        <v>1</v>
      </c>
      <c r="S232" s="525" t="str">
        <f>INDEX('Rate Card'!$D:$D,MATCH(服务费底表!$T232,'Rate Card'!F:F,0))</f>
        <v>项目管理</v>
      </c>
      <c r="T232" s="328" t="s">
        <v>599</v>
      </c>
      <c r="U232" s="522" t="str">
        <f>INDEX('Rate Card'!$E:$E,MATCH(服务费底表!$T232,'Rate Card'!$F:$F,0))</f>
        <v>临床项目经理</v>
      </c>
      <c r="V232" s="331">
        <f>INDEX('Rate Card'!$J:$J,MATCH($T232,'Rate Card'!$F:$F,0))</f>
        <v>650</v>
      </c>
      <c r="W232" s="523">
        <f t="shared" si="202"/>
        <v>650</v>
      </c>
      <c r="X232" s="523">
        <f t="shared" si="203"/>
        <v>1</v>
      </c>
      <c r="Y232" s="327" cm="1">
        <f t="array" ref="Y232">_xlfn.IFS(报价场景=服务费底表!$AJ$2,服务费底表!$AJ232,报价场景=服务费底表!$AP$2,服务费底表!$AP232,报价场景=服务费底表!$AK$2,服务费底表!$AK232,报价场景=服务费底表!$AL$2,服务费底表!$AL232,报价场景=服务费底表!$AM$2,服务费底表!$AM232,报价场景=服务费底表!$AN$2,服务费底表!$AN232,报价场景=服务费底表!$AQ$2,服务费底表!$AQ232,报价场景=服务费底表!$AO$2,服务费底表!$AO232)</f>
        <v>1</v>
      </c>
      <c r="Z232" s="327"/>
      <c r="AA232" s="332">
        <f t="shared" si="210"/>
        <v>1</v>
      </c>
      <c r="AB232" s="333">
        <f t="shared" si="211"/>
        <v>650</v>
      </c>
      <c r="AC232" s="328">
        <f t="shared" si="212"/>
        <v>23</v>
      </c>
      <c r="AD232" s="334">
        <f t="shared" ref="AD232:AD239" si="219">AC232*V232</f>
        <v>14950</v>
      </c>
      <c r="AE232" s="334">
        <f>$AB232*(1-INDEX(项目参数!$D$5:$D$14,MATCH(服务费底表!$S232,项目参数!$B$5:$B$14,0)))</f>
        <v>650</v>
      </c>
      <c r="AF232" s="334">
        <f>$AD232*INDEX(项目参数!$D$5:$D$14,MATCH(服务费底表!$S232,项目参数!$B$5:$B$14,0))</f>
        <v>0</v>
      </c>
      <c r="AG232" s="334">
        <f t="shared" ref="AG232:AG239" si="220">AD232-AF232</f>
        <v>14950</v>
      </c>
      <c r="AH232" s="328"/>
      <c r="AI232" s="328" t="s">
        <v>599</v>
      </c>
      <c r="AJ232" s="327">
        <v>1</v>
      </c>
      <c r="AK232" s="327">
        <v>1</v>
      </c>
      <c r="AL232" s="327">
        <v>1</v>
      </c>
      <c r="AM232" s="327">
        <v>1</v>
      </c>
      <c r="AN232" s="327">
        <f t="shared" si="205"/>
        <v>1</v>
      </c>
      <c r="AO232" s="327">
        <f t="shared" si="206"/>
        <v>1</v>
      </c>
      <c r="AP232" s="327">
        <v>1</v>
      </c>
      <c r="AQ232" s="327">
        <f t="shared" si="207"/>
        <v>1.5</v>
      </c>
      <c r="AR232" s="338"/>
      <c r="AS232" s="328">
        <f t="shared" si="217"/>
        <v>23</v>
      </c>
      <c r="AT232" s="328">
        <f t="shared" si="218"/>
        <v>23</v>
      </c>
      <c r="AU232" s="523">
        <v>1</v>
      </c>
      <c r="AV232" s="328"/>
      <c r="AW232" s="328"/>
      <c r="AX232" s="332">
        <v>1</v>
      </c>
      <c r="AY232" s="328" t="b">
        <f t="shared" si="192"/>
        <v>1</v>
      </c>
      <c r="AZ232" s="328" t="b">
        <f t="shared" si="193"/>
        <v>1</v>
      </c>
    </row>
    <row r="233" ht="27" customHeight="1" spans="1:52">
      <c r="A233" s="326" t="str">
        <f>INDEX('Rate Card'!$A:$A,MATCH(服务费底表!$T233,'Rate Card'!$F:$F,0))</f>
        <v>临床运营</v>
      </c>
      <c r="B233" s="327" t="str">
        <f>INDEX(二三级标准!$G:$G,MATCH(服务费底表!$K233,二三级标准!B:B,0))</f>
        <v>次</v>
      </c>
      <c r="C233" s="327">
        <f>INDEX(服务费明细!$E:$E,MATCH(服务费底表!$K233,服务费明细!$B:$B,0))</f>
        <v>23</v>
      </c>
      <c r="D233" s="327" t="str">
        <f t="shared" si="208"/>
        <v>A066CTA</v>
      </c>
      <c r="E233" s="327" t="str">
        <f t="shared" si="209"/>
        <v>T0158CTA</v>
      </c>
      <c r="F233" s="328"/>
      <c r="G233" s="328" t="s">
        <v>684</v>
      </c>
      <c r="H233" s="326" t="str">
        <f>INDEX('Rate Card'!$B:$B,MATCH(服务费底表!$T233,'Rate Card'!$F:$F,0))</f>
        <v>临床运营</v>
      </c>
      <c r="I233" s="328" t="s">
        <v>921</v>
      </c>
      <c r="J233" s="328" t="str">
        <f>INDEX(二三级标准!$Q:$Q,MATCH(服务费底表!I233,二三级标准!$O:$O,0))</f>
        <v>项目管理</v>
      </c>
      <c r="K233" s="328" t="s">
        <v>237</v>
      </c>
      <c r="L233" s="328" t="str">
        <f>INDEX(二三级标准!C:C,MATCH(服务费底表!K233,二三级标准!$B:$B,0))</f>
        <v>召开客户电话会</v>
      </c>
      <c r="M233" s="328" t="s">
        <v>1330</v>
      </c>
      <c r="N233" s="328" t="str">
        <f>INDEX(二三级标准!$M:$M,MATCH(服务费底表!$M233,二三级标准!$L:$L,0))</f>
        <v>参加客户电话会</v>
      </c>
      <c r="O233" s="328"/>
      <c r="P233" s="531">
        <f>IF(R233=1,INDEX(服务费明细!$E:$E,MATCH(服务费底表!$K233,服务费明细!$B:$B,0)),0)</f>
        <v>23</v>
      </c>
      <c r="Q233" s="328" t="s">
        <v>1178</v>
      </c>
      <c r="R233" s="520">
        <f>IF(AND(召开客户电话会YN=1,临床监查YN=1),1,0)</f>
        <v>1</v>
      </c>
      <c r="S233" s="525" t="str">
        <f>INDEX('Rate Card'!$D:$D,MATCH(服务费底表!$T233,'Rate Card'!F:F,0))</f>
        <v>临床监查</v>
      </c>
      <c r="T233" s="328" t="s">
        <v>597</v>
      </c>
      <c r="U233" s="522" t="str">
        <f>INDEX('Rate Card'!$E:$E,MATCH(服务费底表!$T233,'Rate Card'!$F:$F,0))</f>
        <v>临床试验助理</v>
      </c>
      <c r="V233" s="331">
        <f>INDEX('Rate Card'!$J:$J,MATCH($T233,'Rate Card'!$F:$F,0))</f>
        <v>220</v>
      </c>
      <c r="W233" s="523">
        <f t="shared" si="202"/>
        <v>220</v>
      </c>
      <c r="X233" s="523">
        <f t="shared" si="203"/>
        <v>1</v>
      </c>
      <c r="Y233" s="327" cm="1">
        <f t="array" ref="Y233">_xlfn.IFS(报价场景=服务费底表!$AJ$2,服务费底表!$AJ233,报价场景=服务费底表!$AP$2,服务费底表!$AP233,报价场景=服务费底表!$AK$2,服务费底表!$AK233,报价场景=服务费底表!$AL$2,服务费底表!$AL233,报价场景=服务费底表!$AM$2,服务费底表!$AM233,报价场景=服务费底表!$AN$2,服务费底表!$AN233,报价场景=服务费底表!$AQ$2,服务费底表!$AQ233,报价场景=服务费底表!$AO$2,服务费底表!$AO233)</f>
        <v>1</v>
      </c>
      <c r="Z233" s="327"/>
      <c r="AA233" s="332">
        <f t="shared" si="210"/>
        <v>1</v>
      </c>
      <c r="AB233" s="333">
        <f t="shared" si="211"/>
        <v>220</v>
      </c>
      <c r="AC233" s="328">
        <f t="shared" si="212"/>
        <v>23</v>
      </c>
      <c r="AD233" s="334">
        <f t="shared" ref="AD233" si="221">AC233*V233</f>
        <v>5060</v>
      </c>
      <c r="AE233" s="334">
        <f>$AB233*(1-INDEX(项目参数!$D$5:$D$14,MATCH(服务费底表!$S233,项目参数!$B$5:$B$14,0)))</f>
        <v>220</v>
      </c>
      <c r="AF233" s="334">
        <f>$AD233*INDEX(项目参数!$D$5:$D$14,MATCH(服务费底表!$S233,项目参数!$B$5:$B$14,0))</f>
        <v>0</v>
      </c>
      <c r="AG233" s="334">
        <f t="shared" ref="AG233" si="222">AD233-AF233</f>
        <v>5060</v>
      </c>
      <c r="AH233" s="328"/>
      <c r="AI233" s="328" t="s">
        <v>597</v>
      </c>
      <c r="AJ233" s="327">
        <v>1</v>
      </c>
      <c r="AK233" s="327">
        <v>1</v>
      </c>
      <c r="AL233" s="327">
        <v>1</v>
      </c>
      <c r="AM233" s="327">
        <v>1</v>
      </c>
      <c r="AN233" s="327">
        <f t="shared" si="205"/>
        <v>1</v>
      </c>
      <c r="AO233" s="327">
        <f t="shared" si="206"/>
        <v>1</v>
      </c>
      <c r="AP233" s="327">
        <v>1</v>
      </c>
      <c r="AQ233" s="327">
        <f t="shared" si="207"/>
        <v>1.5</v>
      </c>
      <c r="AR233" s="338"/>
      <c r="AS233" s="328">
        <f t="shared" si="217"/>
        <v>23</v>
      </c>
      <c r="AT233" s="328">
        <f t="shared" si="218"/>
        <v>23</v>
      </c>
      <c r="AU233" s="523">
        <v>1</v>
      </c>
      <c r="AV233" s="328"/>
      <c r="AW233" s="328"/>
      <c r="AX233" s="332">
        <v>1</v>
      </c>
      <c r="AY233" s="328" t="b">
        <f t="shared" si="192"/>
        <v>1</v>
      </c>
      <c r="AZ233" s="328" t="b">
        <f t="shared" si="193"/>
        <v>1</v>
      </c>
    </row>
    <row r="234" ht="27" customHeight="1" spans="1:52">
      <c r="A234" s="326" t="str">
        <f>INDEX('Rate Card'!$A:$A,MATCH(服务费底表!$T234,'Rate Card'!$F:$F,0))</f>
        <v>临床运营</v>
      </c>
      <c r="B234" s="327" t="str">
        <f>INDEX(二三级标准!$G:$G,MATCH(服务费底表!$K234,二三级标准!B:B,0))</f>
        <v>次</v>
      </c>
      <c r="C234" s="327">
        <f>INDEX(服务费明细!$E:$E,MATCH(服务费底表!$K234,服务费明细!$B:$B,0))</f>
        <v>23</v>
      </c>
      <c r="D234" s="327" t="str">
        <f t="shared" si="208"/>
        <v>A066PMD</v>
      </c>
      <c r="E234" s="327" t="str">
        <f t="shared" si="209"/>
        <v>T0158PMD</v>
      </c>
      <c r="F234" s="328"/>
      <c r="G234" s="328" t="s">
        <v>684</v>
      </c>
      <c r="H234" s="326" t="str">
        <f>INDEX('Rate Card'!$B:$B,MATCH(服务费底表!$T234,'Rate Card'!$F:$F,0))</f>
        <v>临床运营</v>
      </c>
      <c r="I234" s="328" t="s">
        <v>921</v>
      </c>
      <c r="J234" s="328" t="str">
        <f>INDEX(二三级标准!$Q:$Q,MATCH(服务费底表!I234,二三级标准!$O:$O,0))</f>
        <v>项目管理</v>
      </c>
      <c r="K234" s="328" t="s">
        <v>237</v>
      </c>
      <c r="L234" s="328" t="str">
        <f>INDEX(二三级标准!C:C,MATCH(服务费底表!K234,二三级标准!$B:$B,0))</f>
        <v>召开客户电话会</v>
      </c>
      <c r="M234" s="328" t="s">
        <v>1330</v>
      </c>
      <c r="N234" s="328" t="str">
        <f>INDEX(二三级标准!$M:$M,MATCH(服务费底表!$M234,二三级标准!$L:$L,0))</f>
        <v>参加客户电话会</v>
      </c>
      <c r="O234" s="328"/>
      <c r="P234" s="531">
        <f>IF(R234=1,ROUND(SUM(筛选月+入组月+治疗月+随访月+长随访月+锁库月),0),0)</f>
        <v>14</v>
      </c>
      <c r="Q234" s="328" t="s">
        <v>1178</v>
      </c>
      <c r="R234" s="520">
        <f>IF(AND(召开客户电话会YN=1,项目管理YN=1),1,0)</f>
        <v>1</v>
      </c>
      <c r="S234" s="525" t="str">
        <f>INDEX('Rate Card'!$D:$D,MATCH(服务费底表!$T234,'Rate Card'!F:F,0))</f>
        <v>项目管理</v>
      </c>
      <c r="T234" s="328" t="s">
        <v>601</v>
      </c>
      <c r="U234" s="522" t="str">
        <f>INDEX('Rate Card'!$E:$E,MATCH(服务费底表!$T234,'Rate Card'!$F:$F,0))</f>
        <v>临床项目总监</v>
      </c>
      <c r="V234" s="331">
        <f>INDEX('Rate Card'!$J:$J,MATCH($T234,'Rate Card'!$F:$F,0))</f>
        <v>800</v>
      </c>
      <c r="W234" s="523">
        <f t="shared" si="202"/>
        <v>800</v>
      </c>
      <c r="X234" s="523">
        <f t="shared" si="203"/>
        <v>1</v>
      </c>
      <c r="Y234" s="327" cm="1">
        <f t="array" ref="Y234">_xlfn.IFS(报价场景=服务费底表!$AJ$2,服务费底表!$AJ234,报价场景=服务费底表!$AP$2,服务费底表!$AP234,报价场景=服务费底表!$AK$2,服务费底表!$AK234,报价场景=服务费底表!$AL$2,服务费底表!$AL234,报价场景=服务费底表!$AM$2,服务费底表!$AM234,报价场景=服务费底表!$AN$2,服务费底表!$AN234,报价场景=服务费底表!$AQ$2,服务费底表!$AQ234,报价场景=服务费底表!$AO$2,服务费底表!$AO234)</f>
        <v>1</v>
      </c>
      <c r="Z234" s="327"/>
      <c r="AA234" s="332">
        <f t="shared" si="210"/>
        <v>1</v>
      </c>
      <c r="AB234" s="333">
        <f t="shared" si="211"/>
        <v>800</v>
      </c>
      <c r="AC234" s="328">
        <f t="shared" si="212"/>
        <v>14</v>
      </c>
      <c r="AD234" s="334">
        <f t="shared" si="219"/>
        <v>11200</v>
      </c>
      <c r="AE234" s="334">
        <f>$AB234*(1-INDEX(项目参数!$D$5:$D$14,MATCH(服务费底表!$S234,项目参数!$B$5:$B$14,0)))</f>
        <v>800</v>
      </c>
      <c r="AF234" s="334">
        <f>$AD234*INDEX(项目参数!$D$5:$D$14,MATCH(服务费底表!$S234,项目参数!$B$5:$B$14,0))</f>
        <v>0</v>
      </c>
      <c r="AG234" s="334">
        <f t="shared" si="220"/>
        <v>11200</v>
      </c>
      <c r="AH234" s="328"/>
      <c r="AI234" s="328" t="s">
        <v>601</v>
      </c>
      <c r="AJ234" s="327">
        <v>1</v>
      </c>
      <c r="AK234" s="327">
        <v>1</v>
      </c>
      <c r="AL234" s="327">
        <v>1</v>
      </c>
      <c r="AM234" s="327">
        <v>1</v>
      </c>
      <c r="AN234" s="327">
        <v>1</v>
      </c>
      <c r="AO234" s="327">
        <f t="shared" si="206"/>
        <v>1</v>
      </c>
      <c r="AP234" s="327">
        <v>1</v>
      </c>
      <c r="AQ234" s="327">
        <f t="shared" si="207"/>
        <v>1.5</v>
      </c>
      <c r="AR234" s="338"/>
      <c r="AS234" s="328">
        <f t="shared" si="217"/>
        <v>14</v>
      </c>
      <c r="AT234" s="328">
        <f t="shared" si="218"/>
        <v>14</v>
      </c>
      <c r="AU234" s="523">
        <v>1</v>
      </c>
      <c r="AV234" s="328"/>
      <c r="AW234" s="328"/>
      <c r="AX234" s="332">
        <v>1</v>
      </c>
      <c r="AY234" s="328" t="b">
        <f t="shared" si="192"/>
        <v>1</v>
      </c>
      <c r="AZ234" s="328" t="b">
        <f t="shared" si="193"/>
        <v>1</v>
      </c>
    </row>
    <row r="235" ht="27" customHeight="1" spans="1:52">
      <c r="A235" s="326" t="str">
        <f>INDEX('Rate Card'!$A:$A,MATCH(服务费底表!$T235,'Rate Card'!$F:$F,0))</f>
        <v>医学</v>
      </c>
      <c r="B235" s="327" t="str">
        <f>INDEX(二三级标准!$G:$G,MATCH(服务费底表!$K235,二三级标准!B:B,0))</f>
        <v>次</v>
      </c>
      <c r="C235" s="327">
        <f>INDEX(服务费明细!$E:$E,MATCH(服务费底表!$K235,服务费明细!$B:$B,0))</f>
        <v>23</v>
      </c>
      <c r="D235" s="327" t="str">
        <f t="shared" si="208"/>
        <v>A066MM</v>
      </c>
      <c r="E235" s="327" t="str">
        <f t="shared" si="209"/>
        <v>T0158MM</v>
      </c>
      <c r="F235" s="328"/>
      <c r="G235" s="328" t="s">
        <v>684</v>
      </c>
      <c r="H235" s="326" t="str">
        <f>INDEX('Rate Card'!$B:$B,MATCH(服务费底表!$T235,'Rate Card'!$F:$F,0))</f>
        <v>医学</v>
      </c>
      <c r="I235" s="328" t="s">
        <v>921</v>
      </c>
      <c r="J235" s="328" t="str">
        <f>INDEX(二三级标准!$Q:$Q,MATCH(服务费底表!I235,二三级标准!$O:$O,0))</f>
        <v>项目管理</v>
      </c>
      <c r="K235" s="328" t="s">
        <v>237</v>
      </c>
      <c r="L235" s="328" t="str">
        <f>INDEX(二三级标准!C:C,MATCH(服务费底表!K235,二三级标准!$B:$B,0))</f>
        <v>召开客户电话会</v>
      </c>
      <c r="M235" s="328" t="s">
        <v>1330</v>
      </c>
      <c r="N235" s="328" t="str">
        <f>INDEX(二三级标准!$M:$M,MATCH(服务费底表!$M235,二三级标准!$L:$L,0))</f>
        <v>参加客户电话会</v>
      </c>
      <c r="O235" s="328"/>
      <c r="P235" s="531">
        <f>IF(R235=1,ROUND(SUM(筛选月+入组月+治疗月+随访月+长随访月+锁库月),0),0)</f>
        <v>14</v>
      </c>
      <c r="Q235" s="328" t="s">
        <v>1178</v>
      </c>
      <c r="R235" s="520">
        <f>IF(AND(召开客户电话会YN=1,医学监查YN=1),1,0)</f>
        <v>1</v>
      </c>
      <c r="S235" s="521" t="str">
        <f>IF(AND(H235="医学",OR(I235=二三级标准!$A$4,I235=二三级标准!$A$153)),"医学撰写","医学监查")</f>
        <v>医学监查</v>
      </c>
      <c r="T235" s="328" t="s">
        <v>615</v>
      </c>
      <c r="U235" s="522" t="str">
        <f>INDEX('Rate Card'!$E:$E,MATCH(服务费底表!$T235,'Rate Card'!$F:$F,0))</f>
        <v>医学经理</v>
      </c>
      <c r="V235" s="331">
        <f>INDEX('Rate Card'!$J:$J,MATCH($T235,'Rate Card'!$F:$F,0))</f>
        <v>650</v>
      </c>
      <c r="W235" s="523">
        <f t="shared" si="202"/>
        <v>650</v>
      </c>
      <c r="X235" s="523">
        <f t="shared" si="203"/>
        <v>1</v>
      </c>
      <c r="Y235" s="327" cm="1">
        <f t="array" ref="Y235">_xlfn.IFS(报价场景=服务费底表!$AJ$2,服务费底表!$AJ235,报价场景=服务费底表!$AP$2,服务费底表!$AP235,报价场景=服务费底表!$AK$2,服务费底表!$AK235,报价场景=服务费底表!$AL$2,服务费底表!$AL235,报价场景=服务费底表!$AM$2,服务费底表!$AM235,报价场景=服务费底表!$AN$2,服务费底表!$AN235,报价场景=服务费底表!$AQ$2,服务费底表!$AQ235,报价场景=服务费底表!$AO$2,服务费底表!$AO235)</f>
        <v>1</v>
      </c>
      <c r="Z235" s="327"/>
      <c r="AA235" s="332">
        <f t="shared" si="210"/>
        <v>1</v>
      </c>
      <c r="AB235" s="333">
        <f t="shared" si="211"/>
        <v>650</v>
      </c>
      <c r="AC235" s="328">
        <f t="shared" si="212"/>
        <v>14</v>
      </c>
      <c r="AD235" s="334">
        <f t="shared" si="219"/>
        <v>9100</v>
      </c>
      <c r="AE235" s="334">
        <f>$AB235*(1-INDEX(项目参数!$D$5:$D$14,MATCH(服务费底表!$S235,项目参数!$B$5:$B$14,0)))</f>
        <v>650</v>
      </c>
      <c r="AF235" s="334">
        <f>$AD235*INDEX(项目参数!$D$5:$D$14,MATCH(服务费底表!$S235,项目参数!$B$5:$B$14,0))</f>
        <v>0</v>
      </c>
      <c r="AG235" s="334">
        <f t="shared" si="220"/>
        <v>9100</v>
      </c>
      <c r="AH235" s="328"/>
      <c r="AI235" s="328" t="s">
        <v>615</v>
      </c>
      <c r="AJ235" s="327">
        <v>1</v>
      </c>
      <c r="AK235" s="327">
        <v>1</v>
      </c>
      <c r="AL235" s="327">
        <v>1</v>
      </c>
      <c r="AM235" s="327">
        <v>1</v>
      </c>
      <c r="AN235" s="327">
        <v>1</v>
      </c>
      <c r="AO235" s="327">
        <f t="shared" si="206"/>
        <v>1</v>
      </c>
      <c r="AP235" s="327">
        <v>1</v>
      </c>
      <c r="AQ235" s="327">
        <f t="shared" si="207"/>
        <v>1.5</v>
      </c>
      <c r="AR235" s="338"/>
      <c r="AS235" s="328">
        <f t="shared" si="217"/>
        <v>14</v>
      </c>
      <c r="AT235" s="328">
        <f t="shared" si="218"/>
        <v>14</v>
      </c>
      <c r="AU235" s="523">
        <v>1</v>
      </c>
      <c r="AV235" s="328"/>
      <c r="AW235" s="328"/>
      <c r="AX235" s="332">
        <v>1</v>
      </c>
      <c r="AY235" s="328" t="b">
        <f t="shared" si="192"/>
        <v>1</v>
      </c>
      <c r="AZ235" s="328" t="b">
        <f t="shared" si="193"/>
        <v>1</v>
      </c>
    </row>
    <row r="236" ht="27" customHeight="1" spans="1:52">
      <c r="A236" s="326" t="str">
        <f>INDEX('Rate Card'!$A:$A,MATCH(服务费底表!$T236,'Rate Card'!$F:$F,0))</f>
        <v>数统</v>
      </c>
      <c r="B236" s="327" t="str">
        <f>INDEX(二三级标准!$G:$G,MATCH(服务费底表!$K236,二三级标准!B:B,0))</f>
        <v>次</v>
      </c>
      <c r="C236" s="327">
        <f>INDEX(服务费明细!$E:$E,MATCH(服务费底表!$K236,服务费明细!$B:$B,0))</f>
        <v>23</v>
      </c>
      <c r="D236" s="327" t="str">
        <f t="shared" si="208"/>
        <v>A066LDM</v>
      </c>
      <c r="E236" s="327" t="str">
        <f t="shared" si="209"/>
        <v>T0158LDM</v>
      </c>
      <c r="F236" s="328"/>
      <c r="G236" s="328" t="s">
        <v>684</v>
      </c>
      <c r="H236" s="326" t="str">
        <f>INDEX('Rate Card'!$B:$B,MATCH(服务费底表!$T236,'Rate Card'!$F:$F,0))</f>
        <v>数据管理</v>
      </c>
      <c r="I236" s="328" t="s">
        <v>921</v>
      </c>
      <c r="J236" s="328" t="str">
        <f>INDEX(二三级标准!$Q:$Q,MATCH(服务费底表!I236,二三级标准!$O:$O,0))</f>
        <v>项目管理</v>
      </c>
      <c r="K236" s="328" t="s">
        <v>237</v>
      </c>
      <c r="L236" s="328" t="str">
        <f>INDEX(二三级标准!C:C,MATCH(服务费底表!K236,二三级标准!$B:$B,0))</f>
        <v>召开客户电话会</v>
      </c>
      <c r="M236" s="328" t="s">
        <v>1330</v>
      </c>
      <c r="N236" s="328" t="str">
        <f>INDEX(二三级标准!$M:$M,MATCH(服务费底表!$M236,二三级标准!$L:$L,0))</f>
        <v>参加客户电话会</v>
      </c>
      <c r="O236" s="328"/>
      <c r="P236" s="531">
        <f>IF(R236=1,ROUND(INDEX(服务费明细!$E:$E,MATCH(服务费底表!$K236,服务费明细!$B:$B,0))*50%,0),0)</f>
        <v>0</v>
      </c>
      <c r="Q236" s="328" t="s">
        <v>1178</v>
      </c>
      <c r="R236" s="520">
        <v>0</v>
      </c>
      <c r="S236" s="524" t="str">
        <f>INDEX('Rate Card'!$D:$D,MATCH(服务费底表!$T236,'Rate Card'!F:F,0))</f>
        <v>数据管理</v>
      </c>
      <c r="T236" s="328" t="s">
        <v>633</v>
      </c>
      <c r="U236" s="522" t="str">
        <f>INDEX('Rate Card'!$E:$E,MATCH(服务费底表!$T236,'Rate Card'!$F:$F,0))</f>
        <v>数据管理经理</v>
      </c>
      <c r="V236" s="331">
        <f>INDEX('Rate Card'!$J:$J,MATCH($T236,'Rate Card'!$F:$F,0))</f>
        <v>360</v>
      </c>
      <c r="W236" s="523">
        <f t="shared" si="202"/>
        <v>360</v>
      </c>
      <c r="X236" s="523">
        <f t="shared" si="203"/>
        <v>1</v>
      </c>
      <c r="Y236" s="327" cm="1">
        <f t="array" ref="Y236">_xlfn.IFS(报价场景=服务费底表!$AJ$2,服务费底表!$AJ236,报价场景=服务费底表!$AP$2,服务费底表!$AP236,报价场景=服务费底表!$AK$2,服务费底表!$AK236,报价场景=服务费底表!$AL$2,服务费底表!$AL236,报价场景=服务费底表!$AM$2,服务费底表!$AM236,报价场景=服务费底表!$AN$2,服务费底表!$AN236,报价场景=服务费底表!$AQ$2,服务费底表!$AQ236,报价场景=服务费底表!$AO$2,服务费底表!$AO236)</f>
        <v>1</v>
      </c>
      <c r="Z236" s="327"/>
      <c r="AA236" s="332">
        <f t="shared" si="210"/>
        <v>1</v>
      </c>
      <c r="AB236" s="333">
        <f t="shared" si="211"/>
        <v>0</v>
      </c>
      <c r="AC236" s="328">
        <f t="shared" si="212"/>
        <v>0</v>
      </c>
      <c r="AD236" s="334">
        <f t="shared" si="219"/>
        <v>0</v>
      </c>
      <c r="AE236" s="334">
        <f>$AB236*(1-INDEX(项目参数!$D$5:$D$14,MATCH(服务费底表!$S236,项目参数!$B$5:$B$14,0)))</f>
        <v>0</v>
      </c>
      <c r="AF236" s="334">
        <f>$AD236*INDEX(项目参数!$D$5:$D$14,MATCH(服务费底表!$S236,项目参数!$B$5:$B$14,0))</f>
        <v>0</v>
      </c>
      <c r="AG236" s="334">
        <f t="shared" si="220"/>
        <v>0</v>
      </c>
      <c r="AH236" s="328"/>
      <c r="AI236" s="328" t="s">
        <v>633</v>
      </c>
      <c r="AJ236" s="327">
        <v>1</v>
      </c>
      <c r="AK236" s="327">
        <v>1</v>
      </c>
      <c r="AL236" s="327">
        <v>1</v>
      </c>
      <c r="AM236" s="327">
        <v>1</v>
      </c>
      <c r="AN236" s="327">
        <v>1</v>
      </c>
      <c r="AO236" s="327">
        <f t="shared" si="206"/>
        <v>1</v>
      </c>
      <c r="AP236" s="327">
        <v>1</v>
      </c>
      <c r="AQ236" s="327">
        <f t="shared" si="207"/>
        <v>1.5</v>
      </c>
      <c r="AR236" s="338"/>
      <c r="AS236" s="328">
        <f t="shared" si="217"/>
        <v>0</v>
      </c>
      <c r="AT236" s="328">
        <f t="shared" si="218"/>
        <v>0</v>
      </c>
      <c r="AU236" s="523">
        <v>1</v>
      </c>
      <c r="AV236" s="328"/>
      <c r="AW236" s="328"/>
      <c r="AX236" s="332">
        <v>1</v>
      </c>
      <c r="AY236" s="328" t="b">
        <f t="shared" si="192"/>
        <v>1</v>
      </c>
      <c r="AZ236" s="328" t="b">
        <f t="shared" si="193"/>
        <v>1</v>
      </c>
    </row>
    <row r="237" ht="27" customHeight="1" spans="1:52">
      <c r="A237" s="326" t="str">
        <f>INDEX('Rate Card'!$A:$A,MATCH(服务费底表!$T237,'Rate Card'!$F:$F,0))</f>
        <v>数统</v>
      </c>
      <c r="B237" s="327" t="str">
        <f>INDEX(二三级标准!$G:$G,MATCH(服务费底表!$K237,二三级标准!B:B,0))</f>
        <v>次</v>
      </c>
      <c r="C237" s="327">
        <f>INDEX(服务费明细!$E:$E,MATCH(服务费底表!$K237,服务费明细!$B:$B,0))</f>
        <v>23</v>
      </c>
      <c r="D237" s="327" t="str">
        <f t="shared" si="208"/>
        <v>A066ST</v>
      </c>
      <c r="E237" s="327" t="str">
        <f t="shared" si="209"/>
        <v>T0158ST</v>
      </c>
      <c r="F237" s="328"/>
      <c r="G237" s="328" t="s">
        <v>684</v>
      </c>
      <c r="H237" s="326" t="str">
        <f>INDEX('Rate Card'!$B:$B,MATCH(服务费底表!$T237,'Rate Card'!$F:$F,0))</f>
        <v>生物统计及分析</v>
      </c>
      <c r="I237" s="328" t="s">
        <v>921</v>
      </c>
      <c r="J237" s="328" t="str">
        <f>INDEX(二三级标准!$Q:$Q,MATCH(服务费底表!I237,二三级标准!$O:$O,0))</f>
        <v>项目管理</v>
      </c>
      <c r="K237" s="328" t="s">
        <v>237</v>
      </c>
      <c r="L237" s="328" t="str">
        <f>INDEX(二三级标准!C:C,MATCH(服务费底表!K237,二三级标准!$B:$B,0))</f>
        <v>召开客户电话会</v>
      </c>
      <c r="M237" s="328" t="s">
        <v>1330</v>
      </c>
      <c r="N237" s="328" t="str">
        <f>INDEX(二三级标准!$M:$M,MATCH(服务费底表!$M237,二三级标准!$L:$L,0))</f>
        <v>参加客户电话会</v>
      </c>
      <c r="O237" s="527"/>
      <c r="P237" s="531">
        <f>IF(R237=1,ROUND(INDEX(服务费明细!$E:$E,MATCH(服务费底表!$K237,服务费明细!$B:$B,0))*30%,0),0)</f>
        <v>0</v>
      </c>
      <c r="Q237" s="328" t="s">
        <v>1178</v>
      </c>
      <c r="R237" s="520">
        <v>0</v>
      </c>
      <c r="S237" s="524" t="str">
        <f>INDEX('Rate Card'!$D:$D,MATCH(服务费底表!$T237,'Rate Card'!F:F,0))</f>
        <v>生物统计</v>
      </c>
      <c r="T237" s="328" t="s">
        <v>639</v>
      </c>
      <c r="U237" s="522" t="str">
        <f>INDEX('Rate Card'!$E:$E,MATCH(服务费底表!$T237,'Rate Card'!$F:$F,0))</f>
        <v>生物统计师</v>
      </c>
      <c r="V237" s="331">
        <f>INDEX('Rate Card'!$J:$J,MATCH($T237,'Rate Card'!$F:$F,0))</f>
        <v>400</v>
      </c>
      <c r="W237" s="523">
        <f t="shared" si="202"/>
        <v>400</v>
      </c>
      <c r="X237" s="523">
        <f t="shared" si="203"/>
        <v>1</v>
      </c>
      <c r="Y237" s="327" cm="1">
        <f t="array" ref="Y237">_xlfn.IFS(报价场景=服务费底表!$AJ$2,服务费底表!$AJ237,报价场景=服务费底表!$AP$2,服务费底表!$AP237,报价场景=服务费底表!$AK$2,服务费底表!$AK237,报价场景=服务费底表!$AL$2,服务费底表!$AL237,报价场景=服务费底表!$AM$2,服务费底表!$AM237,报价场景=服务费底表!$AN$2,服务费底表!$AN237,报价场景=服务费底表!$AQ$2,服务费底表!$AQ237,报价场景=服务费底表!$AO$2,服务费底表!$AO237)</f>
        <v>1</v>
      </c>
      <c r="Z237" s="327"/>
      <c r="AA237" s="332">
        <f t="shared" si="210"/>
        <v>1</v>
      </c>
      <c r="AB237" s="333">
        <f t="shared" si="211"/>
        <v>0</v>
      </c>
      <c r="AC237" s="328">
        <f t="shared" si="212"/>
        <v>0</v>
      </c>
      <c r="AD237" s="334">
        <f t="shared" si="219"/>
        <v>0</v>
      </c>
      <c r="AE237" s="334">
        <f>$AB237*(1-INDEX(项目参数!$D$5:$D$14,MATCH(服务费底表!$S237,项目参数!$B$5:$B$14,0)))</f>
        <v>0</v>
      </c>
      <c r="AF237" s="334">
        <f>$AD237*INDEX(项目参数!$D$5:$D$14,MATCH(服务费底表!$S237,项目参数!$B$5:$B$14,0))</f>
        <v>0</v>
      </c>
      <c r="AG237" s="334">
        <f t="shared" si="220"/>
        <v>0</v>
      </c>
      <c r="AH237" s="328"/>
      <c r="AI237" s="328" t="s">
        <v>639</v>
      </c>
      <c r="AJ237" s="327">
        <v>1</v>
      </c>
      <c r="AK237" s="327">
        <v>1</v>
      </c>
      <c r="AL237" s="327">
        <v>1</v>
      </c>
      <c r="AM237" s="327">
        <v>1</v>
      </c>
      <c r="AN237" s="327">
        <v>1</v>
      </c>
      <c r="AO237" s="327">
        <f t="shared" si="206"/>
        <v>1</v>
      </c>
      <c r="AP237" s="327">
        <v>1</v>
      </c>
      <c r="AQ237" s="327">
        <f t="shared" si="207"/>
        <v>1.5</v>
      </c>
      <c r="AR237" s="338"/>
      <c r="AS237" s="328">
        <f t="shared" si="217"/>
        <v>0</v>
      </c>
      <c r="AT237" s="328">
        <f t="shared" si="218"/>
        <v>0</v>
      </c>
      <c r="AU237" s="523">
        <v>1</v>
      </c>
      <c r="AV237" s="328"/>
      <c r="AW237" s="328"/>
      <c r="AX237" s="332">
        <v>1</v>
      </c>
      <c r="AY237" s="328" t="b">
        <f t="shared" si="192"/>
        <v>1</v>
      </c>
      <c r="AZ237" s="328" t="b">
        <f t="shared" si="193"/>
        <v>1</v>
      </c>
    </row>
    <row r="238" ht="27" customHeight="1" spans="1:52">
      <c r="A238" s="326" t="str">
        <f>INDEX('Rate Card'!$A:$A,MATCH(服务费底表!$T238,'Rate Card'!$F:$F,0))</f>
        <v>药物警戒</v>
      </c>
      <c r="B238" s="327" t="str">
        <f>INDEX(二三级标准!$G:$G,MATCH(服务费底表!$K238,二三级标准!B:B,0))</f>
        <v>次</v>
      </c>
      <c r="C238" s="327">
        <f>INDEX(服务费明细!$E:$E,MATCH(服务费底表!$K238,服务费明细!$B:$B,0))</f>
        <v>23</v>
      </c>
      <c r="D238" s="327" t="str">
        <f t="shared" si="208"/>
        <v>A066PVM</v>
      </c>
      <c r="E238" s="327" t="str">
        <f t="shared" si="209"/>
        <v>T0158PVM</v>
      </c>
      <c r="F238" s="328"/>
      <c r="G238" s="328" t="s">
        <v>684</v>
      </c>
      <c r="H238" s="326" t="str">
        <f>INDEX('Rate Card'!$B:$B,MATCH(服务费底表!$T238,'Rate Card'!$F:$F,0))</f>
        <v>药物警戒</v>
      </c>
      <c r="I238" s="328" t="s">
        <v>921</v>
      </c>
      <c r="J238" s="328" t="str">
        <f>INDEX(二三级标准!$Q:$Q,MATCH(服务费底表!I238,二三级标准!$O:$O,0))</f>
        <v>项目管理</v>
      </c>
      <c r="K238" s="328" t="s">
        <v>237</v>
      </c>
      <c r="L238" s="328" t="str">
        <f>INDEX(二三级标准!C:C,MATCH(服务费底表!K238,二三级标准!$B:$B,0))</f>
        <v>召开客户电话会</v>
      </c>
      <c r="M238" s="328" t="s">
        <v>1330</v>
      </c>
      <c r="N238" s="328" t="str">
        <f>INDEX(二三级标准!$M:$M,MATCH(服务费底表!$M238,二三级标准!$L:$L,0))</f>
        <v>参加客户电话会</v>
      </c>
      <c r="O238" s="328"/>
      <c r="P238" s="531">
        <f>IF(R238=1,ROUND(INDEX(服务费明细!$E:$E,MATCH(服务费底表!$K238,服务费明细!$B:$B,0))*50%,0),0)</f>
        <v>0</v>
      </c>
      <c r="Q238" s="328" t="s">
        <v>1178</v>
      </c>
      <c r="R238" s="520">
        <v>0</v>
      </c>
      <c r="S238" s="528" t="str">
        <f>INDEX('Rate Card'!$D:$D,MATCH(服务费底表!$T238,'Rate Card'!F:F,0))</f>
        <v>药物警戒</v>
      </c>
      <c r="T238" s="328" t="s">
        <v>620</v>
      </c>
      <c r="U238" s="522" t="str">
        <f>INDEX('Rate Card'!$E:$E,MATCH(服务费底表!$T238,'Rate Card'!$F:$F,0))</f>
        <v>药物警戒经理</v>
      </c>
      <c r="V238" s="331">
        <f>INDEX('Rate Card'!$J:$J,MATCH($T238,'Rate Card'!$F:$F,0))</f>
        <v>500</v>
      </c>
      <c r="W238" s="523">
        <f t="shared" si="202"/>
        <v>500</v>
      </c>
      <c r="X238" s="523">
        <f t="shared" si="203"/>
        <v>1</v>
      </c>
      <c r="Y238" s="327" cm="1">
        <f t="array" ref="Y238">_xlfn.IFS(报价场景=服务费底表!$AJ$2,服务费底表!$AJ238,报价场景=服务费底表!$AP$2,服务费底表!$AP238,报价场景=服务费底表!$AK$2,服务费底表!$AK238,报价场景=服务费底表!$AL$2,服务费底表!$AL238,报价场景=服务费底表!$AM$2,服务费底表!$AM238,报价场景=服务费底表!$AN$2,服务费底表!$AN238,报价场景=服务费底表!$AQ$2,服务费底表!$AQ238,报价场景=服务费底表!$AO$2,服务费底表!$AO238)</f>
        <v>1</v>
      </c>
      <c r="Z238" s="327"/>
      <c r="AA238" s="332">
        <f t="shared" si="210"/>
        <v>1</v>
      </c>
      <c r="AB238" s="333">
        <f t="shared" si="211"/>
        <v>0</v>
      </c>
      <c r="AC238" s="328">
        <f t="shared" si="212"/>
        <v>0</v>
      </c>
      <c r="AD238" s="334">
        <f t="shared" si="219"/>
        <v>0</v>
      </c>
      <c r="AE238" s="334">
        <f>$AB238*(1-INDEX(项目参数!$D$5:$D$14,MATCH(服务费底表!$S238,项目参数!$B$5:$B$14,0)))</f>
        <v>0</v>
      </c>
      <c r="AF238" s="334">
        <f>$AD238*INDEX(项目参数!$D$5:$D$14,MATCH(服务费底表!$S238,项目参数!$B$5:$B$14,0))</f>
        <v>0</v>
      </c>
      <c r="AG238" s="334">
        <f t="shared" si="220"/>
        <v>0</v>
      </c>
      <c r="AH238" s="328"/>
      <c r="AI238" s="328" t="s">
        <v>620</v>
      </c>
      <c r="AJ238" s="327">
        <v>1</v>
      </c>
      <c r="AK238" s="327">
        <v>1</v>
      </c>
      <c r="AL238" s="327">
        <v>1</v>
      </c>
      <c r="AM238" s="327">
        <v>1</v>
      </c>
      <c r="AN238" s="327">
        <v>1</v>
      </c>
      <c r="AO238" s="327">
        <f t="shared" si="206"/>
        <v>1</v>
      </c>
      <c r="AP238" s="327">
        <v>1</v>
      </c>
      <c r="AQ238" s="327">
        <f t="shared" si="207"/>
        <v>1.5</v>
      </c>
      <c r="AR238" s="338"/>
      <c r="AS238" s="327">
        <f t="shared" si="217"/>
        <v>0</v>
      </c>
      <c r="AT238" s="327">
        <f t="shared" si="218"/>
        <v>0</v>
      </c>
      <c r="AU238" s="523">
        <v>1</v>
      </c>
      <c r="AV238" s="328"/>
      <c r="AW238" s="328"/>
      <c r="AX238" s="332">
        <v>1</v>
      </c>
      <c r="AY238" s="328" t="b">
        <f t="shared" si="192"/>
        <v>1</v>
      </c>
      <c r="AZ238" s="328" t="b">
        <f t="shared" si="193"/>
        <v>1</v>
      </c>
    </row>
    <row r="239" ht="27" customHeight="1" spans="1:52">
      <c r="A239" s="326" t="str">
        <f>INDEX('Rate Card'!$A:$A,MATCH(服务费底表!$T239,'Rate Card'!$F:$F,0))</f>
        <v>临床药理</v>
      </c>
      <c r="B239" s="327" t="str">
        <f>INDEX(二三级标准!$G:$G,MATCH(服务费底表!$K239,二三级标准!B:B,0))</f>
        <v>次</v>
      </c>
      <c r="C239" s="327">
        <f>INDEX(服务费明细!$E:$E,MATCH(服务费底表!$K239,服务费明细!$B:$B,0))</f>
        <v>23</v>
      </c>
      <c r="D239" s="327" t="str">
        <f t="shared" si="208"/>
        <v>A066CPSS</v>
      </c>
      <c r="E239" s="327" t="str">
        <f t="shared" si="209"/>
        <v>T0158CPSS</v>
      </c>
      <c r="F239" s="328"/>
      <c r="G239" s="328" t="s">
        <v>684</v>
      </c>
      <c r="H239" s="326" t="str">
        <f>INDEX('Rate Card'!$B:$B,MATCH(服务费底表!$T239,'Rate Card'!$F:$F,0))</f>
        <v>临床药理</v>
      </c>
      <c r="I239" s="328" t="s">
        <v>921</v>
      </c>
      <c r="J239" s="328" t="str">
        <f>INDEX(二三级标准!$Q:$Q,MATCH(服务费底表!I239,二三级标准!$O:$O,0))</f>
        <v>项目管理</v>
      </c>
      <c r="K239" s="328" t="s">
        <v>237</v>
      </c>
      <c r="L239" s="328" t="str">
        <f>INDEX(二三级标准!C:C,MATCH(服务费底表!K239,二三级标准!$B:$B,0))</f>
        <v>召开客户电话会</v>
      </c>
      <c r="M239" s="328" t="s">
        <v>1330</v>
      </c>
      <c r="N239" s="328" t="str">
        <f>INDEX(二三级标准!$M:$M,MATCH(服务费底表!$M239,二三级标准!$L:$L,0))</f>
        <v>参加客户电话会</v>
      </c>
      <c r="O239" s="530"/>
      <c r="P239" s="531">
        <f>IF(R239=1,1,0)</f>
        <v>0</v>
      </c>
      <c r="Q239" s="328" t="s">
        <v>1178</v>
      </c>
      <c r="R239" s="520">
        <v>0</v>
      </c>
      <c r="S239" s="328" t="str">
        <f>INDEX('Rate Card'!$D:$D,MATCH(服务费底表!$T239,'Rate Card'!F:F,0))</f>
        <v>临床药理</v>
      </c>
      <c r="T239" s="328" t="s">
        <v>654</v>
      </c>
      <c r="U239" s="522" t="str">
        <f>INDEX('Rate Card'!$E:$E,MATCH(服务费底表!$T239,'Rate Card'!$F:$F,0))</f>
        <v>临床药理高级专员</v>
      </c>
      <c r="V239" s="331">
        <f>INDEX('Rate Card'!$J:$J,MATCH($T239,'Rate Card'!$F:$F,0))</f>
        <v>700</v>
      </c>
      <c r="W239" s="523">
        <f t="shared" si="202"/>
        <v>700</v>
      </c>
      <c r="X239" s="523">
        <f t="shared" si="203"/>
        <v>1</v>
      </c>
      <c r="Y239" s="327" cm="1">
        <f t="array" ref="Y239">_xlfn.IFS(报价场景=服务费底表!$AJ$2,服务费底表!$AJ239,报价场景=服务费底表!$AP$2,服务费底表!$AP239,报价场景=服务费底表!$AK$2,服务费底表!$AK239,报价场景=服务费底表!$AL$2,服务费底表!$AL239,报价场景=服务费底表!$AM$2,服务费底表!$AM239,报价场景=服务费底表!$AN$2,服务费底表!$AN239,报价场景=服务费底表!$AQ$2,服务费底表!$AQ239,报价场景=服务费底表!$AO$2,服务费底表!$AO239)</f>
        <v>1</v>
      </c>
      <c r="Z239" s="327"/>
      <c r="AA239" s="332">
        <f t="shared" si="210"/>
        <v>1</v>
      </c>
      <c r="AB239" s="333">
        <f t="shared" si="211"/>
        <v>0</v>
      </c>
      <c r="AC239" s="328">
        <f t="shared" si="212"/>
        <v>0</v>
      </c>
      <c r="AD239" s="334">
        <f t="shared" si="219"/>
        <v>0</v>
      </c>
      <c r="AE239" s="334">
        <f>$AB239*(1-INDEX(项目参数!$D$5:$D$14,MATCH(服务费底表!$S239,项目参数!$B$5:$B$14,0)))</f>
        <v>0</v>
      </c>
      <c r="AF239" s="334">
        <f>$AD239*INDEX(项目参数!$D$5:$D$14,MATCH(服务费底表!$S239,项目参数!$B$5:$B$14,0))</f>
        <v>0</v>
      </c>
      <c r="AG239" s="334">
        <f t="shared" si="220"/>
        <v>0</v>
      </c>
      <c r="AH239" s="328"/>
      <c r="AI239" s="328" t="s">
        <v>654</v>
      </c>
      <c r="AJ239" s="327">
        <v>1</v>
      </c>
      <c r="AK239" s="327">
        <v>1</v>
      </c>
      <c r="AL239" s="327">
        <v>1</v>
      </c>
      <c r="AM239" s="327">
        <v>1</v>
      </c>
      <c r="AN239" s="327">
        <v>1</v>
      </c>
      <c r="AO239" s="327">
        <f t="shared" si="206"/>
        <v>1</v>
      </c>
      <c r="AP239" s="327">
        <v>1</v>
      </c>
      <c r="AQ239" s="327">
        <f t="shared" si="207"/>
        <v>1.5</v>
      </c>
      <c r="AR239" s="338"/>
      <c r="AS239" s="328">
        <f t="shared" ref="AS239:AS260" si="223">AC239</f>
        <v>0</v>
      </c>
      <c r="AT239" s="328">
        <f t="shared" ref="AT239:AT260" si="224">Y239*P239</f>
        <v>0</v>
      </c>
      <c r="AU239" s="523">
        <v>1</v>
      </c>
      <c r="AV239" s="328"/>
      <c r="AW239" s="328"/>
      <c r="AX239" s="332">
        <v>1</v>
      </c>
      <c r="AY239" s="328" t="b">
        <f t="shared" si="192"/>
        <v>1</v>
      </c>
      <c r="AZ239" s="328" t="b">
        <f t="shared" si="193"/>
        <v>1</v>
      </c>
    </row>
    <row r="240" ht="27" customHeight="1" spans="1:52">
      <c r="A240" s="326" t="str">
        <f>INDEX('Rate Card'!$A:$A,MATCH(服务费底表!$T240,'Rate Card'!$F:$F,0))</f>
        <v>临床运营</v>
      </c>
      <c r="B240" s="327" t="str">
        <f>INDEX(二三级标准!$G:$G,MATCH(服务费底表!$K240,二三级标准!B:B,0))</f>
        <v>份</v>
      </c>
      <c r="C240" s="327">
        <f>INDEX(服务费明细!$E:$E,MATCH(服务费底表!$K240,服务费明细!$B:$B,0))</f>
        <v>23</v>
      </c>
      <c r="D240" s="327" t="str">
        <f t="shared" si="208"/>
        <v>A067PM</v>
      </c>
      <c r="E240" s="327" t="str">
        <f t="shared" si="209"/>
        <v>T0159PM</v>
      </c>
      <c r="F240" s="328"/>
      <c r="G240" s="328" t="s">
        <v>684</v>
      </c>
      <c r="H240" s="326" t="str">
        <f>INDEX('Rate Card'!$B:$B,MATCH(服务费底表!$T240,'Rate Card'!$F:$F,0))</f>
        <v>临床运营</v>
      </c>
      <c r="I240" s="328" t="s">
        <v>921</v>
      </c>
      <c r="J240" s="328" t="str">
        <f>INDEX(二三级标准!$Q:$Q,MATCH(服务费底表!I240,二三级标准!$O:$O,0))</f>
        <v>项目管理</v>
      </c>
      <c r="K240" s="328" t="s">
        <v>239</v>
      </c>
      <c r="L240" s="328" t="str">
        <f>INDEX(二三级标准!C:C,MATCH(服务费底表!K240,二三级标准!$B:$B,0))</f>
        <v>致客户项目进展报告撰写</v>
      </c>
      <c r="M240" s="328" t="s">
        <v>1331</v>
      </c>
      <c r="N240" s="328" t="str">
        <f>INDEX(二三级标准!$M:$M,MATCH(服务费底表!$M240,二三级标准!$L:$L,0))</f>
        <v>致客户项目进展报告撰写</v>
      </c>
      <c r="O240" s="328"/>
      <c r="P240" s="531">
        <f>IF(R240=1,INDEX(服务费明细!$E:$E,MATCH(服务费底表!$K240,服务费明细!$B:$B,0)),0)</f>
        <v>23</v>
      </c>
      <c r="Q240" s="328" t="s">
        <v>1178</v>
      </c>
      <c r="R240" s="520">
        <f>IF(AND(致客户项目进展报告撰写YN=1,项目管理YN=1),1,0)</f>
        <v>1</v>
      </c>
      <c r="S240" s="525" t="str">
        <f>INDEX('Rate Card'!$D:$D,MATCH(服务费底表!$T240,'Rate Card'!F:F,0))</f>
        <v>项目管理</v>
      </c>
      <c r="T240" s="328" t="s">
        <v>599</v>
      </c>
      <c r="U240" s="522" t="str">
        <f>INDEX('Rate Card'!$E:$E,MATCH(服务费底表!$T240,'Rate Card'!$F:$F,0))</f>
        <v>临床项目经理</v>
      </c>
      <c r="V240" s="331">
        <f>INDEX('Rate Card'!$J:$J,MATCH($T240,'Rate Card'!$F:$F,0))</f>
        <v>650</v>
      </c>
      <c r="W240" s="523">
        <f t="shared" si="202"/>
        <v>650</v>
      </c>
      <c r="X240" s="523">
        <f t="shared" si="203"/>
        <v>2</v>
      </c>
      <c r="Y240" s="327" cm="1">
        <f t="array" ref="Y240">_xlfn.IFS(报价场景=服务费底表!$AJ$2,服务费底表!$AJ240,报价场景=服务费底表!$AP$2,服务费底表!$AP240,报价场景=服务费底表!$AK$2,服务费底表!$AK240,报价场景=服务费底表!$AL$2,服务费底表!$AL240,报价场景=服务费底表!$AM$2,服务费底表!$AM240,报价场景=服务费底表!$AN$2,服务费底表!$AN240,报价场景=服务费底表!$AQ$2,服务费底表!$AQ240,报价场景=服务费底表!$AO$2,服务费底表!$AO240)</f>
        <v>2</v>
      </c>
      <c r="Z240" s="327"/>
      <c r="AA240" s="332">
        <f t="shared" si="210"/>
        <v>2</v>
      </c>
      <c r="AB240" s="333">
        <f t="shared" si="211"/>
        <v>1300</v>
      </c>
      <c r="AC240" s="328">
        <f t="shared" si="212"/>
        <v>46</v>
      </c>
      <c r="AD240" s="334">
        <f t="shared" ref="AD240:AD264" si="225">AC240*V240</f>
        <v>29900</v>
      </c>
      <c r="AE240" s="334">
        <f>$AB240*(1-INDEX(项目参数!$D$5:$D$14,MATCH(服务费底表!$S240,项目参数!$B$5:$B$14,0)))</f>
        <v>1300</v>
      </c>
      <c r="AF240" s="334">
        <f>$AD240*INDEX(项目参数!$D$5:$D$14,MATCH(服务费底表!$S240,项目参数!$B$5:$B$14,0))</f>
        <v>0</v>
      </c>
      <c r="AG240" s="334">
        <f t="shared" ref="AG240:AG264" si="226">AD240-AF240</f>
        <v>29900</v>
      </c>
      <c r="AH240" s="328"/>
      <c r="AI240" s="328" t="s">
        <v>599</v>
      </c>
      <c r="AJ240" s="327">
        <v>2</v>
      </c>
      <c r="AK240" s="327">
        <f t="shared" ref="AK240:AK242" si="227">AJ240*1.5</f>
        <v>3</v>
      </c>
      <c r="AL240" s="327">
        <f>AM240</f>
        <v>1.5</v>
      </c>
      <c r="AM240" s="327">
        <v>1.5</v>
      </c>
      <c r="AN240" s="327">
        <f t="shared" ref="AN240:AN242" si="228">AJ240</f>
        <v>2</v>
      </c>
      <c r="AO240" s="327">
        <f t="shared" si="206"/>
        <v>1.5</v>
      </c>
      <c r="AP240" s="327">
        <v>2</v>
      </c>
      <c r="AQ240" s="327">
        <f t="shared" si="207"/>
        <v>3</v>
      </c>
      <c r="AR240" s="338"/>
      <c r="AS240" s="328">
        <f t="shared" si="223"/>
        <v>46</v>
      </c>
      <c r="AT240" s="328">
        <f t="shared" si="224"/>
        <v>46</v>
      </c>
      <c r="AU240" s="523">
        <v>2</v>
      </c>
      <c r="AV240" s="328"/>
      <c r="AW240" s="328"/>
      <c r="AX240" s="332">
        <v>2</v>
      </c>
      <c r="AY240" s="328" t="b">
        <f t="shared" si="192"/>
        <v>1</v>
      </c>
      <c r="AZ240" s="328" t="b">
        <f t="shared" si="193"/>
        <v>0</v>
      </c>
    </row>
    <row r="241" ht="27" customHeight="1" spans="1:52">
      <c r="A241" s="326" t="str">
        <f>INDEX('Rate Card'!$A:$A,MATCH(服务费底表!$T241,'Rate Card'!$F:$F,0))</f>
        <v>临床运营</v>
      </c>
      <c r="B241" s="327" t="str">
        <f>INDEX(二三级标准!$G:$G,MATCH(服务费底表!$K241,二三级标准!B:B,0))</f>
        <v>次</v>
      </c>
      <c r="C241" s="327">
        <f>INDEX(服务费明细!$E:$E,MATCH(服务费底表!$K241,服务费明细!$B:$B,0))</f>
        <v>0</v>
      </c>
      <c r="D241" s="327" t="str">
        <f t="shared" si="208"/>
        <v>A068PM</v>
      </c>
      <c r="E241" s="327" t="str">
        <f t="shared" si="209"/>
        <v>T0160PM</v>
      </c>
      <c r="F241" s="328"/>
      <c r="G241" s="328" t="s">
        <v>684</v>
      </c>
      <c r="H241" s="326" t="str">
        <f>INDEX('Rate Card'!$B:$B,MATCH(服务费底表!$T241,'Rate Card'!$F:$F,0))</f>
        <v>临床运营</v>
      </c>
      <c r="I241" s="328" t="s">
        <v>921</v>
      </c>
      <c r="J241" s="328" t="str">
        <f>INDEX(二三级标准!$Q:$Q,MATCH(服务费底表!I241,二三级标准!$O:$O,0))</f>
        <v>项目管理</v>
      </c>
      <c r="K241" s="328" t="s">
        <v>241</v>
      </c>
      <c r="L241" s="328" t="str">
        <f>INDEX(二三级标准!C:C,MATCH(服务费底表!K241,二三级标准!$B:$B,0))</f>
        <v>召开客户面对面会</v>
      </c>
      <c r="M241" s="328" t="s">
        <v>1332</v>
      </c>
      <c r="N241" s="328" t="str">
        <f>INDEX(二三级标准!$M:$M,MATCH(服务费底表!$M241,二三级标准!$L:$L,0))</f>
        <v>参加客户现场沟通会议</v>
      </c>
      <c r="O241" s="328"/>
      <c r="P241" s="531">
        <f>IF(R241=1,INDEX(服务费明细!$E:$E,MATCH(服务费底表!$K241,服务费明细!$B:$B,0)),0)</f>
        <v>0</v>
      </c>
      <c r="Q241" s="328" t="s">
        <v>1178</v>
      </c>
      <c r="R241" s="520">
        <f>IF(AND(召开客户面对面会YN=1,项目管理YN=1),1,0)</f>
        <v>0</v>
      </c>
      <c r="S241" s="525" t="str">
        <f>INDEX('Rate Card'!$D:$D,MATCH(服务费底表!$T241,'Rate Card'!F:F,0))</f>
        <v>项目管理</v>
      </c>
      <c r="T241" s="328" t="s">
        <v>599</v>
      </c>
      <c r="U241" s="522" t="str">
        <f>INDEX('Rate Card'!$E:$E,MATCH(服务费底表!$T241,'Rate Card'!$F:$F,0))</f>
        <v>临床项目经理</v>
      </c>
      <c r="V241" s="331">
        <f>INDEX('Rate Card'!$J:$J,MATCH($T241,'Rate Card'!$F:$F,0))</f>
        <v>650</v>
      </c>
      <c r="W241" s="523">
        <f t="shared" si="202"/>
        <v>650</v>
      </c>
      <c r="X241" s="523">
        <f t="shared" si="203"/>
        <v>5</v>
      </c>
      <c r="Y241" s="327" cm="1">
        <f t="array" ref="Y241">_xlfn.IFS(报价场景=服务费底表!$AJ$2,服务费底表!$AJ241,报价场景=服务费底表!$AP$2,服务费底表!$AP241,报价场景=服务费底表!$AK$2,服务费底表!$AK241,报价场景=服务费底表!$AL$2,服务费底表!$AL241,报价场景=服务费底表!$AM$2,服务费底表!$AM241,报价场景=服务费底表!$AN$2,服务费底表!$AN241,报价场景=服务费底表!$AQ$2,服务费底表!$AQ241,报价场景=服务费底表!$AO$2,服务费底表!$AO241)</f>
        <v>5</v>
      </c>
      <c r="Z241" s="327"/>
      <c r="AA241" s="332">
        <f t="shared" si="210"/>
        <v>5</v>
      </c>
      <c r="AB241" s="333">
        <f t="shared" si="211"/>
        <v>0</v>
      </c>
      <c r="AC241" s="328">
        <f t="shared" si="212"/>
        <v>0</v>
      </c>
      <c r="AD241" s="334">
        <f t="shared" si="225"/>
        <v>0</v>
      </c>
      <c r="AE241" s="334">
        <f>$AB241*(1-INDEX(项目参数!$D$5:$D$14,MATCH(服务费底表!$S241,项目参数!$B$5:$B$14,0)))</f>
        <v>0</v>
      </c>
      <c r="AF241" s="334">
        <f>$AD241*INDEX(项目参数!$D$5:$D$14,MATCH(服务费底表!$S241,项目参数!$B$5:$B$14,0))</f>
        <v>0</v>
      </c>
      <c r="AG241" s="334">
        <f t="shared" si="226"/>
        <v>0</v>
      </c>
      <c r="AH241" s="328"/>
      <c r="AI241" s="328" t="s">
        <v>599</v>
      </c>
      <c r="AJ241" s="327">
        <f>3+2</f>
        <v>5</v>
      </c>
      <c r="AK241" s="327">
        <f>3+2</f>
        <v>5</v>
      </c>
      <c r="AL241" s="327">
        <f>3+2</f>
        <v>5</v>
      </c>
      <c r="AM241" s="327">
        <f>3+2</f>
        <v>5</v>
      </c>
      <c r="AN241" s="327">
        <f>3+2</f>
        <v>5</v>
      </c>
      <c r="AO241" s="327">
        <f t="shared" si="206"/>
        <v>5</v>
      </c>
      <c r="AP241" s="327">
        <v>5</v>
      </c>
      <c r="AQ241" s="327">
        <f t="shared" si="207"/>
        <v>7.5</v>
      </c>
      <c r="AR241" s="338"/>
      <c r="AS241" s="328">
        <f t="shared" si="223"/>
        <v>0</v>
      </c>
      <c r="AT241" s="328">
        <f t="shared" si="224"/>
        <v>0</v>
      </c>
      <c r="AU241" s="523">
        <v>5</v>
      </c>
      <c r="AV241" s="328"/>
      <c r="AW241" s="328"/>
      <c r="AX241" s="332">
        <v>5</v>
      </c>
      <c r="AY241" s="328" t="b">
        <f t="shared" si="192"/>
        <v>1</v>
      </c>
      <c r="AZ241" s="328" t="b">
        <f t="shared" si="193"/>
        <v>1</v>
      </c>
    </row>
    <row r="242" ht="27" customHeight="1" spans="1:52">
      <c r="A242" s="326" t="str">
        <f>INDEX('Rate Card'!$A:$A,MATCH(服务费底表!$T242,'Rate Card'!$F:$F,0))</f>
        <v>临床运营</v>
      </c>
      <c r="B242" s="327" t="str">
        <f>INDEX(二三级标准!$G:$G,MATCH(服务费底表!$K242,二三级标准!B:B,0))</f>
        <v>次</v>
      </c>
      <c r="C242" s="327">
        <f>INDEX(服务费明细!$E:$E,MATCH(服务费底表!$K242,服务费明细!$B:$B,0))</f>
        <v>0</v>
      </c>
      <c r="D242" s="327" t="str">
        <f t="shared" si="208"/>
        <v>A068PMD</v>
      </c>
      <c r="E242" s="327" t="str">
        <f t="shared" si="209"/>
        <v>T0160PMD</v>
      </c>
      <c r="F242" s="328"/>
      <c r="G242" s="328" t="s">
        <v>684</v>
      </c>
      <c r="H242" s="326" t="str">
        <f>INDEX('Rate Card'!$B:$B,MATCH(服务费底表!$T242,'Rate Card'!$F:$F,0))</f>
        <v>临床运营</v>
      </c>
      <c r="I242" s="328" t="s">
        <v>921</v>
      </c>
      <c r="J242" s="328" t="str">
        <f>INDEX(二三级标准!$Q:$Q,MATCH(服务费底表!I242,二三级标准!$O:$O,0))</f>
        <v>项目管理</v>
      </c>
      <c r="K242" s="328" t="s">
        <v>241</v>
      </c>
      <c r="L242" s="328" t="str">
        <f>INDEX(二三级标准!C:C,MATCH(服务费底表!K242,二三级标准!$B:$B,0))</f>
        <v>召开客户面对面会</v>
      </c>
      <c r="M242" s="328" t="s">
        <v>1332</v>
      </c>
      <c r="N242" s="328" t="str">
        <f>INDEX(二三级标准!$M:$M,MATCH(服务费底表!$M242,二三级标准!$L:$L,0))</f>
        <v>参加客户现场沟通会议</v>
      </c>
      <c r="O242" s="328"/>
      <c r="P242" s="531">
        <f>IF(R242=1,INDEX(服务费明细!$E:$E,MATCH(服务费底表!$K242,服务费明细!$B:$B,0)),0)</f>
        <v>0</v>
      </c>
      <c r="Q242" s="328" t="s">
        <v>1178</v>
      </c>
      <c r="R242" s="520">
        <f>IF(AND(召开客户面对面会YN=1,项目管理YN=1),1,0)</f>
        <v>0</v>
      </c>
      <c r="S242" s="525" t="str">
        <f>INDEX('Rate Card'!$D:$D,MATCH(服务费底表!$T242,'Rate Card'!F:F,0))</f>
        <v>项目管理</v>
      </c>
      <c r="T242" s="328" t="s">
        <v>601</v>
      </c>
      <c r="U242" s="522" t="str">
        <f>INDEX('Rate Card'!$E:$E,MATCH(服务费底表!$T242,'Rate Card'!$F:$F,0))</f>
        <v>临床项目总监</v>
      </c>
      <c r="V242" s="331">
        <f>INDEX('Rate Card'!$J:$J,MATCH($T242,'Rate Card'!$F:$F,0))</f>
        <v>800</v>
      </c>
      <c r="W242" s="523">
        <f t="shared" si="202"/>
        <v>800</v>
      </c>
      <c r="X242" s="523">
        <f t="shared" si="203"/>
        <v>5</v>
      </c>
      <c r="Y242" s="327" cm="1">
        <f t="array" ref="Y242">_xlfn.IFS(报价场景=服务费底表!$AJ$2,服务费底表!$AJ242,报价场景=服务费底表!$AP$2,服务费底表!$AP242,报价场景=服务费底表!$AK$2,服务费底表!$AK242,报价场景=服务费底表!$AL$2,服务费底表!$AL242,报价场景=服务费底表!$AM$2,服务费底表!$AM242,报价场景=服务费底表!$AN$2,服务费底表!$AN242,报价场景=服务费底表!$AQ$2,服务费底表!$AQ242,报价场景=服务费底表!$AO$2,服务费底表!$AO242)</f>
        <v>5</v>
      </c>
      <c r="Z242" s="327"/>
      <c r="AA242" s="332">
        <f t="shared" si="210"/>
        <v>5</v>
      </c>
      <c r="AB242" s="333">
        <f t="shared" si="211"/>
        <v>0</v>
      </c>
      <c r="AC242" s="328">
        <f t="shared" si="212"/>
        <v>0</v>
      </c>
      <c r="AD242" s="334">
        <f t="shared" si="225"/>
        <v>0</v>
      </c>
      <c r="AE242" s="334">
        <f>$AB242*(1-INDEX(项目参数!$D$5:$D$14,MATCH(服务费底表!$S242,项目参数!$B$5:$B$14,0)))</f>
        <v>0</v>
      </c>
      <c r="AF242" s="334">
        <f>$AD242*INDEX(项目参数!$D$5:$D$14,MATCH(服务费底表!$S242,项目参数!$B$5:$B$14,0))</f>
        <v>0</v>
      </c>
      <c r="AG242" s="334">
        <f t="shared" si="226"/>
        <v>0</v>
      </c>
      <c r="AH242" s="328"/>
      <c r="AI242" s="328" t="s">
        <v>601</v>
      </c>
      <c r="AJ242" s="327">
        <f>3+2</f>
        <v>5</v>
      </c>
      <c r="AK242" s="327">
        <f>3+2</f>
        <v>5</v>
      </c>
      <c r="AL242" s="327">
        <f>3+2</f>
        <v>5</v>
      </c>
      <c r="AM242" s="327">
        <f>3+2</f>
        <v>5</v>
      </c>
      <c r="AN242" s="327">
        <f>3+2</f>
        <v>5</v>
      </c>
      <c r="AO242" s="327">
        <f t="shared" si="206"/>
        <v>5</v>
      </c>
      <c r="AP242" s="327">
        <v>5</v>
      </c>
      <c r="AQ242" s="327">
        <f t="shared" si="207"/>
        <v>7.5</v>
      </c>
      <c r="AR242" s="338"/>
      <c r="AS242" s="328">
        <f t="shared" si="223"/>
        <v>0</v>
      </c>
      <c r="AT242" s="328">
        <f t="shared" si="224"/>
        <v>0</v>
      </c>
      <c r="AU242" s="523">
        <v>5</v>
      </c>
      <c r="AV242" s="328"/>
      <c r="AW242" s="328"/>
      <c r="AX242" s="332">
        <v>5</v>
      </c>
      <c r="AY242" s="328" t="b">
        <f t="shared" si="192"/>
        <v>1</v>
      </c>
      <c r="AZ242" s="328" t="b">
        <f t="shared" si="193"/>
        <v>1</v>
      </c>
    </row>
    <row r="243" ht="27" customHeight="1" spans="1:52">
      <c r="A243" s="326" t="str">
        <f>INDEX('Rate Card'!$A:$A,MATCH(服务费底表!$T243,'Rate Card'!$F:$F,0))</f>
        <v>医学</v>
      </c>
      <c r="B243" s="327" t="str">
        <f>INDEX(二三级标准!$G:$G,MATCH(服务费底表!$K243,二三级标准!B:B,0))</f>
        <v>次</v>
      </c>
      <c r="C243" s="327">
        <f>INDEX(服务费明细!$E:$E,MATCH(服务费底表!$K243,服务费明细!$B:$B,0))</f>
        <v>0</v>
      </c>
      <c r="D243" s="327" t="str">
        <f t="shared" si="208"/>
        <v>A068MM</v>
      </c>
      <c r="E243" s="327" t="str">
        <f t="shared" si="209"/>
        <v>T0160MM</v>
      </c>
      <c r="F243" s="328"/>
      <c r="G243" s="328" t="s">
        <v>684</v>
      </c>
      <c r="H243" s="326" t="str">
        <f>INDEX('Rate Card'!$B:$B,MATCH(服务费底表!$T243,'Rate Card'!$F:$F,0))</f>
        <v>医学</v>
      </c>
      <c r="I243" s="328" t="s">
        <v>921</v>
      </c>
      <c r="J243" s="328" t="str">
        <f>INDEX(二三级标准!$Q:$Q,MATCH(服务费底表!I243,二三级标准!$O:$O,0))</f>
        <v>项目管理</v>
      </c>
      <c r="K243" s="328" t="s">
        <v>241</v>
      </c>
      <c r="L243" s="328" t="str">
        <f>INDEX(二三级标准!C:C,MATCH(服务费底表!K243,二三级标准!$B:$B,0))</f>
        <v>召开客户面对面会</v>
      </c>
      <c r="M243" s="328" t="s">
        <v>1332</v>
      </c>
      <c r="N243" s="328" t="str">
        <f>INDEX(二三级标准!$M:$M,MATCH(服务费底表!$M243,二三级标准!$L:$L,0))</f>
        <v>参加客户现场沟通会议</v>
      </c>
      <c r="O243" s="328"/>
      <c r="P243" s="531">
        <f>IF(R243=1,INDEX(服务费明细!$E:$E,MATCH(服务费底表!$K243,服务费明细!$B:$B,0)),0)</f>
        <v>0</v>
      </c>
      <c r="Q243" s="328" t="s">
        <v>1178</v>
      </c>
      <c r="R243" s="520">
        <f>IF(AND(召开客户面对面会YN=1,医学监查YN=1),1,0)</f>
        <v>0</v>
      </c>
      <c r="S243" s="521" t="str">
        <f>IF(AND(H243="医学",OR(I243=二三级标准!$A$4,I243=二三级标准!$A$153)),"医学撰写","医学监查")</f>
        <v>医学监查</v>
      </c>
      <c r="T243" s="328" t="s">
        <v>615</v>
      </c>
      <c r="U243" s="522" t="str">
        <f>INDEX('Rate Card'!$E:$E,MATCH(服务费底表!$T243,'Rate Card'!$F:$F,0))</f>
        <v>医学经理</v>
      </c>
      <c r="V243" s="331">
        <f>INDEX('Rate Card'!$J:$J,MATCH($T243,'Rate Card'!$F:$F,0))</f>
        <v>650</v>
      </c>
      <c r="W243" s="523">
        <f t="shared" si="202"/>
        <v>650</v>
      </c>
      <c r="X243" s="523">
        <f t="shared" si="203"/>
        <v>5</v>
      </c>
      <c r="Y243" s="327" cm="1">
        <f t="array" ref="Y243">_xlfn.IFS(报价场景=服务费底表!$AJ$2,服务费底表!$AJ243,报价场景=服务费底表!$AP$2,服务费底表!$AP243,报价场景=服务费底表!$AK$2,服务费底表!$AK243,报价场景=服务费底表!$AL$2,服务费底表!$AL243,报价场景=服务费底表!$AM$2,服务费底表!$AM243,报价场景=服务费底表!$AN$2,服务费底表!$AN243,报价场景=服务费底表!$AQ$2,服务费底表!$AQ243,报价场景=服务费底表!$AO$2,服务费底表!$AO243)</f>
        <v>5</v>
      </c>
      <c r="Z243" s="327"/>
      <c r="AA243" s="332">
        <f t="shared" si="210"/>
        <v>5</v>
      </c>
      <c r="AB243" s="333">
        <f t="shared" si="211"/>
        <v>0</v>
      </c>
      <c r="AC243" s="328">
        <f t="shared" si="212"/>
        <v>0</v>
      </c>
      <c r="AD243" s="334">
        <f t="shared" si="225"/>
        <v>0</v>
      </c>
      <c r="AE243" s="334">
        <f>$AB243*(1-INDEX(项目参数!$D$5:$D$14,MATCH(服务费底表!$S243,项目参数!$B$5:$B$14,0)))</f>
        <v>0</v>
      </c>
      <c r="AF243" s="334">
        <f>$AD243*INDEX(项目参数!$D$5:$D$14,MATCH(服务费底表!$S243,项目参数!$B$5:$B$14,0))</f>
        <v>0</v>
      </c>
      <c r="AG243" s="334">
        <f t="shared" si="226"/>
        <v>0</v>
      </c>
      <c r="AH243" s="328"/>
      <c r="AI243" s="328" t="s">
        <v>615</v>
      </c>
      <c r="AJ243" s="327">
        <v>5</v>
      </c>
      <c r="AK243" s="327">
        <v>5</v>
      </c>
      <c r="AL243" s="327">
        <v>5</v>
      </c>
      <c r="AM243" s="327">
        <v>5</v>
      </c>
      <c r="AN243" s="327">
        <v>5</v>
      </c>
      <c r="AO243" s="327">
        <f t="shared" si="206"/>
        <v>5</v>
      </c>
      <c r="AP243" s="327">
        <v>5</v>
      </c>
      <c r="AQ243" s="327">
        <f t="shared" si="207"/>
        <v>7.5</v>
      </c>
      <c r="AR243" s="338"/>
      <c r="AS243" s="328">
        <f t="shared" si="223"/>
        <v>0</v>
      </c>
      <c r="AT243" s="328">
        <f t="shared" si="224"/>
        <v>0</v>
      </c>
      <c r="AU243" s="523">
        <v>5</v>
      </c>
      <c r="AV243" s="328"/>
      <c r="AW243" s="328"/>
      <c r="AX243" s="332">
        <v>5</v>
      </c>
      <c r="AY243" s="328" t="b">
        <f t="shared" si="192"/>
        <v>1</v>
      </c>
      <c r="AZ243" s="328" t="b">
        <f t="shared" si="193"/>
        <v>1</v>
      </c>
    </row>
    <row r="244" ht="27" customHeight="1" spans="1:52">
      <c r="A244" s="326" t="str">
        <f>INDEX('Rate Card'!$A:$A,MATCH(服务费底表!$T244,'Rate Card'!$F:$F,0))</f>
        <v>医学</v>
      </c>
      <c r="B244" s="327" t="str">
        <f>INDEX(二三级标准!$G:$G,MATCH(服务费底表!$K244,二三级标准!B:B,0))</f>
        <v>次</v>
      </c>
      <c r="C244" s="327">
        <f>INDEX(服务费明细!$E:$E,MATCH(服务费底表!$K244,服务费明细!$B:$B,0))</f>
        <v>0</v>
      </c>
      <c r="D244" s="327" t="str">
        <f t="shared" si="208"/>
        <v>A068MD</v>
      </c>
      <c r="E244" s="327" t="str">
        <f t="shared" si="209"/>
        <v>T0160MD</v>
      </c>
      <c r="F244" s="328"/>
      <c r="G244" s="328" t="s">
        <v>684</v>
      </c>
      <c r="H244" s="326" t="str">
        <f>INDEX('Rate Card'!$B:$B,MATCH(服务费底表!$T244,'Rate Card'!$F:$F,0))</f>
        <v>医学</v>
      </c>
      <c r="I244" s="328" t="s">
        <v>921</v>
      </c>
      <c r="J244" s="328" t="str">
        <f>INDEX(二三级标准!$Q:$Q,MATCH(服务费底表!I244,二三级标准!$O:$O,0))</f>
        <v>项目管理</v>
      </c>
      <c r="K244" s="328" t="s">
        <v>241</v>
      </c>
      <c r="L244" s="328" t="str">
        <f>INDEX(二三级标准!C:C,MATCH(服务费底表!K244,二三级标准!$B:$B,0))</f>
        <v>召开客户面对面会</v>
      </c>
      <c r="M244" s="328" t="s">
        <v>1332</v>
      </c>
      <c r="N244" s="328" t="str">
        <f>INDEX(二三级标准!$M:$M,MATCH(服务费底表!$M244,二三级标准!$L:$L,0))</f>
        <v>参加客户现场沟通会议</v>
      </c>
      <c r="O244" s="328"/>
      <c r="P244" s="531">
        <f>IF(R244=1,INDEX(服务费明细!$E:$E,MATCH(服务费底表!$K244,服务费明细!$B:$B,0)),0)</f>
        <v>0</v>
      </c>
      <c r="Q244" s="328" t="s">
        <v>1178</v>
      </c>
      <c r="R244" s="520">
        <f>IF(AND(召开客户面对面会YN=1,医学监查YN=1),1,0)</f>
        <v>0</v>
      </c>
      <c r="S244" s="521" t="str">
        <f>IF(AND(H244="医学",OR(I244=二三级标准!$A$4,I244=二三级标准!$A$153)),"医学撰写","医学监查")</f>
        <v>医学监查</v>
      </c>
      <c r="T244" s="328" t="s">
        <v>613</v>
      </c>
      <c r="U244" s="522" t="str">
        <f>INDEX('Rate Card'!$E:$E,MATCH(服务费底表!$T244,'Rate Card'!$F:$F,0))</f>
        <v>医学总监</v>
      </c>
      <c r="V244" s="331">
        <f>INDEX('Rate Card'!$J:$J,MATCH($T244,'Rate Card'!$F:$F,0))</f>
        <v>990</v>
      </c>
      <c r="W244" s="523">
        <f t="shared" si="202"/>
        <v>990</v>
      </c>
      <c r="X244" s="523">
        <f t="shared" si="203"/>
        <v>5</v>
      </c>
      <c r="Y244" s="327" cm="1">
        <f t="array" ref="Y244">_xlfn.IFS(报价场景=服务费底表!$AJ$2,服务费底表!$AJ244,报价场景=服务费底表!$AP$2,服务费底表!$AP244,报价场景=服务费底表!$AK$2,服务费底表!$AK244,报价场景=服务费底表!$AL$2,服务费底表!$AL244,报价场景=服务费底表!$AM$2,服务费底表!$AM244,报价场景=服务费底表!$AN$2,服务费底表!$AN244,报价场景=服务费底表!$AQ$2,服务费底表!$AQ244,报价场景=服务费底表!$AO$2,服务费底表!$AO244)</f>
        <v>5</v>
      </c>
      <c r="Z244" s="327"/>
      <c r="AA244" s="332">
        <f t="shared" si="210"/>
        <v>5</v>
      </c>
      <c r="AB244" s="333">
        <f t="shared" si="211"/>
        <v>0</v>
      </c>
      <c r="AC244" s="328">
        <f t="shared" si="212"/>
        <v>0</v>
      </c>
      <c r="AD244" s="334">
        <f t="shared" si="225"/>
        <v>0</v>
      </c>
      <c r="AE244" s="334">
        <f>$AB244*(1-INDEX(项目参数!$D$5:$D$14,MATCH(服务费底表!$S244,项目参数!$B$5:$B$14,0)))</f>
        <v>0</v>
      </c>
      <c r="AF244" s="334">
        <f>$AD244*INDEX(项目参数!$D$5:$D$14,MATCH(服务费底表!$S244,项目参数!$B$5:$B$14,0))</f>
        <v>0</v>
      </c>
      <c r="AG244" s="334">
        <f t="shared" si="226"/>
        <v>0</v>
      </c>
      <c r="AH244" s="328"/>
      <c r="AI244" s="328" t="s">
        <v>613</v>
      </c>
      <c r="AJ244" s="327">
        <v>5</v>
      </c>
      <c r="AK244" s="327">
        <v>5</v>
      </c>
      <c r="AL244" s="327">
        <v>5</v>
      </c>
      <c r="AM244" s="327">
        <v>5</v>
      </c>
      <c r="AN244" s="327">
        <v>5</v>
      </c>
      <c r="AO244" s="327">
        <f t="shared" si="206"/>
        <v>5</v>
      </c>
      <c r="AP244" s="327">
        <v>5</v>
      </c>
      <c r="AQ244" s="327">
        <f t="shared" si="207"/>
        <v>7.5</v>
      </c>
      <c r="AR244" s="338"/>
      <c r="AS244" s="328">
        <f t="shared" si="223"/>
        <v>0</v>
      </c>
      <c r="AT244" s="328">
        <f t="shared" si="224"/>
        <v>0</v>
      </c>
      <c r="AU244" s="523">
        <v>5</v>
      </c>
      <c r="AV244" s="328"/>
      <c r="AW244" s="328"/>
      <c r="AX244" s="332">
        <v>5</v>
      </c>
      <c r="AY244" s="328" t="b">
        <f t="shared" si="192"/>
        <v>1</v>
      </c>
      <c r="AZ244" s="328" t="b">
        <f t="shared" si="193"/>
        <v>1</v>
      </c>
    </row>
    <row r="245" ht="27" customHeight="1" spans="1:52">
      <c r="A245" s="326" t="str">
        <f>INDEX('Rate Card'!$A:$A,MATCH(服务费底表!$T245,'Rate Card'!$F:$F,0))</f>
        <v>临床运营</v>
      </c>
      <c r="B245" s="327" t="str">
        <f>INDEX(二三级标准!$G:$G,MATCH(服务费底表!$K245,二三级标准!B:B,0))</f>
        <v>次</v>
      </c>
      <c r="C245" s="327">
        <f>INDEX(服务费明细!$E:$E,MATCH(服务费底表!$K245,服务费明细!$B:$B,0))</f>
        <v>33</v>
      </c>
      <c r="D245" s="327" t="str">
        <f t="shared" si="208"/>
        <v>A069PM</v>
      </c>
      <c r="E245" s="327" t="str">
        <f t="shared" si="209"/>
        <v>T0161PM</v>
      </c>
      <c r="F245" s="328"/>
      <c r="G245" s="328" t="s">
        <v>684</v>
      </c>
      <c r="H245" s="326" t="str">
        <f>INDEX('Rate Card'!$B:$B,MATCH(服务费底表!$T245,'Rate Card'!$F:$F,0))</f>
        <v>临床运营</v>
      </c>
      <c r="I245" s="328" t="s">
        <v>921</v>
      </c>
      <c r="J245" s="328" t="str">
        <f>INDEX(二三级标准!$Q:$Q,MATCH(服务费底表!I245,二三级标准!$O:$O,0))</f>
        <v>项目管理</v>
      </c>
      <c r="K245" s="328" t="s">
        <v>243</v>
      </c>
      <c r="L245" s="328" t="str">
        <f>INDEX(二三级标准!C:C,MATCH(服务费底表!K245,二三级标准!$B:$B,0))</f>
        <v>召开项目电话会</v>
      </c>
      <c r="M245" s="328" t="s">
        <v>1333</v>
      </c>
      <c r="N245" s="328" t="str">
        <f>INDEX(二三级标准!$M:$M,MATCH(服务费底表!$M245,二三级标准!$L:$L,0))</f>
        <v>准备项目电话会</v>
      </c>
      <c r="O245" s="328"/>
      <c r="P245" s="531">
        <f>IF(R245=1,INDEX(服务费明细!$E:$E,MATCH(服务费底表!$K245,服务费明细!$B:$B,0)),0)</f>
        <v>33</v>
      </c>
      <c r="Q245" s="328" t="s">
        <v>1178</v>
      </c>
      <c r="R245" s="520">
        <f>IF(AND(召开项目会YN=1,项目管理YN=1),1,0)</f>
        <v>1</v>
      </c>
      <c r="S245" s="525" t="str">
        <f>INDEX('Rate Card'!$D:$D,MATCH(服务费底表!$T245,'Rate Card'!F:F,0))</f>
        <v>项目管理</v>
      </c>
      <c r="T245" s="328" t="s">
        <v>599</v>
      </c>
      <c r="U245" s="522" t="str">
        <f>INDEX('Rate Card'!$E:$E,MATCH(服务费底表!$T245,'Rate Card'!$F:$F,0))</f>
        <v>临床项目经理</v>
      </c>
      <c r="V245" s="331">
        <f>INDEX('Rate Card'!$J:$J,MATCH($T245,'Rate Card'!$F:$F,0))</f>
        <v>650</v>
      </c>
      <c r="W245" s="523">
        <f t="shared" si="202"/>
        <v>650</v>
      </c>
      <c r="X245" s="523">
        <f t="shared" si="203"/>
        <v>1</v>
      </c>
      <c r="Y245" s="327" cm="1">
        <f t="array" ref="Y245">_xlfn.IFS(报价场景=服务费底表!$AJ$2,服务费底表!$AJ245,报价场景=服务费底表!$AP$2,服务费底表!$AP245,报价场景=服务费底表!$AK$2,服务费底表!$AK245,报价场景=服务费底表!$AL$2,服务费底表!$AL245,报价场景=服务费底表!$AM$2,服务费底表!$AM245,报价场景=服务费底表!$AN$2,服务费底表!$AN245,报价场景=服务费底表!$AQ$2,服务费底表!$AQ245,报价场景=服务费底表!$AO$2,服务费底表!$AO245)</f>
        <v>1</v>
      </c>
      <c r="Z245" s="327"/>
      <c r="AA245" s="332">
        <f t="shared" si="210"/>
        <v>1</v>
      </c>
      <c r="AB245" s="333">
        <f t="shared" si="211"/>
        <v>650</v>
      </c>
      <c r="AC245" s="328">
        <f t="shared" si="212"/>
        <v>33</v>
      </c>
      <c r="AD245" s="334">
        <f t="shared" si="225"/>
        <v>21450</v>
      </c>
      <c r="AE245" s="334">
        <f>$AB245*(1-INDEX(项目参数!$D$5:$D$14,MATCH(服务费底表!$S245,项目参数!$B$5:$B$14,0)))</f>
        <v>650</v>
      </c>
      <c r="AF245" s="334">
        <f>$AD245*INDEX(项目参数!$D$5:$D$14,MATCH(服务费底表!$S245,项目参数!$B$5:$B$14,0))</f>
        <v>0</v>
      </c>
      <c r="AG245" s="334">
        <f t="shared" si="226"/>
        <v>21450</v>
      </c>
      <c r="AH245" s="328"/>
      <c r="AI245" s="328" t="s">
        <v>599</v>
      </c>
      <c r="AJ245" s="327">
        <v>1</v>
      </c>
      <c r="AK245" s="327">
        <f>AJ245*1.5</f>
        <v>1.5</v>
      </c>
      <c r="AL245" s="327">
        <f>AM245</f>
        <v>0.8</v>
      </c>
      <c r="AM245" s="327">
        <v>0.8</v>
      </c>
      <c r="AN245" s="327">
        <f t="shared" ref="AN245:AN249" si="229">AJ245</f>
        <v>1</v>
      </c>
      <c r="AO245" s="327">
        <f t="shared" si="206"/>
        <v>0.8</v>
      </c>
      <c r="AP245" s="327">
        <v>1</v>
      </c>
      <c r="AQ245" s="327">
        <f t="shared" si="207"/>
        <v>1.5</v>
      </c>
      <c r="AR245" s="338"/>
      <c r="AS245" s="328">
        <f t="shared" si="223"/>
        <v>33</v>
      </c>
      <c r="AT245" s="328">
        <f t="shared" si="224"/>
        <v>33</v>
      </c>
      <c r="AU245" s="523">
        <v>1</v>
      </c>
      <c r="AV245" s="328"/>
      <c r="AW245" s="328"/>
      <c r="AX245" s="332">
        <v>1</v>
      </c>
      <c r="AY245" s="328" t="b">
        <f t="shared" si="192"/>
        <v>1</v>
      </c>
      <c r="AZ245" s="328" t="b">
        <f t="shared" si="193"/>
        <v>0</v>
      </c>
    </row>
    <row r="246" ht="27" customHeight="1" spans="1:52">
      <c r="A246" s="326" t="str">
        <f>INDEX('Rate Card'!$A:$A,MATCH(服务费底表!$T246,'Rate Card'!$F:$F,0))</f>
        <v>医学</v>
      </c>
      <c r="B246" s="327" t="str">
        <f>INDEX(二三级标准!$G:$G,MATCH(服务费底表!$K246,二三级标准!B:B,0))</f>
        <v>次</v>
      </c>
      <c r="C246" s="327">
        <f>INDEX(服务费明细!$E:$E,MATCH(服务费底表!$K246,服务费明细!$B:$B,0))</f>
        <v>33</v>
      </c>
      <c r="D246" s="327" t="str">
        <f t="shared" si="208"/>
        <v>A069MM</v>
      </c>
      <c r="E246" s="327" t="str">
        <f t="shared" si="209"/>
        <v>T0161MM</v>
      </c>
      <c r="F246" s="328"/>
      <c r="G246" s="328" t="s">
        <v>684</v>
      </c>
      <c r="H246" s="326" t="str">
        <f>INDEX('Rate Card'!$B:$B,MATCH(服务费底表!$T246,'Rate Card'!$F:$F,0))</f>
        <v>医学</v>
      </c>
      <c r="I246" s="328" t="s">
        <v>921</v>
      </c>
      <c r="J246" s="328" t="str">
        <f>INDEX(二三级标准!$Q:$Q,MATCH(服务费底表!I246,二三级标准!$O:$O,0))</f>
        <v>项目管理</v>
      </c>
      <c r="K246" s="328" t="s">
        <v>243</v>
      </c>
      <c r="L246" s="328" t="str">
        <f>INDEX(二三级标准!C:C,MATCH(服务费底表!K246,二三级标准!$B:$B,0))</f>
        <v>召开项目电话会</v>
      </c>
      <c r="M246" s="328" t="s">
        <v>1333</v>
      </c>
      <c r="N246" s="328" t="str">
        <f>INDEX(二三级标准!$M:$M,MATCH(服务费底表!$M246,二三级标准!$L:$L,0))</f>
        <v>准备项目电话会</v>
      </c>
      <c r="O246" s="328"/>
      <c r="P246" s="531">
        <f>IF(R246=1,INDEX(服务费明细!$E:$E,MATCH(服务费底表!$K246,服务费明细!$B:$B,0)),0)</f>
        <v>0</v>
      </c>
      <c r="Q246" s="328" t="s">
        <v>1178</v>
      </c>
      <c r="R246" s="520">
        <v>0</v>
      </c>
      <c r="S246" s="521" t="str">
        <f>IF(AND(H246="医学",OR(I246=二三级标准!$A$4,I246=二三级标准!$A$153)),"医学撰写","医学监查")</f>
        <v>医学监查</v>
      </c>
      <c r="T246" s="328" t="s">
        <v>615</v>
      </c>
      <c r="U246" s="522" t="str">
        <f>INDEX('Rate Card'!$E:$E,MATCH(服务费底表!$T246,'Rate Card'!$F:$F,0))</f>
        <v>医学经理</v>
      </c>
      <c r="V246" s="331">
        <f>INDEX('Rate Card'!$J:$J,MATCH($T246,'Rate Card'!$F:$F,0))</f>
        <v>650</v>
      </c>
      <c r="W246" s="523">
        <f t="shared" si="202"/>
        <v>650</v>
      </c>
      <c r="X246" s="523">
        <f t="shared" si="203"/>
        <v>0</v>
      </c>
      <c r="Y246" s="327" cm="1">
        <f t="array" ref="Y246">_xlfn.IFS(报价场景=服务费底表!$AJ$2,服务费底表!$AJ246,报价场景=服务费底表!$AP$2,服务费底表!$AP246,报价场景=服务费底表!$AK$2,服务费底表!$AK246,报价场景=服务费底表!$AL$2,服务费底表!$AL246,报价场景=服务费底表!$AM$2,服务费底表!$AM246,报价场景=服务费底表!$AN$2,服务费底表!$AN246,报价场景=服务费底表!$AQ$2,服务费底表!$AQ246,报价场景=服务费底表!$AO$2,服务费底表!$AO246)</f>
        <v>0</v>
      </c>
      <c r="Z246" s="327"/>
      <c r="AA246" s="332">
        <f t="shared" si="210"/>
        <v>0</v>
      </c>
      <c r="AB246" s="333">
        <f t="shared" si="211"/>
        <v>0</v>
      </c>
      <c r="AC246" s="328">
        <f t="shared" si="212"/>
        <v>0</v>
      </c>
      <c r="AD246" s="334">
        <f t="shared" si="225"/>
        <v>0</v>
      </c>
      <c r="AE246" s="334">
        <f>$AB246*(1-INDEX(项目参数!$D$5:$D$14,MATCH(服务费底表!$S246,项目参数!$B$5:$B$14,0)))</f>
        <v>0</v>
      </c>
      <c r="AF246" s="334">
        <f>$AD246*INDEX(项目参数!$D$5:$D$14,MATCH(服务费底表!$S246,项目参数!$B$5:$B$14,0))</f>
        <v>0</v>
      </c>
      <c r="AG246" s="334">
        <f t="shared" si="226"/>
        <v>0</v>
      </c>
      <c r="AH246" s="328"/>
      <c r="AI246" s="328" t="s">
        <v>615</v>
      </c>
      <c r="AJ246" s="327">
        <v>0</v>
      </c>
      <c r="AK246" s="327">
        <f>AJ246*1.5</f>
        <v>0</v>
      </c>
      <c r="AL246" s="327">
        <f>AJ246*0.8</f>
        <v>0</v>
      </c>
      <c r="AM246" s="327">
        <f>AJ246*0.9</f>
        <v>0</v>
      </c>
      <c r="AN246" s="327">
        <f>AL246</f>
        <v>0</v>
      </c>
      <c r="AO246" s="327">
        <f t="shared" si="206"/>
        <v>0</v>
      </c>
      <c r="AP246" s="327">
        <v>0</v>
      </c>
      <c r="AQ246" s="327">
        <f t="shared" si="207"/>
        <v>0</v>
      </c>
      <c r="AR246" s="338"/>
      <c r="AS246" s="328">
        <f t="shared" si="223"/>
        <v>0</v>
      </c>
      <c r="AT246" s="328">
        <f t="shared" si="224"/>
        <v>0</v>
      </c>
      <c r="AU246" s="523">
        <v>0</v>
      </c>
      <c r="AV246" s="328"/>
      <c r="AW246" s="328"/>
      <c r="AX246" s="332">
        <v>0</v>
      </c>
      <c r="AY246" s="328" t="b">
        <f t="shared" si="192"/>
        <v>1</v>
      </c>
      <c r="AZ246" s="328" t="b">
        <f t="shared" si="193"/>
        <v>0</v>
      </c>
    </row>
    <row r="247" ht="27" customHeight="1" spans="1:52">
      <c r="A247" s="326" t="str">
        <f>INDEX('Rate Card'!$A:$A,MATCH(服务费底表!$T247,'Rate Card'!$F:$F,0))</f>
        <v>临床运营</v>
      </c>
      <c r="B247" s="327" t="str">
        <f>INDEX(二三级标准!$G:$G,MATCH(服务费底表!$K247,二三级标准!B:B,0))</f>
        <v>次</v>
      </c>
      <c r="C247" s="327">
        <f>INDEX(服务费明细!$E:$E,MATCH(服务费底表!$K247,服务费明细!$B:$B,0))</f>
        <v>33</v>
      </c>
      <c r="D247" s="327" t="str">
        <f t="shared" si="208"/>
        <v>A069PM</v>
      </c>
      <c r="E247" s="327" t="str">
        <f t="shared" si="209"/>
        <v>T0162PM</v>
      </c>
      <c r="F247" s="328"/>
      <c r="G247" s="328" t="s">
        <v>684</v>
      </c>
      <c r="H247" s="326" t="str">
        <f>INDEX('Rate Card'!$B:$B,MATCH(服务费底表!$T247,'Rate Card'!$F:$F,0))</f>
        <v>临床运营</v>
      </c>
      <c r="I247" s="328" t="s">
        <v>921</v>
      </c>
      <c r="J247" s="328" t="str">
        <f>INDEX(二三级标准!$Q:$Q,MATCH(服务费底表!I247,二三级标准!$O:$O,0))</f>
        <v>项目管理</v>
      </c>
      <c r="K247" s="328" t="s">
        <v>243</v>
      </c>
      <c r="L247" s="328" t="str">
        <f>INDEX(二三级标准!C:C,MATCH(服务费底表!K247,二三级标准!$B:$B,0))</f>
        <v>召开项目电话会</v>
      </c>
      <c r="M247" s="328" t="s">
        <v>1334</v>
      </c>
      <c r="N247" s="328" t="str">
        <f>INDEX(二三级标准!$M:$M,MATCH(服务费底表!$M247,二三级标准!$L:$L,0))</f>
        <v>参加项目电话会</v>
      </c>
      <c r="O247" s="328"/>
      <c r="P247" s="531">
        <f>IF(R247=1,INDEX(服务费明细!$E:$E,MATCH(服务费底表!$K247,服务费明细!$B:$B,0)),0)</f>
        <v>33</v>
      </c>
      <c r="Q247" s="328" t="s">
        <v>1178</v>
      </c>
      <c r="R247" s="520">
        <f>IF(AND(召开项目会YN=1,项目管理YN=1),1,0)</f>
        <v>1</v>
      </c>
      <c r="S247" s="525" t="str">
        <f>INDEX('Rate Card'!$D:$D,MATCH(服务费底表!$T247,'Rate Card'!F:F,0))</f>
        <v>项目管理</v>
      </c>
      <c r="T247" s="328" t="s">
        <v>599</v>
      </c>
      <c r="U247" s="522" t="str">
        <f>INDEX('Rate Card'!$E:$E,MATCH(服务费底表!$T247,'Rate Card'!$F:$F,0))</f>
        <v>临床项目经理</v>
      </c>
      <c r="V247" s="331">
        <f>INDEX('Rate Card'!$J:$J,MATCH($T247,'Rate Card'!$F:$F,0))</f>
        <v>650</v>
      </c>
      <c r="W247" s="523">
        <f t="shared" si="202"/>
        <v>650</v>
      </c>
      <c r="X247" s="523">
        <f t="shared" si="203"/>
        <v>1</v>
      </c>
      <c r="Y247" s="327" cm="1">
        <f t="array" ref="Y247">_xlfn.IFS(报价场景=服务费底表!$AJ$2,服务费底表!$AJ247,报价场景=服务费底表!$AP$2,服务费底表!$AP247,报价场景=服务费底表!$AK$2,服务费底表!$AK247,报价场景=服务费底表!$AL$2,服务费底表!$AL247,报价场景=服务费底表!$AM$2,服务费底表!$AM247,报价场景=服务费底表!$AN$2,服务费底表!$AN247,报价场景=服务费底表!$AQ$2,服务费底表!$AQ247,报价场景=服务费底表!$AO$2,服务费底表!$AO247)</f>
        <v>1</v>
      </c>
      <c r="Z247" s="327"/>
      <c r="AA247" s="332">
        <f t="shared" si="210"/>
        <v>1</v>
      </c>
      <c r="AB247" s="333">
        <f t="shared" si="211"/>
        <v>650</v>
      </c>
      <c r="AC247" s="328">
        <f t="shared" si="212"/>
        <v>33</v>
      </c>
      <c r="AD247" s="334">
        <f t="shared" si="225"/>
        <v>21450</v>
      </c>
      <c r="AE247" s="334">
        <f>$AB247*(1-INDEX(项目参数!$D$5:$D$14,MATCH(服务费底表!$S247,项目参数!$B$5:$B$14,0)))</f>
        <v>650</v>
      </c>
      <c r="AF247" s="334">
        <f>$AD247*INDEX(项目参数!$D$5:$D$14,MATCH(服务费底表!$S247,项目参数!$B$5:$B$14,0))</f>
        <v>0</v>
      </c>
      <c r="AG247" s="334">
        <f t="shared" si="226"/>
        <v>21450</v>
      </c>
      <c r="AH247" s="328"/>
      <c r="AI247" s="328" t="s">
        <v>599</v>
      </c>
      <c r="AJ247" s="327">
        <v>1</v>
      </c>
      <c r="AK247" s="327">
        <v>1</v>
      </c>
      <c r="AL247" s="327">
        <v>1</v>
      </c>
      <c r="AM247" s="327">
        <v>1</v>
      </c>
      <c r="AN247" s="327">
        <f t="shared" si="229"/>
        <v>1</v>
      </c>
      <c r="AO247" s="327">
        <f t="shared" si="206"/>
        <v>1</v>
      </c>
      <c r="AP247" s="327">
        <v>1</v>
      </c>
      <c r="AQ247" s="327">
        <f t="shared" si="207"/>
        <v>1.5</v>
      </c>
      <c r="AR247" s="338"/>
      <c r="AS247" s="328">
        <f t="shared" si="223"/>
        <v>33</v>
      </c>
      <c r="AT247" s="328">
        <f t="shared" si="224"/>
        <v>33</v>
      </c>
      <c r="AU247" s="523">
        <v>1</v>
      </c>
      <c r="AV247" s="328"/>
      <c r="AW247" s="328"/>
      <c r="AX247" s="332">
        <v>1</v>
      </c>
      <c r="AY247" s="328" t="b">
        <f t="shared" si="192"/>
        <v>1</v>
      </c>
      <c r="AZ247" s="328" t="b">
        <f t="shared" si="193"/>
        <v>0</v>
      </c>
    </row>
    <row r="248" ht="27" customHeight="1" spans="1:52">
      <c r="A248" s="326" t="str">
        <f>INDEX('Rate Card'!$A:$A,MATCH(服务费底表!$T248,'Rate Card'!$F:$F,0))</f>
        <v>临床运营</v>
      </c>
      <c r="B248" s="327" t="str">
        <f>INDEX(二三级标准!$G:$G,MATCH(服务费底表!$K248,二三级标准!B:B,0))</f>
        <v>次</v>
      </c>
      <c r="C248" s="327">
        <f>INDEX(服务费明细!$E:$E,MATCH(服务费底表!$K248,服务费明细!$B:$B,0))</f>
        <v>33</v>
      </c>
      <c r="D248" s="327" t="str">
        <f t="shared" si="208"/>
        <v>A069CRA</v>
      </c>
      <c r="E248" s="327" t="str">
        <f t="shared" si="209"/>
        <v>T0162CRA</v>
      </c>
      <c r="F248" s="328"/>
      <c r="G248" s="328" t="s">
        <v>684</v>
      </c>
      <c r="H248" s="326" t="str">
        <f>INDEX('Rate Card'!$B:$B,MATCH(服务费底表!$T248,'Rate Card'!$F:$F,0))</f>
        <v>临床运营</v>
      </c>
      <c r="I248" s="328" t="s">
        <v>921</v>
      </c>
      <c r="J248" s="328" t="str">
        <f>INDEX(二三级标准!$Q:$Q,MATCH(服务费底表!I248,二三级标准!$O:$O,0))</f>
        <v>项目管理</v>
      </c>
      <c r="K248" s="328" t="s">
        <v>243</v>
      </c>
      <c r="L248" s="328" t="str">
        <f>INDEX(二三级标准!C:C,MATCH(服务费底表!K248,二三级标准!$B:$B,0))</f>
        <v>召开项目电话会</v>
      </c>
      <c r="M248" s="328" t="s">
        <v>1334</v>
      </c>
      <c r="N248" s="328" t="str">
        <f>INDEX(二三级标准!$M:$M,MATCH(服务费底表!$M248,二三级标准!$L:$L,0))</f>
        <v>参加项目电话会</v>
      </c>
      <c r="O248" s="328"/>
      <c r="P248" s="531">
        <f>IF(R248=1,INDEX(服务费明细!$E:$E,MATCH(服务费底表!$K248,服务费明细!$B:$B,0)),0)</f>
        <v>33</v>
      </c>
      <c r="Q248" s="328" t="s">
        <v>1178</v>
      </c>
      <c r="R248" s="520">
        <f>IF(AND(召开项目会YN=1,临床监查YN=1),1,0)</f>
        <v>1</v>
      </c>
      <c r="S248" s="525" t="str">
        <f>INDEX('Rate Card'!$D:$D,MATCH(服务费底表!$T248,'Rate Card'!F:F,0))</f>
        <v>临床监查</v>
      </c>
      <c r="T248" s="328" t="s">
        <v>595</v>
      </c>
      <c r="U248" s="522" t="str">
        <f>INDEX('Rate Card'!$E:$E,MATCH(服务费底表!$T248,'Rate Card'!$F:$F,0))</f>
        <v>临床监查员</v>
      </c>
      <c r="V248" s="331">
        <f>INDEX('Rate Card'!$J:$J,MATCH($T248,'Rate Card'!$F:$F,0))</f>
        <v>340</v>
      </c>
      <c r="W248" s="523">
        <f t="shared" si="202"/>
        <v>340</v>
      </c>
      <c r="X248" s="523">
        <f t="shared" si="203"/>
        <v>1</v>
      </c>
      <c r="Y248" s="327" cm="1">
        <f t="array" ref="Y248">_xlfn.IFS(报价场景=服务费底表!$AJ$2,服务费底表!$AJ248,报价场景=服务费底表!$AP$2,服务费底表!$AP248,报价场景=服务费底表!$AK$2,服务费底表!$AK248,报价场景=服务费底表!$AL$2,服务费底表!$AL248,报价场景=服务费底表!$AM$2,服务费底表!$AM248,报价场景=服务费底表!$AN$2,服务费底表!$AN248,报价场景=服务费底表!$AQ$2,服务费底表!$AQ248,报价场景=服务费底表!$AO$2,服务费底表!$AO248)</f>
        <v>1</v>
      </c>
      <c r="Z248" s="327"/>
      <c r="AA248" s="332">
        <f t="shared" si="210"/>
        <v>1</v>
      </c>
      <c r="AB248" s="333">
        <f t="shared" si="211"/>
        <v>340</v>
      </c>
      <c r="AC248" s="328">
        <f t="shared" si="212"/>
        <v>33</v>
      </c>
      <c r="AD248" s="334">
        <f t="shared" ref="AD248" si="230">AC248*V248</f>
        <v>11220</v>
      </c>
      <c r="AE248" s="334">
        <f>$AB248*(1-INDEX(项目参数!$D$5:$D$14,MATCH(服务费底表!$S248,项目参数!$B$5:$B$14,0)))</f>
        <v>340</v>
      </c>
      <c r="AF248" s="334">
        <f>$AD248*INDEX(项目参数!$D$5:$D$14,MATCH(服务费底表!$S248,项目参数!$B$5:$B$14,0))</f>
        <v>0</v>
      </c>
      <c r="AG248" s="334">
        <f t="shared" ref="AG248" si="231">AD248-AF248</f>
        <v>11220</v>
      </c>
      <c r="AH248" s="328"/>
      <c r="AI248" s="328" t="s">
        <v>595</v>
      </c>
      <c r="AJ248" s="327">
        <v>1</v>
      </c>
      <c r="AK248" s="327">
        <v>1</v>
      </c>
      <c r="AL248" s="327">
        <v>1</v>
      </c>
      <c r="AM248" s="327">
        <v>1</v>
      </c>
      <c r="AN248" s="327">
        <f t="shared" si="229"/>
        <v>1</v>
      </c>
      <c r="AO248" s="327">
        <f t="shared" si="206"/>
        <v>1</v>
      </c>
      <c r="AP248" s="327">
        <v>1</v>
      </c>
      <c r="AQ248" s="327">
        <f t="shared" si="207"/>
        <v>1.5</v>
      </c>
      <c r="AR248" s="338"/>
      <c r="AS248" s="328">
        <f t="shared" si="223"/>
        <v>33</v>
      </c>
      <c r="AT248" s="328">
        <f t="shared" si="224"/>
        <v>33</v>
      </c>
      <c r="AU248" s="523">
        <v>1</v>
      </c>
      <c r="AV248" s="328"/>
      <c r="AW248" s="328"/>
      <c r="AX248" s="332">
        <v>1</v>
      </c>
      <c r="AY248" s="328" t="b">
        <f t="shared" si="192"/>
        <v>1</v>
      </c>
      <c r="AZ248" s="328" t="b">
        <f t="shared" si="193"/>
        <v>0</v>
      </c>
    </row>
    <row r="249" ht="27" customHeight="1" spans="1:52">
      <c r="A249" s="326" t="str">
        <f>INDEX('Rate Card'!$A:$A,MATCH(服务费底表!$T249,'Rate Card'!$F:$F,0))</f>
        <v>临床运营</v>
      </c>
      <c r="B249" s="327" t="str">
        <f>INDEX(二三级标准!$G:$G,MATCH(服务费底表!$K249,二三级标准!B:B,0))</f>
        <v>次</v>
      </c>
      <c r="C249" s="327">
        <f>INDEX(服务费明细!$E:$E,MATCH(服务费底表!$K249,服务费明细!$B:$B,0))</f>
        <v>33</v>
      </c>
      <c r="D249" s="327" t="str">
        <f t="shared" si="208"/>
        <v>A069CTA</v>
      </c>
      <c r="E249" s="327" t="str">
        <f t="shared" si="209"/>
        <v>T0162CTA</v>
      </c>
      <c r="F249" s="328"/>
      <c r="G249" s="328" t="s">
        <v>684</v>
      </c>
      <c r="H249" s="326" t="str">
        <f>INDEX('Rate Card'!$B:$B,MATCH(服务费底表!$T249,'Rate Card'!$F:$F,0))</f>
        <v>临床运营</v>
      </c>
      <c r="I249" s="328" t="s">
        <v>921</v>
      </c>
      <c r="J249" s="328" t="str">
        <f>INDEX(二三级标准!$Q:$Q,MATCH(服务费底表!I249,二三级标准!$O:$O,0))</f>
        <v>项目管理</v>
      </c>
      <c r="K249" s="328" t="s">
        <v>243</v>
      </c>
      <c r="L249" s="328" t="str">
        <f>INDEX(二三级标准!C:C,MATCH(服务费底表!K249,二三级标准!$B:$B,0))</f>
        <v>召开项目电话会</v>
      </c>
      <c r="M249" s="328" t="s">
        <v>1334</v>
      </c>
      <c r="N249" s="328" t="str">
        <f>INDEX(二三级标准!$M:$M,MATCH(服务费底表!$M249,二三级标准!$L:$L,0))</f>
        <v>参加项目电话会</v>
      </c>
      <c r="O249" s="328"/>
      <c r="P249" s="531">
        <f>IF(R249=1,INDEX(服务费明细!$E:$E,MATCH(服务费底表!$K249,服务费明细!$B:$B,0)),0)</f>
        <v>33</v>
      </c>
      <c r="Q249" s="328" t="s">
        <v>1178</v>
      </c>
      <c r="R249" s="520">
        <f>IF(AND(召开项目会YN=1,临床监查YN=1),1,0)</f>
        <v>1</v>
      </c>
      <c r="S249" s="525" t="str">
        <f>INDEX('Rate Card'!$D:$D,MATCH(服务费底表!$T249,'Rate Card'!F:F,0))</f>
        <v>临床监查</v>
      </c>
      <c r="T249" s="328" t="s">
        <v>597</v>
      </c>
      <c r="U249" s="522" t="str">
        <f>INDEX('Rate Card'!$E:$E,MATCH(服务费底表!$T249,'Rate Card'!$F:$F,0))</f>
        <v>临床试验助理</v>
      </c>
      <c r="V249" s="331">
        <f>INDEX('Rate Card'!$J:$J,MATCH($T249,'Rate Card'!$F:$F,0))</f>
        <v>220</v>
      </c>
      <c r="W249" s="523">
        <f t="shared" si="202"/>
        <v>220</v>
      </c>
      <c r="X249" s="523">
        <f t="shared" si="203"/>
        <v>1</v>
      </c>
      <c r="Y249" s="327" cm="1">
        <f t="array" ref="Y249">_xlfn.IFS(报价场景=服务费底表!$AJ$2,服务费底表!$AJ249,报价场景=服务费底表!$AP$2,服务费底表!$AP249,报价场景=服务费底表!$AK$2,服务费底表!$AK249,报价场景=服务费底表!$AL$2,服务费底表!$AL249,报价场景=服务费底表!$AM$2,服务费底表!$AM249,报价场景=服务费底表!$AN$2,服务费底表!$AN249,报价场景=服务费底表!$AQ$2,服务费底表!$AQ249,报价场景=服务费底表!$AO$2,服务费底表!$AO249)</f>
        <v>1</v>
      </c>
      <c r="Z249" s="327"/>
      <c r="AA249" s="332">
        <f t="shared" si="210"/>
        <v>1</v>
      </c>
      <c r="AB249" s="333">
        <f t="shared" si="211"/>
        <v>220</v>
      </c>
      <c r="AC249" s="328">
        <f t="shared" si="212"/>
        <v>33</v>
      </c>
      <c r="AD249" s="334">
        <f t="shared" si="225"/>
        <v>7260</v>
      </c>
      <c r="AE249" s="334">
        <f>$AB249*(1-INDEX(项目参数!$D$5:$D$14,MATCH(服务费底表!$S249,项目参数!$B$5:$B$14,0)))</f>
        <v>220</v>
      </c>
      <c r="AF249" s="334">
        <f>$AD249*INDEX(项目参数!$D$5:$D$14,MATCH(服务费底表!$S249,项目参数!$B$5:$B$14,0))</f>
        <v>0</v>
      </c>
      <c r="AG249" s="334">
        <f t="shared" si="226"/>
        <v>7260</v>
      </c>
      <c r="AH249" s="328"/>
      <c r="AI249" s="328" t="s">
        <v>597</v>
      </c>
      <c r="AJ249" s="327">
        <v>1</v>
      </c>
      <c r="AK249" s="327">
        <v>1</v>
      </c>
      <c r="AL249" s="327">
        <v>1</v>
      </c>
      <c r="AM249" s="327">
        <v>1</v>
      </c>
      <c r="AN249" s="327">
        <f t="shared" si="229"/>
        <v>1</v>
      </c>
      <c r="AO249" s="327">
        <f t="shared" si="206"/>
        <v>1</v>
      </c>
      <c r="AP249" s="327">
        <v>1</v>
      </c>
      <c r="AQ249" s="327">
        <f t="shared" si="207"/>
        <v>1.5</v>
      </c>
      <c r="AR249" s="338"/>
      <c r="AS249" s="328">
        <f t="shared" si="223"/>
        <v>33</v>
      </c>
      <c r="AT249" s="328">
        <f t="shared" si="224"/>
        <v>33</v>
      </c>
      <c r="AU249" s="523">
        <v>1</v>
      </c>
      <c r="AV249" s="328"/>
      <c r="AW249" s="328"/>
      <c r="AX249" s="332">
        <v>1</v>
      </c>
      <c r="AY249" s="328" t="b">
        <f t="shared" si="192"/>
        <v>1</v>
      </c>
      <c r="AZ249" s="328" t="b">
        <f t="shared" si="193"/>
        <v>0</v>
      </c>
    </row>
    <row r="250" ht="27" customHeight="1" spans="1:52">
      <c r="A250" s="326" t="str">
        <f>INDEX('Rate Card'!$A:$A,MATCH(服务费底表!$T250,'Rate Card'!$F:$F,0))</f>
        <v>医学</v>
      </c>
      <c r="B250" s="327" t="str">
        <f>INDEX(二三级标准!$G:$G,MATCH(服务费底表!$K250,二三级标准!B:B,0))</f>
        <v>次</v>
      </c>
      <c r="C250" s="327">
        <f>INDEX(服务费明细!$E:$E,MATCH(服务费底表!$K250,服务费明细!$B:$B,0))</f>
        <v>33</v>
      </c>
      <c r="D250" s="327" t="str">
        <f t="shared" si="208"/>
        <v>A069MM</v>
      </c>
      <c r="E250" s="327" t="str">
        <f t="shared" si="209"/>
        <v>T0162MM</v>
      </c>
      <c r="F250" s="328"/>
      <c r="G250" s="328" t="s">
        <v>684</v>
      </c>
      <c r="H250" s="326" t="str">
        <f>INDEX('Rate Card'!$B:$B,MATCH(服务费底表!$T250,'Rate Card'!$F:$F,0))</f>
        <v>医学</v>
      </c>
      <c r="I250" s="328" t="s">
        <v>921</v>
      </c>
      <c r="J250" s="328" t="str">
        <f>INDEX(二三级标准!$Q:$Q,MATCH(服务费底表!I250,二三级标准!$O:$O,0))</f>
        <v>项目管理</v>
      </c>
      <c r="K250" s="328" t="s">
        <v>243</v>
      </c>
      <c r="L250" s="328" t="str">
        <f>INDEX(二三级标准!C:C,MATCH(服务费底表!K250,二三级标准!$B:$B,0))</f>
        <v>召开项目电话会</v>
      </c>
      <c r="M250" s="328" t="s">
        <v>1334</v>
      </c>
      <c r="N250" s="328" t="str">
        <f>INDEX(二三级标准!$M:$M,MATCH(服务费底表!$M250,二三级标准!$L:$L,0))</f>
        <v>参加项目电话会</v>
      </c>
      <c r="O250" s="328"/>
      <c r="P250" s="531">
        <f>IF(R250=1,INDEX(服务费明细!$E:$E,MATCH(服务费底表!$K250,服务费明细!$B:$B,0))*50%,0)</f>
        <v>16.5</v>
      </c>
      <c r="Q250" s="328" t="s">
        <v>1178</v>
      </c>
      <c r="R250" s="520">
        <f>IF(AND(召开项目会YN=1,医学监查YN=1),1,0)</f>
        <v>1</v>
      </c>
      <c r="S250" s="521" t="str">
        <f>IF(AND(H250="医学",OR(I250=二三级标准!$A$4,I250=二三级标准!$A$153)),"医学撰写","医学监查")</f>
        <v>医学监查</v>
      </c>
      <c r="T250" s="328" t="s">
        <v>615</v>
      </c>
      <c r="U250" s="522" t="str">
        <f>INDEX('Rate Card'!$E:$E,MATCH(服务费底表!$T250,'Rate Card'!$F:$F,0))</f>
        <v>医学经理</v>
      </c>
      <c r="V250" s="331">
        <f>INDEX('Rate Card'!$J:$J,MATCH($T250,'Rate Card'!$F:$F,0))</f>
        <v>650</v>
      </c>
      <c r="W250" s="523">
        <f t="shared" si="202"/>
        <v>650</v>
      </c>
      <c r="X250" s="523">
        <f t="shared" si="203"/>
        <v>0.5</v>
      </c>
      <c r="Y250" s="327" cm="1">
        <f t="array" ref="Y250">_xlfn.IFS(报价场景=服务费底表!$AJ$2,服务费底表!$AJ250,报价场景=服务费底表!$AP$2,服务费底表!$AP250,报价场景=服务费底表!$AK$2,服务费底表!$AK250,报价场景=服务费底表!$AL$2,服务费底表!$AL250,报价场景=服务费底表!$AM$2,服务费底表!$AM250,报价场景=服务费底表!$AN$2,服务费底表!$AN250,报价场景=服务费底表!$AQ$2,服务费底表!$AQ250,报价场景=服务费底表!$AO$2,服务费底表!$AO250)</f>
        <v>0.5</v>
      </c>
      <c r="Z250" s="327"/>
      <c r="AA250" s="332">
        <f t="shared" si="210"/>
        <v>0.5</v>
      </c>
      <c r="AB250" s="333">
        <f t="shared" si="211"/>
        <v>325</v>
      </c>
      <c r="AC250" s="328">
        <f t="shared" si="212"/>
        <v>8.25</v>
      </c>
      <c r="AD250" s="334">
        <f t="shared" si="225"/>
        <v>5362.5</v>
      </c>
      <c r="AE250" s="334">
        <f>$AB250*(1-INDEX(项目参数!$D$5:$D$14,MATCH(服务费底表!$S250,项目参数!$B$5:$B$14,0)))</f>
        <v>325</v>
      </c>
      <c r="AF250" s="334">
        <f>$AD250*INDEX(项目参数!$D$5:$D$14,MATCH(服务费底表!$S250,项目参数!$B$5:$B$14,0))</f>
        <v>0</v>
      </c>
      <c r="AG250" s="334">
        <f t="shared" si="226"/>
        <v>5362.5</v>
      </c>
      <c r="AH250" s="328"/>
      <c r="AI250" s="328" t="s">
        <v>615</v>
      </c>
      <c r="AJ250" s="327">
        <v>0.5</v>
      </c>
      <c r="AK250" s="327">
        <v>0.5</v>
      </c>
      <c r="AL250" s="327">
        <v>0.5</v>
      </c>
      <c r="AM250" s="327">
        <v>0.5</v>
      </c>
      <c r="AN250" s="327">
        <v>0.5</v>
      </c>
      <c r="AO250" s="327">
        <f t="shared" si="206"/>
        <v>0.5</v>
      </c>
      <c r="AP250" s="327">
        <v>0.5</v>
      </c>
      <c r="AQ250" s="327">
        <f t="shared" si="207"/>
        <v>0.75</v>
      </c>
      <c r="AR250" s="338"/>
      <c r="AS250" s="328">
        <f t="shared" si="223"/>
        <v>8.25</v>
      </c>
      <c r="AT250" s="328">
        <f t="shared" si="224"/>
        <v>8.25</v>
      </c>
      <c r="AU250" s="523">
        <v>0.5</v>
      </c>
      <c r="AV250" s="328"/>
      <c r="AW250" s="328"/>
      <c r="AX250" s="332">
        <v>0.5</v>
      </c>
      <c r="AY250" s="328" t="b">
        <f t="shared" si="192"/>
        <v>1</v>
      </c>
      <c r="AZ250" s="328" t="b">
        <f t="shared" si="193"/>
        <v>0</v>
      </c>
    </row>
    <row r="251" ht="27" customHeight="1" spans="1:52">
      <c r="A251" s="326" t="str">
        <f>INDEX('Rate Card'!$A:$A,MATCH(服务费底表!$T251,'Rate Card'!$F:$F,0))</f>
        <v>临床运营</v>
      </c>
      <c r="B251" s="327" t="str">
        <f>INDEX(二三级标准!$G:$G,MATCH(服务费底表!$K251,二三级标准!B:B,0))</f>
        <v>次</v>
      </c>
      <c r="C251" s="327">
        <f>INDEX(服务费明细!$E:$E,MATCH(服务费底表!$K251,服务费明细!$B:$B,0))</f>
        <v>33</v>
      </c>
      <c r="D251" s="327" t="str">
        <f t="shared" si="208"/>
        <v>A069PMD</v>
      </c>
      <c r="E251" s="327" t="str">
        <f t="shared" si="209"/>
        <v>T0162PMD</v>
      </c>
      <c r="F251" s="328"/>
      <c r="G251" s="328" t="s">
        <v>684</v>
      </c>
      <c r="H251" s="326" t="str">
        <f>INDEX('Rate Card'!$B:$B,MATCH(服务费底表!$T251,'Rate Card'!$F:$F,0))</f>
        <v>临床运营</v>
      </c>
      <c r="I251" s="328" t="s">
        <v>921</v>
      </c>
      <c r="J251" s="328" t="str">
        <f>INDEX(二三级标准!$Q:$Q,MATCH(服务费底表!I251,二三级标准!$O:$O,0))</f>
        <v>项目管理</v>
      </c>
      <c r="K251" s="328" t="s">
        <v>243</v>
      </c>
      <c r="L251" s="328" t="str">
        <f>INDEX(二三级标准!C:C,MATCH(服务费底表!K251,二三级标准!$B:$B,0))</f>
        <v>召开项目电话会</v>
      </c>
      <c r="M251" s="328" t="s">
        <v>1334</v>
      </c>
      <c r="N251" s="328" t="str">
        <f>INDEX(二三级标准!$M:$M,MATCH(服务费底表!$M251,二三级标准!$L:$L,0))</f>
        <v>参加项目电话会</v>
      </c>
      <c r="O251" s="328"/>
      <c r="P251" s="531">
        <f>IF(R251=1,INDEX(服务费明细!$E:$E,MATCH(服务费底表!$K251,服务费明细!$B:$B,0))*50%,0)</f>
        <v>16.5</v>
      </c>
      <c r="Q251" s="328" t="s">
        <v>1178</v>
      </c>
      <c r="R251" s="520">
        <f>IF(AND(召开项目会YN=1,项目管理YN=1),1,0)</f>
        <v>1</v>
      </c>
      <c r="S251" s="525" t="str">
        <f>INDEX('Rate Card'!$D:$D,MATCH(服务费底表!$T251,'Rate Card'!F:F,0))</f>
        <v>项目管理</v>
      </c>
      <c r="T251" s="328" t="s">
        <v>601</v>
      </c>
      <c r="U251" s="522" t="str">
        <f>INDEX('Rate Card'!$E:$E,MATCH(服务费底表!$T251,'Rate Card'!$F:$F,0))</f>
        <v>临床项目总监</v>
      </c>
      <c r="V251" s="331">
        <f>INDEX('Rate Card'!$J:$J,MATCH($T251,'Rate Card'!$F:$F,0))</f>
        <v>800</v>
      </c>
      <c r="W251" s="523">
        <f t="shared" si="202"/>
        <v>800</v>
      </c>
      <c r="X251" s="523">
        <f t="shared" si="203"/>
        <v>0.5</v>
      </c>
      <c r="Y251" s="327" cm="1">
        <f t="array" ref="Y251">_xlfn.IFS(报价场景=服务费底表!$AJ$2,服务费底表!$AJ251,报价场景=服务费底表!$AP$2,服务费底表!$AP251,报价场景=服务费底表!$AK$2,服务费底表!$AK251,报价场景=服务费底表!$AL$2,服务费底表!$AL251,报价场景=服务费底表!$AM$2,服务费底表!$AM251,报价场景=服务费底表!$AN$2,服务费底表!$AN251,报价场景=服务费底表!$AQ$2,服务费底表!$AQ251,报价场景=服务费底表!$AO$2,服务费底表!$AO251)</f>
        <v>0.5</v>
      </c>
      <c r="Z251" s="327"/>
      <c r="AA251" s="332">
        <f t="shared" si="210"/>
        <v>0.5</v>
      </c>
      <c r="AB251" s="333">
        <f t="shared" si="211"/>
        <v>400</v>
      </c>
      <c r="AC251" s="328">
        <f t="shared" si="212"/>
        <v>8.25</v>
      </c>
      <c r="AD251" s="334">
        <f t="shared" si="225"/>
        <v>6600</v>
      </c>
      <c r="AE251" s="334">
        <f>$AB251*(1-INDEX(项目参数!$D$5:$D$14,MATCH(服务费底表!$S251,项目参数!$B$5:$B$14,0)))</f>
        <v>400</v>
      </c>
      <c r="AF251" s="334">
        <f>$AD251*INDEX(项目参数!$D$5:$D$14,MATCH(服务费底表!$S251,项目参数!$B$5:$B$14,0))</f>
        <v>0</v>
      </c>
      <c r="AG251" s="334">
        <f t="shared" si="226"/>
        <v>6600</v>
      </c>
      <c r="AH251" s="328"/>
      <c r="AI251" s="328" t="s">
        <v>601</v>
      </c>
      <c r="AJ251" s="327">
        <v>0.5</v>
      </c>
      <c r="AK251" s="327">
        <v>0.5</v>
      </c>
      <c r="AL251" s="327">
        <v>0.5</v>
      </c>
      <c r="AM251" s="327">
        <v>0.5</v>
      </c>
      <c r="AN251" s="327">
        <v>0.5</v>
      </c>
      <c r="AO251" s="327">
        <f t="shared" si="206"/>
        <v>0.5</v>
      </c>
      <c r="AP251" s="327">
        <v>0.5</v>
      </c>
      <c r="AQ251" s="327">
        <f t="shared" si="207"/>
        <v>0.75</v>
      </c>
      <c r="AR251" s="338"/>
      <c r="AS251" s="328">
        <f t="shared" si="223"/>
        <v>8.25</v>
      </c>
      <c r="AT251" s="328">
        <f t="shared" si="224"/>
        <v>8.25</v>
      </c>
      <c r="AU251" s="523">
        <v>0.5</v>
      </c>
      <c r="AV251" s="328"/>
      <c r="AW251" s="328"/>
      <c r="AX251" s="332">
        <v>0.5</v>
      </c>
      <c r="AY251" s="328" t="b">
        <f t="shared" si="192"/>
        <v>1</v>
      </c>
      <c r="AZ251" s="328" t="b">
        <f t="shared" si="193"/>
        <v>0</v>
      </c>
    </row>
    <row r="252" ht="27" customHeight="1" spans="1:52">
      <c r="A252" s="326" t="str">
        <f>INDEX('Rate Card'!$A:$A,MATCH(服务费底表!$T252,'Rate Card'!$F:$F,0))</f>
        <v>数统</v>
      </c>
      <c r="B252" s="327" t="str">
        <f>INDEX(二三级标准!$G:$G,MATCH(服务费底表!$K252,二三级标准!B:B,0))</f>
        <v>次</v>
      </c>
      <c r="C252" s="327">
        <f>INDEX(服务费明细!$E:$E,MATCH(服务费底表!$K252,服务费明细!$B:$B,0))</f>
        <v>33</v>
      </c>
      <c r="D252" s="327" t="str">
        <f t="shared" si="208"/>
        <v>A069LDM</v>
      </c>
      <c r="E252" s="327" t="str">
        <f t="shared" si="209"/>
        <v>T0162LDM</v>
      </c>
      <c r="F252" s="328"/>
      <c r="G252" s="328" t="s">
        <v>684</v>
      </c>
      <c r="H252" s="326" t="str">
        <f>INDEX('Rate Card'!$B:$B,MATCH(服务费底表!$T252,'Rate Card'!$F:$F,0))</f>
        <v>数据管理</v>
      </c>
      <c r="I252" s="328" t="s">
        <v>921</v>
      </c>
      <c r="J252" s="328" t="str">
        <f>INDEX(二三级标准!$Q:$Q,MATCH(服务费底表!I252,二三级标准!$O:$O,0))</f>
        <v>项目管理</v>
      </c>
      <c r="K252" s="328" t="s">
        <v>243</v>
      </c>
      <c r="L252" s="328" t="str">
        <f>INDEX(二三级标准!C:C,MATCH(服务费底表!K252,二三级标准!$B:$B,0))</f>
        <v>召开项目电话会</v>
      </c>
      <c r="M252" s="328" t="s">
        <v>1334</v>
      </c>
      <c r="N252" s="328" t="str">
        <f>INDEX(二三级标准!$M:$M,MATCH(服务费底表!$M252,二三级标准!$L:$L,0))</f>
        <v>参加项目电话会</v>
      </c>
      <c r="O252" s="328"/>
      <c r="P252" s="531">
        <f>IF(R252=1,INDEX(服务费明细!$E:$E,MATCH(服务费底表!$K252,服务费明细!$B:$B,0))*50%,0)</f>
        <v>16.5</v>
      </c>
      <c r="Q252" s="328" t="s">
        <v>1178</v>
      </c>
      <c r="R252" s="520">
        <f>IF(AND(召开项目会YN=1,数据管理YN=1),1,0)</f>
        <v>1</v>
      </c>
      <c r="S252" s="524" t="str">
        <f>INDEX('Rate Card'!$D:$D,MATCH(服务费底表!$T252,'Rate Card'!F:F,0))</f>
        <v>数据管理</v>
      </c>
      <c r="T252" s="328" t="s">
        <v>633</v>
      </c>
      <c r="U252" s="522" t="str">
        <f>INDEX('Rate Card'!$E:$E,MATCH(服务费底表!$T252,'Rate Card'!$F:$F,0))</f>
        <v>数据管理经理</v>
      </c>
      <c r="V252" s="331">
        <f>INDEX('Rate Card'!$J:$J,MATCH($T252,'Rate Card'!$F:$F,0))</f>
        <v>360</v>
      </c>
      <c r="W252" s="523">
        <f t="shared" si="202"/>
        <v>360</v>
      </c>
      <c r="X252" s="523">
        <f t="shared" si="203"/>
        <v>0.5</v>
      </c>
      <c r="Y252" s="327" cm="1">
        <f t="array" ref="Y252">_xlfn.IFS(报价场景=服务费底表!$AJ$2,服务费底表!$AJ252,报价场景=服务费底表!$AP$2,服务费底表!$AP252,报价场景=服务费底表!$AK$2,服务费底表!$AK252,报价场景=服务费底表!$AL$2,服务费底表!$AL252,报价场景=服务费底表!$AM$2,服务费底表!$AM252,报价场景=服务费底表!$AN$2,服务费底表!$AN252,报价场景=服务费底表!$AQ$2,服务费底表!$AQ252,报价场景=服务费底表!$AO$2,服务费底表!$AO252)</f>
        <v>0.5</v>
      </c>
      <c r="Z252" s="327"/>
      <c r="AA252" s="332">
        <f t="shared" si="210"/>
        <v>0.5</v>
      </c>
      <c r="AB252" s="333">
        <f t="shared" si="211"/>
        <v>180</v>
      </c>
      <c r="AC252" s="328">
        <f t="shared" si="212"/>
        <v>8.25</v>
      </c>
      <c r="AD252" s="334">
        <f t="shared" si="225"/>
        <v>2970</v>
      </c>
      <c r="AE252" s="334">
        <f>$AB252*(1-INDEX(项目参数!$D$5:$D$14,MATCH(服务费底表!$S252,项目参数!$B$5:$B$14,0)))</f>
        <v>180</v>
      </c>
      <c r="AF252" s="334">
        <f>$AD252*INDEX(项目参数!$D$5:$D$14,MATCH(服务费底表!$S252,项目参数!$B$5:$B$14,0))</f>
        <v>0</v>
      </c>
      <c r="AG252" s="334">
        <f t="shared" si="226"/>
        <v>2970</v>
      </c>
      <c r="AH252" s="328"/>
      <c r="AI252" s="328" t="s">
        <v>633</v>
      </c>
      <c r="AJ252" s="327">
        <v>0.5</v>
      </c>
      <c r="AK252" s="327">
        <v>0.5</v>
      </c>
      <c r="AL252" s="327">
        <v>0.5</v>
      </c>
      <c r="AM252" s="327">
        <v>0.5</v>
      </c>
      <c r="AN252" s="327">
        <v>0.5</v>
      </c>
      <c r="AO252" s="327">
        <f t="shared" si="206"/>
        <v>0.5</v>
      </c>
      <c r="AP252" s="327">
        <v>0.5</v>
      </c>
      <c r="AQ252" s="327">
        <f t="shared" si="207"/>
        <v>0.75</v>
      </c>
      <c r="AR252" s="338"/>
      <c r="AS252" s="328">
        <f t="shared" si="223"/>
        <v>8.25</v>
      </c>
      <c r="AT252" s="328">
        <f t="shared" si="224"/>
        <v>8.25</v>
      </c>
      <c r="AU252" s="523">
        <v>0.5</v>
      </c>
      <c r="AV252" s="328"/>
      <c r="AW252" s="328"/>
      <c r="AX252" s="332">
        <v>0.5</v>
      </c>
      <c r="AY252" s="328" t="b">
        <f t="shared" si="192"/>
        <v>1</v>
      </c>
      <c r="AZ252" s="328" t="b">
        <f t="shared" si="193"/>
        <v>0</v>
      </c>
    </row>
    <row r="253" ht="27" customHeight="1" spans="1:52">
      <c r="A253" s="326" t="str">
        <f>INDEX('Rate Card'!$A:$A,MATCH(服务费底表!$T253,'Rate Card'!$F:$F,0))</f>
        <v>数统</v>
      </c>
      <c r="B253" s="327" t="str">
        <f>INDEX(二三级标准!$G:$G,MATCH(服务费底表!$K253,二三级标准!B:B,0))</f>
        <v>次</v>
      </c>
      <c r="C253" s="327">
        <f>INDEX(服务费明细!$E:$E,MATCH(服务费底表!$K253,服务费明细!$B:$B,0))</f>
        <v>33</v>
      </c>
      <c r="D253" s="327" t="str">
        <f t="shared" si="208"/>
        <v>A069ST</v>
      </c>
      <c r="E253" s="327" t="str">
        <f t="shared" si="209"/>
        <v>T0162ST</v>
      </c>
      <c r="F253" s="328"/>
      <c r="G253" s="328" t="s">
        <v>684</v>
      </c>
      <c r="H253" s="326" t="str">
        <f>INDEX('Rate Card'!$B:$B,MATCH(服务费底表!$T253,'Rate Card'!$F:$F,0))</f>
        <v>生物统计及分析</v>
      </c>
      <c r="I253" s="328" t="s">
        <v>921</v>
      </c>
      <c r="J253" s="328" t="str">
        <f>INDEX(二三级标准!$Q:$Q,MATCH(服务费底表!I253,二三级标准!$O:$O,0))</f>
        <v>项目管理</v>
      </c>
      <c r="K253" s="328" t="s">
        <v>243</v>
      </c>
      <c r="L253" s="328" t="str">
        <f>INDEX(二三级标准!C:C,MATCH(服务费底表!K253,二三级标准!$B:$B,0))</f>
        <v>召开项目电话会</v>
      </c>
      <c r="M253" s="328" t="s">
        <v>1334</v>
      </c>
      <c r="N253" s="328" t="str">
        <f>INDEX(二三级标准!$M:$M,MATCH(服务费底表!$M253,二三级标准!$L:$L,0))</f>
        <v>参加项目电话会</v>
      </c>
      <c r="O253" s="527"/>
      <c r="P253" s="531">
        <f>IF(R253=1,INDEX(服务费明细!$E:$E,MATCH(服务费底表!$K253,服务费明细!$B:$B,0))*50%,0)</f>
        <v>16.5</v>
      </c>
      <c r="Q253" s="328" t="s">
        <v>1178</v>
      </c>
      <c r="R253" s="520">
        <f>IF(AND(召开项目会YN=1,生物统计YN=1),1,0)</f>
        <v>1</v>
      </c>
      <c r="S253" s="524" t="str">
        <f>INDEX('Rate Card'!$D:$D,MATCH(服务费底表!$T253,'Rate Card'!F:F,0))</f>
        <v>生物统计</v>
      </c>
      <c r="T253" s="328" t="s">
        <v>639</v>
      </c>
      <c r="U253" s="522" t="str">
        <f>INDEX('Rate Card'!$E:$E,MATCH(服务费底表!$T253,'Rate Card'!$F:$F,0))</f>
        <v>生物统计师</v>
      </c>
      <c r="V253" s="331">
        <f>INDEX('Rate Card'!$J:$J,MATCH($T253,'Rate Card'!$F:$F,0))</f>
        <v>400</v>
      </c>
      <c r="W253" s="523">
        <f t="shared" si="202"/>
        <v>400</v>
      </c>
      <c r="X253" s="523">
        <f t="shared" si="203"/>
        <v>0.5</v>
      </c>
      <c r="Y253" s="327" cm="1">
        <f t="array" ref="Y253">_xlfn.IFS(报价场景=服务费底表!$AJ$2,服务费底表!$AJ253,报价场景=服务费底表!$AP$2,服务费底表!$AP253,报价场景=服务费底表!$AK$2,服务费底表!$AK253,报价场景=服务费底表!$AL$2,服务费底表!$AL253,报价场景=服务费底表!$AM$2,服务费底表!$AM253,报价场景=服务费底表!$AN$2,服务费底表!$AN253,报价场景=服务费底表!$AQ$2,服务费底表!$AQ253,报价场景=服务费底表!$AO$2,服务费底表!$AO253)</f>
        <v>0.5</v>
      </c>
      <c r="Z253" s="327"/>
      <c r="AA253" s="332">
        <f t="shared" si="210"/>
        <v>0.5</v>
      </c>
      <c r="AB253" s="333">
        <f t="shared" si="211"/>
        <v>200</v>
      </c>
      <c r="AC253" s="328">
        <f t="shared" si="212"/>
        <v>8.25</v>
      </c>
      <c r="AD253" s="334">
        <f t="shared" si="225"/>
        <v>3300</v>
      </c>
      <c r="AE253" s="334">
        <f>$AB253*(1-INDEX(项目参数!$D$5:$D$14,MATCH(服务费底表!$S253,项目参数!$B$5:$B$14,0)))</f>
        <v>200</v>
      </c>
      <c r="AF253" s="334">
        <f>$AD253*INDEX(项目参数!$D$5:$D$14,MATCH(服务费底表!$S253,项目参数!$B$5:$B$14,0))</f>
        <v>0</v>
      </c>
      <c r="AG253" s="334">
        <f t="shared" si="226"/>
        <v>3300</v>
      </c>
      <c r="AH253" s="328"/>
      <c r="AI253" s="328" t="s">
        <v>639</v>
      </c>
      <c r="AJ253" s="327">
        <v>0.5</v>
      </c>
      <c r="AK253" s="327">
        <v>0.5</v>
      </c>
      <c r="AL253" s="327">
        <v>0.5</v>
      </c>
      <c r="AM253" s="327">
        <v>0.5</v>
      </c>
      <c r="AN253" s="327">
        <v>0.5</v>
      </c>
      <c r="AO253" s="327">
        <f t="shared" si="206"/>
        <v>0.5</v>
      </c>
      <c r="AP253" s="327">
        <v>0.5</v>
      </c>
      <c r="AQ253" s="327">
        <f t="shared" si="207"/>
        <v>0.75</v>
      </c>
      <c r="AR253" s="338"/>
      <c r="AS253" s="328">
        <f t="shared" si="223"/>
        <v>8.25</v>
      </c>
      <c r="AT253" s="328">
        <f t="shared" si="224"/>
        <v>8.25</v>
      </c>
      <c r="AU253" s="523">
        <v>0.5</v>
      </c>
      <c r="AV253" s="328"/>
      <c r="AW253" s="328"/>
      <c r="AX253" s="332">
        <v>0.5</v>
      </c>
      <c r="AY253" s="328" t="b">
        <f t="shared" si="192"/>
        <v>1</v>
      </c>
      <c r="AZ253" s="328" t="b">
        <f t="shared" si="193"/>
        <v>0</v>
      </c>
    </row>
    <row r="254" ht="27" customHeight="1" spans="1:52">
      <c r="A254" s="326" t="str">
        <f>INDEX('Rate Card'!$A:$A,MATCH(服务费底表!$T254,'Rate Card'!$F:$F,0))</f>
        <v>药物警戒</v>
      </c>
      <c r="B254" s="327" t="str">
        <f>INDEX(二三级标准!$G:$G,MATCH(服务费底表!$K254,二三级标准!B:B,0))</f>
        <v>次</v>
      </c>
      <c r="C254" s="327">
        <f>INDEX(服务费明细!$E:$E,MATCH(服务费底表!$K254,服务费明细!$B:$B,0))</f>
        <v>33</v>
      </c>
      <c r="D254" s="327" t="str">
        <f t="shared" si="208"/>
        <v>A069PVM</v>
      </c>
      <c r="E254" s="327" t="str">
        <f t="shared" si="209"/>
        <v>T0162PVM</v>
      </c>
      <c r="F254" s="328"/>
      <c r="G254" s="328" t="s">
        <v>684</v>
      </c>
      <c r="H254" s="326" t="str">
        <f>INDEX('Rate Card'!$B:$B,MATCH(服务费底表!$T254,'Rate Card'!$F:$F,0))</f>
        <v>药物警戒</v>
      </c>
      <c r="I254" s="328" t="s">
        <v>921</v>
      </c>
      <c r="J254" s="328" t="str">
        <f>INDEX(二三级标准!$Q:$Q,MATCH(服务费底表!I254,二三级标准!$O:$O,0))</f>
        <v>项目管理</v>
      </c>
      <c r="K254" s="328" t="s">
        <v>243</v>
      </c>
      <c r="L254" s="328" t="str">
        <f>INDEX(二三级标准!C:C,MATCH(服务费底表!K254,二三级标准!$B:$B,0))</f>
        <v>召开项目电话会</v>
      </c>
      <c r="M254" s="328" t="s">
        <v>1334</v>
      </c>
      <c r="N254" s="328" t="str">
        <f>INDEX(二三级标准!$M:$M,MATCH(服务费底表!$M254,二三级标准!$L:$L,0))</f>
        <v>参加项目电话会</v>
      </c>
      <c r="O254" s="328"/>
      <c r="P254" s="531">
        <f>IF(R254=1,INDEX(服务费明细!$E:$E,MATCH(服务费底表!$K254,服务费明细!$B:$B,0))*50%,0)</f>
        <v>16.5</v>
      </c>
      <c r="Q254" s="328" t="s">
        <v>1178</v>
      </c>
      <c r="R254" s="520">
        <f>IF(AND(召开项目会YN=1,项目管理YN=1,药物警戒YN=1),1,0)</f>
        <v>1</v>
      </c>
      <c r="S254" s="528" t="str">
        <f>INDEX('Rate Card'!$D:$D,MATCH(服务费底表!$T254,'Rate Card'!F:F,0))</f>
        <v>药物警戒</v>
      </c>
      <c r="T254" s="328" t="s">
        <v>620</v>
      </c>
      <c r="U254" s="522" t="str">
        <f>INDEX('Rate Card'!$E:$E,MATCH(服务费底表!$T254,'Rate Card'!$F:$F,0))</f>
        <v>药物警戒经理</v>
      </c>
      <c r="V254" s="331">
        <f>INDEX('Rate Card'!$J:$J,MATCH($T254,'Rate Card'!$F:$F,0))</f>
        <v>500</v>
      </c>
      <c r="W254" s="523">
        <f t="shared" si="202"/>
        <v>500</v>
      </c>
      <c r="X254" s="523">
        <f t="shared" si="203"/>
        <v>0.5</v>
      </c>
      <c r="Y254" s="327" cm="1">
        <f t="array" ref="Y254">_xlfn.IFS(报价场景=服务费底表!$AJ$2,服务费底表!$AJ254,报价场景=服务费底表!$AP$2,服务费底表!$AP254,报价场景=服务费底表!$AK$2,服务费底表!$AK254,报价场景=服务费底表!$AL$2,服务费底表!$AL254,报价场景=服务费底表!$AM$2,服务费底表!$AM254,报价场景=服务费底表!$AN$2,服务费底表!$AN254,报价场景=服务费底表!$AQ$2,服务费底表!$AQ254,报价场景=服务费底表!$AO$2,服务费底表!$AO254)</f>
        <v>0.5</v>
      </c>
      <c r="Z254" s="327"/>
      <c r="AA254" s="332">
        <f t="shared" si="210"/>
        <v>0.5</v>
      </c>
      <c r="AB254" s="333">
        <f t="shared" si="211"/>
        <v>250</v>
      </c>
      <c r="AC254" s="328">
        <f t="shared" si="212"/>
        <v>8.25</v>
      </c>
      <c r="AD254" s="334">
        <f t="shared" si="225"/>
        <v>4125</v>
      </c>
      <c r="AE254" s="334">
        <f>$AB254*(1-INDEX(项目参数!$D$5:$D$14,MATCH(服务费底表!$S254,项目参数!$B$5:$B$14,0)))</f>
        <v>250</v>
      </c>
      <c r="AF254" s="334">
        <f>$AD254*INDEX(项目参数!$D$5:$D$14,MATCH(服务费底表!$S254,项目参数!$B$5:$B$14,0))</f>
        <v>0</v>
      </c>
      <c r="AG254" s="334">
        <f t="shared" si="226"/>
        <v>4125</v>
      </c>
      <c r="AH254" s="328"/>
      <c r="AI254" s="328" t="s">
        <v>620</v>
      </c>
      <c r="AJ254" s="327">
        <v>0.5</v>
      </c>
      <c r="AK254" s="327">
        <v>0.5</v>
      </c>
      <c r="AL254" s="327">
        <v>0.5</v>
      </c>
      <c r="AM254" s="327">
        <v>0.5</v>
      </c>
      <c r="AN254" s="327">
        <v>0.5</v>
      </c>
      <c r="AO254" s="327">
        <f t="shared" si="206"/>
        <v>0.5</v>
      </c>
      <c r="AP254" s="327">
        <v>0.5</v>
      </c>
      <c r="AQ254" s="327">
        <f t="shared" si="207"/>
        <v>0.75</v>
      </c>
      <c r="AR254" s="338"/>
      <c r="AS254" s="327">
        <f t="shared" si="223"/>
        <v>8.25</v>
      </c>
      <c r="AT254" s="327">
        <f t="shared" si="224"/>
        <v>8.25</v>
      </c>
      <c r="AU254" s="523">
        <v>0.5</v>
      </c>
      <c r="AV254" s="328"/>
      <c r="AW254" s="328"/>
      <c r="AX254" s="332">
        <v>0.5</v>
      </c>
      <c r="AY254" s="328" t="b">
        <f t="shared" si="192"/>
        <v>1</v>
      </c>
      <c r="AZ254" s="328" t="b">
        <f t="shared" si="193"/>
        <v>0</v>
      </c>
    </row>
    <row r="255" ht="27" customHeight="1" spans="1:52">
      <c r="A255" s="326" t="str">
        <f>INDEX('Rate Card'!$A:$A,MATCH(服务费底表!$T255,'Rate Card'!$F:$F,0))</f>
        <v>临床药理</v>
      </c>
      <c r="B255" s="327" t="str">
        <f>INDEX(二三级标准!$G:$G,MATCH(服务费底表!$K255,二三级标准!B:B,0))</f>
        <v>次</v>
      </c>
      <c r="C255" s="327">
        <f>INDEX(服务费明细!$E:$E,MATCH(服务费底表!$K255,服务费明细!$B:$B,0))</f>
        <v>33</v>
      </c>
      <c r="D255" s="327" t="str">
        <f t="shared" si="208"/>
        <v>A069CPSS</v>
      </c>
      <c r="E255" s="327" t="str">
        <f t="shared" si="209"/>
        <v>T0162CPSS</v>
      </c>
      <c r="F255" s="328"/>
      <c r="G255" s="328" t="s">
        <v>684</v>
      </c>
      <c r="H255" s="326" t="str">
        <f>INDEX('Rate Card'!$B:$B,MATCH(服务费底表!$T255,'Rate Card'!$F:$F,0))</f>
        <v>临床药理</v>
      </c>
      <c r="I255" s="328" t="s">
        <v>921</v>
      </c>
      <c r="J255" s="328" t="str">
        <f>INDEX(二三级标准!$Q:$Q,MATCH(服务费底表!I255,二三级标准!$O:$O,0))</f>
        <v>项目管理</v>
      </c>
      <c r="K255" s="328" t="s">
        <v>243</v>
      </c>
      <c r="L255" s="328" t="str">
        <f>INDEX(二三级标准!C:C,MATCH(服务费底表!K255,二三级标准!$B:$B,0))</f>
        <v>召开项目电话会</v>
      </c>
      <c r="M255" s="328" t="s">
        <v>1334</v>
      </c>
      <c r="N255" s="328" t="str">
        <f>INDEX(二三级标准!$M:$M,MATCH(服务费底表!$M255,二三级标准!$L:$L,0))</f>
        <v>参加项目电话会</v>
      </c>
      <c r="O255" s="530"/>
      <c r="P255" s="531">
        <f>IF(R255=1,INDEX(服务费明细!$E:$E,MATCH(服务费底表!$K255,服务费明细!$B:$B,0))*50%,0)</f>
        <v>16.5</v>
      </c>
      <c r="Q255" s="328" t="s">
        <v>1178</v>
      </c>
      <c r="R255" s="520">
        <f>IF(AND(召开项目会YN=1,项目管理YN=1,临床药理YN=1),1,0)</f>
        <v>1</v>
      </c>
      <c r="S255" s="328" t="str">
        <f>INDEX('Rate Card'!$D:$D,MATCH(服务费底表!$T255,'Rate Card'!F:F,0))</f>
        <v>临床药理</v>
      </c>
      <c r="T255" s="328" t="s">
        <v>654</v>
      </c>
      <c r="U255" s="522" t="str">
        <f>INDEX('Rate Card'!$E:$E,MATCH(服务费底表!$T255,'Rate Card'!$F:$F,0))</f>
        <v>临床药理高级专员</v>
      </c>
      <c r="V255" s="331">
        <f>INDEX('Rate Card'!$J:$J,MATCH($T255,'Rate Card'!$F:$F,0))</f>
        <v>700</v>
      </c>
      <c r="W255" s="523">
        <f t="shared" si="202"/>
        <v>700</v>
      </c>
      <c r="X255" s="523">
        <f t="shared" si="203"/>
        <v>0.5</v>
      </c>
      <c r="Y255" s="327" cm="1">
        <f t="array" ref="Y255">_xlfn.IFS(报价场景=服务费底表!$AJ$2,服务费底表!$AJ255,报价场景=服务费底表!$AP$2,服务费底表!$AP255,报价场景=服务费底表!$AK$2,服务费底表!$AK255,报价场景=服务费底表!$AL$2,服务费底表!$AL255,报价场景=服务费底表!$AM$2,服务费底表!$AM255,报价场景=服务费底表!$AN$2,服务费底表!$AN255,报价场景=服务费底表!$AQ$2,服务费底表!$AQ255,报价场景=服务费底表!$AO$2,服务费底表!$AO255)</f>
        <v>0.5</v>
      </c>
      <c r="Z255" s="327"/>
      <c r="AA255" s="332">
        <f t="shared" si="210"/>
        <v>0.5</v>
      </c>
      <c r="AB255" s="333">
        <f t="shared" si="211"/>
        <v>350</v>
      </c>
      <c r="AC255" s="328">
        <f t="shared" si="212"/>
        <v>8.25</v>
      </c>
      <c r="AD255" s="334">
        <f t="shared" si="225"/>
        <v>5775</v>
      </c>
      <c r="AE255" s="334">
        <f>$AB255*(1-INDEX(项目参数!$D$5:$D$14,MATCH(服务费底表!$S255,项目参数!$B$5:$B$14,0)))</f>
        <v>350</v>
      </c>
      <c r="AF255" s="334">
        <f>$AD255*INDEX(项目参数!$D$5:$D$14,MATCH(服务费底表!$S255,项目参数!$B$5:$B$14,0))</f>
        <v>0</v>
      </c>
      <c r="AG255" s="334">
        <f t="shared" si="226"/>
        <v>5775</v>
      </c>
      <c r="AH255" s="328"/>
      <c r="AI255" s="328" t="s">
        <v>654</v>
      </c>
      <c r="AJ255" s="327">
        <v>0.5</v>
      </c>
      <c r="AK255" s="327">
        <v>0.5</v>
      </c>
      <c r="AL255" s="327">
        <v>0.5</v>
      </c>
      <c r="AM255" s="327">
        <v>0.5</v>
      </c>
      <c r="AN255" s="327">
        <v>0.5</v>
      </c>
      <c r="AO255" s="327">
        <f t="shared" si="206"/>
        <v>0.5</v>
      </c>
      <c r="AP255" s="327">
        <v>0.5</v>
      </c>
      <c r="AQ255" s="327">
        <f t="shared" si="207"/>
        <v>0.75</v>
      </c>
      <c r="AR255" s="338"/>
      <c r="AS255" s="328">
        <f t="shared" si="223"/>
        <v>8.25</v>
      </c>
      <c r="AT255" s="328">
        <f t="shared" si="224"/>
        <v>8.25</v>
      </c>
      <c r="AU255" s="523">
        <v>0.5</v>
      </c>
      <c r="AV255" s="328"/>
      <c r="AW255" s="328"/>
      <c r="AX255" s="332">
        <v>0.5</v>
      </c>
      <c r="AY255" s="328" t="b">
        <f t="shared" si="192"/>
        <v>1</v>
      </c>
      <c r="AZ255" s="328" t="b">
        <f t="shared" si="193"/>
        <v>0</v>
      </c>
    </row>
    <row r="256" ht="27" customHeight="1" spans="1:52">
      <c r="A256" s="326" t="str">
        <f>INDEX('Rate Card'!$A:$A,MATCH(服务费底表!$T256,'Rate Card'!$F:$F,0))</f>
        <v>临床运营</v>
      </c>
      <c r="B256" s="327" t="str">
        <f>INDEX(二三级标准!$G:$G,MATCH(服务费底表!$K256,二三级标准!B:B,0))</f>
        <v>月</v>
      </c>
      <c r="C256" s="327">
        <f>INDEX(服务费明细!$E:$E,MATCH(服务费底表!$K256,服务费明细!$B:$B,0))</f>
        <v>23</v>
      </c>
      <c r="D256" s="327" t="str">
        <f t="shared" si="208"/>
        <v>A212PM</v>
      </c>
      <c r="E256" s="327" t="str">
        <f t="shared" si="209"/>
        <v>T0636aPM</v>
      </c>
      <c r="F256" s="328"/>
      <c r="G256" s="328" t="s">
        <v>684</v>
      </c>
      <c r="H256" s="326" t="str">
        <f>INDEX('Rate Card'!$B:$B,MATCH(服务费底表!$T256,'Rate Card'!$F:$F,0))</f>
        <v>临床运营</v>
      </c>
      <c r="I256" s="328" t="s">
        <v>921</v>
      </c>
      <c r="J256" s="328" t="str">
        <f>INDEX(二三级标准!$Q:$Q,MATCH(服务费底表!I256,二三级标准!$O:$O,0))</f>
        <v>项目管理</v>
      </c>
      <c r="K256" s="328" t="s">
        <v>1026</v>
      </c>
      <c r="L256" s="328" t="str">
        <f>INDEX(二三级标准!C:C,MATCH(服务费底表!K256,二三级标准!$B:$B,0))</f>
        <v>与项目组内部的日常沟通</v>
      </c>
      <c r="M256" s="328" t="s">
        <v>1335</v>
      </c>
      <c r="N256" s="328" t="str">
        <f>INDEX(二三级标准!$M:$M,MATCH(服务费底表!$M256,二三级标准!$L:$L,0))</f>
        <v>与项目组内部的日常沟通</v>
      </c>
      <c r="O256" s="328"/>
      <c r="P256" s="531">
        <f>IF(R256=1,INDEX(服务费明细!$E:$E,MATCH(服务费底表!$K256,服务费明细!$B:$B,0)),0)</f>
        <v>23</v>
      </c>
      <c r="Q256" s="328" t="s">
        <v>1220</v>
      </c>
      <c r="R256" s="520">
        <f>IF(AND(与项目组内部的日常沟通=1,项目管理YN=1),1,0)</f>
        <v>1</v>
      </c>
      <c r="S256" s="525" t="str">
        <f>INDEX('Rate Card'!$D:$D,MATCH(服务费底表!$T256,'Rate Card'!F:F,0))</f>
        <v>项目管理</v>
      </c>
      <c r="T256" s="328" t="s">
        <v>599</v>
      </c>
      <c r="U256" s="522" t="str">
        <f>INDEX('Rate Card'!$E:$E,MATCH(服务费底表!$T256,'Rate Card'!$F:$F,0))</f>
        <v>临床项目经理</v>
      </c>
      <c r="V256" s="331">
        <f>INDEX('Rate Card'!$J:$J,MATCH($T256,'Rate Card'!$F:$F,0))</f>
        <v>650</v>
      </c>
      <c r="W256" s="523">
        <f t="shared" si="202"/>
        <v>650</v>
      </c>
      <c r="X256" s="523">
        <f t="shared" si="203"/>
        <v>9</v>
      </c>
      <c r="Y256" s="327" cm="1">
        <f t="array" ref="Y256">_xlfn.IFS(报价场景=服务费底表!$AJ$2,服务费底表!$AJ256,报价场景=服务费底表!$AP$2,服务费底表!$AP256,报价场景=服务费底表!$AK$2,服务费底表!$AK256,报价场景=服务费底表!$AL$2,服务费底表!$AL256,报价场景=服务费底表!$AM$2,服务费底表!$AM256,报价场景=服务费底表!$AN$2,服务费底表!$AN256,报价场景=服务费底表!$AQ$2,服务费底表!$AQ256,报价场景=服务费底表!$AO$2,服务费底表!$AO256)</f>
        <v>9</v>
      </c>
      <c r="Z256" s="327"/>
      <c r="AA256" s="332">
        <f t="shared" si="210"/>
        <v>9</v>
      </c>
      <c r="AB256" s="333">
        <f t="shared" si="211"/>
        <v>5850</v>
      </c>
      <c r="AC256" s="328">
        <f t="shared" si="212"/>
        <v>207</v>
      </c>
      <c r="AD256" s="334">
        <f t="shared" si="225"/>
        <v>134550</v>
      </c>
      <c r="AE256" s="334">
        <f>$AB256*(1-INDEX(项目参数!$D$5:$D$14,MATCH(服务费底表!$S256,项目参数!$B$5:$B$14,0)))</f>
        <v>5850</v>
      </c>
      <c r="AF256" s="334">
        <f>$AD256*INDEX(项目参数!$D$5:$D$14,MATCH(服务费底表!$S256,项目参数!$B$5:$B$14,0))</f>
        <v>0</v>
      </c>
      <c r="AG256" s="334">
        <f t="shared" si="226"/>
        <v>134550</v>
      </c>
      <c r="AH256" s="328"/>
      <c r="AI256" s="328" t="s">
        <v>599</v>
      </c>
      <c r="AJ256" s="327">
        <v>9</v>
      </c>
      <c r="AK256" s="327">
        <f t="shared" ref="AK256:AK266" si="232">AJ256*1.5</f>
        <v>13.5</v>
      </c>
      <c r="AL256" s="327">
        <f t="shared" ref="AL256:AL266" si="233">AM256</f>
        <v>6</v>
      </c>
      <c r="AM256" s="327">
        <v>6</v>
      </c>
      <c r="AN256" s="327">
        <f t="shared" ref="AN256:AN266" si="234">AJ256</f>
        <v>9</v>
      </c>
      <c r="AO256" s="327">
        <f t="shared" si="206"/>
        <v>6</v>
      </c>
      <c r="AP256" s="327">
        <v>9</v>
      </c>
      <c r="AQ256" s="327">
        <f t="shared" si="207"/>
        <v>13.5</v>
      </c>
      <c r="AR256" s="338"/>
      <c r="AS256" s="328">
        <f t="shared" si="223"/>
        <v>207</v>
      </c>
      <c r="AT256" s="328">
        <f t="shared" si="224"/>
        <v>207</v>
      </c>
      <c r="AU256" s="523">
        <v>9</v>
      </c>
      <c r="AV256" s="328"/>
      <c r="AW256" s="328"/>
      <c r="AX256" s="332">
        <v>9</v>
      </c>
      <c r="AY256" s="328" t="b">
        <f t="shared" si="192"/>
        <v>1</v>
      </c>
      <c r="AZ256" s="328" t="b">
        <f t="shared" si="193"/>
        <v>1</v>
      </c>
    </row>
    <row r="257" ht="27" customHeight="1" spans="1:52">
      <c r="A257" s="326" t="str">
        <f>INDEX('Rate Card'!$A:$A,MATCH(服务费底表!$T257,'Rate Card'!$F:$F,0))</f>
        <v>临床运营</v>
      </c>
      <c r="B257" s="327" t="str">
        <f>INDEX(二三级标准!$G:$G,MATCH(服务费底表!$K257,二三级标准!B:B,0))</f>
        <v>月</v>
      </c>
      <c r="C257" s="327">
        <f>INDEX(服务费明细!$E:$E,MATCH(服务费底表!$K257,服务费明细!$B:$B,0))</f>
        <v>23</v>
      </c>
      <c r="D257" s="327" t="str">
        <f t="shared" si="208"/>
        <v>A213PM</v>
      </c>
      <c r="E257" s="327" t="str">
        <f t="shared" si="209"/>
        <v>T0637aPM</v>
      </c>
      <c r="F257" s="328"/>
      <c r="G257" s="328" t="s">
        <v>684</v>
      </c>
      <c r="H257" s="326" t="str">
        <f>INDEX('Rate Card'!$B:$B,MATCH(服务费底表!$T257,'Rate Card'!$F:$F,0))</f>
        <v>临床运营</v>
      </c>
      <c r="I257" s="328" t="s">
        <v>921</v>
      </c>
      <c r="J257" s="328" t="str">
        <f>INDEX(二三级标准!$Q:$Q,MATCH(服务费底表!I257,二三级标准!$O:$O,0))</f>
        <v>项目管理</v>
      </c>
      <c r="K257" s="328" t="s">
        <v>1027</v>
      </c>
      <c r="L257" s="328" t="str">
        <f>INDEX(二三级标准!C:C,MATCH(服务费底表!K257,二三级标准!$B:$B,0))</f>
        <v>与申办方的日常沟通</v>
      </c>
      <c r="M257" s="328" t="s">
        <v>1336</v>
      </c>
      <c r="N257" s="328" t="str">
        <f>INDEX(二三级标准!$M:$M,MATCH(服务费底表!$M257,二三级标准!$L:$L,0))</f>
        <v>与申办方的日常沟通</v>
      </c>
      <c r="O257" s="328"/>
      <c r="P257" s="531">
        <f>IF(R257=1,INDEX(服务费明细!$E:$E,MATCH(服务费底表!$K257,服务费明细!$B:$B,0)),0)</f>
        <v>23</v>
      </c>
      <c r="Q257" s="328" t="s">
        <v>1220</v>
      </c>
      <c r="R257" s="520">
        <f>IF(AND(与申办方的日常沟通=1,项目管理YN=1),1,0)</f>
        <v>1</v>
      </c>
      <c r="S257" s="525" t="str">
        <f>INDEX('Rate Card'!$D:$D,MATCH(服务费底表!$T257,'Rate Card'!F:F,0))</f>
        <v>项目管理</v>
      </c>
      <c r="T257" s="328" t="s">
        <v>599</v>
      </c>
      <c r="U257" s="522" t="str">
        <f>INDEX('Rate Card'!$E:$E,MATCH(服务费底表!$T257,'Rate Card'!$F:$F,0))</f>
        <v>临床项目经理</v>
      </c>
      <c r="V257" s="331">
        <f>INDEX('Rate Card'!$J:$J,MATCH($T257,'Rate Card'!$F:$F,0))</f>
        <v>650</v>
      </c>
      <c r="W257" s="523">
        <f t="shared" si="202"/>
        <v>650</v>
      </c>
      <c r="X257" s="523">
        <f t="shared" si="203"/>
        <v>9</v>
      </c>
      <c r="Y257" s="327" cm="1">
        <f t="array" ref="Y257">_xlfn.IFS(报价场景=服务费底表!$AJ$2,服务费底表!$AJ257,报价场景=服务费底表!$AP$2,服务费底表!$AP257,报价场景=服务费底表!$AK$2,服务费底表!$AK257,报价场景=服务费底表!$AL$2,服务费底表!$AL257,报价场景=服务费底表!$AM$2,服务费底表!$AM257,报价场景=服务费底表!$AN$2,服务费底表!$AN257,报价场景=服务费底表!$AQ$2,服务费底表!$AQ257,报价场景=服务费底表!$AO$2,服务费底表!$AO257)</f>
        <v>9</v>
      </c>
      <c r="Z257" s="327"/>
      <c r="AA257" s="332">
        <f t="shared" si="210"/>
        <v>9</v>
      </c>
      <c r="AB257" s="333">
        <f t="shared" si="211"/>
        <v>5850</v>
      </c>
      <c r="AC257" s="328">
        <f t="shared" si="212"/>
        <v>207</v>
      </c>
      <c r="AD257" s="334">
        <f t="shared" si="225"/>
        <v>134550</v>
      </c>
      <c r="AE257" s="334">
        <f>$AB257*(1-INDEX(项目参数!$D$5:$D$14,MATCH(服务费底表!$S257,项目参数!$B$5:$B$14,0)))</f>
        <v>5850</v>
      </c>
      <c r="AF257" s="334">
        <f>$AD257*INDEX(项目参数!$D$5:$D$14,MATCH(服务费底表!$S257,项目参数!$B$5:$B$14,0))</f>
        <v>0</v>
      </c>
      <c r="AG257" s="334">
        <f t="shared" si="226"/>
        <v>134550</v>
      </c>
      <c r="AH257" s="328"/>
      <c r="AI257" s="328" t="s">
        <v>599</v>
      </c>
      <c r="AJ257" s="327">
        <v>9</v>
      </c>
      <c r="AK257" s="327">
        <f t="shared" si="232"/>
        <v>13.5</v>
      </c>
      <c r="AL257" s="327">
        <f t="shared" si="233"/>
        <v>6</v>
      </c>
      <c r="AM257" s="327">
        <v>6</v>
      </c>
      <c r="AN257" s="327">
        <f t="shared" si="234"/>
        <v>9</v>
      </c>
      <c r="AO257" s="327">
        <f t="shared" si="206"/>
        <v>6</v>
      </c>
      <c r="AP257" s="327">
        <v>9</v>
      </c>
      <c r="AQ257" s="327">
        <f t="shared" si="207"/>
        <v>13.5</v>
      </c>
      <c r="AR257" s="338"/>
      <c r="AS257" s="328">
        <f t="shared" si="223"/>
        <v>207</v>
      </c>
      <c r="AT257" s="328">
        <f t="shared" si="224"/>
        <v>207</v>
      </c>
      <c r="AU257" s="523">
        <v>9</v>
      </c>
      <c r="AV257" s="328"/>
      <c r="AW257" s="328"/>
      <c r="AX257" s="332">
        <v>9</v>
      </c>
      <c r="AY257" s="328" t="b">
        <f t="shared" si="192"/>
        <v>1</v>
      </c>
      <c r="AZ257" s="328" t="b">
        <f t="shared" si="193"/>
        <v>0</v>
      </c>
    </row>
    <row r="258" ht="27" customHeight="1" spans="1:52">
      <c r="A258" s="326" t="str">
        <f>INDEX('Rate Card'!$A:$A,MATCH(服务费底表!$T258,'Rate Card'!$F:$F,0))</f>
        <v>临床运营</v>
      </c>
      <c r="B258" s="327" t="str">
        <f>INDEX(二三级标准!$G:$G,MATCH(服务费底表!$K258,二三级标准!B:B,0))</f>
        <v>次</v>
      </c>
      <c r="C258" s="327">
        <f>INDEX(服务费明细!$E:$E,MATCH(服务费底表!$K258,服务费明细!$B:$B,0))</f>
        <v>0</v>
      </c>
      <c r="D258" s="327" t="str">
        <f t="shared" si="208"/>
        <v>A070CRA</v>
      </c>
      <c r="E258" s="327" t="str">
        <f t="shared" si="209"/>
        <v>T0163CRA</v>
      </c>
      <c r="F258" s="328"/>
      <c r="G258" s="328" t="s">
        <v>684</v>
      </c>
      <c r="H258" s="326" t="str">
        <f>INDEX('Rate Card'!$B:$B,MATCH(服务费底表!$T258,'Rate Card'!$F:$F,0))</f>
        <v>临床运营</v>
      </c>
      <c r="I258" s="328" t="s">
        <v>921</v>
      </c>
      <c r="J258" s="328" t="str">
        <f>INDEX(二三级标准!$Q:$Q,MATCH(服务费底表!I258,二三级标准!$O:$O,0))</f>
        <v>项目管理</v>
      </c>
      <c r="K258" s="328" t="s">
        <v>245</v>
      </c>
      <c r="L258" s="328" t="str">
        <f>INDEX(二三级标准!C:C,MATCH(服务费底表!K258,二三级标准!$B:$B,0))</f>
        <v>召开监查员会</v>
      </c>
      <c r="M258" s="328" t="s">
        <v>1337</v>
      </c>
      <c r="N258" s="328" t="str">
        <f>INDEX(二三级标准!$M:$M,MATCH(服务费底表!$M258,二三级标准!$L:$L,0))</f>
        <v>参加监查员会议</v>
      </c>
      <c r="O258" s="328"/>
      <c r="P258" s="531">
        <f>IF(R258=1,INDEX(服务费明细!$E:$E,MATCH(服务费底表!$K258,服务费明细!$B:$B,0)),0)</f>
        <v>0</v>
      </c>
      <c r="Q258" s="328" t="s">
        <v>1178</v>
      </c>
      <c r="R258" s="520">
        <f>IF(AND(召开监查员会YN=1,临床监查YN=1,$R$248&lt;&gt;1),1,0)</f>
        <v>0</v>
      </c>
      <c r="S258" s="525" t="str">
        <f>INDEX('Rate Card'!$D:$D,MATCH(服务费底表!$T258,'Rate Card'!F:F,0))</f>
        <v>临床监查</v>
      </c>
      <c r="T258" s="328" t="s">
        <v>595</v>
      </c>
      <c r="U258" s="522" t="str">
        <f>INDEX('Rate Card'!$E:$E,MATCH(服务费底表!$T258,'Rate Card'!$F:$F,0))</f>
        <v>临床监查员</v>
      </c>
      <c r="V258" s="331">
        <f>INDEX('Rate Card'!$J:$J,MATCH($T258,'Rate Card'!$F:$F,0))</f>
        <v>340</v>
      </c>
      <c r="W258" s="523">
        <f t="shared" si="202"/>
        <v>340</v>
      </c>
      <c r="X258" s="523">
        <f t="shared" si="203"/>
        <v>2</v>
      </c>
      <c r="Y258" s="327" cm="1">
        <f t="array" ref="Y258">_xlfn.IFS(报价场景=服务费底表!$AJ$2,服务费底表!$AJ258,报价场景=服务费底表!$AP$2,服务费底表!$AP258,报价场景=服务费底表!$AK$2,服务费底表!$AK258,报价场景=服务费底表!$AL$2,服务费底表!$AL258,报价场景=服务费底表!$AM$2,服务费底表!$AM258,报价场景=服务费底表!$AN$2,服务费底表!$AN258,报价场景=服务费底表!$AQ$2,服务费底表!$AQ258,报价场景=服务费底表!$AO$2,服务费底表!$AO258)</f>
        <v>2</v>
      </c>
      <c r="Z258" s="327"/>
      <c r="AA258" s="332">
        <f t="shared" si="210"/>
        <v>2</v>
      </c>
      <c r="AB258" s="333">
        <f t="shared" si="211"/>
        <v>0</v>
      </c>
      <c r="AC258" s="328">
        <f t="shared" si="212"/>
        <v>0</v>
      </c>
      <c r="AD258" s="334">
        <f t="shared" si="225"/>
        <v>0</v>
      </c>
      <c r="AE258" s="334">
        <f>$AB258*(1-INDEX(项目参数!$D$5:$D$14,MATCH(服务费底表!$S258,项目参数!$B$5:$B$14,0)))</f>
        <v>0</v>
      </c>
      <c r="AF258" s="334">
        <f>$AD258*INDEX(项目参数!$D$5:$D$14,MATCH(服务费底表!$S258,项目参数!$B$5:$B$14,0))</f>
        <v>0</v>
      </c>
      <c r="AG258" s="334">
        <f t="shared" si="226"/>
        <v>0</v>
      </c>
      <c r="AH258" s="328"/>
      <c r="AI258" s="328" t="s">
        <v>595</v>
      </c>
      <c r="AJ258" s="327">
        <f>1*CRA人数</f>
        <v>2</v>
      </c>
      <c r="AK258" s="327">
        <f>1*CRA人数</f>
        <v>2</v>
      </c>
      <c r="AL258" s="327">
        <f>1*CRA人数</f>
        <v>2</v>
      </c>
      <c r="AM258" s="327">
        <f>1*CRA人数</f>
        <v>2</v>
      </c>
      <c r="AN258" s="327">
        <f t="shared" si="234"/>
        <v>2</v>
      </c>
      <c r="AO258" s="327">
        <f t="shared" si="206"/>
        <v>2</v>
      </c>
      <c r="AP258" s="327">
        <v>1</v>
      </c>
      <c r="AQ258" s="327">
        <f t="shared" si="207"/>
        <v>3</v>
      </c>
      <c r="AR258" s="338"/>
      <c r="AS258" s="328">
        <f t="shared" si="223"/>
        <v>0</v>
      </c>
      <c r="AT258" s="328">
        <f t="shared" si="224"/>
        <v>0</v>
      </c>
      <c r="AU258" s="523">
        <v>2</v>
      </c>
      <c r="AV258" s="328"/>
      <c r="AW258" s="328"/>
      <c r="AX258" s="332">
        <v>2</v>
      </c>
      <c r="AY258" s="328" t="b">
        <f t="shared" si="192"/>
        <v>1</v>
      </c>
      <c r="AZ258" s="328" t="b">
        <f t="shared" si="193"/>
        <v>1</v>
      </c>
    </row>
    <row r="259" ht="27" customHeight="1" spans="1:52">
      <c r="A259" s="326" t="str">
        <f>INDEX('Rate Card'!$A:$A,MATCH(服务费底表!$T259,'Rate Card'!$F:$F,0))</f>
        <v>临床运营</v>
      </c>
      <c r="B259" s="327" t="str">
        <f>INDEX(二三级标准!$G:$G,MATCH(服务费底表!$K259,二三级标准!B:B,0))</f>
        <v>次</v>
      </c>
      <c r="C259" s="327">
        <f>INDEX(服务费明细!$E:$E,MATCH(服务费底表!$K259,服务费明细!$B:$B,0))</f>
        <v>0</v>
      </c>
      <c r="D259" s="327" t="str">
        <f t="shared" si="208"/>
        <v>A070CTA</v>
      </c>
      <c r="E259" s="327" t="str">
        <f t="shared" si="209"/>
        <v>T0163CTA</v>
      </c>
      <c r="F259" s="328"/>
      <c r="G259" s="328" t="s">
        <v>684</v>
      </c>
      <c r="H259" s="326" t="str">
        <f>INDEX('Rate Card'!$B:$B,MATCH(服务费底表!$T259,'Rate Card'!$F:$F,0))</f>
        <v>临床运营</v>
      </c>
      <c r="I259" s="328" t="s">
        <v>921</v>
      </c>
      <c r="J259" s="328" t="str">
        <f>INDEX(二三级标准!$Q:$Q,MATCH(服务费底表!I259,二三级标准!$O:$O,0))</f>
        <v>项目管理</v>
      </c>
      <c r="K259" s="328" t="s">
        <v>245</v>
      </c>
      <c r="L259" s="328" t="str">
        <f>INDEX(二三级标准!C:C,MATCH(服务费底表!K259,二三级标准!$B:$B,0))</f>
        <v>召开监查员会</v>
      </c>
      <c r="M259" s="328" t="s">
        <v>1337</v>
      </c>
      <c r="N259" s="328" t="str">
        <f>INDEX(二三级标准!$M:$M,MATCH(服务费底表!$M259,二三级标准!$L:$L,0))</f>
        <v>参加监查员会议</v>
      </c>
      <c r="O259" s="328"/>
      <c r="P259" s="531">
        <f>IF(R259=1,INDEX(服务费明细!$E:$E,MATCH(服务费底表!$K259,服务费明细!$B:$B,0)),0)</f>
        <v>0</v>
      </c>
      <c r="Q259" s="328" t="s">
        <v>1178</v>
      </c>
      <c r="R259" s="520">
        <f>IF(AND(召开监查员会YN=1,临床监查YN=1,$R$248&lt;&gt;1),1,0)</f>
        <v>0</v>
      </c>
      <c r="S259" s="525" t="str">
        <f>INDEX('Rate Card'!$D:$D,MATCH(服务费底表!$T259,'Rate Card'!F:F,0))</f>
        <v>临床监查</v>
      </c>
      <c r="T259" s="328" t="s">
        <v>597</v>
      </c>
      <c r="U259" s="522" t="str">
        <f>INDEX('Rate Card'!$E:$E,MATCH(服务费底表!$T259,'Rate Card'!$F:$F,0))</f>
        <v>临床试验助理</v>
      </c>
      <c r="V259" s="331">
        <f>INDEX('Rate Card'!$J:$J,MATCH($T259,'Rate Card'!$F:$F,0))</f>
        <v>220</v>
      </c>
      <c r="W259" s="523">
        <f t="shared" si="202"/>
        <v>220</v>
      </c>
      <c r="X259" s="523">
        <f t="shared" si="203"/>
        <v>1</v>
      </c>
      <c r="Y259" s="327" cm="1">
        <f t="array" ref="Y259">_xlfn.IFS(报价场景=服务费底表!$AJ$2,服务费底表!$AJ259,报价场景=服务费底表!$AP$2,服务费底表!$AP259,报价场景=服务费底表!$AK$2,服务费底表!$AK259,报价场景=服务费底表!$AL$2,服务费底表!$AL259,报价场景=服务费底表!$AM$2,服务费底表!$AM259,报价场景=服务费底表!$AN$2,服务费底表!$AN259,报价场景=服务费底表!$AQ$2,服务费底表!$AQ259,报价场景=服务费底表!$AO$2,服务费底表!$AO259)</f>
        <v>1</v>
      </c>
      <c r="Z259" s="327"/>
      <c r="AA259" s="332">
        <f t="shared" si="210"/>
        <v>1</v>
      </c>
      <c r="AB259" s="333">
        <f t="shared" si="211"/>
        <v>0</v>
      </c>
      <c r="AC259" s="328">
        <f t="shared" si="212"/>
        <v>0</v>
      </c>
      <c r="AD259" s="334">
        <f t="shared" si="225"/>
        <v>0</v>
      </c>
      <c r="AE259" s="334">
        <f>$AB259*(1-INDEX(项目参数!$D$5:$D$14,MATCH(服务费底表!$S259,项目参数!$B$5:$B$14,0)))</f>
        <v>0</v>
      </c>
      <c r="AF259" s="334">
        <f>$AD259*INDEX(项目参数!$D$5:$D$14,MATCH(服务费底表!$S259,项目参数!$B$5:$B$14,0))</f>
        <v>0</v>
      </c>
      <c r="AG259" s="334">
        <f t="shared" si="226"/>
        <v>0</v>
      </c>
      <c r="AH259" s="328"/>
      <c r="AI259" s="328" t="s">
        <v>597</v>
      </c>
      <c r="AJ259" s="327">
        <v>1</v>
      </c>
      <c r="AK259" s="327">
        <v>1</v>
      </c>
      <c r="AL259" s="327">
        <v>1</v>
      </c>
      <c r="AM259" s="327">
        <v>1</v>
      </c>
      <c r="AN259" s="327">
        <f t="shared" si="234"/>
        <v>1</v>
      </c>
      <c r="AO259" s="327">
        <f t="shared" si="206"/>
        <v>1</v>
      </c>
      <c r="AP259" s="327">
        <v>1</v>
      </c>
      <c r="AQ259" s="327">
        <f t="shared" si="207"/>
        <v>1.5</v>
      </c>
      <c r="AR259" s="338"/>
      <c r="AS259" s="328">
        <f t="shared" si="223"/>
        <v>0</v>
      </c>
      <c r="AT259" s="328">
        <f t="shared" si="224"/>
        <v>0</v>
      </c>
      <c r="AU259" s="523">
        <v>1</v>
      </c>
      <c r="AV259" s="328"/>
      <c r="AW259" s="328"/>
      <c r="AX259" s="332">
        <v>1</v>
      </c>
      <c r="AY259" s="328" t="b">
        <f t="shared" si="192"/>
        <v>1</v>
      </c>
      <c r="AZ259" s="328" t="b">
        <f t="shared" si="193"/>
        <v>1</v>
      </c>
    </row>
    <row r="260" ht="27" customHeight="1" spans="1:52">
      <c r="A260" s="326" t="str">
        <f>INDEX('Rate Card'!$A:$A,MATCH(服务费底表!$T260,'Rate Card'!$F:$F,0))</f>
        <v>临床运营</v>
      </c>
      <c r="B260" s="327" t="str">
        <f>INDEX(二三级标准!$G:$G,MATCH(服务费底表!$K260,二三级标准!B:B,0))</f>
        <v>次</v>
      </c>
      <c r="C260" s="327">
        <f>INDEX(服务费明细!$E:$E,MATCH(服务费底表!$K260,服务费明细!$B:$B,0))</f>
        <v>0</v>
      </c>
      <c r="D260" s="327" t="str">
        <f t="shared" si="208"/>
        <v>A070PM</v>
      </c>
      <c r="E260" s="327" t="str">
        <f t="shared" si="209"/>
        <v>T0163PM</v>
      </c>
      <c r="F260" s="328"/>
      <c r="G260" s="328" t="s">
        <v>684</v>
      </c>
      <c r="H260" s="326" t="str">
        <f>INDEX('Rate Card'!$B:$B,MATCH(服务费底表!$T260,'Rate Card'!$F:$F,0))</f>
        <v>临床运营</v>
      </c>
      <c r="I260" s="328" t="s">
        <v>921</v>
      </c>
      <c r="J260" s="328" t="str">
        <f>INDEX(二三级标准!$Q:$Q,MATCH(服务费底表!I260,二三级标准!$O:$O,0))</f>
        <v>项目管理</v>
      </c>
      <c r="K260" s="328" t="s">
        <v>245</v>
      </c>
      <c r="L260" s="328" t="str">
        <f>INDEX(二三级标准!C:C,MATCH(服务费底表!K260,二三级标准!$B:$B,0))</f>
        <v>召开监查员会</v>
      </c>
      <c r="M260" s="328" t="s">
        <v>1337</v>
      </c>
      <c r="N260" s="328" t="str">
        <f>INDEX(二三级标准!$M:$M,MATCH(服务费底表!$M260,二三级标准!$L:$L,0))</f>
        <v>参加监查员会议</v>
      </c>
      <c r="O260" s="328"/>
      <c r="P260" s="531">
        <f>IF(R260=1,INDEX(服务费明细!$E:$E,MATCH(服务费底表!$K260,服务费明细!$B:$B,0)),0)</f>
        <v>0</v>
      </c>
      <c r="Q260" s="328" t="s">
        <v>1178</v>
      </c>
      <c r="R260" s="520">
        <f>IF(AND(召开监查员会YN=1,项目管理YN=1,$R$248&lt;&gt;1),1,0)</f>
        <v>0</v>
      </c>
      <c r="S260" s="525" t="str">
        <f>INDEX('Rate Card'!$D:$D,MATCH(服务费底表!$T260,'Rate Card'!F:F,0))</f>
        <v>项目管理</v>
      </c>
      <c r="T260" s="328" t="s">
        <v>599</v>
      </c>
      <c r="U260" s="522" t="str">
        <f>INDEX('Rate Card'!$E:$E,MATCH(服务费底表!$T260,'Rate Card'!$F:$F,0))</f>
        <v>临床项目经理</v>
      </c>
      <c r="V260" s="331">
        <f>INDEX('Rate Card'!$J:$J,MATCH($T260,'Rate Card'!$F:$F,0))</f>
        <v>650</v>
      </c>
      <c r="W260" s="523">
        <f t="shared" si="202"/>
        <v>650</v>
      </c>
      <c r="X260" s="523">
        <f t="shared" si="203"/>
        <v>1</v>
      </c>
      <c r="Y260" s="327" cm="1">
        <f t="array" ref="Y260">_xlfn.IFS(报价场景=服务费底表!$AJ$2,服务费底表!$AJ260,报价场景=服务费底表!$AP$2,服务费底表!$AP260,报价场景=服务费底表!$AK$2,服务费底表!$AK260,报价场景=服务费底表!$AL$2,服务费底表!$AL260,报价场景=服务费底表!$AM$2,服务费底表!$AM260,报价场景=服务费底表!$AN$2,服务费底表!$AN260,报价场景=服务费底表!$AQ$2,服务费底表!$AQ260,报价场景=服务费底表!$AO$2,服务费底表!$AO260)</f>
        <v>1</v>
      </c>
      <c r="Z260" s="327"/>
      <c r="AA260" s="332">
        <f t="shared" si="210"/>
        <v>1</v>
      </c>
      <c r="AB260" s="333">
        <f t="shared" si="211"/>
        <v>0</v>
      </c>
      <c r="AC260" s="328">
        <f t="shared" si="212"/>
        <v>0</v>
      </c>
      <c r="AD260" s="334">
        <f t="shared" si="225"/>
        <v>0</v>
      </c>
      <c r="AE260" s="334">
        <f>$AB260*(1-INDEX(项目参数!$D$5:$D$14,MATCH(服务费底表!$S260,项目参数!$B$5:$B$14,0)))</f>
        <v>0</v>
      </c>
      <c r="AF260" s="334">
        <f>$AD260*INDEX(项目参数!$D$5:$D$14,MATCH(服务费底表!$S260,项目参数!$B$5:$B$14,0))</f>
        <v>0</v>
      </c>
      <c r="AG260" s="334">
        <f t="shared" si="226"/>
        <v>0</v>
      </c>
      <c r="AH260" s="328"/>
      <c r="AI260" s="328" t="s">
        <v>599</v>
      </c>
      <c r="AJ260" s="327">
        <v>1</v>
      </c>
      <c r="AK260" s="327">
        <v>1</v>
      </c>
      <c r="AL260" s="327">
        <v>1</v>
      </c>
      <c r="AM260" s="327">
        <v>1</v>
      </c>
      <c r="AN260" s="327">
        <f t="shared" si="234"/>
        <v>1</v>
      </c>
      <c r="AO260" s="327">
        <f t="shared" si="206"/>
        <v>1</v>
      </c>
      <c r="AP260" s="327">
        <v>1</v>
      </c>
      <c r="AQ260" s="327">
        <f t="shared" si="207"/>
        <v>1.5</v>
      </c>
      <c r="AR260" s="338"/>
      <c r="AS260" s="328">
        <f t="shared" si="223"/>
        <v>0</v>
      </c>
      <c r="AT260" s="328">
        <f t="shared" si="224"/>
        <v>0</v>
      </c>
      <c r="AU260" s="523">
        <v>1</v>
      </c>
      <c r="AV260" s="328"/>
      <c r="AW260" s="328"/>
      <c r="AX260" s="332">
        <v>1</v>
      </c>
      <c r="AY260" s="328" t="b">
        <f>IF(AX260=AJ260,TRUE,FALSE)</f>
        <v>1</v>
      </c>
      <c r="AZ260" s="328" t="b">
        <f t="shared" ref="AZ260:AZ323" si="235">IF(K260&lt;&gt;K259,IF(AZ259=TRUE,FALSE,TRUE),AZ259)</f>
        <v>1</v>
      </c>
    </row>
    <row r="261" ht="27" customHeight="1" spans="1:52">
      <c r="A261" s="326" t="str">
        <f>INDEX('Rate Card'!$A:$A,MATCH(服务费底表!$T261,'Rate Card'!$F:$F,0))</f>
        <v>临床运营</v>
      </c>
      <c r="B261" s="327" t="str">
        <f>INDEX(二三级标准!$G:$G,MATCH(服务费底表!$K261,二三级标准!B:B,0))</f>
        <v>月*中心</v>
      </c>
      <c r="C261" s="327">
        <f>INDEX(服务费明细!$E:$E,MATCH($K261,服务费明细!$B:$B,0))</f>
        <v>56</v>
      </c>
      <c r="D261" s="327" t="str">
        <f t="shared" si="208"/>
        <v>A243CRA</v>
      </c>
      <c r="E261" s="327" t="str">
        <f t="shared" si="209"/>
        <v>T0703CRA</v>
      </c>
      <c r="F261" s="328"/>
      <c r="G261" s="328" t="s">
        <v>684</v>
      </c>
      <c r="H261" s="326" t="str">
        <f>INDEX('Rate Card'!$B:$B,MATCH(服务费底表!$T261,'Rate Card'!$F:$F,0))</f>
        <v>临床运营</v>
      </c>
      <c r="I261" s="328" t="s">
        <v>921</v>
      </c>
      <c r="J261" s="328" t="str">
        <f>INDEX(二三级标准!$Q:$Q,MATCH(服务费底表!I261,二三级标准!$O:$O,0))</f>
        <v>项目管理</v>
      </c>
      <c r="K261" s="328" t="s">
        <v>1028</v>
      </c>
      <c r="L261" s="328" t="str">
        <f>INDEX(二三级标准!C:C,MATCH(服务费底表!K261,二三级标准!$B:$B,0))</f>
        <v>方案偏离审核</v>
      </c>
      <c r="M261" s="328" t="s">
        <v>1338</v>
      </c>
      <c r="N261" s="328" t="str">
        <f>INDEX(二三级标准!$M:$M,MATCH(服务费底表!$M261,二三级标准!$L:$L,0))</f>
        <v>方案偏离撰写</v>
      </c>
      <c r="O261" s="328"/>
      <c r="P261" s="531">
        <f>IF(R261=1,INDEX(服务费明细!$E:$E,MATCH(服务费底表!$K261,服务费明细!$B:$B,0)),0)</f>
        <v>56</v>
      </c>
      <c r="Q261" s="328" t="s">
        <v>1295</v>
      </c>
      <c r="R261" s="520">
        <f>IF(AND(方案偏离审核YN=1,临床监查YN=1),1,0)</f>
        <v>1</v>
      </c>
      <c r="S261" s="525" t="str">
        <f>INDEX('Rate Card'!$D:$D,MATCH(服务费底表!$T261,'Rate Card'!F:F,0))</f>
        <v>临床监查</v>
      </c>
      <c r="T261" s="328" t="s">
        <v>595</v>
      </c>
      <c r="U261" s="522" t="str">
        <f>INDEX('Rate Card'!$E:$E,MATCH(服务费底表!$T261,'Rate Card'!$F:$F,0))</f>
        <v>临床监查员</v>
      </c>
      <c r="V261" s="331">
        <f>INDEX('Rate Card'!$J:$J,MATCH($T261,'Rate Card'!$F:$F,0))</f>
        <v>340</v>
      </c>
      <c r="W261" s="523">
        <f t="shared" si="202"/>
        <v>340</v>
      </c>
      <c r="X261" s="523">
        <f t="shared" si="203"/>
        <v>0.5</v>
      </c>
      <c r="Y261" s="327" cm="1">
        <f t="array" ref="Y261">_xlfn.IFS(报价场景=服务费底表!$AJ$2,服务费底表!$AJ261,报价场景=服务费底表!$AP$2,服务费底表!$AP261,报价场景=服务费底表!$AK$2,服务费底表!$AK261,报价场景=服务费底表!$AL$2,服务费底表!$AL261,报价场景=服务费底表!$AM$2,服务费底表!$AM261,报价场景=服务费底表!$AN$2,服务费底表!$AN261,报价场景=服务费底表!$AQ$2,服务费底表!$AQ261,报价场景=服务费底表!$AO$2,服务费底表!$AO261)</f>
        <v>0.5</v>
      </c>
      <c r="Z261" s="327"/>
      <c r="AA261" s="332">
        <f t="shared" si="210"/>
        <v>0.5</v>
      </c>
      <c r="AB261" s="333">
        <f t="shared" si="211"/>
        <v>170</v>
      </c>
      <c r="AC261" s="328">
        <f t="shared" si="212"/>
        <v>28</v>
      </c>
      <c r="AD261" s="334">
        <f t="shared" si="225"/>
        <v>9520</v>
      </c>
      <c r="AE261" s="334">
        <f>$AB261*(1-INDEX(项目参数!$D$5:$D$14,MATCH(服务费底表!$S261,项目参数!$B$5:$B$14,0)))</f>
        <v>170</v>
      </c>
      <c r="AF261" s="334">
        <f>$AD261*INDEX(项目参数!$D$5:$D$14,MATCH(服务费底表!$S261,项目参数!$B$5:$B$14,0))</f>
        <v>0</v>
      </c>
      <c r="AG261" s="334">
        <f t="shared" si="226"/>
        <v>9520</v>
      </c>
      <c r="AH261" s="328"/>
      <c r="AI261" s="328" t="s">
        <v>595</v>
      </c>
      <c r="AJ261" s="327">
        <v>0.5</v>
      </c>
      <c r="AK261" s="327">
        <f t="shared" si="232"/>
        <v>0.75</v>
      </c>
      <c r="AL261" s="327">
        <f t="shared" si="233"/>
        <v>0.8</v>
      </c>
      <c r="AM261" s="327">
        <v>0.8</v>
      </c>
      <c r="AN261" s="327">
        <f t="shared" si="234"/>
        <v>0.5</v>
      </c>
      <c r="AO261" s="327">
        <f t="shared" si="206"/>
        <v>0.8</v>
      </c>
      <c r="AP261" s="327">
        <v>0.5</v>
      </c>
      <c r="AQ261" s="327">
        <f t="shared" si="207"/>
        <v>0.75</v>
      </c>
      <c r="AR261" s="338"/>
      <c r="AS261" s="328"/>
      <c r="AT261" s="328"/>
      <c r="AU261" s="523">
        <v>0.5</v>
      </c>
      <c r="AV261" s="328"/>
      <c r="AW261" s="328"/>
      <c r="AX261" s="332">
        <v>0.5</v>
      </c>
      <c r="AY261" s="328"/>
      <c r="AZ261" s="328" t="b">
        <f t="shared" si="235"/>
        <v>0</v>
      </c>
    </row>
    <row r="262" ht="27" customHeight="1" spans="1:52">
      <c r="A262" s="326" t="str">
        <f>INDEX('Rate Card'!$A:$A,MATCH(服务费底表!$T262,'Rate Card'!$F:$F,0))</f>
        <v>临床运营</v>
      </c>
      <c r="B262" s="327" t="str">
        <f>INDEX(二三级标准!$G:$G,MATCH(服务费底表!$K262,二三级标准!B:B,0))</f>
        <v>月*中心</v>
      </c>
      <c r="C262" s="327">
        <f>INDEX(服务费明细!$E:$E,MATCH(服务费底表!$K262,服务费明细!$B:$B,0))</f>
        <v>56</v>
      </c>
      <c r="D262" s="327" t="str">
        <f t="shared" si="208"/>
        <v>A243PM</v>
      </c>
      <c r="E262" s="327" t="str">
        <f t="shared" si="209"/>
        <v>T0711PM</v>
      </c>
      <c r="F262" s="328"/>
      <c r="G262" s="328" t="s">
        <v>684</v>
      </c>
      <c r="H262" s="326" t="str">
        <f>INDEX('Rate Card'!$B:$B,MATCH(服务费底表!$T262,'Rate Card'!$F:$F,0))</f>
        <v>临床运营</v>
      </c>
      <c r="I262" s="328" t="s">
        <v>921</v>
      </c>
      <c r="J262" s="328" t="str">
        <f>INDEX(二三级标准!$Q:$Q,MATCH(服务费底表!I262,二三级标准!$O:$O,0))</f>
        <v>项目管理</v>
      </c>
      <c r="K262" s="328" t="s">
        <v>1028</v>
      </c>
      <c r="L262" s="328" t="str">
        <f>INDEX(二三级标准!C:C,MATCH(服务费底表!K262,二三级标准!$B:$B,0))</f>
        <v>方案偏离审核</v>
      </c>
      <c r="M262" s="328" t="s">
        <v>1339</v>
      </c>
      <c r="N262" s="328" t="str">
        <f>INDEX(二三级标准!$M:$M,MATCH(服务费底表!$M262,二三级标准!$L:$L,0))</f>
        <v>方案偏离审核及复核</v>
      </c>
      <c r="O262" s="328"/>
      <c r="P262" s="531">
        <f>IF(R262=1,INDEX(服务费明细!$E:$E,MATCH(服务费底表!$K262,服务费明细!$B:$B,0)),0)</f>
        <v>56</v>
      </c>
      <c r="Q262" s="328" t="s">
        <v>1295</v>
      </c>
      <c r="R262" s="520">
        <f>IF(AND(方案偏离审核YN=1,临床监查YN=1),1,0)</f>
        <v>1</v>
      </c>
      <c r="S262" s="525" t="str">
        <f>INDEX('Rate Card'!$D:$D,MATCH(服务费底表!$T262,'Rate Card'!F:F,0))</f>
        <v>项目管理</v>
      </c>
      <c r="T262" s="328" t="s">
        <v>599</v>
      </c>
      <c r="U262" s="522" t="str">
        <f>INDEX('Rate Card'!$E:$E,MATCH(服务费底表!$T262,'Rate Card'!$F:$F,0))</f>
        <v>临床项目经理</v>
      </c>
      <c r="V262" s="331">
        <f>INDEX('Rate Card'!$J:$J,MATCH($T262,'Rate Card'!$F:$F,0))</f>
        <v>650</v>
      </c>
      <c r="W262" s="523">
        <f t="shared" si="202"/>
        <v>650</v>
      </c>
      <c r="X262" s="523">
        <f t="shared" si="203"/>
        <v>0.15</v>
      </c>
      <c r="Y262" s="327" cm="1">
        <f t="array" ref="Y262">_xlfn.IFS(报价场景=服务费底表!$AJ$2,服务费底表!$AJ262,报价场景=服务费底表!$AP$2,服务费底表!$AP262,报价场景=服务费底表!$AK$2,服务费底表!$AK262,报价场景=服务费底表!$AL$2,服务费底表!$AL262,报价场景=服务费底表!$AM$2,服务费底表!$AM262,报价场景=服务费底表!$AN$2,服务费底表!$AN262,报价场景=服务费底表!$AQ$2,服务费底表!$AQ262,报价场景=服务费底表!$AO$2,服务费底表!$AO262)</f>
        <v>0.15</v>
      </c>
      <c r="Z262" s="327"/>
      <c r="AA262" s="332">
        <f t="shared" si="210"/>
        <v>0.15</v>
      </c>
      <c r="AB262" s="333">
        <f t="shared" si="211"/>
        <v>97.5</v>
      </c>
      <c r="AC262" s="328">
        <f t="shared" si="212"/>
        <v>8.4</v>
      </c>
      <c r="AD262" s="334">
        <f t="shared" si="225"/>
        <v>5460</v>
      </c>
      <c r="AE262" s="334">
        <f>$AB262*(1-INDEX(项目参数!$D$5:$D$14,MATCH(服务费底表!$S262,项目参数!$B$5:$B$14,0)))</f>
        <v>97.5</v>
      </c>
      <c r="AF262" s="334">
        <f>$AD262*INDEX(项目参数!$D$5:$D$14,MATCH(服务费底表!$S262,项目参数!$B$5:$B$14,0))</f>
        <v>0</v>
      </c>
      <c r="AG262" s="334">
        <f t="shared" si="226"/>
        <v>5460</v>
      </c>
      <c r="AH262" s="328"/>
      <c r="AI262" s="328" t="s">
        <v>599</v>
      </c>
      <c r="AJ262" s="327">
        <v>0.15</v>
      </c>
      <c r="AK262" s="327">
        <f t="shared" si="232"/>
        <v>0.225</v>
      </c>
      <c r="AL262" s="327">
        <f t="shared" si="233"/>
        <v>0.2</v>
      </c>
      <c r="AM262" s="327">
        <v>0.2</v>
      </c>
      <c r="AN262" s="327">
        <f t="shared" si="234"/>
        <v>0.15</v>
      </c>
      <c r="AO262" s="327">
        <f t="shared" ref="AO262:AO325" si="236">AL262</f>
        <v>0.2</v>
      </c>
      <c r="AP262" s="327">
        <v>0.15</v>
      </c>
      <c r="AQ262" s="327">
        <f t="shared" si="207"/>
        <v>0.225</v>
      </c>
      <c r="AR262" s="338"/>
      <c r="AS262" s="328"/>
      <c r="AT262" s="328"/>
      <c r="AU262" s="523">
        <v>0.15</v>
      </c>
      <c r="AV262" s="328"/>
      <c r="AW262" s="328"/>
      <c r="AX262" s="332">
        <v>0.15</v>
      </c>
      <c r="AY262" s="328"/>
      <c r="AZ262" s="328" t="b">
        <f t="shared" si="235"/>
        <v>0</v>
      </c>
    </row>
    <row r="263" ht="27" customHeight="1" spans="1:52">
      <c r="A263" s="326" t="str">
        <f>INDEX('Rate Card'!$A:$A,MATCH(服务费底表!$T263,'Rate Card'!$F:$F,0))</f>
        <v>临床运营</v>
      </c>
      <c r="B263" s="327" t="str">
        <f>INDEX(二三级标准!$G:$G,MATCH(服务费底表!$K263,二三级标准!B:B,0))</f>
        <v>次</v>
      </c>
      <c r="C263" s="327">
        <f>INDEX(服务费明细!$E:$E,MATCH(服务费底表!$K263,服务费明细!$B:$B,0))</f>
        <v>4</v>
      </c>
      <c r="D263" s="327" t="str">
        <f t="shared" si="208"/>
        <v>A244PM</v>
      </c>
      <c r="E263" s="327" t="str">
        <f t="shared" si="209"/>
        <v>T0704PM</v>
      </c>
      <c r="F263" s="328"/>
      <c r="G263" s="328" t="s">
        <v>684</v>
      </c>
      <c r="H263" s="326" t="str">
        <f>INDEX('Rate Card'!$B:$B,MATCH(服务费底表!$T263,'Rate Card'!$F:$F,0))</f>
        <v>临床运营</v>
      </c>
      <c r="I263" s="328" t="s">
        <v>921</v>
      </c>
      <c r="J263" s="328" t="str">
        <f>INDEX(二三级标准!$Q:$Q,MATCH(服务费底表!I263,二三级标准!$O:$O,0))</f>
        <v>项目管理</v>
      </c>
      <c r="K263" s="328" t="s">
        <v>1030</v>
      </c>
      <c r="L263" s="328" t="str">
        <f>INDEX(二三级标准!C:C,MATCH(服务费底表!K263,二三级标准!$B:$B,0))</f>
        <v>外部数据一致性比对</v>
      </c>
      <c r="M263" s="328" t="s">
        <v>1340</v>
      </c>
      <c r="N263" s="328" t="str">
        <f>INDEX(二三级标准!$M:$M,MATCH(服务费底表!$M263,二三级标准!$L:$L,0))</f>
        <v>外部数据一致性比对审核</v>
      </c>
      <c r="O263" s="328"/>
      <c r="P263" s="531">
        <f>IF(R263=1,INDEX(服务费明细!$E:$E,MATCH(服务费底表!$K263,服务费明细!$B:$B,0)),0)</f>
        <v>4</v>
      </c>
      <c r="Q263" s="328" t="s">
        <v>1178</v>
      </c>
      <c r="R263" s="520">
        <f>IF(AND(外部数据一致性比对YN=1,项目管理YN=1),1,0)</f>
        <v>1</v>
      </c>
      <c r="S263" s="525" t="str">
        <f>INDEX('Rate Card'!$D:$D,MATCH(服务费底表!$T263,'Rate Card'!F:F,0))</f>
        <v>项目管理</v>
      </c>
      <c r="T263" s="328" t="s">
        <v>599</v>
      </c>
      <c r="U263" s="522" t="str">
        <f>INDEX('Rate Card'!$E:$E,MATCH(服务费底表!$T263,'Rate Card'!$F:$F,0))</f>
        <v>临床项目经理</v>
      </c>
      <c r="V263" s="331">
        <f>INDEX('Rate Card'!$J:$J,MATCH($T263,'Rate Card'!$F:$F,0))</f>
        <v>650</v>
      </c>
      <c r="W263" s="523">
        <f t="shared" si="202"/>
        <v>650</v>
      </c>
      <c r="X263" s="523">
        <f t="shared" si="203"/>
        <v>1</v>
      </c>
      <c r="Y263" s="327" cm="1">
        <f t="array" ref="Y263">_xlfn.IFS(报价场景=服务费底表!$AJ$2,服务费底表!$AJ263,报价场景=服务费底表!$AP$2,服务费底表!$AP263,报价场景=服务费底表!$AK$2,服务费底表!$AK263,报价场景=服务费底表!$AL$2,服务费底表!$AL263,报价场景=服务费底表!$AM$2,服务费底表!$AM263,报价场景=服务费底表!$AN$2,服务费底表!$AN263,报价场景=服务费底表!$AQ$2,服务费底表!$AQ263,报价场景=服务费底表!$AO$2,服务费底表!$AO263)</f>
        <v>1</v>
      </c>
      <c r="Z263" s="327"/>
      <c r="AA263" s="332">
        <f t="shared" si="210"/>
        <v>1</v>
      </c>
      <c r="AB263" s="333">
        <f t="shared" si="211"/>
        <v>650</v>
      </c>
      <c r="AC263" s="328">
        <f t="shared" si="212"/>
        <v>4</v>
      </c>
      <c r="AD263" s="334">
        <f t="shared" si="225"/>
        <v>2600</v>
      </c>
      <c r="AE263" s="334">
        <f>$AB263*(1-INDEX(项目参数!$D$5:$D$14,MATCH(服务费底表!$S263,项目参数!$B$5:$B$14,0)))</f>
        <v>650</v>
      </c>
      <c r="AF263" s="334">
        <f>$AD263*INDEX(项目参数!$D$5:$D$14,MATCH(服务费底表!$S263,项目参数!$B$5:$B$14,0))</f>
        <v>0</v>
      </c>
      <c r="AG263" s="334">
        <f t="shared" si="226"/>
        <v>2600</v>
      </c>
      <c r="AH263" s="328"/>
      <c r="AI263" s="328" t="s">
        <v>599</v>
      </c>
      <c r="AJ263" s="327">
        <v>1</v>
      </c>
      <c r="AK263" s="327">
        <f t="shared" si="232"/>
        <v>1.5</v>
      </c>
      <c r="AL263" s="327">
        <f t="shared" si="233"/>
        <v>0.8</v>
      </c>
      <c r="AM263" s="327">
        <v>0.8</v>
      </c>
      <c r="AN263" s="327">
        <f t="shared" si="234"/>
        <v>1</v>
      </c>
      <c r="AO263" s="327">
        <f t="shared" si="236"/>
        <v>0.8</v>
      </c>
      <c r="AP263" s="327">
        <v>1</v>
      </c>
      <c r="AQ263" s="327">
        <f t="shared" si="207"/>
        <v>1.5</v>
      </c>
      <c r="AR263" s="338"/>
      <c r="AS263" s="328"/>
      <c r="AT263" s="328"/>
      <c r="AU263" s="523">
        <v>1</v>
      </c>
      <c r="AV263" s="328"/>
      <c r="AW263" s="328"/>
      <c r="AX263" s="332">
        <v>1</v>
      </c>
      <c r="AY263" s="328"/>
      <c r="AZ263" s="328" t="b">
        <f t="shared" si="235"/>
        <v>1</v>
      </c>
    </row>
    <row r="264" ht="27" customHeight="1" spans="1:52">
      <c r="A264" s="326" t="str">
        <f>INDEX('Rate Card'!$A:$A,MATCH(服务费底表!$T264,'Rate Card'!$F:$F,0))</f>
        <v>临床运营</v>
      </c>
      <c r="B264" s="327" t="str">
        <f>INDEX(二三级标准!$G:$G,MATCH(服务费底表!$K264,二三级标准!B:B,0))</f>
        <v>次</v>
      </c>
      <c r="C264" s="327">
        <f>INDEX(服务费明细!$E:$E,MATCH(服务费底表!$K264,服务费明细!$B:$B,0))</f>
        <v>1</v>
      </c>
      <c r="D264" s="327" t="str">
        <f t="shared" ref="D254:D296" si="237">K264&amp;T264</f>
        <v>A071CRA</v>
      </c>
      <c r="E264" s="327" t="str">
        <f t="shared" ref="E254:E296" si="238">M264&amp;T264</f>
        <v>T0164CRA</v>
      </c>
      <c r="F264" s="328"/>
      <c r="G264" s="328" t="s">
        <v>684</v>
      </c>
      <c r="H264" s="326" t="str">
        <f>INDEX('Rate Card'!$B:$B,MATCH(服务费底表!$T264,'Rate Card'!$F:$F,0))</f>
        <v>临床运营</v>
      </c>
      <c r="I264" s="328" t="s">
        <v>921</v>
      </c>
      <c r="J264" s="328" t="str">
        <f>INDEX(二三级标准!$Q:$Q,MATCH(服务费底表!I264,二三级标准!$O:$O,0))</f>
        <v>项目管理</v>
      </c>
      <c r="K264" s="328" t="s">
        <v>247</v>
      </c>
      <c r="L264" s="328" t="str">
        <f>INDEX(二三级标准!C:C,MATCH(服务费底表!K264,二三级标准!$B:$B,0))</f>
        <v>文件移交至客户</v>
      </c>
      <c r="M264" s="328" t="s">
        <v>1341</v>
      </c>
      <c r="N264" s="328" t="str">
        <f>INDEX(二三级标准!$M:$M,MATCH(服务费底表!$M264,二三级标准!$L:$L,0))</f>
        <v>文件移交至客户</v>
      </c>
      <c r="O264" s="328"/>
      <c r="P264" s="531">
        <f>IF(R264=1,INDEX(服务费明细!$E:$E,MATCH(服务费底表!$K264,服务费明细!$B:$B,0)),0)</f>
        <v>1</v>
      </c>
      <c r="Q264" s="328" t="s">
        <v>1178</v>
      </c>
      <c r="R264" s="520">
        <f>IF(AND(文件移交至客户YN=1,临床监查YN=1),1,0)</f>
        <v>1</v>
      </c>
      <c r="S264" s="525" t="str">
        <f>INDEX('Rate Card'!$D:$D,MATCH(服务费底表!$T264,'Rate Card'!F:F,0))</f>
        <v>临床监查</v>
      </c>
      <c r="T264" s="328" t="s">
        <v>595</v>
      </c>
      <c r="U264" s="522" t="str">
        <f>INDEX('Rate Card'!$E:$E,MATCH(服务费底表!$T264,'Rate Card'!$F:$F,0))</f>
        <v>临床监查员</v>
      </c>
      <c r="V264" s="331">
        <f>INDEX('Rate Card'!$J:$J,MATCH($T264,'Rate Card'!$F:$F,0))</f>
        <v>340</v>
      </c>
      <c r="W264" s="523">
        <f t="shared" si="202"/>
        <v>340</v>
      </c>
      <c r="X264" s="523">
        <f t="shared" si="203"/>
        <v>16</v>
      </c>
      <c r="Y264" s="327" cm="1">
        <f t="array" ref="Y264">_xlfn.IFS(报价场景=服务费底表!$AJ$2,服务费底表!$AJ264,报价场景=服务费底表!$AP$2,服务费底表!$AP264,报价场景=服务费底表!$AK$2,服务费底表!$AK264,报价场景=服务费底表!$AL$2,服务费底表!$AL264,报价场景=服务费底表!$AM$2,服务费底表!$AM264,报价场景=服务费底表!$AN$2,服务费底表!$AN264,报价场景=服务费底表!$AQ$2,服务费底表!$AQ264,报价场景=服务费底表!$AO$2,服务费底表!$AO264)</f>
        <v>16</v>
      </c>
      <c r="Z264" s="327"/>
      <c r="AA264" s="332">
        <f t="shared" ref="AA254:AA296" si="239">IF(ISBLANK($Z264),$Y264,$Z264)</f>
        <v>16</v>
      </c>
      <c r="AB264" s="333">
        <f t="shared" ref="AB254:AB296" si="240">IFERROR(AD264/P264,0)</f>
        <v>5440</v>
      </c>
      <c r="AC264" s="328">
        <f t="shared" ref="AC254:AC296" si="241">AA264*P264*R264</f>
        <v>16</v>
      </c>
      <c r="AD264" s="334">
        <f t="shared" si="225"/>
        <v>5440</v>
      </c>
      <c r="AE264" s="334">
        <f>$AB264*(1-INDEX(项目参数!$D$5:$D$14,MATCH(服务费底表!$S264,项目参数!$B$5:$B$14,0)))</f>
        <v>5440</v>
      </c>
      <c r="AF264" s="334">
        <f>$AD264*INDEX(项目参数!$D$5:$D$14,MATCH(服务费底表!$S264,项目参数!$B$5:$B$14,0))</f>
        <v>0</v>
      </c>
      <c r="AG264" s="334">
        <f t="shared" si="226"/>
        <v>5440</v>
      </c>
      <c r="AH264" s="328"/>
      <c r="AI264" s="328" t="s">
        <v>595</v>
      </c>
      <c r="AJ264" s="327">
        <f>4*启动中心数</f>
        <v>16</v>
      </c>
      <c r="AK264" s="327">
        <f t="shared" si="232"/>
        <v>24</v>
      </c>
      <c r="AL264" s="327">
        <f t="shared" si="233"/>
        <v>11</v>
      </c>
      <c r="AM264" s="327">
        <v>11</v>
      </c>
      <c r="AN264" s="327">
        <f t="shared" si="234"/>
        <v>16</v>
      </c>
      <c r="AO264" s="327">
        <f t="shared" si="236"/>
        <v>11</v>
      </c>
      <c r="AP264" s="327">
        <v>4</v>
      </c>
      <c r="AQ264" s="327">
        <f t="shared" si="207"/>
        <v>24</v>
      </c>
      <c r="AR264" s="338"/>
      <c r="AS264" s="328">
        <f t="shared" ref="AS261:AS275" si="242">AC264</f>
        <v>16</v>
      </c>
      <c r="AT264" s="328">
        <f t="shared" ref="AT261:AT275" si="243">Y264*P264</f>
        <v>16</v>
      </c>
      <c r="AU264" s="523">
        <v>16</v>
      </c>
      <c r="AV264" s="328"/>
      <c r="AW264" s="328"/>
      <c r="AX264" s="332">
        <v>16</v>
      </c>
      <c r="AY264" s="328" t="b">
        <f t="shared" ref="AY261:AY299" si="244">IF(AX264=AJ264,TRUE,FALSE)</f>
        <v>1</v>
      </c>
      <c r="AZ264" s="328" t="b">
        <f t="shared" si="235"/>
        <v>0</v>
      </c>
    </row>
    <row r="265" ht="27" customHeight="1" spans="1:52">
      <c r="A265" s="326" t="str">
        <f>INDEX('Rate Card'!$A:$A,MATCH(服务费底表!$T265,'Rate Card'!$F:$F,0))</f>
        <v>临床运营</v>
      </c>
      <c r="B265" s="327" t="str">
        <f>INDEX(二三级标准!$G:$G,MATCH(服务费底表!$K265,二三级标准!B:B,0))</f>
        <v>次</v>
      </c>
      <c r="C265" s="327">
        <f>INDEX(服务费明细!$E:$E,MATCH(服务费底表!$K265,服务费明细!$B:$B,0))</f>
        <v>1</v>
      </c>
      <c r="D265" s="327" t="str">
        <f t="shared" si="237"/>
        <v>A071CTA</v>
      </c>
      <c r="E265" s="327" t="str">
        <f t="shared" si="238"/>
        <v>T0164CTA</v>
      </c>
      <c r="F265" s="328"/>
      <c r="G265" s="328" t="s">
        <v>684</v>
      </c>
      <c r="H265" s="326" t="str">
        <f>INDEX('Rate Card'!$B:$B,MATCH(服务费底表!$T265,'Rate Card'!$F:$F,0))</f>
        <v>临床运营</v>
      </c>
      <c r="I265" s="328" t="s">
        <v>921</v>
      </c>
      <c r="J265" s="328" t="str">
        <f>INDEX(二三级标准!$Q:$Q,MATCH(服务费底表!I265,二三级标准!$O:$O,0))</f>
        <v>项目管理</v>
      </c>
      <c r="K265" s="328" t="s">
        <v>247</v>
      </c>
      <c r="L265" s="328" t="str">
        <f>INDEX(二三级标准!C:C,MATCH(服务费底表!K265,二三级标准!$B:$B,0))</f>
        <v>文件移交至客户</v>
      </c>
      <c r="M265" s="328" t="s">
        <v>1341</v>
      </c>
      <c r="N265" s="328" t="str">
        <f>INDEX(二三级标准!$M:$M,MATCH(服务费底表!$M265,二三级标准!$L:$L,0))</f>
        <v>文件移交至客户</v>
      </c>
      <c r="O265" s="328"/>
      <c r="P265" s="531">
        <f>IF(R265=1,INDEX(服务费明细!$E:$E,MATCH(服务费底表!$K265,服务费明细!$B:$B,0)),0)</f>
        <v>1</v>
      </c>
      <c r="Q265" s="328" t="s">
        <v>1178</v>
      </c>
      <c r="R265" s="520">
        <f>IF(AND(文件移交至客户YN=1,临床监查YN=1),1,0)</f>
        <v>1</v>
      </c>
      <c r="S265" s="525" t="str">
        <f>INDEX('Rate Card'!$D:$D,MATCH(服务费底表!$T265,'Rate Card'!F:F,0))</f>
        <v>临床监查</v>
      </c>
      <c r="T265" s="328" t="s">
        <v>597</v>
      </c>
      <c r="U265" s="522" t="str">
        <f>INDEX('Rate Card'!$E:$E,MATCH(服务费底表!$T265,'Rate Card'!$F:$F,0))</f>
        <v>临床试验助理</v>
      </c>
      <c r="V265" s="331">
        <f>INDEX('Rate Card'!$J:$J,MATCH($T265,'Rate Card'!$F:$F,0))</f>
        <v>220</v>
      </c>
      <c r="W265" s="523">
        <f t="shared" si="202"/>
        <v>220</v>
      </c>
      <c r="X265" s="523">
        <f t="shared" si="203"/>
        <v>40</v>
      </c>
      <c r="Y265" s="327" cm="1">
        <f t="array" ref="Y265">_xlfn.IFS(报价场景=服务费底表!$AJ$2,服务费底表!$AJ265,报价场景=服务费底表!$AP$2,服务费底表!$AP265,报价场景=服务费底表!$AK$2,服务费底表!$AK265,报价场景=服务费底表!$AL$2,服务费底表!$AL265,报价场景=服务费底表!$AM$2,服务费底表!$AM265,报价场景=服务费底表!$AN$2,服务费底表!$AN265,报价场景=服务费底表!$AQ$2,服务费底表!$AQ265,报价场景=服务费底表!$AO$2,服务费底表!$AO265)</f>
        <v>40</v>
      </c>
      <c r="Z265" s="327"/>
      <c r="AA265" s="332">
        <f t="shared" si="239"/>
        <v>40</v>
      </c>
      <c r="AB265" s="333">
        <f t="shared" si="240"/>
        <v>8800</v>
      </c>
      <c r="AC265" s="328">
        <f t="shared" si="241"/>
        <v>40</v>
      </c>
      <c r="AD265" s="334">
        <f t="shared" ref="AD265:AD296" si="245">AC265*V265</f>
        <v>8800</v>
      </c>
      <c r="AE265" s="334">
        <f>$AB265*(1-INDEX(项目参数!$D$5:$D$14,MATCH(服务费底表!$S265,项目参数!$B$5:$B$14,0)))</f>
        <v>8800</v>
      </c>
      <c r="AF265" s="334">
        <f>$AD265*INDEX(项目参数!$D$5:$D$14,MATCH(服务费底表!$S265,项目参数!$B$5:$B$14,0))</f>
        <v>0</v>
      </c>
      <c r="AG265" s="334">
        <f t="shared" ref="AG265:AG296" si="246">AD265-AF265</f>
        <v>8800</v>
      </c>
      <c r="AH265" s="328"/>
      <c r="AI265" s="328" t="s">
        <v>597</v>
      </c>
      <c r="AJ265" s="327">
        <v>40</v>
      </c>
      <c r="AK265" s="327">
        <f t="shared" si="232"/>
        <v>60</v>
      </c>
      <c r="AL265" s="327">
        <f t="shared" si="233"/>
        <v>28</v>
      </c>
      <c r="AM265" s="327">
        <f>AJ265*0.7</f>
        <v>28</v>
      </c>
      <c r="AN265" s="327">
        <f t="shared" si="234"/>
        <v>40</v>
      </c>
      <c r="AO265" s="327">
        <f t="shared" si="236"/>
        <v>28</v>
      </c>
      <c r="AP265" s="327">
        <v>40</v>
      </c>
      <c r="AQ265" s="327">
        <f t="shared" si="207"/>
        <v>60</v>
      </c>
      <c r="AR265" s="338"/>
      <c r="AS265" s="328">
        <f t="shared" si="242"/>
        <v>40</v>
      </c>
      <c r="AT265" s="328">
        <f t="shared" si="243"/>
        <v>40</v>
      </c>
      <c r="AU265" s="523">
        <v>40</v>
      </c>
      <c r="AV265" s="328"/>
      <c r="AW265" s="328"/>
      <c r="AX265" s="332">
        <v>40</v>
      </c>
      <c r="AY265" s="328" t="b">
        <f t="shared" si="244"/>
        <v>1</v>
      </c>
      <c r="AZ265" s="328" t="b">
        <f t="shared" si="235"/>
        <v>0</v>
      </c>
    </row>
    <row r="266" ht="27" customHeight="1" spans="1:52">
      <c r="A266" s="326" t="str">
        <f>INDEX('Rate Card'!$A:$A,MATCH(服务费底表!$T266,'Rate Card'!$F:$F,0))</f>
        <v>临床运营</v>
      </c>
      <c r="B266" s="327" t="str">
        <f>INDEX(二三级标准!$G:$G,MATCH(服务费底表!$K266,二三级标准!B:B,0))</f>
        <v>次</v>
      </c>
      <c r="C266" s="327">
        <f>INDEX(服务费明细!$E:$E,MATCH(服务费底表!$K266,服务费明细!$B:$B,0))</f>
        <v>1</v>
      </c>
      <c r="D266" s="327" t="str">
        <f t="shared" si="237"/>
        <v>A071PM</v>
      </c>
      <c r="E266" s="327" t="str">
        <f t="shared" si="238"/>
        <v>T0164PM</v>
      </c>
      <c r="F266" s="328"/>
      <c r="G266" s="328" t="s">
        <v>684</v>
      </c>
      <c r="H266" s="326" t="str">
        <f>INDEX('Rate Card'!$B:$B,MATCH(服务费底表!$T266,'Rate Card'!$F:$F,0))</f>
        <v>临床运营</v>
      </c>
      <c r="I266" s="328" t="s">
        <v>921</v>
      </c>
      <c r="J266" s="328" t="str">
        <f>INDEX(二三级标准!$Q:$Q,MATCH(服务费底表!I266,二三级标准!$O:$O,0))</f>
        <v>项目管理</v>
      </c>
      <c r="K266" s="328" t="s">
        <v>247</v>
      </c>
      <c r="L266" s="328" t="str">
        <f>INDEX(二三级标准!C:C,MATCH(服务费底表!K266,二三级标准!$B:$B,0))</f>
        <v>文件移交至客户</v>
      </c>
      <c r="M266" s="328" t="s">
        <v>1341</v>
      </c>
      <c r="N266" s="328" t="str">
        <f>INDEX(二三级标准!$M:$M,MATCH(服务费底表!$M266,二三级标准!$L:$L,0))</f>
        <v>文件移交至客户</v>
      </c>
      <c r="O266" s="328"/>
      <c r="P266" s="531">
        <f>IF(R266=1,INDEX(服务费明细!$E:$E,MATCH(服务费底表!$K266,服务费明细!$B:$B,0)),0)</f>
        <v>1</v>
      </c>
      <c r="Q266" s="328" t="s">
        <v>1178</v>
      </c>
      <c r="R266" s="520">
        <f>IF(AND(文件移交至客户YN=1,项目管理YN=1),1,0)</f>
        <v>1</v>
      </c>
      <c r="S266" s="525" t="str">
        <f>INDEX('Rate Card'!$D:$D,MATCH(服务费底表!$T266,'Rate Card'!F:F,0))</f>
        <v>项目管理</v>
      </c>
      <c r="T266" s="328" t="s">
        <v>599</v>
      </c>
      <c r="U266" s="522" t="str">
        <f>INDEX('Rate Card'!$E:$E,MATCH(服务费底表!$T266,'Rate Card'!$F:$F,0))</f>
        <v>临床项目经理</v>
      </c>
      <c r="V266" s="331">
        <f>INDEX('Rate Card'!$J:$J,MATCH($T266,'Rate Card'!$F:$F,0))</f>
        <v>650</v>
      </c>
      <c r="W266" s="523">
        <f t="shared" si="202"/>
        <v>650</v>
      </c>
      <c r="X266" s="523">
        <f t="shared" si="203"/>
        <v>24</v>
      </c>
      <c r="Y266" s="327" cm="1">
        <f t="array" ref="Y266">_xlfn.IFS(报价场景=服务费底表!$AJ$2,服务费底表!$AJ266,报价场景=服务费底表!$AP$2,服务费底表!$AP266,报价场景=服务费底表!$AK$2,服务费底表!$AK266,报价场景=服务费底表!$AL$2,服务费底表!$AL266,报价场景=服务费底表!$AM$2,服务费底表!$AM266,报价场景=服务费底表!$AN$2,服务费底表!$AN266,报价场景=服务费底表!$AQ$2,服务费底表!$AQ266,报价场景=服务费底表!$AO$2,服务费底表!$AO266)</f>
        <v>24</v>
      </c>
      <c r="Z266" s="327"/>
      <c r="AA266" s="332">
        <f t="shared" si="239"/>
        <v>24</v>
      </c>
      <c r="AB266" s="333">
        <f t="shared" si="240"/>
        <v>15600</v>
      </c>
      <c r="AC266" s="328">
        <f t="shared" si="241"/>
        <v>24</v>
      </c>
      <c r="AD266" s="334">
        <f t="shared" si="245"/>
        <v>15600</v>
      </c>
      <c r="AE266" s="334">
        <f>$AB266*(1-INDEX(项目参数!$D$5:$D$14,MATCH(服务费底表!$S266,项目参数!$B$5:$B$14,0)))</f>
        <v>15600</v>
      </c>
      <c r="AF266" s="334">
        <f>$AD266*INDEX(项目参数!$D$5:$D$14,MATCH(服务费底表!$S266,项目参数!$B$5:$B$14,0))</f>
        <v>0</v>
      </c>
      <c r="AG266" s="334">
        <f t="shared" si="246"/>
        <v>15600</v>
      </c>
      <c r="AH266" s="328"/>
      <c r="AI266" s="328" t="s">
        <v>599</v>
      </c>
      <c r="AJ266" s="327">
        <v>24</v>
      </c>
      <c r="AK266" s="327">
        <f t="shared" si="232"/>
        <v>36</v>
      </c>
      <c r="AL266" s="327">
        <f t="shared" si="233"/>
        <v>17</v>
      </c>
      <c r="AM266" s="327">
        <v>17</v>
      </c>
      <c r="AN266" s="327">
        <f t="shared" si="234"/>
        <v>24</v>
      </c>
      <c r="AO266" s="327">
        <f t="shared" si="236"/>
        <v>17</v>
      </c>
      <c r="AP266" s="327">
        <v>24</v>
      </c>
      <c r="AQ266" s="327">
        <f t="shared" si="207"/>
        <v>36</v>
      </c>
      <c r="AR266" s="338"/>
      <c r="AS266" s="328">
        <f t="shared" si="242"/>
        <v>24</v>
      </c>
      <c r="AT266" s="328">
        <f t="shared" si="243"/>
        <v>24</v>
      </c>
      <c r="AU266" s="523">
        <v>24</v>
      </c>
      <c r="AV266" s="328"/>
      <c r="AW266" s="328"/>
      <c r="AX266" s="332">
        <v>24</v>
      </c>
      <c r="AY266" s="328" t="b">
        <f t="shared" si="244"/>
        <v>1</v>
      </c>
      <c r="AZ266" s="328" t="b">
        <f t="shared" si="235"/>
        <v>0</v>
      </c>
    </row>
    <row r="267" ht="27" customHeight="1" spans="1:52">
      <c r="A267" s="326" t="str">
        <f>INDEX('Rate Card'!$A:$A,MATCH(服务费底表!$T267,'Rate Card'!$F:$F,0))</f>
        <v>医学</v>
      </c>
      <c r="B267" s="327" t="str">
        <f>INDEX(二三级标准!$G:$G,MATCH(服务费底表!$K267,二三级标准!B:B,0))</f>
        <v>份</v>
      </c>
      <c r="C267" s="327">
        <f>INDEX(服务费明细!$E:$E,MATCH(服务费底表!$K267,服务费明细!$B:$B,0))</f>
        <v>1</v>
      </c>
      <c r="D267" s="327" t="str">
        <f t="shared" si="237"/>
        <v>A072MM</v>
      </c>
      <c r="E267" s="327" t="str">
        <f t="shared" si="238"/>
        <v>T0165MM</v>
      </c>
      <c r="F267" s="328"/>
      <c r="G267" s="328" t="s">
        <v>684</v>
      </c>
      <c r="H267" s="326" t="str">
        <f>INDEX('Rate Card'!$B:$B,MATCH(服务费底表!$T267,'Rate Card'!$F:$F,0))</f>
        <v>医学</v>
      </c>
      <c r="I267" s="328" t="s">
        <v>922</v>
      </c>
      <c r="J267" s="328" t="str">
        <f>INDEX(二三级标准!$Q:$Q,MATCH(服务费底表!I267,二三级标准!$O:$O,0))</f>
        <v>医学监查</v>
      </c>
      <c r="K267" s="328" t="s">
        <v>249</v>
      </c>
      <c r="L267" s="328" t="str">
        <f>INDEX(二三级标准!C:C,MATCH(服务费底表!K267,二三级标准!$B:$B,0))</f>
        <v>医学监查计划MMP撰写</v>
      </c>
      <c r="M267" s="328" t="s">
        <v>1342</v>
      </c>
      <c r="N267" s="328" t="str">
        <f>INDEX(二三级标准!$M:$M,MATCH(服务费底表!$M267,二三级标准!$L:$L,0))</f>
        <v>MMP撰写</v>
      </c>
      <c r="O267" s="328"/>
      <c r="P267" s="531">
        <f>IF(R267=1,INDEX(服务费明细!$E:$E,MATCH(服务费底表!$K267,服务费明细!$B:$B,0)),0)</f>
        <v>1</v>
      </c>
      <c r="Q267" s="328" t="s">
        <v>1178</v>
      </c>
      <c r="R267" s="520">
        <f>IF(AND(MMP撰写YN=1,医学监查YN=1),1,0)</f>
        <v>1</v>
      </c>
      <c r="S267" s="521" t="str">
        <f>IF(AND(H267="医学",OR(I267=二三级标准!$A$4,I267=二三级标准!$A$153)),"医学撰写","医学监查")</f>
        <v>医学监查</v>
      </c>
      <c r="T267" s="328" t="s">
        <v>615</v>
      </c>
      <c r="U267" s="522" t="str">
        <f>INDEX('Rate Card'!$E:$E,MATCH(服务费底表!$T267,'Rate Card'!$F:$F,0))</f>
        <v>医学经理</v>
      </c>
      <c r="V267" s="331">
        <f>INDEX('Rate Card'!$J:$J,MATCH($T267,'Rate Card'!$F:$F,0))</f>
        <v>650</v>
      </c>
      <c r="W267" s="523">
        <f t="shared" si="202"/>
        <v>650</v>
      </c>
      <c r="X267" s="523">
        <f t="shared" si="203"/>
        <v>6</v>
      </c>
      <c r="Y267" s="327" cm="1">
        <f t="array" ref="Y267">_xlfn.IFS(报价场景=服务费底表!$AJ$2,服务费底表!$AJ267,报价场景=服务费底表!$AP$2,服务费底表!$AP267,报价场景=服务费底表!$AK$2,服务费底表!$AK267,报价场景=服务费底表!$AL$2,服务费底表!$AL267,报价场景=服务费底表!$AM$2,服务费底表!$AM267,报价场景=服务费底表!$AN$2,服务费底表!$AN267,报价场景=服务费底表!$AQ$2,服务费底表!$AQ267,报价场景=服务费底表!$AO$2,服务费底表!$AO267)</f>
        <v>6</v>
      </c>
      <c r="Z267" s="327"/>
      <c r="AA267" s="332">
        <f t="shared" si="239"/>
        <v>6</v>
      </c>
      <c r="AB267" s="333">
        <f t="shared" si="240"/>
        <v>3900</v>
      </c>
      <c r="AC267" s="328">
        <f t="shared" si="241"/>
        <v>6</v>
      </c>
      <c r="AD267" s="334">
        <f t="shared" si="245"/>
        <v>3900</v>
      </c>
      <c r="AE267" s="334">
        <f>$AB267*(1-INDEX(项目参数!$D$5:$D$14,MATCH(服务费底表!$S267,项目参数!$B$5:$B$14,0)))</f>
        <v>3900</v>
      </c>
      <c r="AF267" s="334">
        <f>$AD267*INDEX(项目参数!$D$5:$D$14,MATCH(服务费底表!$S267,项目参数!$B$5:$B$14,0))</f>
        <v>0</v>
      </c>
      <c r="AG267" s="334">
        <f t="shared" si="246"/>
        <v>3900</v>
      </c>
      <c r="AH267" s="328"/>
      <c r="AI267" s="328" t="s">
        <v>615</v>
      </c>
      <c r="AJ267" s="327">
        <v>6</v>
      </c>
      <c r="AK267" s="327">
        <f t="shared" ref="AK267:AK273" si="247">AJ267*1.5</f>
        <v>9</v>
      </c>
      <c r="AL267" s="327">
        <v>4</v>
      </c>
      <c r="AM267" s="327">
        <v>8</v>
      </c>
      <c r="AN267" s="327">
        <f t="shared" ref="AN267:AN269" si="248">AL267</f>
        <v>4</v>
      </c>
      <c r="AO267" s="327">
        <f t="shared" si="236"/>
        <v>4</v>
      </c>
      <c r="AP267" s="327">
        <v>6</v>
      </c>
      <c r="AQ267" s="327">
        <f t="shared" si="207"/>
        <v>9</v>
      </c>
      <c r="AR267" s="338"/>
      <c r="AS267" s="328">
        <f t="shared" si="242"/>
        <v>6</v>
      </c>
      <c r="AT267" s="328">
        <f t="shared" si="243"/>
        <v>6</v>
      </c>
      <c r="AU267" s="523">
        <v>6</v>
      </c>
      <c r="AV267" s="328"/>
      <c r="AW267" s="328"/>
      <c r="AX267" s="332">
        <v>6</v>
      </c>
      <c r="AY267" s="328" t="b">
        <f t="shared" si="244"/>
        <v>1</v>
      </c>
      <c r="AZ267" s="328" t="b">
        <f t="shared" si="235"/>
        <v>1</v>
      </c>
    </row>
    <row r="268" ht="27" customHeight="1" spans="1:52">
      <c r="A268" s="326" t="str">
        <f>INDEX('Rate Card'!$A:$A,MATCH(服务费底表!$T268,'Rate Card'!$F:$F,0))</f>
        <v>医学</v>
      </c>
      <c r="B268" s="327" t="str">
        <f>INDEX(二三级标准!$G:$G,MATCH(服务费底表!$K268,二三级标准!B:B,0))</f>
        <v>份</v>
      </c>
      <c r="C268" s="327">
        <f>INDEX(服务费明细!$E:$E,MATCH(服务费底表!$K268,服务费明细!$B:$B,0))</f>
        <v>1</v>
      </c>
      <c r="D268" s="327" t="str">
        <f t="shared" si="237"/>
        <v>A072MM</v>
      </c>
      <c r="E268" s="327" t="str">
        <f t="shared" si="238"/>
        <v>T0166MM</v>
      </c>
      <c r="F268" s="328"/>
      <c r="G268" s="328" t="s">
        <v>684</v>
      </c>
      <c r="H268" s="326" t="str">
        <f>INDEX('Rate Card'!$B:$B,MATCH(服务费底表!$T268,'Rate Card'!$F:$F,0))</f>
        <v>医学</v>
      </c>
      <c r="I268" s="328" t="s">
        <v>922</v>
      </c>
      <c r="J268" s="328" t="str">
        <f>INDEX(二三级标准!$Q:$Q,MATCH(服务费底表!I268,二三级标准!$O:$O,0))</f>
        <v>医学监查</v>
      </c>
      <c r="K268" s="328" t="s">
        <v>249</v>
      </c>
      <c r="L268" s="328" t="str">
        <f>INDEX(二三级标准!C:C,MATCH(服务费底表!K268,二三级标准!$B:$B,0))</f>
        <v>医学监查计划MMP撰写</v>
      </c>
      <c r="M268" s="328" t="s">
        <v>1343</v>
      </c>
      <c r="N268" s="328" t="str">
        <f>INDEX(二三级标准!$M:$M,MATCH(服务费底表!$M268,二三级标准!$L:$L,0))</f>
        <v>MMP附录方案偏离定义列表</v>
      </c>
      <c r="O268" s="328"/>
      <c r="P268" s="531">
        <f>IF(R268=1,INDEX(服务费明细!$E:$E,MATCH(服务费底表!$K268,服务费明细!$B:$B,0)),0)</f>
        <v>1</v>
      </c>
      <c r="Q268" s="328" t="s">
        <v>1178</v>
      </c>
      <c r="R268" s="520">
        <f>IF(AND(MMP撰写YN=1,医学监查YN=1),1,0)</f>
        <v>1</v>
      </c>
      <c r="S268" s="521" t="str">
        <f>IF(AND(H268="医学",OR(I268=二三级标准!$A$4,I268=二三级标准!$A$153)),"医学撰写","医学监查")</f>
        <v>医学监查</v>
      </c>
      <c r="T268" s="328" t="s">
        <v>615</v>
      </c>
      <c r="U268" s="522" t="str">
        <f>INDEX('Rate Card'!$E:$E,MATCH(服务费底表!$T268,'Rate Card'!$F:$F,0))</f>
        <v>医学经理</v>
      </c>
      <c r="V268" s="331">
        <f>INDEX('Rate Card'!$J:$J,MATCH($T268,'Rate Card'!$F:$F,0))</f>
        <v>650</v>
      </c>
      <c r="W268" s="523">
        <f t="shared" si="202"/>
        <v>650</v>
      </c>
      <c r="X268" s="523">
        <f t="shared" si="203"/>
        <v>2</v>
      </c>
      <c r="Y268" s="327" cm="1">
        <f t="array" ref="Y268">_xlfn.IFS(报价场景=服务费底表!$AJ$2,服务费底表!$AJ268,报价场景=服务费底表!$AP$2,服务费底表!$AP268,报价场景=服务费底表!$AK$2,服务费底表!$AK268,报价场景=服务费底表!$AL$2,服务费底表!$AL268,报价场景=服务费底表!$AM$2,服务费底表!$AM268,报价场景=服务费底表!$AN$2,服务费底表!$AN268,报价场景=服务费底表!$AQ$2,服务费底表!$AQ268,报价场景=服务费底表!$AO$2,服务费底表!$AO268)</f>
        <v>2</v>
      </c>
      <c r="Z268" s="327"/>
      <c r="AA268" s="332">
        <f t="shared" si="239"/>
        <v>2</v>
      </c>
      <c r="AB268" s="333">
        <f t="shared" si="240"/>
        <v>1300</v>
      </c>
      <c r="AC268" s="328">
        <f t="shared" si="241"/>
        <v>2</v>
      </c>
      <c r="AD268" s="334">
        <f t="shared" si="245"/>
        <v>1300</v>
      </c>
      <c r="AE268" s="334">
        <f>$AB268*(1-INDEX(项目参数!$D$5:$D$14,MATCH(服务费底表!$S268,项目参数!$B$5:$B$14,0)))</f>
        <v>1300</v>
      </c>
      <c r="AF268" s="334">
        <f>$AD268*INDEX(项目参数!$D$5:$D$14,MATCH(服务费底表!$S268,项目参数!$B$5:$B$14,0))</f>
        <v>0</v>
      </c>
      <c r="AG268" s="334">
        <f t="shared" si="246"/>
        <v>1300</v>
      </c>
      <c r="AH268" s="328"/>
      <c r="AI268" s="328" t="s">
        <v>615</v>
      </c>
      <c r="AJ268" s="327">
        <v>2</v>
      </c>
      <c r="AK268" s="327">
        <f t="shared" si="247"/>
        <v>3</v>
      </c>
      <c r="AL268" s="327">
        <v>1.5</v>
      </c>
      <c r="AM268" s="327">
        <v>2.5</v>
      </c>
      <c r="AN268" s="327">
        <f t="shared" si="248"/>
        <v>1.5</v>
      </c>
      <c r="AO268" s="327">
        <f t="shared" si="236"/>
        <v>1.5</v>
      </c>
      <c r="AP268" s="327">
        <v>2</v>
      </c>
      <c r="AQ268" s="327">
        <f t="shared" si="207"/>
        <v>3</v>
      </c>
      <c r="AR268" s="338"/>
      <c r="AS268" s="328">
        <f t="shared" si="242"/>
        <v>2</v>
      </c>
      <c r="AT268" s="328">
        <f t="shared" si="243"/>
        <v>2</v>
      </c>
      <c r="AU268" s="523">
        <v>2</v>
      </c>
      <c r="AV268" s="328"/>
      <c r="AW268" s="328"/>
      <c r="AX268" s="332">
        <v>2</v>
      </c>
      <c r="AY268" s="328" t="b">
        <f t="shared" si="244"/>
        <v>1</v>
      </c>
      <c r="AZ268" s="328" t="b">
        <f t="shared" si="235"/>
        <v>1</v>
      </c>
    </row>
    <row r="269" ht="27" customHeight="1" spans="1:52">
      <c r="A269" s="326" t="str">
        <f>INDEX('Rate Card'!$A:$A,MATCH(服务费底表!$T269,'Rate Card'!$F:$F,0))</f>
        <v>医学</v>
      </c>
      <c r="B269" s="327" t="str">
        <f>INDEX(二三级标准!$G:$G,MATCH(服务费底表!$K269,二三级标准!B:B,0))</f>
        <v>份</v>
      </c>
      <c r="C269" s="327">
        <f>INDEX(服务费明细!$E:$E,MATCH(服务费底表!$K269,服务费明细!$B:$B,0))</f>
        <v>1</v>
      </c>
      <c r="D269" s="327" t="str">
        <f t="shared" si="237"/>
        <v>A072MD</v>
      </c>
      <c r="E269" s="327" t="str">
        <f t="shared" si="238"/>
        <v>T0167MD</v>
      </c>
      <c r="F269" s="328"/>
      <c r="G269" s="328" t="s">
        <v>684</v>
      </c>
      <c r="H269" s="326" t="str">
        <f>INDEX('Rate Card'!$B:$B,MATCH(服务费底表!$T269,'Rate Card'!$F:$F,0))</f>
        <v>医学</v>
      </c>
      <c r="I269" s="328" t="s">
        <v>922</v>
      </c>
      <c r="J269" s="328" t="str">
        <f>INDEX(二三级标准!$Q:$Q,MATCH(服务费底表!I269,二三级标准!$O:$O,0))</f>
        <v>医学监查</v>
      </c>
      <c r="K269" s="328" t="s">
        <v>249</v>
      </c>
      <c r="L269" s="328" t="str">
        <f>INDEX(二三级标准!C:C,MATCH(服务费底表!K269,二三级标准!$B:$B,0))</f>
        <v>医学监查计划MMP撰写</v>
      </c>
      <c r="M269" s="328" t="s">
        <v>1344</v>
      </c>
      <c r="N269" s="328" t="str">
        <f>INDEX(二三级标准!$M:$M,MATCH(服务费底表!$M269,二三级标准!$L:$L,0))</f>
        <v>MMP审阅</v>
      </c>
      <c r="O269" s="328"/>
      <c r="P269" s="531">
        <f>IF(R269=1,INDEX(服务费明细!$E:$E,MATCH(服务费底表!$K269,服务费明细!$B:$B,0)),0)</f>
        <v>1</v>
      </c>
      <c r="Q269" s="328" t="s">
        <v>1178</v>
      </c>
      <c r="R269" s="520">
        <f>IF(AND(MMP撰写YN=1,医学监查YN=1),1,0)</f>
        <v>1</v>
      </c>
      <c r="S269" s="521" t="str">
        <f>IF(AND(H269="医学",OR(I269=二三级标准!$A$4,I269=二三级标准!$A$153)),"医学撰写","医学监查")</f>
        <v>医学监查</v>
      </c>
      <c r="T269" s="328" t="s">
        <v>613</v>
      </c>
      <c r="U269" s="522" t="str">
        <f>INDEX('Rate Card'!$E:$E,MATCH(服务费底表!$T269,'Rate Card'!$F:$F,0))</f>
        <v>医学总监</v>
      </c>
      <c r="V269" s="331">
        <f>INDEX('Rate Card'!$J:$J,MATCH($T269,'Rate Card'!$F:$F,0))</f>
        <v>990</v>
      </c>
      <c r="W269" s="523">
        <f t="shared" si="202"/>
        <v>990</v>
      </c>
      <c r="X269" s="523">
        <f t="shared" si="203"/>
        <v>1</v>
      </c>
      <c r="Y269" s="327" cm="1">
        <f t="array" ref="Y269">_xlfn.IFS(报价场景=服务费底表!$AJ$2,服务费底表!$AJ269,报价场景=服务费底表!$AP$2,服务费底表!$AP269,报价场景=服务费底表!$AK$2,服务费底表!$AK269,报价场景=服务费底表!$AL$2,服务费底表!$AL269,报价场景=服务费底表!$AM$2,服务费底表!$AM269,报价场景=服务费底表!$AN$2,服务费底表!$AN269,报价场景=服务费底表!$AQ$2,服务费底表!$AQ269,报价场景=服务费底表!$AO$2,服务费底表!$AO269)</f>
        <v>1</v>
      </c>
      <c r="Z269" s="327"/>
      <c r="AA269" s="332">
        <f t="shared" si="239"/>
        <v>1</v>
      </c>
      <c r="AB269" s="333">
        <f t="shared" si="240"/>
        <v>990</v>
      </c>
      <c r="AC269" s="328">
        <f t="shared" si="241"/>
        <v>1</v>
      </c>
      <c r="AD269" s="334">
        <f t="shared" si="245"/>
        <v>990</v>
      </c>
      <c r="AE269" s="334">
        <f>$AB269*(1-INDEX(项目参数!$D$5:$D$14,MATCH(服务费底表!$S269,项目参数!$B$5:$B$14,0)))</f>
        <v>990</v>
      </c>
      <c r="AF269" s="334">
        <f>$AD269*INDEX(项目参数!$D$5:$D$14,MATCH(服务费底表!$S269,项目参数!$B$5:$B$14,0))</f>
        <v>0</v>
      </c>
      <c r="AG269" s="334">
        <f t="shared" si="246"/>
        <v>990</v>
      </c>
      <c r="AH269" s="328"/>
      <c r="AI269" s="328" t="s">
        <v>613</v>
      </c>
      <c r="AJ269" s="327">
        <v>1</v>
      </c>
      <c r="AK269" s="327">
        <f t="shared" si="247"/>
        <v>1.5</v>
      </c>
      <c r="AL269" s="327">
        <f t="shared" ref="AL267:AL269" si="249">AJ269*0.7</f>
        <v>0.7</v>
      </c>
      <c r="AM269" s="327">
        <v>1.3</v>
      </c>
      <c r="AN269" s="327">
        <f t="shared" si="248"/>
        <v>0.7</v>
      </c>
      <c r="AO269" s="327">
        <f t="shared" si="236"/>
        <v>0.7</v>
      </c>
      <c r="AP269" s="327">
        <v>1</v>
      </c>
      <c r="AQ269" s="327">
        <f t="shared" si="207"/>
        <v>1.5</v>
      </c>
      <c r="AR269" s="338"/>
      <c r="AS269" s="328">
        <f t="shared" si="242"/>
        <v>1</v>
      </c>
      <c r="AT269" s="328">
        <f t="shared" si="243"/>
        <v>1</v>
      </c>
      <c r="AU269" s="523">
        <v>1</v>
      </c>
      <c r="AV269" s="328"/>
      <c r="AW269" s="328"/>
      <c r="AX269" s="332">
        <v>1</v>
      </c>
      <c r="AY269" s="328" t="b">
        <f t="shared" si="244"/>
        <v>1</v>
      </c>
      <c r="AZ269" s="328" t="b">
        <f t="shared" si="235"/>
        <v>1</v>
      </c>
    </row>
    <row r="270" ht="27" customHeight="1" spans="1:52">
      <c r="A270" s="326" t="str">
        <f>INDEX('Rate Card'!$A:$A,MATCH(服务费底表!$T270,'Rate Card'!$F:$F,0))</f>
        <v>临床运营</v>
      </c>
      <c r="B270" s="327" t="str">
        <f>INDEX(二三级标准!$G:$G,MATCH(服务费底表!$K270,二三级标准!B:B,0))</f>
        <v>份</v>
      </c>
      <c r="C270" s="327">
        <f>INDEX(服务费明细!$E:$E,MATCH(服务费底表!$K270,服务费明细!$B:$B,0))</f>
        <v>1</v>
      </c>
      <c r="D270" s="327" t="str">
        <f t="shared" si="237"/>
        <v>A072PM</v>
      </c>
      <c r="E270" s="327" t="str">
        <f t="shared" si="238"/>
        <v>T0167PM</v>
      </c>
      <c r="F270" s="328"/>
      <c r="G270" s="328" t="s">
        <v>684</v>
      </c>
      <c r="H270" s="326" t="str">
        <f>INDEX('Rate Card'!$B:$B,MATCH(服务费底表!$T270,'Rate Card'!$F:$F,0))</f>
        <v>临床运营</v>
      </c>
      <c r="I270" s="328" t="s">
        <v>922</v>
      </c>
      <c r="J270" s="328" t="str">
        <f>INDEX(二三级标准!$Q:$Q,MATCH(服务费底表!I270,二三级标准!$O:$O,0))</f>
        <v>医学监查</v>
      </c>
      <c r="K270" s="328" t="s">
        <v>249</v>
      </c>
      <c r="L270" s="328" t="str">
        <f>INDEX(二三级标准!C:C,MATCH(服务费底表!K270,二三级标准!$B:$B,0))</f>
        <v>医学监查计划MMP撰写</v>
      </c>
      <c r="M270" s="328" t="s">
        <v>1344</v>
      </c>
      <c r="N270" s="328" t="str">
        <f>INDEX(二三级标准!$M:$M,MATCH(服务费底表!$M270,二三级标准!$L:$L,0))</f>
        <v>MMP审阅</v>
      </c>
      <c r="O270" s="328"/>
      <c r="P270" s="531">
        <f>IF(R270=1,INDEX(服务费明细!$E:$E,MATCH(服务费底表!$K270,服务费明细!$B:$B,0)),0)</f>
        <v>1</v>
      </c>
      <c r="Q270" s="328" t="s">
        <v>1178</v>
      </c>
      <c r="R270" s="520">
        <f>IF(AND(MMP撰写YN=1,项目管理YN=1),1,0)</f>
        <v>1</v>
      </c>
      <c r="S270" s="525" t="s">
        <v>570</v>
      </c>
      <c r="T270" s="328" t="s">
        <v>599</v>
      </c>
      <c r="U270" s="522" t="str">
        <f>INDEX('Rate Card'!$E:$E,MATCH(服务费底表!$T270,'Rate Card'!$F:$F,0))</f>
        <v>临床项目经理</v>
      </c>
      <c r="V270" s="331">
        <f>INDEX('Rate Card'!$J:$J,MATCH($T270,'Rate Card'!$F:$F,0))</f>
        <v>650</v>
      </c>
      <c r="W270" s="523">
        <f t="shared" si="202"/>
        <v>650</v>
      </c>
      <c r="X270" s="523">
        <f t="shared" si="203"/>
        <v>2</v>
      </c>
      <c r="Y270" s="327" cm="1">
        <f t="array" ref="Y270">_xlfn.IFS(报价场景=服务费底表!$AJ$2,服务费底表!$AJ270,报价场景=服务费底表!$AP$2,服务费底表!$AP270,报价场景=服务费底表!$AK$2,服务费底表!$AK270,报价场景=服务费底表!$AL$2,服务费底表!$AL270,报价场景=服务费底表!$AM$2,服务费底表!$AM270,报价场景=服务费底表!$AN$2,服务费底表!$AN270,报价场景=服务费底表!$AQ$2,服务费底表!$AQ270,报价场景=服务费底表!$AO$2,服务费底表!$AO270)</f>
        <v>2</v>
      </c>
      <c r="Z270" s="327"/>
      <c r="AA270" s="332">
        <f t="shared" si="239"/>
        <v>2</v>
      </c>
      <c r="AB270" s="333">
        <f t="shared" si="240"/>
        <v>1300</v>
      </c>
      <c r="AC270" s="328">
        <f t="shared" si="241"/>
        <v>2</v>
      </c>
      <c r="AD270" s="334">
        <f t="shared" si="245"/>
        <v>1300</v>
      </c>
      <c r="AE270" s="334">
        <f>$AB270*(1-INDEX(项目参数!$D$5:$D$14,MATCH(服务费底表!$S270,项目参数!$B$5:$B$14,0)))</f>
        <v>1300</v>
      </c>
      <c r="AF270" s="334">
        <f>$AD270*INDEX(项目参数!$D$5:$D$14,MATCH(服务费底表!$S270,项目参数!$B$5:$B$14,0))</f>
        <v>0</v>
      </c>
      <c r="AG270" s="334">
        <f t="shared" si="246"/>
        <v>1300</v>
      </c>
      <c r="AH270" s="328"/>
      <c r="AI270" s="328" t="s">
        <v>599</v>
      </c>
      <c r="AJ270" s="327">
        <v>2</v>
      </c>
      <c r="AK270" s="327">
        <f t="shared" si="247"/>
        <v>3</v>
      </c>
      <c r="AL270" s="327">
        <f>AM270</f>
        <v>1.5</v>
      </c>
      <c r="AM270" s="327">
        <v>1.5</v>
      </c>
      <c r="AN270" s="327">
        <f>AJ270</f>
        <v>2</v>
      </c>
      <c r="AO270" s="327">
        <f t="shared" si="236"/>
        <v>1.5</v>
      </c>
      <c r="AP270" s="327">
        <v>2</v>
      </c>
      <c r="AQ270" s="327">
        <f t="shared" si="207"/>
        <v>3</v>
      </c>
      <c r="AR270" s="338"/>
      <c r="AS270" s="328">
        <f t="shared" si="242"/>
        <v>2</v>
      </c>
      <c r="AT270" s="328">
        <f t="shared" si="243"/>
        <v>2</v>
      </c>
      <c r="AU270" s="523">
        <v>2</v>
      </c>
      <c r="AV270" s="328"/>
      <c r="AW270" s="328"/>
      <c r="AX270" s="332">
        <v>2</v>
      </c>
      <c r="AY270" s="328" t="b">
        <f t="shared" si="244"/>
        <v>1</v>
      </c>
      <c r="AZ270" s="328" t="b">
        <f t="shared" si="235"/>
        <v>1</v>
      </c>
    </row>
    <row r="271" ht="27" customHeight="1" spans="1:52">
      <c r="A271" s="326" t="str">
        <f>INDEX('Rate Card'!$A:$A,MATCH(服务费底表!$T271,'Rate Card'!$F:$F,0))</f>
        <v>医学</v>
      </c>
      <c r="B271" s="327" t="str">
        <f>INDEX(二三级标准!$G:$G,MATCH(服务费底表!$K271,二三级标准!B:B,0))</f>
        <v>次</v>
      </c>
      <c r="C271" s="327">
        <f>INDEX(服务费明细!$E:$E,MATCH(服务费底表!$K271,服务费明细!$B:$B,0))</f>
        <v>1</v>
      </c>
      <c r="D271" s="327" t="str">
        <f t="shared" si="237"/>
        <v>A073MM</v>
      </c>
      <c r="E271" s="327" t="str">
        <f t="shared" si="238"/>
        <v>T0168MM</v>
      </c>
      <c r="F271" s="328"/>
      <c r="G271" s="328" t="s">
        <v>684</v>
      </c>
      <c r="H271" s="326" t="str">
        <f>INDEX('Rate Card'!$B:$B,MATCH(服务费底表!$T271,'Rate Card'!$F:$F,0))</f>
        <v>医学</v>
      </c>
      <c r="I271" s="328" t="s">
        <v>922</v>
      </c>
      <c r="J271" s="328" t="str">
        <f>INDEX(二三级标准!$Q:$Q,MATCH(服务费底表!I271,二三级标准!$O:$O,0))</f>
        <v>医学监查</v>
      </c>
      <c r="K271" s="328" t="s">
        <v>251</v>
      </c>
      <c r="L271" s="328" t="str">
        <f>INDEX(二三级标准!C:C,MATCH(服务费底表!K271,二三级标准!$B:$B,0))</f>
        <v>医学监查培训</v>
      </c>
      <c r="M271" s="328" t="s">
        <v>1345</v>
      </c>
      <c r="N271" s="328" t="str">
        <f>INDEX(二三级标准!$M:$M,MATCH(服务费底表!$M271,二三级标准!$L:$L,0))</f>
        <v>医学监查培训准备</v>
      </c>
      <c r="O271" s="328"/>
      <c r="P271" s="531">
        <f>IF(R271=1,INDEX(服务费明细!$E:$E,MATCH(服务费底表!$K271,服务费明细!$B:$B,0)),0)</f>
        <v>1</v>
      </c>
      <c r="Q271" s="328" t="s">
        <v>1178</v>
      </c>
      <c r="R271" s="520">
        <f>IF(AND(医学监查培训YN=1,医学监查YN=1),1,0)</f>
        <v>1</v>
      </c>
      <c r="S271" s="521" t="str">
        <f>IF(AND(H271="医学",OR(I271=二三级标准!$A$4,I271=二三级标准!$A$153)),"医学撰写","医学监查")</f>
        <v>医学监查</v>
      </c>
      <c r="T271" s="328" t="s">
        <v>615</v>
      </c>
      <c r="U271" s="522" t="str">
        <f>INDEX('Rate Card'!$E:$E,MATCH(服务费底表!$T271,'Rate Card'!$F:$F,0))</f>
        <v>医学经理</v>
      </c>
      <c r="V271" s="331">
        <f>INDEX('Rate Card'!$J:$J,MATCH($T271,'Rate Card'!$F:$F,0))</f>
        <v>650</v>
      </c>
      <c r="W271" s="523">
        <f t="shared" si="202"/>
        <v>650</v>
      </c>
      <c r="X271" s="523">
        <f t="shared" si="203"/>
        <v>6</v>
      </c>
      <c r="Y271" s="327" cm="1">
        <f t="array" ref="Y271">_xlfn.IFS(报价场景=服务费底表!$AJ$2,服务费底表!$AJ271,报价场景=服务费底表!$AP$2,服务费底表!$AP271,报价场景=服务费底表!$AK$2,服务费底表!$AK271,报价场景=服务费底表!$AL$2,服务费底表!$AL271,报价场景=服务费底表!$AM$2,服务费底表!$AM271,报价场景=服务费底表!$AN$2,服务费底表!$AN271,报价场景=服务费底表!$AQ$2,服务费底表!$AQ271,报价场景=服务费底表!$AO$2,服务费底表!$AO271)</f>
        <v>6</v>
      </c>
      <c r="Z271" s="327"/>
      <c r="AA271" s="332">
        <f t="shared" si="239"/>
        <v>6</v>
      </c>
      <c r="AB271" s="333">
        <f t="shared" si="240"/>
        <v>3900</v>
      </c>
      <c r="AC271" s="328">
        <f t="shared" si="241"/>
        <v>6</v>
      </c>
      <c r="AD271" s="334">
        <f t="shared" si="245"/>
        <v>3900</v>
      </c>
      <c r="AE271" s="334">
        <f>$AB271*(1-INDEX(项目参数!$D$5:$D$14,MATCH(服务费底表!$S271,项目参数!$B$5:$B$14,0)))</f>
        <v>3900</v>
      </c>
      <c r="AF271" s="334">
        <f>$AD271*INDEX(项目参数!$D$5:$D$14,MATCH(服务费底表!$S271,项目参数!$B$5:$B$14,0))</f>
        <v>0</v>
      </c>
      <c r="AG271" s="334">
        <f t="shared" si="246"/>
        <v>3900</v>
      </c>
      <c r="AH271" s="328"/>
      <c r="AI271" s="328" t="s">
        <v>615</v>
      </c>
      <c r="AJ271" s="327">
        <v>6</v>
      </c>
      <c r="AK271" s="327">
        <f t="shared" si="247"/>
        <v>9</v>
      </c>
      <c r="AL271" s="327">
        <v>4</v>
      </c>
      <c r="AM271" s="327">
        <v>8</v>
      </c>
      <c r="AN271" s="327">
        <f t="shared" ref="AN271:AN288" si="250">AL271</f>
        <v>4</v>
      </c>
      <c r="AO271" s="327">
        <f t="shared" si="236"/>
        <v>4</v>
      </c>
      <c r="AP271" s="327">
        <v>6</v>
      </c>
      <c r="AQ271" s="327">
        <f t="shared" si="207"/>
        <v>9</v>
      </c>
      <c r="AR271" s="338"/>
      <c r="AS271" s="328">
        <f t="shared" si="242"/>
        <v>6</v>
      </c>
      <c r="AT271" s="328">
        <f t="shared" si="243"/>
        <v>6</v>
      </c>
      <c r="AU271" s="523">
        <v>6</v>
      </c>
      <c r="AV271" s="328"/>
      <c r="AW271" s="328"/>
      <c r="AX271" s="332">
        <v>6</v>
      </c>
      <c r="AY271" s="328" t="b">
        <f t="shared" si="244"/>
        <v>1</v>
      </c>
      <c r="AZ271" s="328" t="b">
        <f t="shared" si="235"/>
        <v>0</v>
      </c>
    </row>
    <row r="272" ht="27" customHeight="1" spans="1:52">
      <c r="A272" s="326" t="str">
        <f>INDEX('Rate Card'!$A:$A,MATCH(服务费底表!$T272,'Rate Card'!$F:$F,0))</f>
        <v>医学</v>
      </c>
      <c r="B272" s="327" t="str">
        <f>INDEX(二三级标准!$G:$G,MATCH(服务费底表!$K272,二三级标准!B:B,0))</f>
        <v>次</v>
      </c>
      <c r="C272" s="327">
        <f>INDEX(服务费明细!$E:$E,MATCH(服务费底表!$K272,服务费明细!$B:$B,0))</f>
        <v>1</v>
      </c>
      <c r="D272" s="327" t="str">
        <f t="shared" si="237"/>
        <v>A073MM</v>
      </c>
      <c r="E272" s="327" t="str">
        <f t="shared" si="238"/>
        <v>T0169MM</v>
      </c>
      <c r="F272" s="328"/>
      <c r="G272" s="328" t="s">
        <v>684</v>
      </c>
      <c r="H272" s="326" t="str">
        <f>INDEX('Rate Card'!$B:$B,MATCH(服务费底表!$T272,'Rate Card'!$F:$F,0))</f>
        <v>医学</v>
      </c>
      <c r="I272" s="328" t="s">
        <v>922</v>
      </c>
      <c r="J272" s="328" t="str">
        <f>INDEX(二三级标准!$Q:$Q,MATCH(服务费底表!I272,二三级标准!$O:$O,0))</f>
        <v>医学监查</v>
      </c>
      <c r="K272" s="328" t="s">
        <v>251</v>
      </c>
      <c r="L272" s="328" t="str">
        <f>INDEX(二三级标准!C:C,MATCH(服务费底表!K272,二三级标准!$B:$B,0))</f>
        <v>医学监查培训</v>
      </c>
      <c r="M272" s="328" t="s">
        <v>1346</v>
      </c>
      <c r="N272" s="328" t="str">
        <f>INDEX(二三级标准!$M:$M,MATCH(服务费底表!$M272,二三级标准!$L:$L,0))</f>
        <v>医学监查培训参会</v>
      </c>
      <c r="O272" s="328"/>
      <c r="P272" s="531">
        <f>IF(R272=1,INDEX(服务费明细!$E:$E,MATCH(服务费底表!$K272,服务费明细!$B:$B,0)),0)</f>
        <v>1</v>
      </c>
      <c r="Q272" s="328" t="s">
        <v>1178</v>
      </c>
      <c r="R272" s="520">
        <f>IF(AND(医学监查培训YN=1,医学监查YN=1),1,0)</f>
        <v>1</v>
      </c>
      <c r="S272" s="521" t="str">
        <f>IF(AND(H272="医学",OR(I272=二三级标准!$A$4,I272=二三级标准!$A$153)),"医学撰写","医学监查")</f>
        <v>医学监查</v>
      </c>
      <c r="T272" s="328" t="s">
        <v>615</v>
      </c>
      <c r="U272" s="522" t="str">
        <f>INDEX('Rate Card'!$E:$E,MATCH(服务费底表!$T272,'Rate Card'!$F:$F,0))</f>
        <v>医学经理</v>
      </c>
      <c r="V272" s="331">
        <f>INDEX('Rate Card'!$J:$J,MATCH($T272,'Rate Card'!$F:$F,0))</f>
        <v>650</v>
      </c>
      <c r="W272" s="523">
        <f t="shared" si="202"/>
        <v>650</v>
      </c>
      <c r="X272" s="523">
        <f t="shared" si="203"/>
        <v>2</v>
      </c>
      <c r="Y272" s="327" cm="1">
        <f t="array" ref="Y272">_xlfn.IFS(报价场景=服务费底表!$AJ$2,服务费底表!$AJ272,报价场景=服务费底表!$AP$2,服务费底表!$AP272,报价场景=服务费底表!$AK$2,服务费底表!$AK272,报价场景=服务费底表!$AL$2,服务费底表!$AL272,报价场景=服务费底表!$AM$2,服务费底表!$AM272,报价场景=服务费底表!$AN$2,服务费底表!$AN272,报价场景=服务费底表!$AQ$2,服务费底表!$AQ272,报价场景=服务费底表!$AO$2,服务费底表!$AO272)</f>
        <v>2</v>
      </c>
      <c r="Z272" s="327"/>
      <c r="AA272" s="332">
        <f t="shared" si="239"/>
        <v>2</v>
      </c>
      <c r="AB272" s="333">
        <f t="shared" si="240"/>
        <v>1300</v>
      </c>
      <c r="AC272" s="328">
        <f t="shared" si="241"/>
        <v>2</v>
      </c>
      <c r="AD272" s="334">
        <f t="shared" si="245"/>
        <v>1300</v>
      </c>
      <c r="AE272" s="334">
        <f>$AB272*(1-INDEX(项目参数!$D$5:$D$14,MATCH(服务费底表!$S272,项目参数!$B$5:$B$14,0)))</f>
        <v>1300</v>
      </c>
      <c r="AF272" s="334">
        <f>$AD272*INDEX(项目参数!$D$5:$D$14,MATCH(服务费底表!$S272,项目参数!$B$5:$B$14,0))</f>
        <v>0</v>
      </c>
      <c r="AG272" s="334">
        <f t="shared" si="246"/>
        <v>1300</v>
      </c>
      <c r="AH272" s="328"/>
      <c r="AI272" s="328" t="s">
        <v>615</v>
      </c>
      <c r="AJ272" s="327">
        <v>2</v>
      </c>
      <c r="AK272" s="327">
        <f t="shared" si="247"/>
        <v>3</v>
      </c>
      <c r="AL272" s="336">
        <f>AM272</f>
        <v>1.5</v>
      </c>
      <c r="AM272" s="327">
        <v>1.5</v>
      </c>
      <c r="AN272" s="327">
        <f t="shared" si="250"/>
        <v>1.5</v>
      </c>
      <c r="AO272" s="327">
        <f t="shared" si="236"/>
        <v>1.5</v>
      </c>
      <c r="AP272" s="327">
        <v>2</v>
      </c>
      <c r="AQ272" s="327">
        <f t="shared" si="207"/>
        <v>3</v>
      </c>
      <c r="AR272" s="338"/>
      <c r="AS272" s="328">
        <f t="shared" si="242"/>
        <v>2</v>
      </c>
      <c r="AT272" s="328">
        <f t="shared" si="243"/>
        <v>2</v>
      </c>
      <c r="AU272" s="523">
        <v>2</v>
      </c>
      <c r="AV272" s="328"/>
      <c r="AW272" s="328"/>
      <c r="AX272" s="332">
        <v>2</v>
      </c>
      <c r="AY272" s="328" t="b">
        <f t="shared" si="244"/>
        <v>1</v>
      </c>
      <c r="AZ272" s="328" t="b">
        <f t="shared" si="235"/>
        <v>0</v>
      </c>
    </row>
    <row r="273" ht="27" customHeight="1" spans="1:52">
      <c r="A273" s="326" t="str">
        <f>INDEX('Rate Card'!$A:$A,MATCH(服务费底表!$T273,'Rate Card'!$F:$F,0))</f>
        <v>医学</v>
      </c>
      <c r="B273" s="327" t="str">
        <f>INDEX(二三级标准!$G:$G,MATCH(服务费底表!$K273,二三级标准!B:B,0))</f>
        <v>月</v>
      </c>
      <c r="C273" s="327">
        <f>INDEX(服务费明细!$E:$E,MATCH(服务费底表!$K273,服务费明细!$B:$B,0))</f>
        <v>14</v>
      </c>
      <c r="D273" s="327" t="str">
        <f t="shared" si="237"/>
        <v>A074MM</v>
      </c>
      <c r="E273" s="327" t="str">
        <f t="shared" si="238"/>
        <v>T0170MM</v>
      </c>
      <c r="F273" s="328"/>
      <c r="G273" s="328" t="s">
        <v>684</v>
      </c>
      <c r="H273" s="326" t="str">
        <f>INDEX('Rate Card'!$B:$B,MATCH(服务费底表!$T273,'Rate Card'!$F:$F,0))</f>
        <v>医学</v>
      </c>
      <c r="I273" s="328" t="s">
        <v>922</v>
      </c>
      <c r="J273" s="328" t="str">
        <f>INDEX(二三级标准!$Q:$Q,MATCH(服务费底表!I273,二三级标准!$O:$O,0))</f>
        <v>医学监查</v>
      </c>
      <c r="K273" s="328" t="s">
        <v>253</v>
      </c>
      <c r="L273" s="328" t="str">
        <f>INDEX(二三级标准!C:C,MATCH(服务费底表!K273,二三级标准!$B:$B,0))</f>
        <v>CRA和中心的医学支持</v>
      </c>
      <c r="M273" s="328" t="s">
        <v>1347</v>
      </c>
      <c r="N273" s="328" t="str">
        <f>INDEX(二三级标准!$M:$M,MATCH(服务费底表!$M273,二三级标准!$L:$L,0))</f>
        <v>CRA和中心的医学支持</v>
      </c>
      <c r="O273" s="328"/>
      <c r="P273" s="531">
        <f>IF(R273=1,INDEX(服务费明细!$E:$E,MATCH(服务费底表!$K273,服务费明细!$B:$B,0)),0)</f>
        <v>14</v>
      </c>
      <c r="Q273" s="328" t="s">
        <v>1220</v>
      </c>
      <c r="R273" s="520">
        <f>IF(AND(CRA和中心的医学支持YN=1,医学监查YN=1),1,0)</f>
        <v>1</v>
      </c>
      <c r="S273" s="521" t="str">
        <f>IF(AND(H273="医学",OR(I273=二三级标准!$A$4,I273=二三级标准!$A$153)),"医学撰写","医学监查")</f>
        <v>医学监查</v>
      </c>
      <c r="T273" s="328" t="s">
        <v>615</v>
      </c>
      <c r="U273" s="522" t="str">
        <f>INDEX('Rate Card'!$E:$E,MATCH(服务费底表!$T273,'Rate Card'!$F:$F,0))</f>
        <v>医学经理</v>
      </c>
      <c r="V273" s="331">
        <f>INDEX('Rate Card'!$J:$J,MATCH($T273,'Rate Card'!$F:$F,0))</f>
        <v>650</v>
      </c>
      <c r="W273" s="523">
        <f t="shared" si="202"/>
        <v>650</v>
      </c>
      <c r="X273" s="523">
        <f t="shared" si="203"/>
        <v>2</v>
      </c>
      <c r="Y273" s="327" cm="1">
        <f t="array" ref="Y273">_xlfn.IFS(报价场景=服务费底表!$AJ$2,服务费底表!$AJ273,报价场景=服务费底表!$AP$2,服务费底表!$AP273,报价场景=服务费底表!$AK$2,服务费底表!$AK273,报价场景=服务费底表!$AL$2,服务费底表!$AL273,报价场景=服务费底表!$AM$2,服务费底表!$AM273,报价场景=服务费底表!$AN$2,服务费底表!$AN273,报价场景=服务费底表!$AQ$2,服务费底表!$AQ273,报价场景=服务费底表!$AO$2,服务费底表!$AO273)</f>
        <v>2</v>
      </c>
      <c r="Z273" s="327"/>
      <c r="AA273" s="332">
        <f t="shared" si="239"/>
        <v>2</v>
      </c>
      <c r="AB273" s="333">
        <f t="shared" si="240"/>
        <v>1300</v>
      </c>
      <c r="AC273" s="328">
        <f t="shared" si="241"/>
        <v>28</v>
      </c>
      <c r="AD273" s="334">
        <f t="shared" si="245"/>
        <v>18200</v>
      </c>
      <c r="AE273" s="334">
        <f>$AB273*(1-INDEX(项目参数!$D$5:$D$14,MATCH(服务费底表!$S273,项目参数!$B$5:$B$14,0)))</f>
        <v>1300</v>
      </c>
      <c r="AF273" s="334">
        <f>$AD273*INDEX(项目参数!$D$5:$D$14,MATCH(服务费底表!$S273,项目参数!$B$5:$B$14,0))</f>
        <v>0</v>
      </c>
      <c r="AG273" s="334">
        <f t="shared" si="246"/>
        <v>18200</v>
      </c>
      <c r="AH273" s="328"/>
      <c r="AI273" s="328" t="s">
        <v>615</v>
      </c>
      <c r="AJ273" s="327">
        <v>2</v>
      </c>
      <c r="AK273" s="327">
        <f t="shared" si="247"/>
        <v>3</v>
      </c>
      <c r="AL273" s="327">
        <v>1.5</v>
      </c>
      <c r="AM273" s="327">
        <v>3</v>
      </c>
      <c r="AN273" s="327">
        <f t="shared" si="250"/>
        <v>1.5</v>
      </c>
      <c r="AO273" s="327">
        <f t="shared" si="236"/>
        <v>1.5</v>
      </c>
      <c r="AP273" s="327">
        <v>2</v>
      </c>
      <c r="AQ273" s="327">
        <f t="shared" si="207"/>
        <v>3</v>
      </c>
      <c r="AR273" s="338"/>
      <c r="AS273" s="328">
        <f t="shared" si="242"/>
        <v>28</v>
      </c>
      <c r="AT273" s="328">
        <f t="shared" si="243"/>
        <v>28</v>
      </c>
      <c r="AU273" s="523">
        <v>2</v>
      </c>
      <c r="AV273" s="328"/>
      <c r="AW273" s="328"/>
      <c r="AX273" s="332">
        <v>2</v>
      </c>
      <c r="AY273" s="328" t="b">
        <f t="shared" si="244"/>
        <v>1</v>
      </c>
      <c r="AZ273" s="328" t="b">
        <f t="shared" si="235"/>
        <v>1</v>
      </c>
    </row>
    <row r="274" ht="27" customHeight="1" spans="1:52">
      <c r="A274" s="326" t="str">
        <f>INDEX('Rate Card'!$A:$A,MATCH(服务费底表!$T274,'Rate Card'!$F:$F,0))</f>
        <v>医学</v>
      </c>
      <c r="B274" s="327" t="str">
        <f>INDEX(二三级标准!$G:$G,MATCH(服务费底表!$K274,二三级标准!B:B,0))</f>
        <v>月</v>
      </c>
      <c r="C274" s="327">
        <f>INDEX(服务费明细!$E:$E,MATCH(服务费底表!$K274,服务费明细!$B:$B,0))</f>
        <v>14</v>
      </c>
      <c r="D274" s="327" t="str">
        <f t="shared" si="237"/>
        <v>A074MD</v>
      </c>
      <c r="E274" s="327" t="str">
        <f t="shared" si="238"/>
        <v>T0170MD</v>
      </c>
      <c r="F274" s="328"/>
      <c r="G274" s="328" t="s">
        <v>684</v>
      </c>
      <c r="H274" s="326" t="str">
        <f>INDEX('Rate Card'!$B:$B,MATCH(服务费底表!$T274,'Rate Card'!$F:$F,0))</f>
        <v>医学</v>
      </c>
      <c r="I274" s="328" t="s">
        <v>922</v>
      </c>
      <c r="J274" s="328" t="str">
        <f>INDEX(二三级标准!$Q:$Q,MATCH(服务费底表!I274,二三级标准!$O:$O,0))</f>
        <v>医学监查</v>
      </c>
      <c r="K274" s="328" t="s">
        <v>253</v>
      </c>
      <c r="L274" s="328" t="str">
        <f>INDEX(二三级标准!C:C,MATCH(服务费底表!K274,二三级标准!$B:$B,0))</f>
        <v>CRA和中心的医学支持</v>
      </c>
      <c r="M274" s="328" t="s">
        <v>1347</v>
      </c>
      <c r="N274" s="328" t="str">
        <f>INDEX(二三级标准!$M:$M,MATCH(服务费底表!$M274,二三级标准!$L:$L,0))</f>
        <v>CRA和中心的医学支持</v>
      </c>
      <c r="O274" s="328"/>
      <c r="P274" s="531">
        <f>IF(R274=1,INDEX(服务费明细!$E:$E,MATCH(服务费底表!$K274,服务费明细!$B:$B,0)),0)</f>
        <v>14</v>
      </c>
      <c r="Q274" s="328" t="s">
        <v>1220</v>
      </c>
      <c r="R274" s="520">
        <f>IF(AND(CRA和中心的医学支持YN=1,医学监查YN=1),1,0)</f>
        <v>1</v>
      </c>
      <c r="S274" s="521" t="str">
        <f>IF(AND(H274="医学",OR(I274=二三级标准!$A$4,I274=二三级标准!$A$153)),"医学撰写","医学监查")</f>
        <v>医学监查</v>
      </c>
      <c r="T274" s="328" t="s">
        <v>613</v>
      </c>
      <c r="U274" s="522" t="str">
        <f>INDEX('Rate Card'!$E:$E,MATCH(服务费底表!$T274,'Rate Card'!$F:$F,0))</f>
        <v>医学总监</v>
      </c>
      <c r="V274" s="331">
        <f>INDEX('Rate Card'!$J:$J,MATCH($T274,'Rate Card'!$F:$F,0))</f>
        <v>990</v>
      </c>
      <c r="W274" s="523">
        <f t="shared" si="202"/>
        <v>990</v>
      </c>
      <c r="X274" s="523">
        <f t="shared" si="203"/>
        <v>0.5</v>
      </c>
      <c r="Y274" s="327" cm="1">
        <f t="array" ref="Y274">_xlfn.IFS(报价场景=服务费底表!$AJ$2,服务费底表!$AJ274,报价场景=服务费底表!$AP$2,服务费底表!$AP274,报价场景=服务费底表!$AK$2,服务费底表!$AK274,报价场景=服务费底表!$AL$2,服务费底表!$AL274,报价场景=服务费底表!$AM$2,服务费底表!$AM274,报价场景=服务费底表!$AN$2,服务费底表!$AN274,报价场景=服务费底表!$AQ$2,服务费底表!$AQ274,报价场景=服务费底表!$AO$2,服务费底表!$AO274)</f>
        <v>0.5</v>
      </c>
      <c r="Z274" s="327"/>
      <c r="AA274" s="332">
        <f t="shared" si="239"/>
        <v>0.5</v>
      </c>
      <c r="AB274" s="333">
        <f t="shared" si="240"/>
        <v>495</v>
      </c>
      <c r="AC274" s="328">
        <f t="shared" si="241"/>
        <v>7</v>
      </c>
      <c r="AD274" s="334">
        <f t="shared" si="245"/>
        <v>6930</v>
      </c>
      <c r="AE274" s="334">
        <f>$AB274*(1-INDEX(项目参数!$D$5:$D$14,MATCH(服务费底表!$S274,项目参数!$B$5:$B$14,0)))</f>
        <v>495</v>
      </c>
      <c r="AF274" s="334">
        <f>$AD274*INDEX(项目参数!$D$5:$D$14,MATCH(服务费底表!$S274,项目参数!$B$5:$B$14,0))</f>
        <v>0</v>
      </c>
      <c r="AG274" s="334">
        <f t="shared" si="246"/>
        <v>6930</v>
      </c>
      <c r="AH274" s="328"/>
      <c r="AI274" s="328" t="s">
        <v>613</v>
      </c>
      <c r="AJ274" s="327">
        <v>0.5</v>
      </c>
      <c r="AK274" s="327">
        <v>1</v>
      </c>
      <c r="AL274" s="327">
        <v>0.4</v>
      </c>
      <c r="AM274" s="327">
        <f>AK274*0.9</f>
        <v>0.9</v>
      </c>
      <c r="AN274" s="327">
        <f t="shared" si="250"/>
        <v>0.4</v>
      </c>
      <c r="AO274" s="327">
        <f t="shared" si="236"/>
        <v>0.4</v>
      </c>
      <c r="AP274" s="327">
        <v>0.5</v>
      </c>
      <c r="AQ274" s="327">
        <f t="shared" si="207"/>
        <v>0.75</v>
      </c>
      <c r="AR274" s="338"/>
      <c r="AS274" s="328">
        <f t="shared" si="242"/>
        <v>7</v>
      </c>
      <c r="AT274" s="328">
        <f t="shared" si="243"/>
        <v>7</v>
      </c>
      <c r="AU274" s="523">
        <v>0.5</v>
      </c>
      <c r="AV274" s="328"/>
      <c r="AW274" s="328"/>
      <c r="AX274" s="332">
        <v>0.5</v>
      </c>
      <c r="AY274" s="328" t="b">
        <f t="shared" si="244"/>
        <v>1</v>
      </c>
      <c r="AZ274" s="328" t="b">
        <f t="shared" si="235"/>
        <v>1</v>
      </c>
    </row>
    <row r="275" ht="27" customHeight="1" spans="1:52">
      <c r="A275" s="326" t="str">
        <f>INDEX('Rate Card'!$A:$A,MATCH(服务费底表!$T275,'Rate Card'!$F:$F,0))</f>
        <v>医学</v>
      </c>
      <c r="B275" s="327" t="str">
        <f>INDEX(二三级标准!$G:$G,MATCH(服务费底表!$K275,二三级标准!B:B,0))</f>
        <v>例</v>
      </c>
      <c r="C275" s="327">
        <f>INDEX(服务费明细!$E:$E,MATCH(服务费底表!$K275,服务费明细!$B:$B,0))</f>
        <v>76</v>
      </c>
      <c r="D275" s="327" t="str">
        <f t="shared" si="237"/>
        <v>A242MM</v>
      </c>
      <c r="E275" s="327" t="str">
        <f t="shared" si="238"/>
        <v>T0702MM</v>
      </c>
      <c r="F275" s="328"/>
      <c r="G275" s="328" t="s">
        <v>684</v>
      </c>
      <c r="H275" s="326" t="str">
        <f>INDEX('Rate Card'!$B:$B,MATCH(服务费底表!$T275,'Rate Card'!$F:$F,0))</f>
        <v>医学</v>
      </c>
      <c r="I275" s="328" t="s">
        <v>922</v>
      </c>
      <c r="J275" s="328" t="str">
        <f>INDEX(二三级标准!$Q:$Q,MATCH(服务费底表!I275,二三级标准!$O:$O,0))</f>
        <v>医学监查</v>
      </c>
      <c r="K275" s="328" t="s">
        <v>1036</v>
      </c>
      <c r="L275" s="328" t="str">
        <f>INDEX(二三级标准!C:C,MATCH(服务费底表!K275,二三级标准!$B:$B,0))</f>
        <v>试验参与者招募审核</v>
      </c>
      <c r="M275" s="328" t="s">
        <v>1348</v>
      </c>
      <c r="N275" s="328" t="str">
        <f>INDEX(二三级标准!$M:$M,MATCH(服务费底表!$M275,二三级标准!$L:$L,0))</f>
        <v>试验参与者招募审核</v>
      </c>
      <c r="O275" s="328"/>
      <c r="P275" s="531">
        <f>IF(R275=1,INDEX(服务费明细!$E:$E,MATCH(服务费底表!$K275,服务费明细!$B:$B,0)),0)</f>
        <v>76</v>
      </c>
      <c r="Q275" s="328" t="s">
        <v>1262</v>
      </c>
      <c r="R275" s="520">
        <f>IF(AND(受试者招募审核YN=1,医学监查YN=1),1,0)</f>
        <v>1</v>
      </c>
      <c r="S275" s="521" t="str">
        <f>IF(AND(H275="医学",OR(I275=二三级标准!$A$4,I275=二三级标准!$A$153)),"医学撰写","医学监查")</f>
        <v>医学监查</v>
      </c>
      <c r="T275" s="328" t="s">
        <v>615</v>
      </c>
      <c r="U275" s="522" t="str">
        <f>INDEX('Rate Card'!$E:$E,MATCH(服务费底表!$T275,'Rate Card'!$F:$F,0))</f>
        <v>医学经理</v>
      </c>
      <c r="V275" s="331">
        <f>INDEX('Rate Card'!$J:$J,MATCH($T275,'Rate Card'!$F:$F,0))</f>
        <v>650</v>
      </c>
      <c r="W275" s="523">
        <f t="shared" si="202"/>
        <v>650</v>
      </c>
      <c r="X275" s="523">
        <f t="shared" si="203"/>
        <v>0.75</v>
      </c>
      <c r="Y275" s="327" cm="1">
        <f t="array" ref="Y275">_xlfn.IFS(报价场景=服务费底表!$AJ$2,服务费底表!$AJ275,报价场景=服务费底表!$AP$2,服务费底表!$AP275,报价场景=服务费底表!$AK$2,服务费底表!$AK275,报价场景=服务费底表!$AL$2,服务费底表!$AL275,报价场景=服务费底表!$AM$2,服务费底表!$AM275,报价场景=服务费底表!$AN$2,服务费底表!$AN275,报价场景=服务费底表!$AQ$2,服务费底表!$AQ275,报价场景=服务费底表!$AO$2,服务费底表!$AO275)</f>
        <v>0.75</v>
      </c>
      <c r="Z275" s="327"/>
      <c r="AA275" s="332">
        <f t="shared" si="239"/>
        <v>0.75</v>
      </c>
      <c r="AB275" s="333">
        <f t="shared" si="240"/>
        <v>487.5</v>
      </c>
      <c r="AC275" s="328">
        <f t="shared" si="241"/>
        <v>57</v>
      </c>
      <c r="AD275" s="334">
        <f t="shared" si="245"/>
        <v>37050</v>
      </c>
      <c r="AE275" s="334">
        <f>$AB275*(1-INDEX(项目参数!$D$5:$D$14,MATCH(服务费底表!$S275,项目参数!$B$5:$B$14,0)))</f>
        <v>487.5</v>
      </c>
      <c r="AF275" s="334">
        <f>$AD275*INDEX(项目参数!$D$5:$D$14,MATCH(服务费底表!$S275,项目参数!$B$5:$B$14,0))</f>
        <v>0</v>
      </c>
      <c r="AG275" s="334">
        <f t="shared" si="246"/>
        <v>37050</v>
      </c>
      <c r="AH275" s="328"/>
      <c r="AI275" s="328" t="s">
        <v>615</v>
      </c>
      <c r="AJ275" s="327">
        <v>0.75</v>
      </c>
      <c r="AK275" s="327">
        <v>1</v>
      </c>
      <c r="AL275" s="327">
        <v>0.5</v>
      </c>
      <c r="AM275" s="327">
        <f>AK275*0.9</f>
        <v>0.9</v>
      </c>
      <c r="AN275" s="327">
        <f t="shared" si="250"/>
        <v>0.5</v>
      </c>
      <c r="AO275" s="327">
        <f t="shared" si="236"/>
        <v>0.5</v>
      </c>
      <c r="AP275" s="327">
        <v>0.75</v>
      </c>
      <c r="AQ275" s="327">
        <f t="shared" si="207"/>
        <v>1.125</v>
      </c>
      <c r="AR275" s="338"/>
      <c r="AS275" s="328"/>
      <c r="AT275" s="328"/>
      <c r="AU275" s="523">
        <v>0.75</v>
      </c>
      <c r="AV275" s="328"/>
      <c r="AW275" s="328"/>
      <c r="AX275" s="332">
        <v>0.75</v>
      </c>
      <c r="AY275" s="328"/>
      <c r="AZ275" s="328" t="b">
        <f t="shared" si="235"/>
        <v>0</v>
      </c>
    </row>
    <row r="276" s="128" customFormat="1" ht="27" customHeight="1" spans="1:52">
      <c r="A276" s="326" t="str">
        <f>INDEX('Rate Card'!$A:$A,MATCH(服务费底表!$T276,'Rate Card'!$F:$F,0))</f>
        <v>医学</v>
      </c>
      <c r="B276" s="327" t="str">
        <f>INDEX(二三级标准!$G:$G,MATCH(服务费底表!$K276,二三级标准!B:B,0))</f>
        <v>例</v>
      </c>
      <c r="C276" s="327">
        <f>INDEX(服务费明细!$E:$E,MATCH(服务费底表!$K276,服务费明细!$B:$B,0))</f>
        <v>76</v>
      </c>
      <c r="D276" s="327" t="str">
        <f t="shared" si="237"/>
        <v>A242MD</v>
      </c>
      <c r="E276" s="327" t="str">
        <f t="shared" si="238"/>
        <v>T0702MD</v>
      </c>
      <c r="F276" s="328"/>
      <c r="G276" s="328" t="s">
        <v>684</v>
      </c>
      <c r="H276" s="326" t="str">
        <f>INDEX('Rate Card'!$B:$B,MATCH(服务费底表!$T276,'Rate Card'!$F:$F,0))</f>
        <v>医学</v>
      </c>
      <c r="I276" s="328" t="s">
        <v>922</v>
      </c>
      <c r="J276" s="328" t="str">
        <f>INDEX(二三级标准!$Q:$Q,MATCH(服务费底表!I276,二三级标准!$O:$O,0))</f>
        <v>医学监查</v>
      </c>
      <c r="K276" s="328" t="s">
        <v>1036</v>
      </c>
      <c r="L276" s="328" t="str">
        <f>INDEX(二三级标准!C:C,MATCH(服务费底表!K276,二三级标准!$B:$B,0))</f>
        <v>试验参与者招募审核</v>
      </c>
      <c r="M276" s="328" t="s">
        <v>1348</v>
      </c>
      <c r="N276" s="328" t="str">
        <f>INDEX(二三级标准!$M:$M,MATCH(服务费底表!$M276,二三级标准!$L:$L,0))</f>
        <v>试验参与者招募审核</v>
      </c>
      <c r="O276" s="328"/>
      <c r="P276" s="531">
        <f>IF(R276=1,INDEX(服务费明细!$E:$E,MATCH(服务费底表!$K276,服务费明细!$B:$B,0)),0)</f>
        <v>76</v>
      </c>
      <c r="Q276" s="328" t="s">
        <v>1262</v>
      </c>
      <c r="R276" s="520">
        <f>IF(AND(受试者招募审核YN=1,医学监查YN=1),1,0)</f>
        <v>1</v>
      </c>
      <c r="S276" s="521" t="str">
        <f>IF(AND(H276="医学",OR(I276=二三级标准!$A$4,I276=二三级标准!$A$153)),"医学撰写","医学监查")</f>
        <v>医学监查</v>
      </c>
      <c r="T276" s="328" t="s">
        <v>613</v>
      </c>
      <c r="U276" s="522" t="str">
        <f>INDEX('Rate Card'!$E:$E,MATCH(服务费底表!$T276,'Rate Card'!$F:$F,0))</f>
        <v>医学总监</v>
      </c>
      <c r="V276" s="331">
        <f>INDEX('Rate Card'!$J:$J,MATCH($T276,'Rate Card'!$F:$F,0))</f>
        <v>990</v>
      </c>
      <c r="W276" s="523">
        <f t="shared" si="202"/>
        <v>990</v>
      </c>
      <c r="X276" s="523">
        <f t="shared" si="203"/>
        <v>0.1</v>
      </c>
      <c r="Y276" s="327" cm="1">
        <f t="array" ref="Y276">_xlfn.IFS(报价场景=服务费底表!$AJ$2,服务费底表!$AJ276,报价场景=服务费底表!$AP$2,服务费底表!$AP276,报价场景=服务费底表!$AK$2,服务费底表!$AK276,报价场景=服务费底表!$AL$2,服务费底表!$AL276,报价场景=服务费底表!$AM$2,服务费底表!$AM276,报价场景=服务费底表!$AN$2,服务费底表!$AN276,报价场景=服务费底表!$AQ$2,服务费底表!$AQ276,报价场景=服务费底表!$AO$2,服务费底表!$AO276)</f>
        <v>0.1</v>
      </c>
      <c r="Z276" s="327"/>
      <c r="AA276" s="332">
        <f t="shared" si="239"/>
        <v>0.1</v>
      </c>
      <c r="AB276" s="333">
        <f t="shared" si="240"/>
        <v>99</v>
      </c>
      <c r="AC276" s="328">
        <f t="shared" si="241"/>
        <v>7.6</v>
      </c>
      <c r="AD276" s="334">
        <f t="shared" si="245"/>
        <v>7524</v>
      </c>
      <c r="AE276" s="334">
        <f>$AB276*(1-INDEX(项目参数!$D$5:$D$14,MATCH(服务费底表!$S276,项目参数!$B$5:$B$14,0)))</f>
        <v>99</v>
      </c>
      <c r="AF276" s="334">
        <f>$AD276*INDEX(项目参数!$D$5:$D$14,MATCH(服务费底表!$S276,项目参数!$B$5:$B$14,0))</f>
        <v>0</v>
      </c>
      <c r="AG276" s="334">
        <f t="shared" si="246"/>
        <v>7524</v>
      </c>
      <c r="AH276" s="328"/>
      <c r="AI276" s="328" t="s">
        <v>613</v>
      </c>
      <c r="AJ276" s="327">
        <v>0.1</v>
      </c>
      <c r="AK276" s="327">
        <v>0.2</v>
      </c>
      <c r="AL276" s="327">
        <v>0.1</v>
      </c>
      <c r="AM276" s="327">
        <v>0.15</v>
      </c>
      <c r="AN276" s="327">
        <f t="shared" si="250"/>
        <v>0.1</v>
      </c>
      <c r="AO276" s="327">
        <f t="shared" si="236"/>
        <v>0.1</v>
      </c>
      <c r="AP276" s="327">
        <v>0.1</v>
      </c>
      <c r="AQ276" s="327">
        <f t="shared" si="207"/>
        <v>0.15</v>
      </c>
      <c r="AR276" s="338"/>
      <c r="AS276" s="328"/>
      <c r="AT276" s="328"/>
      <c r="AU276" s="523">
        <v>0.1</v>
      </c>
      <c r="AV276" s="328"/>
      <c r="AW276" s="328"/>
      <c r="AX276" s="332">
        <v>0.1</v>
      </c>
      <c r="AY276" s="328"/>
      <c r="AZ276" s="328" t="b">
        <f t="shared" si="235"/>
        <v>0</v>
      </c>
    </row>
    <row r="277" ht="27" customHeight="1" spans="1:52">
      <c r="A277" s="326" t="str">
        <f>INDEX('Rate Card'!$A:$A,MATCH(服务费底表!$T277,'Rate Card'!$F:$F,0))</f>
        <v>医学</v>
      </c>
      <c r="B277" s="327" t="str">
        <f>INDEX(二三级标准!$G:$G,MATCH(服务费底表!$K277,二三级标准!B:B,0))</f>
        <v>例</v>
      </c>
      <c r="C277" s="327">
        <f>INDEX(服务费明细!$E:$E,MATCH(服务费底表!$K277,服务费明细!$B:$B,0))</f>
        <v>3</v>
      </c>
      <c r="D277" s="327" t="str">
        <f t="shared" si="237"/>
        <v>A075MM</v>
      </c>
      <c r="E277" s="327" t="str">
        <f t="shared" si="238"/>
        <v>T0171MM</v>
      </c>
      <c r="F277" s="328"/>
      <c r="G277" s="328" t="s">
        <v>684</v>
      </c>
      <c r="H277" s="326" t="str">
        <f>INDEX('Rate Card'!$B:$B,MATCH(服务费底表!$T277,'Rate Card'!$F:$F,0))</f>
        <v>医学</v>
      </c>
      <c r="I277" s="328" t="s">
        <v>922</v>
      </c>
      <c r="J277" s="328" t="str">
        <f>INDEX(二三级标准!$Q:$Q,MATCH(服务费底表!I277,二三级标准!$O:$O,0))</f>
        <v>医学监查</v>
      </c>
      <c r="K277" s="328" t="s">
        <v>255</v>
      </c>
      <c r="L277" s="328" t="str">
        <f>INDEX(二三级标准!C:C,MATCH(服务费底表!K277,二三级标准!$B:$B,0))</f>
        <v>入组失败试验参与者的招募评估</v>
      </c>
      <c r="M277" s="328" t="s">
        <v>1349</v>
      </c>
      <c r="N277" s="328" t="str">
        <f>INDEX(二三级标准!$M:$M,MATCH(服务费底表!$M277,二三级标准!$L:$L,0))</f>
        <v>入组失败试验参与者的招募评估</v>
      </c>
      <c r="O277" s="328"/>
      <c r="P277" s="531">
        <f>IF(R277=1,INDEX(服务费明细!$E:$E,MATCH(服务费底表!$K277,服务费明细!$B:$B,0)),0)</f>
        <v>3</v>
      </c>
      <c r="Q277" s="328" t="s">
        <v>1262</v>
      </c>
      <c r="R277" s="520">
        <f>IF(AND(入组失败受试者的招募评估YN=1,医学监查YN=1),1,0)</f>
        <v>1</v>
      </c>
      <c r="S277" s="521" t="str">
        <f>IF(AND(H277="医学",OR(I277=二三级标准!$A$4,I277=二三级标准!$A$153)),"医学撰写","医学监查")</f>
        <v>医学监查</v>
      </c>
      <c r="T277" s="328" t="s">
        <v>615</v>
      </c>
      <c r="U277" s="522" t="str">
        <f>INDEX('Rate Card'!$E:$E,MATCH(服务费底表!$T277,'Rate Card'!$F:$F,0))</f>
        <v>医学经理</v>
      </c>
      <c r="V277" s="331">
        <f>INDEX('Rate Card'!$J:$J,MATCH($T277,'Rate Card'!$F:$F,0))</f>
        <v>650</v>
      </c>
      <c r="W277" s="523">
        <f t="shared" ref="W277:W296" si="251">V277*(1-$W$1)</f>
        <v>650</v>
      </c>
      <c r="X277" s="523">
        <f t="shared" ref="X277:X296" si="252">Y277*$X$1</f>
        <v>1</v>
      </c>
      <c r="Y277" s="327" cm="1">
        <f t="array" ref="Y277">_xlfn.IFS(报价场景=服务费底表!$AJ$2,服务费底表!$AJ277,报价场景=服务费底表!$AP$2,服务费底表!$AP277,报价场景=服务费底表!$AK$2,服务费底表!$AK277,报价场景=服务费底表!$AL$2,服务费底表!$AL277,报价场景=服务费底表!$AM$2,服务费底表!$AM277,报价场景=服务费底表!$AN$2,服务费底表!$AN277,报价场景=服务费底表!$AQ$2,服务费底表!$AQ277,报价场景=服务费底表!$AO$2,服务费底表!$AO277)</f>
        <v>1</v>
      </c>
      <c r="Z277" s="327"/>
      <c r="AA277" s="332">
        <f t="shared" si="239"/>
        <v>1</v>
      </c>
      <c r="AB277" s="333">
        <f t="shared" si="240"/>
        <v>650</v>
      </c>
      <c r="AC277" s="328">
        <f t="shared" si="241"/>
        <v>3</v>
      </c>
      <c r="AD277" s="334">
        <f t="shared" si="245"/>
        <v>1950</v>
      </c>
      <c r="AE277" s="334">
        <f>$AB277*(1-INDEX(项目参数!$D$5:$D$14,MATCH(服务费底表!$S277,项目参数!$B$5:$B$14,0)))</f>
        <v>650</v>
      </c>
      <c r="AF277" s="334">
        <f>$AD277*INDEX(项目参数!$D$5:$D$14,MATCH(服务费底表!$S277,项目参数!$B$5:$B$14,0))</f>
        <v>0</v>
      </c>
      <c r="AG277" s="334">
        <f t="shared" si="246"/>
        <v>1950</v>
      </c>
      <c r="AH277" s="328"/>
      <c r="AI277" s="328" t="s">
        <v>615</v>
      </c>
      <c r="AJ277" s="327">
        <v>1</v>
      </c>
      <c r="AK277" s="327">
        <f>AJ277*1.5</f>
        <v>1.5</v>
      </c>
      <c r="AL277" s="327">
        <f>AJ277*0.7</f>
        <v>0.7</v>
      </c>
      <c r="AM277" s="327">
        <v>1.3</v>
      </c>
      <c r="AN277" s="327">
        <f t="shared" si="250"/>
        <v>0.7</v>
      </c>
      <c r="AO277" s="327">
        <f t="shared" si="236"/>
        <v>0.7</v>
      </c>
      <c r="AP277" s="327">
        <v>1</v>
      </c>
      <c r="AQ277" s="327">
        <f t="shared" ref="AQ277:AQ296" si="253">AJ277*$AQ$1</f>
        <v>1.5</v>
      </c>
      <c r="AR277" s="338"/>
      <c r="AS277" s="328">
        <f t="shared" ref="AS277:AS309" si="254">AC277</f>
        <v>3</v>
      </c>
      <c r="AT277" s="328">
        <f t="shared" ref="AT277:AT309" si="255">Y277*P277</f>
        <v>3</v>
      </c>
      <c r="AU277" s="523">
        <v>1</v>
      </c>
      <c r="AV277" s="328"/>
      <c r="AW277" s="328"/>
      <c r="AX277" s="332">
        <v>1</v>
      </c>
      <c r="AY277" s="328" t="b">
        <f t="shared" ref="AY277:AY309" si="256">IF(AX277=AJ277,TRUE,FALSE)</f>
        <v>1</v>
      </c>
      <c r="AZ277" s="328" t="b">
        <f t="shared" si="235"/>
        <v>1</v>
      </c>
    </row>
    <row r="278" ht="27" customHeight="1" spans="1:52">
      <c r="A278" s="326" t="str">
        <f>INDEX('Rate Card'!$A:$A,MATCH(服务费底表!$T278,'Rate Card'!$F:$F,0))</f>
        <v>医学</v>
      </c>
      <c r="B278" s="327" t="str">
        <f>INDEX(二三级标准!$G:$G,MATCH(服务费底表!$K278,二三级标准!B:B,0))</f>
        <v>例</v>
      </c>
      <c r="C278" s="327">
        <f>INDEX(服务费明细!$E:$E,MATCH(服务费底表!$K278,服务费明细!$B:$B,0))</f>
        <v>30</v>
      </c>
      <c r="D278" s="327" t="str">
        <f t="shared" si="237"/>
        <v>A076MM</v>
      </c>
      <c r="E278" s="327" t="str">
        <f t="shared" si="238"/>
        <v>T0173MM</v>
      </c>
      <c r="F278" s="328"/>
      <c r="G278" s="328" t="s">
        <v>684</v>
      </c>
      <c r="H278" s="326" t="str">
        <f>INDEX('Rate Card'!$B:$B,MATCH(服务费底表!$T278,'Rate Card'!$F:$F,0))</f>
        <v>医学</v>
      </c>
      <c r="I278" s="328" t="s">
        <v>922</v>
      </c>
      <c r="J278" s="328" t="str">
        <f>INDEX(二三级标准!$Q:$Q,MATCH(服务费底表!I278,二三级标准!$O:$O,0))</f>
        <v>医学监查</v>
      </c>
      <c r="K278" s="328" t="s">
        <v>257</v>
      </c>
      <c r="L278" s="328" t="str">
        <f>INDEX(二三级标准!C:C,MATCH(服务费底表!K278,二三级标准!$B:$B,0))</f>
        <v>试验参与者合格性审核</v>
      </c>
      <c r="M278" s="328" t="s">
        <v>1350</v>
      </c>
      <c r="N278" s="328" t="str">
        <f>INDEX(二三级标准!$M:$M,MATCH(服务费底表!$M278,二三级标准!$L:$L,0))</f>
        <v>试验参与者合格性审核</v>
      </c>
      <c r="O278" s="328"/>
      <c r="P278" s="531">
        <f>IF(R278=1,INDEX(服务费明细!$E:$E,MATCH(服务费底表!$K278,服务费明细!$B:$B,0)),0)</f>
        <v>30</v>
      </c>
      <c r="Q278" s="328" t="s">
        <v>1262</v>
      </c>
      <c r="R278" s="520">
        <f>IF(AND(受试者合格性审核YN=1,医学监查YN=1),1,0)</f>
        <v>1</v>
      </c>
      <c r="S278" s="521" t="str">
        <f>IF(AND(H278="医学",OR(I278=二三级标准!$A$4,I278=二三级标准!$A$153)),"医学撰写","医学监查")</f>
        <v>医学监查</v>
      </c>
      <c r="T278" s="328" t="s">
        <v>615</v>
      </c>
      <c r="U278" s="522" t="str">
        <f>INDEX('Rate Card'!$E:$E,MATCH(服务费底表!$T278,'Rate Card'!$F:$F,0))</f>
        <v>医学经理</v>
      </c>
      <c r="V278" s="331">
        <f>INDEX('Rate Card'!$J:$J,MATCH($T278,'Rate Card'!$F:$F,0))</f>
        <v>650</v>
      </c>
      <c r="W278" s="523">
        <f t="shared" si="251"/>
        <v>650</v>
      </c>
      <c r="X278" s="523">
        <f t="shared" si="252"/>
        <v>1.5</v>
      </c>
      <c r="Y278" s="327" cm="1">
        <f t="array" ref="Y278">_xlfn.IFS(报价场景=服务费底表!$AJ$2,服务费底表!$AJ278,报价场景=服务费底表!$AP$2,服务费底表!$AP278,报价场景=服务费底表!$AK$2,服务费底表!$AK278,报价场景=服务费底表!$AL$2,服务费底表!$AL278,报价场景=服务费底表!$AM$2,服务费底表!$AM278,报价场景=服务费底表!$AN$2,服务费底表!$AN278,报价场景=服务费底表!$AQ$2,服务费底表!$AQ278,报价场景=服务费底表!$AO$2,服务费底表!$AO278)</f>
        <v>1.5</v>
      </c>
      <c r="Z278" s="327"/>
      <c r="AA278" s="332">
        <f t="shared" si="239"/>
        <v>1.5</v>
      </c>
      <c r="AB278" s="333">
        <f t="shared" si="240"/>
        <v>975</v>
      </c>
      <c r="AC278" s="328">
        <f t="shared" si="241"/>
        <v>45</v>
      </c>
      <c r="AD278" s="334">
        <f t="shared" si="245"/>
        <v>29250</v>
      </c>
      <c r="AE278" s="334">
        <f>$AB278*(1-INDEX(项目参数!$D$5:$D$14,MATCH(服务费底表!$S278,项目参数!$B$5:$B$14,0)))</f>
        <v>975</v>
      </c>
      <c r="AF278" s="334">
        <f>$AD278*INDEX(项目参数!$D$5:$D$14,MATCH(服务费底表!$S278,项目参数!$B$5:$B$14,0))</f>
        <v>0</v>
      </c>
      <c r="AG278" s="334">
        <f t="shared" si="246"/>
        <v>29250</v>
      </c>
      <c r="AH278" s="328"/>
      <c r="AI278" s="328" t="s">
        <v>615</v>
      </c>
      <c r="AJ278" s="327">
        <v>1.5</v>
      </c>
      <c r="AK278" s="327">
        <v>2</v>
      </c>
      <c r="AL278" s="327">
        <v>1</v>
      </c>
      <c r="AM278" s="327">
        <v>2</v>
      </c>
      <c r="AN278" s="327">
        <f t="shared" si="250"/>
        <v>1</v>
      </c>
      <c r="AO278" s="327">
        <f t="shared" si="236"/>
        <v>1</v>
      </c>
      <c r="AP278" s="327">
        <v>0.5</v>
      </c>
      <c r="AQ278" s="327">
        <f t="shared" si="253"/>
        <v>2.25</v>
      </c>
      <c r="AR278" s="338"/>
      <c r="AS278" s="328">
        <f t="shared" si="254"/>
        <v>45</v>
      </c>
      <c r="AT278" s="328">
        <f t="shared" si="255"/>
        <v>45</v>
      </c>
      <c r="AU278" s="523">
        <v>1.5</v>
      </c>
      <c r="AV278" s="328"/>
      <c r="AW278" s="328"/>
      <c r="AX278" s="332">
        <v>1.5</v>
      </c>
      <c r="AY278" s="328" t="b">
        <f t="shared" si="256"/>
        <v>1</v>
      </c>
      <c r="AZ278" s="328" t="b">
        <f t="shared" si="235"/>
        <v>0</v>
      </c>
    </row>
    <row r="279" ht="27" customHeight="1" spans="1:52">
      <c r="A279" s="326" t="str">
        <f>INDEX('Rate Card'!$A:$A,MATCH(服务费底表!$T279,'Rate Card'!$F:$F,0))</f>
        <v>医学</v>
      </c>
      <c r="B279" s="327" t="str">
        <f>INDEX(二三级标准!$G:$G,MATCH(服务费底表!$K279,二三级标准!B:B,0))</f>
        <v>例</v>
      </c>
      <c r="C279" s="327">
        <f>INDEX(服务费明细!$E:$E,MATCH(服务费底表!$K279,服务费明细!$B:$B,0))</f>
        <v>30</v>
      </c>
      <c r="D279" s="327" t="str">
        <f t="shared" si="237"/>
        <v>A076MD</v>
      </c>
      <c r="E279" s="327" t="str">
        <f t="shared" si="238"/>
        <v>T0174MD</v>
      </c>
      <c r="F279" s="328"/>
      <c r="G279" s="328" t="s">
        <v>684</v>
      </c>
      <c r="H279" s="326" t="str">
        <f>INDEX('Rate Card'!$B:$B,MATCH(服务费底表!$T279,'Rate Card'!$F:$F,0))</f>
        <v>医学</v>
      </c>
      <c r="I279" s="328" t="s">
        <v>922</v>
      </c>
      <c r="J279" s="328" t="str">
        <f>INDEX(二三级标准!$Q:$Q,MATCH(服务费底表!I279,二三级标准!$O:$O,0))</f>
        <v>医学监查</v>
      </c>
      <c r="K279" s="328" t="s">
        <v>257</v>
      </c>
      <c r="L279" s="328" t="str">
        <f>INDEX(二三级标准!C:C,MATCH(服务费底表!K279,二三级标准!$B:$B,0))</f>
        <v>试验参与者合格性审核</v>
      </c>
      <c r="M279" s="328" t="s">
        <v>1351</v>
      </c>
      <c r="N279" s="328" t="str">
        <f>INDEX(二三级标准!$M:$M,MATCH(服务费底表!$M279,二三级标准!$L:$L,0))</f>
        <v>试验参与者合格性复核</v>
      </c>
      <c r="O279" s="328"/>
      <c r="P279" s="531">
        <f>IF(R279=1,INDEX(服务费明细!$E:$E,MATCH(服务费底表!$K279,服务费明细!$B:$B,0)),0)</f>
        <v>30</v>
      </c>
      <c r="Q279" s="328" t="s">
        <v>1262</v>
      </c>
      <c r="R279" s="520">
        <f>IF(AND(受试者合格性审核YN=1,医学监查YN=1),1,0)</f>
        <v>1</v>
      </c>
      <c r="S279" s="521" t="str">
        <f>IF(AND(H279="医学",OR(I279=二三级标准!$A$4,I279=二三级标准!$A$153)),"医学撰写","医学监查")</f>
        <v>医学监查</v>
      </c>
      <c r="T279" s="328" t="s">
        <v>613</v>
      </c>
      <c r="U279" s="522" t="str">
        <f>INDEX('Rate Card'!$E:$E,MATCH(服务费底表!$T279,'Rate Card'!$F:$F,0))</f>
        <v>医学总监</v>
      </c>
      <c r="V279" s="331">
        <f>INDEX('Rate Card'!$J:$J,MATCH($T279,'Rate Card'!$F:$F,0))</f>
        <v>990</v>
      </c>
      <c r="W279" s="523">
        <f t="shared" si="251"/>
        <v>990</v>
      </c>
      <c r="X279" s="523">
        <f t="shared" si="252"/>
        <v>0.25</v>
      </c>
      <c r="Y279" s="327" cm="1">
        <f t="array" ref="Y279">_xlfn.IFS(报价场景=服务费底表!$AJ$2,服务费底表!$AJ279,报价场景=服务费底表!$AP$2,服务费底表!$AP279,报价场景=服务费底表!$AK$2,服务费底表!$AK279,报价场景=服务费底表!$AL$2,服务费底表!$AL279,报价场景=服务费底表!$AM$2,服务费底表!$AM279,报价场景=服务费底表!$AN$2,服务费底表!$AN279,报价场景=服务费底表!$AQ$2,服务费底表!$AQ279,报价场景=服务费底表!$AO$2,服务费底表!$AO279)</f>
        <v>0.25</v>
      </c>
      <c r="Z279" s="327"/>
      <c r="AA279" s="332">
        <f t="shared" si="239"/>
        <v>0.25</v>
      </c>
      <c r="AB279" s="333">
        <f t="shared" si="240"/>
        <v>247.5</v>
      </c>
      <c r="AC279" s="328">
        <f t="shared" si="241"/>
        <v>7.5</v>
      </c>
      <c r="AD279" s="334">
        <f t="shared" si="245"/>
        <v>7425</v>
      </c>
      <c r="AE279" s="334">
        <f>$AB279*(1-INDEX(项目参数!$D$5:$D$14,MATCH(服务费底表!$S279,项目参数!$B$5:$B$14,0)))</f>
        <v>247.5</v>
      </c>
      <c r="AF279" s="334">
        <f>$AD279*INDEX(项目参数!$D$5:$D$14,MATCH(服务费底表!$S279,项目参数!$B$5:$B$14,0))</f>
        <v>0</v>
      </c>
      <c r="AG279" s="334">
        <f t="shared" si="246"/>
        <v>7425</v>
      </c>
      <c r="AH279" s="328"/>
      <c r="AI279" s="328" t="s">
        <v>613</v>
      </c>
      <c r="AJ279" s="327">
        <v>0.25</v>
      </c>
      <c r="AK279" s="327">
        <v>0.4</v>
      </c>
      <c r="AL279" s="327">
        <v>0.15</v>
      </c>
      <c r="AM279" s="327">
        <v>0.35</v>
      </c>
      <c r="AN279" s="327">
        <f t="shared" si="250"/>
        <v>0.15</v>
      </c>
      <c r="AO279" s="327">
        <f t="shared" si="236"/>
        <v>0.15</v>
      </c>
      <c r="AP279" s="327">
        <v>0.25</v>
      </c>
      <c r="AQ279" s="327">
        <f t="shared" si="253"/>
        <v>0.375</v>
      </c>
      <c r="AR279" s="338"/>
      <c r="AS279" s="328">
        <f t="shared" si="254"/>
        <v>7.5</v>
      </c>
      <c r="AT279" s="328">
        <f t="shared" si="255"/>
        <v>7.5</v>
      </c>
      <c r="AU279" s="523">
        <v>0.25</v>
      </c>
      <c r="AV279" s="328"/>
      <c r="AW279" s="328"/>
      <c r="AX279" s="332">
        <v>0.25</v>
      </c>
      <c r="AY279" s="328" t="b">
        <f t="shared" si="256"/>
        <v>1</v>
      </c>
      <c r="AZ279" s="328" t="b">
        <f t="shared" si="235"/>
        <v>0</v>
      </c>
    </row>
    <row r="280" ht="27" customHeight="1" spans="1:52">
      <c r="A280" s="326" t="str">
        <f>INDEX('Rate Card'!$A:$A,MATCH(服务费底表!$T280,'Rate Card'!$F:$F,0))</f>
        <v>医学</v>
      </c>
      <c r="B280" s="327" t="str">
        <f>INDEX(二三级标准!$G:$G,MATCH(服务费底表!$K280,二三级标准!B:B,0))</f>
        <v>月</v>
      </c>
      <c r="C280" s="327">
        <f>INDEX(服务费明细!$E:$E,MATCH(服务费底表!$K280,服务费明细!$B:$B,0))</f>
        <v>14</v>
      </c>
      <c r="D280" s="327" t="str">
        <f t="shared" si="237"/>
        <v>A077MM</v>
      </c>
      <c r="E280" s="327" t="str">
        <f t="shared" si="238"/>
        <v>T0175MM</v>
      </c>
      <c r="F280" s="328"/>
      <c r="G280" s="328" t="s">
        <v>684</v>
      </c>
      <c r="H280" s="326" t="str">
        <f>INDEX('Rate Card'!$B:$B,MATCH(服务费底表!$T280,'Rate Card'!$F:$F,0))</f>
        <v>医学</v>
      </c>
      <c r="I280" s="328" t="s">
        <v>922</v>
      </c>
      <c r="J280" s="328" t="str">
        <f>INDEX(二三级标准!$Q:$Q,MATCH(服务费底表!I280,二三级标准!$O:$O,0))</f>
        <v>医学监查</v>
      </c>
      <c r="K280" s="328" t="s">
        <v>259</v>
      </c>
      <c r="L280" s="328" t="str">
        <f>INDEX(二三级标准!C:C,MATCH(服务费底表!K280,二三级标准!$B:$B,0))</f>
        <v>方案偏离审核</v>
      </c>
      <c r="M280" s="328" t="s">
        <v>1352</v>
      </c>
      <c r="N280" s="328" t="str">
        <f>INDEX(二三级标准!$M:$M,MATCH(服务费底表!$M280,二三级标准!$L:$L,0))</f>
        <v>方案偏离的审核</v>
      </c>
      <c r="O280" s="328"/>
      <c r="P280" s="531">
        <f>IF(R280=1,INDEX(服务费明细!$E:$E,MATCH(服务费底表!$K280,服务费明细!$B:$B,0)),0)</f>
        <v>14</v>
      </c>
      <c r="Q280" s="328" t="s">
        <v>1220</v>
      </c>
      <c r="R280" s="520">
        <f>IF(AND(方案偏离审核YN=1,医学监查YN=1),1,0)</f>
        <v>1</v>
      </c>
      <c r="S280" s="521" t="str">
        <f>IF(AND(H280="医学",OR(I280=二三级标准!$A$4,I280=二三级标准!$A$153)),"医学撰写","医学监查")</f>
        <v>医学监查</v>
      </c>
      <c r="T280" s="328" t="s">
        <v>615</v>
      </c>
      <c r="U280" s="522" t="str">
        <f>INDEX('Rate Card'!$E:$E,MATCH(服务费底表!$T280,'Rate Card'!$F:$F,0))</f>
        <v>医学经理</v>
      </c>
      <c r="V280" s="331">
        <f>INDEX('Rate Card'!$J:$J,MATCH($T280,'Rate Card'!$F:$F,0))</f>
        <v>650</v>
      </c>
      <c r="W280" s="523">
        <f t="shared" si="251"/>
        <v>650</v>
      </c>
      <c r="X280" s="523">
        <f t="shared" si="252"/>
        <v>3</v>
      </c>
      <c r="Y280" s="327" cm="1">
        <f t="array" ref="Y280">_xlfn.IFS(报价场景=服务费底表!$AJ$2,服务费底表!$AJ280,报价场景=服务费底表!$AP$2,服务费底表!$AP280,报价场景=服务费底表!$AK$2,服务费底表!$AK280,报价场景=服务费底表!$AL$2,服务费底表!$AL280,报价场景=服务费底表!$AM$2,服务费底表!$AM280,报价场景=服务费底表!$AN$2,服务费底表!$AN280,报价场景=服务费底表!$AQ$2,服务费底表!$AQ280,报价场景=服务费底表!$AO$2,服务费底表!$AO280)</f>
        <v>3</v>
      </c>
      <c r="Z280" s="327"/>
      <c r="AA280" s="332">
        <f t="shared" si="239"/>
        <v>3</v>
      </c>
      <c r="AB280" s="333">
        <f t="shared" si="240"/>
        <v>1950</v>
      </c>
      <c r="AC280" s="328">
        <f t="shared" si="241"/>
        <v>42</v>
      </c>
      <c r="AD280" s="334">
        <f t="shared" si="245"/>
        <v>27300</v>
      </c>
      <c r="AE280" s="334">
        <f>$AB280*(1-INDEX(项目参数!$D$5:$D$14,MATCH(服务费底表!$S280,项目参数!$B$5:$B$14,0)))</f>
        <v>1950</v>
      </c>
      <c r="AF280" s="334">
        <f>$AD280*INDEX(项目参数!$D$5:$D$14,MATCH(服务费底表!$S280,项目参数!$B$5:$B$14,0))</f>
        <v>0</v>
      </c>
      <c r="AG280" s="334">
        <f t="shared" si="246"/>
        <v>27300</v>
      </c>
      <c r="AH280" s="328"/>
      <c r="AI280" s="328" t="s">
        <v>615</v>
      </c>
      <c r="AJ280" s="327">
        <v>3</v>
      </c>
      <c r="AK280" s="327">
        <f>AJ280*1.5</f>
        <v>4.5</v>
      </c>
      <c r="AL280" s="327">
        <v>2</v>
      </c>
      <c r="AM280" s="327">
        <v>4</v>
      </c>
      <c r="AN280" s="327">
        <f t="shared" si="250"/>
        <v>2</v>
      </c>
      <c r="AO280" s="327">
        <f t="shared" si="236"/>
        <v>2</v>
      </c>
      <c r="AP280" s="327">
        <v>1</v>
      </c>
      <c r="AQ280" s="327">
        <f t="shared" si="253"/>
        <v>4.5</v>
      </c>
      <c r="AR280" s="338"/>
      <c r="AS280" s="328">
        <f t="shared" si="254"/>
        <v>42</v>
      </c>
      <c r="AT280" s="328">
        <f t="shared" si="255"/>
        <v>42</v>
      </c>
      <c r="AU280" s="523">
        <v>3</v>
      </c>
      <c r="AV280" s="328"/>
      <c r="AW280" s="328"/>
      <c r="AX280" s="332">
        <v>3</v>
      </c>
      <c r="AY280" s="328" t="b">
        <f t="shared" si="256"/>
        <v>1</v>
      </c>
      <c r="AZ280" s="328" t="b">
        <f t="shared" si="235"/>
        <v>1</v>
      </c>
    </row>
    <row r="281" ht="27" customHeight="1" spans="1:52">
      <c r="A281" s="326" t="str">
        <f>INDEX('Rate Card'!$A:$A,MATCH(服务费底表!$T281,'Rate Card'!$F:$F,0))</f>
        <v>医学</v>
      </c>
      <c r="B281" s="327" t="str">
        <f>INDEX(二三级标准!$G:$G,MATCH(服务费底表!$K281,二三级标准!B:B,0))</f>
        <v>月</v>
      </c>
      <c r="C281" s="327">
        <f>INDEX(服务费明细!$E:$E,MATCH(服务费底表!$K281,服务费明细!$B:$B,0))</f>
        <v>14</v>
      </c>
      <c r="D281" s="327" t="str">
        <f t="shared" si="237"/>
        <v>A077MD</v>
      </c>
      <c r="E281" s="327" t="str">
        <f t="shared" si="238"/>
        <v>T0176MD</v>
      </c>
      <c r="F281" s="328"/>
      <c r="G281" s="328" t="s">
        <v>684</v>
      </c>
      <c r="H281" s="326" t="str">
        <f>INDEX('Rate Card'!$B:$B,MATCH(服务费底表!$T281,'Rate Card'!$F:$F,0))</f>
        <v>医学</v>
      </c>
      <c r="I281" s="328" t="s">
        <v>922</v>
      </c>
      <c r="J281" s="328" t="str">
        <f>INDEX(二三级标准!$Q:$Q,MATCH(服务费底表!I281,二三级标准!$O:$O,0))</f>
        <v>医学监查</v>
      </c>
      <c r="K281" s="328" t="s">
        <v>259</v>
      </c>
      <c r="L281" s="328" t="str">
        <f>INDEX(二三级标准!C:C,MATCH(服务费底表!K281,二三级标准!$B:$B,0))</f>
        <v>方案偏离审核</v>
      </c>
      <c r="M281" s="328" t="s">
        <v>1353</v>
      </c>
      <c r="N281" s="328" t="str">
        <f>INDEX(二三级标准!$M:$M,MATCH(服务费底表!$M281,二三级标准!$L:$L,0))</f>
        <v>方案偏离的复核</v>
      </c>
      <c r="O281" s="328"/>
      <c r="P281" s="531">
        <f>IF(R281=1,INDEX(服务费明细!$E:$E,MATCH(服务费底表!$K281,服务费明细!$B:$B,0)),0)</f>
        <v>14</v>
      </c>
      <c r="Q281" s="328" t="s">
        <v>1220</v>
      </c>
      <c r="R281" s="520">
        <f>IF(AND(方案偏离审核YN=1,医学监查YN=1),1,0)</f>
        <v>1</v>
      </c>
      <c r="S281" s="521" t="str">
        <f>IF(AND(H281="医学",OR(I281=二三级标准!$A$4,I281=二三级标准!$A$153)),"医学撰写","医学监查")</f>
        <v>医学监查</v>
      </c>
      <c r="T281" s="328" t="s">
        <v>613</v>
      </c>
      <c r="U281" s="522" t="str">
        <f>INDEX('Rate Card'!$E:$E,MATCH(服务费底表!$T281,'Rate Card'!$F:$F,0))</f>
        <v>医学总监</v>
      </c>
      <c r="V281" s="331">
        <f>INDEX('Rate Card'!$J:$J,MATCH($T281,'Rate Card'!$F:$F,0))</f>
        <v>990</v>
      </c>
      <c r="W281" s="523">
        <f t="shared" si="251"/>
        <v>990</v>
      </c>
      <c r="X281" s="523">
        <f t="shared" si="252"/>
        <v>0.5</v>
      </c>
      <c r="Y281" s="327" cm="1">
        <f t="array" ref="Y281">_xlfn.IFS(报价场景=服务费底表!$AJ$2,服务费底表!$AJ281,报价场景=服务费底表!$AP$2,服务费底表!$AP281,报价场景=服务费底表!$AK$2,服务费底表!$AK281,报价场景=服务费底表!$AL$2,服务费底表!$AL281,报价场景=服务费底表!$AM$2,服务费底表!$AM281,报价场景=服务费底表!$AN$2,服务费底表!$AN281,报价场景=服务费底表!$AQ$2,服务费底表!$AQ281,报价场景=服务费底表!$AO$2,服务费底表!$AO281)</f>
        <v>0.5</v>
      </c>
      <c r="Z281" s="327"/>
      <c r="AA281" s="332">
        <f t="shared" si="239"/>
        <v>0.5</v>
      </c>
      <c r="AB281" s="333">
        <f t="shared" si="240"/>
        <v>495</v>
      </c>
      <c r="AC281" s="328">
        <f t="shared" si="241"/>
        <v>7</v>
      </c>
      <c r="AD281" s="334">
        <f t="shared" si="245"/>
        <v>6930</v>
      </c>
      <c r="AE281" s="334">
        <f>$AB281*(1-INDEX(项目参数!$D$5:$D$14,MATCH(服务费底表!$S281,项目参数!$B$5:$B$14,0)))</f>
        <v>495</v>
      </c>
      <c r="AF281" s="334">
        <f>$AD281*INDEX(项目参数!$D$5:$D$14,MATCH(服务费底表!$S281,项目参数!$B$5:$B$14,0))</f>
        <v>0</v>
      </c>
      <c r="AG281" s="334">
        <f t="shared" si="246"/>
        <v>6930</v>
      </c>
      <c r="AH281" s="328"/>
      <c r="AI281" s="328" t="s">
        <v>613</v>
      </c>
      <c r="AJ281" s="327">
        <v>0.5</v>
      </c>
      <c r="AK281" s="327">
        <v>1</v>
      </c>
      <c r="AL281" s="327">
        <v>0.4</v>
      </c>
      <c r="AM281" s="327">
        <f>AK281*0.9</f>
        <v>0.9</v>
      </c>
      <c r="AN281" s="327">
        <f t="shared" si="250"/>
        <v>0.4</v>
      </c>
      <c r="AO281" s="327">
        <f t="shared" si="236"/>
        <v>0.4</v>
      </c>
      <c r="AP281" s="327">
        <v>0.5</v>
      </c>
      <c r="AQ281" s="327">
        <f t="shared" si="253"/>
        <v>0.75</v>
      </c>
      <c r="AR281" s="338"/>
      <c r="AS281" s="328">
        <f t="shared" si="254"/>
        <v>7</v>
      </c>
      <c r="AT281" s="328">
        <f t="shared" si="255"/>
        <v>7</v>
      </c>
      <c r="AU281" s="523">
        <v>0.5</v>
      </c>
      <c r="AV281" s="328"/>
      <c r="AW281" s="328"/>
      <c r="AX281" s="332">
        <v>0.5</v>
      </c>
      <c r="AY281" s="328" t="b">
        <f t="shared" si="256"/>
        <v>1</v>
      </c>
      <c r="AZ281" s="328" t="b">
        <f t="shared" si="235"/>
        <v>1</v>
      </c>
    </row>
    <row r="282" ht="27" customHeight="1" spans="1:52">
      <c r="A282" s="326" t="str">
        <f>INDEX('Rate Card'!$A:$A,MATCH(服务费底表!$T282,'Rate Card'!$F:$F,0))</f>
        <v>医学</v>
      </c>
      <c r="B282" s="327" t="str">
        <f>INDEX(二三级标准!$G:$G,MATCH(服务费底表!$K282,二三级标准!B:B,0))</f>
        <v>月</v>
      </c>
      <c r="C282" s="327">
        <f>INDEX(服务费明细!$E:$E,MATCH(服务费底表!$K282,服务费明细!$B:$B,0))</f>
        <v>14</v>
      </c>
      <c r="D282" s="327" t="str">
        <f t="shared" si="237"/>
        <v>A078MM</v>
      </c>
      <c r="E282" s="327" t="str">
        <f t="shared" si="238"/>
        <v>T0177MM</v>
      </c>
      <c r="F282" s="328"/>
      <c r="G282" s="328" t="s">
        <v>684</v>
      </c>
      <c r="H282" s="326" t="str">
        <f>INDEX('Rate Card'!$B:$B,MATCH(服务费底表!$T282,'Rate Card'!$F:$F,0))</f>
        <v>医学</v>
      </c>
      <c r="I282" s="328" t="s">
        <v>922</v>
      </c>
      <c r="J282" s="328" t="str">
        <f>INDEX(二三级标准!$Q:$Q,MATCH(服务费底表!I282,二三级标准!$O:$O,0))</f>
        <v>医学监查</v>
      </c>
      <c r="K282" s="328" t="s">
        <v>261</v>
      </c>
      <c r="L282" s="328" t="str">
        <f>INDEX(二三级标准!C:C,MATCH(服务费底表!K282,二三级标准!$B:$B,0))</f>
        <v>EDC数据列表审核</v>
      </c>
      <c r="M282" s="328" t="s">
        <v>1354</v>
      </c>
      <c r="N282" s="328" t="str">
        <f>INDEX(二三级标准!$M:$M,MATCH(服务费底表!$M282,二三级标准!$L:$L,0))</f>
        <v>实验室检查、合并用药、AE、有效性数据、用药情况等一级审核</v>
      </c>
      <c r="O282" s="338"/>
      <c r="P282" s="531">
        <f>IF(R282=1,INDEX(服务费明细!$E:$E,MATCH(服务费底表!$K282,服务费明细!$B:$B,0)),0)</f>
        <v>14</v>
      </c>
      <c r="Q282" s="328" t="s">
        <v>1220</v>
      </c>
      <c r="R282" s="520">
        <f>IF(AND(EDC数据列表审核YN=1,医学监查YN=1),1,0)</f>
        <v>1</v>
      </c>
      <c r="S282" s="521" t="str">
        <f>IF(AND(H282="医学",OR(I282=二三级标准!$A$4,I282=二三级标准!$A$153)),"医学撰写","医学监查")</f>
        <v>医学监查</v>
      </c>
      <c r="T282" s="328" t="s">
        <v>615</v>
      </c>
      <c r="U282" s="522" t="str">
        <f>INDEX('Rate Card'!$E:$E,MATCH(服务费底表!$T282,'Rate Card'!$F:$F,0))</f>
        <v>医学经理</v>
      </c>
      <c r="V282" s="331">
        <f>INDEX('Rate Card'!$J:$J,MATCH($T282,'Rate Card'!$F:$F,0))</f>
        <v>650</v>
      </c>
      <c r="W282" s="523">
        <f t="shared" si="251"/>
        <v>650</v>
      </c>
      <c r="X282" s="523">
        <f t="shared" si="252"/>
        <v>5</v>
      </c>
      <c r="Y282" s="327" cm="1">
        <f t="array" ref="Y282">_xlfn.IFS(报价场景=服务费底表!$AJ$2,服务费底表!$AJ282,报价场景=服务费底表!$AP$2,服务费底表!$AP282,报价场景=服务费底表!$AK$2,服务费底表!$AK282,报价场景=服务费底表!$AL$2,服务费底表!$AL282,报价场景=服务费底表!$AM$2,服务费底表!$AM282,报价场景=服务费底表!$AN$2,服务费底表!$AN282,报价场景=服务费底表!$AQ$2,服务费底表!$AQ282,报价场景=服务费底表!$AO$2,服务费底表!$AO282)</f>
        <v>5</v>
      </c>
      <c r="Z282" s="327"/>
      <c r="AA282" s="332">
        <f t="shared" si="239"/>
        <v>5</v>
      </c>
      <c r="AB282" s="333">
        <f t="shared" si="240"/>
        <v>3250</v>
      </c>
      <c r="AC282" s="328">
        <f t="shared" si="241"/>
        <v>70</v>
      </c>
      <c r="AD282" s="334">
        <f t="shared" si="245"/>
        <v>45500</v>
      </c>
      <c r="AE282" s="334">
        <f>$AB282*(1-INDEX(项目参数!$D$5:$D$14,MATCH(服务费底表!$S282,项目参数!$B$5:$B$14,0)))</f>
        <v>3250</v>
      </c>
      <c r="AF282" s="334">
        <f>$AD282*INDEX(项目参数!$D$5:$D$14,MATCH(服务费底表!$S282,项目参数!$B$5:$B$14,0))</f>
        <v>0</v>
      </c>
      <c r="AG282" s="334">
        <f t="shared" si="246"/>
        <v>45500</v>
      </c>
      <c r="AH282" s="328"/>
      <c r="AI282" s="328" t="s">
        <v>615</v>
      </c>
      <c r="AJ282" s="327">
        <v>5</v>
      </c>
      <c r="AK282" s="327">
        <v>24</v>
      </c>
      <c r="AL282" s="327">
        <f>AJ282*0.7</f>
        <v>3.5</v>
      </c>
      <c r="AM282" s="327">
        <v>7</v>
      </c>
      <c r="AN282" s="327">
        <f t="shared" si="250"/>
        <v>3.5</v>
      </c>
      <c r="AO282" s="327">
        <f t="shared" si="236"/>
        <v>3.5</v>
      </c>
      <c r="AP282" s="327">
        <v>5</v>
      </c>
      <c r="AQ282" s="327">
        <f t="shared" si="253"/>
        <v>7.5</v>
      </c>
      <c r="AR282" s="338"/>
      <c r="AS282" s="328">
        <f t="shared" si="254"/>
        <v>70</v>
      </c>
      <c r="AT282" s="328">
        <f t="shared" si="255"/>
        <v>70</v>
      </c>
      <c r="AU282" s="523">
        <v>5</v>
      </c>
      <c r="AV282" s="328"/>
      <c r="AW282" s="328"/>
      <c r="AX282" s="332">
        <v>5</v>
      </c>
      <c r="AY282" s="328" t="b">
        <f t="shared" si="256"/>
        <v>1</v>
      </c>
      <c r="AZ282" s="328" t="b">
        <f t="shared" si="235"/>
        <v>0</v>
      </c>
    </row>
    <row r="283" ht="27" customHeight="1" spans="1:52">
      <c r="A283" s="326" t="str">
        <f>INDEX('Rate Card'!$A:$A,MATCH(服务费底表!$T283,'Rate Card'!$F:$F,0))</f>
        <v>医学</v>
      </c>
      <c r="B283" s="327" t="str">
        <f>INDEX(二三级标准!$G:$G,MATCH(服务费底表!$K283,二三级标准!B:B,0))</f>
        <v>月</v>
      </c>
      <c r="C283" s="327">
        <f>INDEX(服务费明细!$E:$E,MATCH(服务费底表!$K283,服务费明细!$B:$B,0))</f>
        <v>14</v>
      </c>
      <c r="D283" s="327" t="str">
        <f t="shared" si="237"/>
        <v>A078MD</v>
      </c>
      <c r="E283" s="327" t="str">
        <f t="shared" si="238"/>
        <v>T0178MD</v>
      </c>
      <c r="F283" s="328"/>
      <c r="G283" s="328" t="s">
        <v>684</v>
      </c>
      <c r="H283" s="326" t="str">
        <f>INDEX('Rate Card'!$B:$B,MATCH(服务费底表!$T283,'Rate Card'!$F:$F,0))</f>
        <v>医学</v>
      </c>
      <c r="I283" s="328" t="s">
        <v>922</v>
      </c>
      <c r="J283" s="328" t="str">
        <f>INDEX(二三级标准!$Q:$Q,MATCH(服务费底表!I283,二三级标准!$O:$O,0))</f>
        <v>医学监查</v>
      </c>
      <c r="K283" s="328" t="s">
        <v>261</v>
      </c>
      <c r="L283" s="328" t="str">
        <f>INDEX(二三级标准!C:C,MATCH(服务费底表!K283,二三级标准!$B:$B,0))</f>
        <v>EDC数据列表审核</v>
      </c>
      <c r="M283" s="328" t="s">
        <v>1355</v>
      </c>
      <c r="N283" s="328" t="str">
        <f>INDEX(二三级标准!$M:$M,MATCH(服务费底表!$M283,二三级标准!$L:$L,0))</f>
        <v>实验室检查、合并用药、AE、有效性数据、用药情况等二级审核</v>
      </c>
      <c r="O283" s="338"/>
      <c r="P283" s="531">
        <f>IF(R283=1,INDEX(服务费明细!$E:$E,MATCH(服务费底表!$K283,服务费明细!$B:$B,0)),0)</f>
        <v>14</v>
      </c>
      <c r="Q283" s="328" t="s">
        <v>1220</v>
      </c>
      <c r="R283" s="520">
        <f>IF(AND(EDC数据列表审核YN=1,医学监查YN=1),1,0)</f>
        <v>1</v>
      </c>
      <c r="S283" s="521" t="str">
        <f>IF(AND(H283="医学",OR(I283=二三级标准!$A$4,I283=二三级标准!$A$153)),"医学撰写","医学监查")</f>
        <v>医学监查</v>
      </c>
      <c r="T283" s="328" t="s">
        <v>613</v>
      </c>
      <c r="U283" s="522" t="str">
        <f>INDEX('Rate Card'!$E:$E,MATCH(服务费底表!$T283,'Rate Card'!$F:$F,0))</f>
        <v>医学总监</v>
      </c>
      <c r="V283" s="331">
        <f>INDEX('Rate Card'!$J:$J,MATCH($T283,'Rate Card'!$F:$F,0))</f>
        <v>990</v>
      </c>
      <c r="W283" s="523">
        <f t="shared" si="251"/>
        <v>990</v>
      </c>
      <c r="X283" s="523">
        <f t="shared" si="252"/>
        <v>1</v>
      </c>
      <c r="Y283" s="327" cm="1">
        <f t="array" ref="Y283">_xlfn.IFS(报价场景=服务费底表!$AJ$2,服务费底表!$AJ283,报价场景=服务费底表!$AP$2,服务费底表!$AP283,报价场景=服务费底表!$AK$2,服务费底表!$AK283,报价场景=服务费底表!$AL$2,服务费底表!$AL283,报价场景=服务费底表!$AM$2,服务费底表!$AM283,报价场景=服务费底表!$AN$2,服务费底表!$AN283,报价场景=服务费底表!$AQ$2,服务费底表!$AQ283,报价场景=服务费底表!$AO$2,服务费底表!$AO283)</f>
        <v>1</v>
      </c>
      <c r="Z283" s="327"/>
      <c r="AA283" s="332">
        <f t="shared" si="239"/>
        <v>1</v>
      </c>
      <c r="AB283" s="333">
        <f t="shared" si="240"/>
        <v>990</v>
      </c>
      <c r="AC283" s="328">
        <f t="shared" si="241"/>
        <v>14</v>
      </c>
      <c r="AD283" s="334">
        <f t="shared" si="245"/>
        <v>13860</v>
      </c>
      <c r="AE283" s="334">
        <f>$AB283*(1-INDEX(项目参数!$D$5:$D$14,MATCH(服务费底表!$S283,项目参数!$B$5:$B$14,0)))</f>
        <v>990</v>
      </c>
      <c r="AF283" s="334">
        <f>$AD283*INDEX(项目参数!$D$5:$D$14,MATCH(服务费底表!$S283,项目参数!$B$5:$B$14,0))</f>
        <v>0</v>
      </c>
      <c r="AG283" s="334">
        <f t="shared" si="246"/>
        <v>13860</v>
      </c>
      <c r="AH283" s="328"/>
      <c r="AI283" s="328" t="s">
        <v>613</v>
      </c>
      <c r="AJ283" s="327">
        <v>1</v>
      </c>
      <c r="AK283" s="327">
        <v>8</v>
      </c>
      <c r="AL283" s="327">
        <f>AJ283*0.7</f>
        <v>0.7</v>
      </c>
      <c r="AM283" s="327">
        <v>1.3</v>
      </c>
      <c r="AN283" s="327">
        <f t="shared" si="250"/>
        <v>0.7</v>
      </c>
      <c r="AO283" s="327">
        <f t="shared" si="236"/>
        <v>0.7</v>
      </c>
      <c r="AP283" s="327">
        <v>1</v>
      </c>
      <c r="AQ283" s="327">
        <f t="shared" si="253"/>
        <v>1.5</v>
      </c>
      <c r="AR283" s="338"/>
      <c r="AS283" s="328">
        <f t="shared" si="254"/>
        <v>14</v>
      </c>
      <c r="AT283" s="328">
        <f t="shared" si="255"/>
        <v>14</v>
      </c>
      <c r="AU283" s="523">
        <v>1</v>
      </c>
      <c r="AV283" s="328"/>
      <c r="AW283" s="328"/>
      <c r="AX283" s="332">
        <v>1</v>
      </c>
      <c r="AY283" s="328" t="b">
        <f t="shared" si="256"/>
        <v>1</v>
      </c>
      <c r="AZ283" s="328" t="b">
        <f t="shared" si="235"/>
        <v>0</v>
      </c>
    </row>
    <row r="284" ht="27" customHeight="1" spans="1:52">
      <c r="A284" s="326" t="str">
        <f>INDEX('Rate Card'!$A:$A,MATCH(服务费底表!$T284,'Rate Card'!$F:$F,0))</f>
        <v>医学</v>
      </c>
      <c r="B284" s="327" t="str">
        <f>INDEX(二三级标准!$G:$G,MATCH(服务费底表!$K284,二三级标准!B:B,0))</f>
        <v>月</v>
      </c>
      <c r="C284" s="327">
        <f>INDEX(服务费明细!$E:$E,MATCH(服务费底表!$K284,服务费明细!$B:$B,0))</f>
        <v>14</v>
      </c>
      <c r="D284" s="327" t="str">
        <f t="shared" si="237"/>
        <v>A078MM</v>
      </c>
      <c r="E284" s="327" t="str">
        <f t="shared" si="238"/>
        <v>T0179MM</v>
      </c>
      <c r="F284" s="328"/>
      <c r="G284" s="328" t="s">
        <v>684</v>
      </c>
      <c r="H284" s="326" t="str">
        <f>INDEX('Rate Card'!$B:$B,MATCH(服务费底表!$T284,'Rate Card'!$F:$F,0))</f>
        <v>医学</v>
      </c>
      <c r="I284" s="328" t="s">
        <v>922</v>
      </c>
      <c r="J284" s="328" t="str">
        <f>INDEX(二三级标准!$Q:$Q,MATCH(服务费底表!I284,二三级标准!$O:$O,0))</f>
        <v>医学监查</v>
      </c>
      <c r="K284" s="328" t="s">
        <v>261</v>
      </c>
      <c r="L284" s="328" t="str">
        <f>INDEX(二三级标准!C:C,MATCH(服务费底表!K284,二三级标准!$B:$B,0))</f>
        <v>EDC数据列表审核</v>
      </c>
      <c r="M284" s="328" t="s">
        <v>1356</v>
      </c>
      <c r="N284" s="328" t="str">
        <f>INDEX(二三级标准!$M:$M,MATCH(服务费底表!$M284,二三级标准!$L:$L,0))</f>
        <v>EDC定期数据清理并发送回复query</v>
      </c>
      <c r="O284" s="338"/>
      <c r="P284" s="531">
        <f>IF(R284=1,INDEX(服务费明细!$E:$E,MATCH(服务费底表!$K284,服务费明细!$B:$B,0)),0)</f>
        <v>14</v>
      </c>
      <c r="Q284" s="328" t="s">
        <v>1220</v>
      </c>
      <c r="R284" s="520">
        <f>IF(AND(EDC数据列表审核YN=1,医学监查YN=1),1,0)</f>
        <v>1</v>
      </c>
      <c r="S284" s="521" t="str">
        <f>IF(AND(H284="医学",OR(I284=二三级标准!$A$4,I284=二三级标准!$A$153)),"医学撰写","医学监查")</f>
        <v>医学监查</v>
      </c>
      <c r="T284" s="328" t="s">
        <v>615</v>
      </c>
      <c r="U284" s="522" t="str">
        <f>INDEX('Rate Card'!$E:$E,MATCH(服务费底表!$T284,'Rate Card'!$F:$F,0))</f>
        <v>医学经理</v>
      </c>
      <c r="V284" s="331">
        <f>INDEX('Rate Card'!$J:$J,MATCH($T284,'Rate Card'!$F:$F,0))</f>
        <v>650</v>
      </c>
      <c r="W284" s="523">
        <f t="shared" si="251"/>
        <v>650</v>
      </c>
      <c r="X284" s="523">
        <f t="shared" si="252"/>
        <v>0.5</v>
      </c>
      <c r="Y284" s="327" cm="1">
        <f t="array" ref="Y284">_xlfn.IFS(报价场景=服务费底表!$AJ$2,服务费底表!$AJ284,报价场景=服务费底表!$AP$2,服务费底表!$AP284,报价场景=服务费底表!$AK$2,服务费底表!$AK284,报价场景=服务费底表!$AL$2,服务费底表!$AL284,报价场景=服务费底表!$AM$2,服务费底表!$AM284,报价场景=服务费底表!$AN$2,服务费底表!$AN284,报价场景=服务费底表!$AQ$2,服务费底表!$AQ284,报价场景=服务费底表!$AO$2,服务费底表!$AO284)</f>
        <v>0.5</v>
      </c>
      <c r="Z284" s="327"/>
      <c r="AA284" s="332">
        <f t="shared" si="239"/>
        <v>0.5</v>
      </c>
      <c r="AB284" s="333">
        <f t="shared" si="240"/>
        <v>325</v>
      </c>
      <c r="AC284" s="328">
        <f t="shared" si="241"/>
        <v>7</v>
      </c>
      <c r="AD284" s="334">
        <f t="shared" si="245"/>
        <v>4550</v>
      </c>
      <c r="AE284" s="334">
        <f>$AB284*(1-INDEX(项目参数!$D$5:$D$14,MATCH(服务费底表!$S284,项目参数!$B$5:$B$14,0)))</f>
        <v>325</v>
      </c>
      <c r="AF284" s="334">
        <f>$AD284*INDEX(项目参数!$D$5:$D$14,MATCH(服务费底表!$S284,项目参数!$B$5:$B$14,0))</f>
        <v>0</v>
      </c>
      <c r="AG284" s="334">
        <f t="shared" si="246"/>
        <v>4550</v>
      </c>
      <c r="AH284" s="328"/>
      <c r="AI284" s="328" t="s">
        <v>615</v>
      </c>
      <c r="AJ284" s="327">
        <v>0.5</v>
      </c>
      <c r="AK284" s="327">
        <v>12</v>
      </c>
      <c r="AL284" s="327">
        <v>0.4</v>
      </c>
      <c r="AM284" s="327">
        <f>AK284*0.9</f>
        <v>10.8</v>
      </c>
      <c r="AN284" s="327">
        <f t="shared" si="250"/>
        <v>0.4</v>
      </c>
      <c r="AO284" s="327">
        <f t="shared" si="236"/>
        <v>0.4</v>
      </c>
      <c r="AP284" s="327">
        <v>0.5</v>
      </c>
      <c r="AQ284" s="327">
        <f t="shared" si="253"/>
        <v>0.75</v>
      </c>
      <c r="AR284" s="338"/>
      <c r="AS284" s="328">
        <f t="shared" si="254"/>
        <v>7</v>
      </c>
      <c r="AT284" s="328">
        <f t="shared" si="255"/>
        <v>7</v>
      </c>
      <c r="AU284" s="523">
        <v>0.5</v>
      </c>
      <c r="AV284" s="328"/>
      <c r="AW284" s="328"/>
      <c r="AX284" s="332">
        <v>0.5</v>
      </c>
      <c r="AY284" s="328" t="b">
        <f t="shared" si="256"/>
        <v>1</v>
      </c>
      <c r="AZ284" s="328" t="b">
        <f t="shared" si="235"/>
        <v>0</v>
      </c>
    </row>
    <row r="285" ht="27" customHeight="1" spans="1:52">
      <c r="A285" s="326" t="str">
        <f>INDEX('Rate Card'!$A:$A,MATCH(服务费底表!$T285,'Rate Card'!$F:$F,0))</f>
        <v>医学</v>
      </c>
      <c r="B285" s="327" t="str">
        <f>INDEX(二三级标准!$G:$G,MATCH(服务费底表!$K285,二三级标准!B:B,0))</f>
        <v>月</v>
      </c>
      <c r="C285" s="327">
        <f>INDEX(服务费明细!$E:$E,MATCH(服务费底表!$K285,服务费明细!$B:$B,0))</f>
        <v>14</v>
      </c>
      <c r="D285" s="327" t="str">
        <f t="shared" si="237"/>
        <v>A079MM</v>
      </c>
      <c r="E285" s="327" t="str">
        <f t="shared" si="238"/>
        <v>T0181MM</v>
      </c>
      <c r="F285" s="328"/>
      <c r="G285" s="328" t="s">
        <v>684</v>
      </c>
      <c r="H285" s="326" t="str">
        <f>INDEX('Rate Card'!$B:$B,MATCH(服务费底表!$T285,'Rate Card'!$F:$F,0))</f>
        <v>医学</v>
      </c>
      <c r="I285" s="328" t="s">
        <v>922</v>
      </c>
      <c r="J285" s="328" t="str">
        <f>INDEX(二三级标准!$Q:$Q,MATCH(服务费底表!I285,二三级标准!$O:$O,0))</f>
        <v>医学监查</v>
      </c>
      <c r="K285" s="328" t="s">
        <v>263</v>
      </c>
      <c r="L285" s="328" t="str">
        <f>INDEX(二三级标准!C:C,MATCH(服务费底表!K285,二三级标准!$B:$B,0))</f>
        <v>医学编码审核</v>
      </c>
      <c r="M285" s="328" t="s">
        <v>1357</v>
      </c>
      <c r="N285" s="328" t="str">
        <f>INDEX(二三级标准!$M:$M,MATCH(服务费底表!$M285,二三级标准!$L:$L,0))</f>
        <v>医学编码审核</v>
      </c>
      <c r="O285" s="328"/>
      <c r="P285" s="531">
        <f>IF(R285=1,INDEX(服务费明细!$E:$E,MATCH(服务费底表!$K285,服务费明细!$B:$B,0)),0)</f>
        <v>14</v>
      </c>
      <c r="Q285" s="328" t="s">
        <v>1220</v>
      </c>
      <c r="R285" s="520">
        <f>IF(AND(医学编码审核YN=1,医学监查YN=1),1,0)</f>
        <v>1</v>
      </c>
      <c r="S285" s="521" t="str">
        <f>IF(AND(H285="医学",OR(I285=二三级标准!$A$4,I285=二三级标准!$A$153)),"医学撰写","医学监查")</f>
        <v>医学监查</v>
      </c>
      <c r="T285" s="328" t="s">
        <v>615</v>
      </c>
      <c r="U285" s="522" t="str">
        <f>INDEX('Rate Card'!$E:$E,MATCH(服务费底表!$T285,'Rate Card'!$F:$F,0))</f>
        <v>医学经理</v>
      </c>
      <c r="V285" s="331">
        <f>INDEX('Rate Card'!$J:$J,MATCH($T285,'Rate Card'!$F:$F,0))</f>
        <v>650</v>
      </c>
      <c r="W285" s="523">
        <f t="shared" si="251"/>
        <v>650</v>
      </c>
      <c r="X285" s="523">
        <f t="shared" si="252"/>
        <v>1</v>
      </c>
      <c r="Y285" s="327" cm="1">
        <f t="array" ref="Y285">_xlfn.IFS(报价场景=服务费底表!$AJ$2,服务费底表!$AJ285,报价场景=服务费底表!$AP$2,服务费底表!$AP285,报价场景=服务费底表!$AK$2,服务费底表!$AK285,报价场景=服务费底表!$AL$2,服务费底表!$AL285,报价场景=服务费底表!$AM$2,服务费底表!$AM285,报价场景=服务费底表!$AN$2,服务费底表!$AN285,报价场景=服务费底表!$AQ$2,服务费底表!$AQ285,报价场景=服务费底表!$AO$2,服务费底表!$AO285)</f>
        <v>1</v>
      </c>
      <c r="Z285" s="327"/>
      <c r="AA285" s="332">
        <f t="shared" si="239"/>
        <v>1</v>
      </c>
      <c r="AB285" s="333">
        <f t="shared" si="240"/>
        <v>650</v>
      </c>
      <c r="AC285" s="328">
        <f t="shared" si="241"/>
        <v>14</v>
      </c>
      <c r="AD285" s="334">
        <f t="shared" si="245"/>
        <v>9100</v>
      </c>
      <c r="AE285" s="334">
        <f>$AB285*(1-INDEX(项目参数!$D$5:$D$14,MATCH(服务费底表!$S285,项目参数!$B$5:$B$14,0)))</f>
        <v>650</v>
      </c>
      <c r="AF285" s="334">
        <f>$AD285*INDEX(项目参数!$D$5:$D$14,MATCH(服务费底表!$S285,项目参数!$B$5:$B$14,0))</f>
        <v>0</v>
      </c>
      <c r="AG285" s="334">
        <f t="shared" si="246"/>
        <v>9100</v>
      </c>
      <c r="AH285" s="328"/>
      <c r="AI285" s="328" t="s">
        <v>615</v>
      </c>
      <c r="AJ285" s="327">
        <v>1</v>
      </c>
      <c r="AK285" s="327">
        <f>AJ285*1.5</f>
        <v>1.5</v>
      </c>
      <c r="AL285" s="327">
        <f>AJ285*0.7</f>
        <v>0.7</v>
      </c>
      <c r="AM285" s="327">
        <v>1.3</v>
      </c>
      <c r="AN285" s="327">
        <f t="shared" si="250"/>
        <v>0.7</v>
      </c>
      <c r="AO285" s="327">
        <f t="shared" si="236"/>
        <v>0.7</v>
      </c>
      <c r="AP285" s="327">
        <v>1</v>
      </c>
      <c r="AQ285" s="327">
        <f t="shared" si="253"/>
        <v>1.5</v>
      </c>
      <c r="AR285" s="338"/>
      <c r="AS285" s="328">
        <f t="shared" si="254"/>
        <v>14</v>
      </c>
      <c r="AT285" s="328">
        <f t="shared" si="255"/>
        <v>14</v>
      </c>
      <c r="AU285" s="523">
        <v>1</v>
      </c>
      <c r="AV285" s="328"/>
      <c r="AW285" s="328"/>
      <c r="AX285" s="332">
        <v>1</v>
      </c>
      <c r="AY285" s="328" t="b">
        <f t="shared" si="256"/>
        <v>1</v>
      </c>
      <c r="AZ285" s="328" t="b">
        <f t="shared" si="235"/>
        <v>1</v>
      </c>
    </row>
    <row r="286" ht="27" customHeight="1" spans="1:52">
      <c r="A286" s="326" t="str">
        <f>INDEX('Rate Card'!$A:$A,MATCH(服务费底表!$T286,'Rate Card'!$F:$F,0))</f>
        <v>医学</v>
      </c>
      <c r="B286" s="327" t="str">
        <f>INDEX(二三级标准!$G:$G,MATCH(服务费底表!$K286,二三级标准!B:B,0))</f>
        <v>月</v>
      </c>
      <c r="C286" s="327">
        <f>INDEX(服务费明细!$E:$E,MATCH(服务费底表!$K286,服务费明细!$B:$B,0))</f>
        <v>14</v>
      </c>
      <c r="D286" s="327" t="str">
        <f t="shared" si="237"/>
        <v>A079MD</v>
      </c>
      <c r="E286" s="327" t="str">
        <f t="shared" si="238"/>
        <v>T0182MD</v>
      </c>
      <c r="F286" s="328"/>
      <c r="G286" s="328" t="s">
        <v>684</v>
      </c>
      <c r="H286" s="326" t="str">
        <f>INDEX('Rate Card'!$B:$B,MATCH(服务费底表!$T286,'Rate Card'!$F:$F,0))</f>
        <v>医学</v>
      </c>
      <c r="I286" s="328" t="s">
        <v>922</v>
      </c>
      <c r="J286" s="328" t="str">
        <f>INDEX(二三级标准!$Q:$Q,MATCH(服务费底表!I286,二三级标准!$O:$O,0))</f>
        <v>医学监查</v>
      </c>
      <c r="K286" s="328" t="s">
        <v>263</v>
      </c>
      <c r="L286" s="328" t="str">
        <f>INDEX(二三级标准!C:C,MATCH(服务费底表!K286,二三级标准!$B:$B,0))</f>
        <v>医学编码审核</v>
      </c>
      <c r="M286" s="328" t="s">
        <v>1358</v>
      </c>
      <c r="N286" s="328" t="str">
        <f>INDEX(二三级标准!$M:$M,MATCH(服务费底表!$M286,二三级标准!$L:$L,0))</f>
        <v>医学编码复核</v>
      </c>
      <c r="O286" s="328"/>
      <c r="P286" s="531">
        <f>IF(R286=1,INDEX(服务费明细!$E:$E,MATCH(服务费底表!$K286,服务费明细!$B:$B,0)),0)</f>
        <v>14</v>
      </c>
      <c r="Q286" s="328" t="s">
        <v>1220</v>
      </c>
      <c r="R286" s="520">
        <f>IF(AND(医学编码审核YN=1,医学监查YN=1),1,0)</f>
        <v>1</v>
      </c>
      <c r="S286" s="521" t="str">
        <f>IF(AND(H286="医学",OR(I286=二三级标准!$A$4,I286=二三级标准!$A$153)),"医学撰写","医学监查")</f>
        <v>医学监查</v>
      </c>
      <c r="T286" s="328" t="s">
        <v>613</v>
      </c>
      <c r="U286" s="522" t="str">
        <f>INDEX('Rate Card'!$E:$E,MATCH(服务费底表!$T286,'Rate Card'!$F:$F,0))</f>
        <v>医学总监</v>
      </c>
      <c r="V286" s="331">
        <f>INDEX('Rate Card'!$J:$J,MATCH($T286,'Rate Card'!$F:$F,0))</f>
        <v>990</v>
      </c>
      <c r="W286" s="523">
        <f t="shared" si="251"/>
        <v>990</v>
      </c>
      <c r="X286" s="523">
        <f t="shared" si="252"/>
        <v>0.2</v>
      </c>
      <c r="Y286" s="327" cm="1">
        <f t="array" ref="Y286">_xlfn.IFS(报价场景=服务费底表!$AJ$2,服务费底表!$AJ286,报价场景=服务费底表!$AP$2,服务费底表!$AP286,报价场景=服务费底表!$AK$2,服务费底表!$AK286,报价场景=服务费底表!$AL$2,服务费底表!$AL286,报价场景=服务费底表!$AM$2,服务费底表!$AM286,报价场景=服务费底表!$AN$2,服务费底表!$AN286,报价场景=服务费底表!$AQ$2,服务费底表!$AQ286,报价场景=服务费底表!$AO$2,服务费底表!$AO286)</f>
        <v>0.2</v>
      </c>
      <c r="Z286" s="327"/>
      <c r="AA286" s="332">
        <f t="shared" si="239"/>
        <v>0.2</v>
      </c>
      <c r="AB286" s="333">
        <f t="shared" si="240"/>
        <v>198</v>
      </c>
      <c r="AC286" s="328">
        <f t="shared" si="241"/>
        <v>2.8</v>
      </c>
      <c r="AD286" s="334">
        <f t="shared" si="245"/>
        <v>2772</v>
      </c>
      <c r="AE286" s="334">
        <f>$AB286*(1-INDEX(项目参数!$D$5:$D$14,MATCH(服务费底表!$S286,项目参数!$B$5:$B$14,0)))</f>
        <v>198</v>
      </c>
      <c r="AF286" s="334">
        <f>$AD286*INDEX(项目参数!$D$5:$D$14,MATCH(服务费底表!$S286,项目参数!$B$5:$B$14,0))</f>
        <v>0</v>
      </c>
      <c r="AG286" s="334">
        <f t="shared" si="246"/>
        <v>2772</v>
      </c>
      <c r="AH286" s="328"/>
      <c r="AI286" s="328" t="s">
        <v>613</v>
      </c>
      <c r="AJ286" s="327">
        <v>0.2</v>
      </c>
      <c r="AK286" s="327">
        <v>0.5</v>
      </c>
      <c r="AL286" s="327">
        <v>0.15</v>
      </c>
      <c r="AM286" s="327">
        <v>0.4</v>
      </c>
      <c r="AN286" s="327">
        <f t="shared" si="250"/>
        <v>0.15</v>
      </c>
      <c r="AO286" s="327">
        <f t="shared" si="236"/>
        <v>0.15</v>
      </c>
      <c r="AP286" s="327">
        <v>0.2</v>
      </c>
      <c r="AQ286" s="327">
        <f t="shared" si="253"/>
        <v>0.3</v>
      </c>
      <c r="AR286" s="338"/>
      <c r="AS286" s="328">
        <f t="shared" si="254"/>
        <v>2.8</v>
      </c>
      <c r="AT286" s="328">
        <f t="shared" si="255"/>
        <v>2.8</v>
      </c>
      <c r="AU286" s="523">
        <v>0.2</v>
      </c>
      <c r="AV286" s="328"/>
      <c r="AW286" s="328"/>
      <c r="AX286" s="332">
        <v>0.2</v>
      </c>
      <c r="AY286" s="328" t="b">
        <f t="shared" si="256"/>
        <v>1</v>
      </c>
      <c r="AZ286" s="328" t="b">
        <f t="shared" si="235"/>
        <v>1</v>
      </c>
    </row>
    <row r="287" ht="27" customHeight="1" spans="1:52">
      <c r="A287" s="326" t="str">
        <f>INDEX('Rate Card'!$A:$A,MATCH(服务费底表!$T287,'Rate Card'!$F:$F,0))</f>
        <v>医学</v>
      </c>
      <c r="B287" s="327" t="str">
        <f>INDEX(二三级标准!$G:$G,MATCH(服务费底表!$K287,二三级标准!B:B,0))</f>
        <v>月</v>
      </c>
      <c r="C287" s="327">
        <f>INDEX(服务费明细!$E:$E,MATCH(服务费底表!$K287,服务费明细!$B:$B,0))</f>
        <v>14</v>
      </c>
      <c r="D287" s="327" t="str">
        <f t="shared" si="237"/>
        <v>A080MM</v>
      </c>
      <c r="E287" s="327" t="str">
        <f t="shared" si="238"/>
        <v>T0183MM</v>
      </c>
      <c r="F287" s="328"/>
      <c r="G287" s="328" t="s">
        <v>684</v>
      </c>
      <c r="H287" s="326" t="str">
        <f>INDEX('Rate Card'!$B:$B,MATCH(服务费底表!$T287,'Rate Card'!$F:$F,0))</f>
        <v>医学</v>
      </c>
      <c r="I287" s="328" t="s">
        <v>922</v>
      </c>
      <c r="J287" s="328" t="str">
        <f>INDEX(二三级标准!$Q:$Q,MATCH(服务费底表!I287,二三级标准!$O:$O,0))</f>
        <v>医学监查</v>
      </c>
      <c r="K287" s="328" t="s">
        <v>265</v>
      </c>
      <c r="L287" s="328" t="str">
        <f>INDEX(二三级标准!C:C,MATCH(服务费底表!K287,二三级标准!$B:$B,0))</f>
        <v>药物或疾病编码审核</v>
      </c>
      <c r="M287" s="328" t="s">
        <v>1359</v>
      </c>
      <c r="N287" s="328" t="str">
        <f>INDEX(二三级标准!$M:$M,MATCH(服务费底表!$M287,二三级标准!$L:$L,0))</f>
        <v>药物或疾病编码审核</v>
      </c>
      <c r="O287" s="328"/>
      <c r="P287" s="531">
        <f>IF(R287=1,INDEX(服务费明细!$E:$E,MATCH(服务费底表!$K287,服务费明细!$B:$B,0)),0)</f>
        <v>14</v>
      </c>
      <c r="Q287" s="328" t="s">
        <v>1220</v>
      </c>
      <c r="R287" s="520">
        <f>IF(AND(药物或疾病编码审核YN=1,医学监查YN=1),1,0)</f>
        <v>1</v>
      </c>
      <c r="S287" s="521" t="str">
        <f>IF(AND(H287="医学",OR(I287=二三级标准!$A$4,I287=二三级标准!$A$153)),"医学撰写","医学监查")</f>
        <v>医学监查</v>
      </c>
      <c r="T287" s="328" t="s">
        <v>615</v>
      </c>
      <c r="U287" s="522" t="str">
        <f>INDEX('Rate Card'!$E:$E,MATCH(服务费底表!$T287,'Rate Card'!$F:$F,0))</f>
        <v>医学经理</v>
      </c>
      <c r="V287" s="331">
        <f>INDEX('Rate Card'!$J:$J,MATCH($T287,'Rate Card'!$F:$F,0))</f>
        <v>650</v>
      </c>
      <c r="W287" s="523">
        <f t="shared" si="251"/>
        <v>650</v>
      </c>
      <c r="X287" s="523">
        <f t="shared" si="252"/>
        <v>1</v>
      </c>
      <c r="Y287" s="327" cm="1">
        <f t="array" ref="Y287">_xlfn.IFS(报价场景=服务费底表!$AJ$2,服务费底表!$AJ287,报价场景=服务费底表!$AP$2,服务费底表!$AP287,报价场景=服务费底表!$AK$2,服务费底表!$AK287,报价场景=服务费底表!$AL$2,服务费底表!$AL287,报价场景=服务费底表!$AM$2,服务费底表!$AM287,报价场景=服务费底表!$AN$2,服务费底表!$AN287,报价场景=服务费底表!$AQ$2,服务费底表!$AQ287,报价场景=服务费底表!$AO$2,服务费底表!$AO287)</f>
        <v>1</v>
      </c>
      <c r="Z287" s="327"/>
      <c r="AA287" s="332">
        <f t="shared" si="239"/>
        <v>1</v>
      </c>
      <c r="AB287" s="333">
        <f t="shared" si="240"/>
        <v>650</v>
      </c>
      <c r="AC287" s="328">
        <f t="shared" si="241"/>
        <v>14</v>
      </c>
      <c r="AD287" s="334">
        <f t="shared" si="245"/>
        <v>9100</v>
      </c>
      <c r="AE287" s="334">
        <f>$AB287*(1-INDEX(项目参数!$D$5:$D$14,MATCH(服务费底表!$S287,项目参数!$B$5:$B$14,0)))</f>
        <v>650</v>
      </c>
      <c r="AF287" s="334">
        <f>$AD287*INDEX(项目参数!$D$5:$D$14,MATCH(服务费底表!$S287,项目参数!$B$5:$B$14,0))</f>
        <v>0</v>
      </c>
      <c r="AG287" s="334">
        <f t="shared" si="246"/>
        <v>9100</v>
      </c>
      <c r="AH287" s="328"/>
      <c r="AI287" s="328" t="s">
        <v>615</v>
      </c>
      <c r="AJ287" s="327">
        <v>1</v>
      </c>
      <c r="AK287" s="327">
        <f>AJ287*1.5</f>
        <v>1.5</v>
      </c>
      <c r="AL287" s="327">
        <f>AJ287*0.7</f>
        <v>0.7</v>
      </c>
      <c r="AM287" s="327">
        <v>1.3</v>
      </c>
      <c r="AN287" s="327">
        <f t="shared" si="250"/>
        <v>0.7</v>
      </c>
      <c r="AO287" s="327">
        <f t="shared" si="236"/>
        <v>0.7</v>
      </c>
      <c r="AP287" s="327">
        <v>1</v>
      </c>
      <c r="AQ287" s="327">
        <f t="shared" si="253"/>
        <v>1.5</v>
      </c>
      <c r="AR287" s="338"/>
      <c r="AS287" s="328">
        <f t="shared" si="254"/>
        <v>14</v>
      </c>
      <c r="AT287" s="328">
        <f t="shared" si="255"/>
        <v>14</v>
      </c>
      <c r="AU287" s="523">
        <v>1</v>
      </c>
      <c r="AV287" s="328"/>
      <c r="AW287" s="328"/>
      <c r="AX287" s="332">
        <v>1</v>
      </c>
      <c r="AY287" s="328" t="b">
        <f t="shared" si="256"/>
        <v>1</v>
      </c>
      <c r="AZ287" s="328" t="b">
        <f t="shared" si="235"/>
        <v>0</v>
      </c>
    </row>
    <row r="288" ht="27" customHeight="1" spans="1:52">
      <c r="A288" s="326" t="str">
        <f>INDEX('Rate Card'!$A:$A,MATCH(服务费底表!$T288,'Rate Card'!$F:$F,0))</f>
        <v>医学</v>
      </c>
      <c r="B288" s="327" t="str">
        <f>INDEX(二三级标准!$G:$G,MATCH(服务费底表!$K288,二三级标准!B:B,0))</f>
        <v>月</v>
      </c>
      <c r="C288" s="327">
        <f>INDEX(服务费明细!$E:$E,MATCH(服务费底表!$K288,服务费明细!$B:$B,0))</f>
        <v>14</v>
      </c>
      <c r="D288" s="327" t="str">
        <f t="shared" si="237"/>
        <v>A080MD</v>
      </c>
      <c r="E288" s="327" t="str">
        <f t="shared" si="238"/>
        <v>T0184MD</v>
      </c>
      <c r="F288" s="328"/>
      <c r="G288" s="328" t="s">
        <v>684</v>
      </c>
      <c r="H288" s="326" t="str">
        <f>INDEX('Rate Card'!$B:$B,MATCH(服务费底表!$T288,'Rate Card'!$F:$F,0))</f>
        <v>医学</v>
      </c>
      <c r="I288" s="328" t="s">
        <v>922</v>
      </c>
      <c r="J288" s="328" t="str">
        <f>INDEX(二三级标准!$Q:$Q,MATCH(服务费底表!I288,二三级标准!$O:$O,0))</f>
        <v>医学监查</v>
      </c>
      <c r="K288" s="328" t="s">
        <v>265</v>
      </c>
      <c r="L288" s="328" t="str">
        <f>INDEX(二三级标准!C:C,MATCH(服务费底表!K288,二三级标准!$B:$B,0))</f>
        <v>药物或疾病编码审核</v>
      </c>
      <c r="M288" s="328" t="s">
        <v>1360</v>
      </c>
      <c r="N288" s="328" t="str">
        <f>INDEX(二三级标准!$M:$M,MATCH(服务费底表!$M288,二三级标准!$L:$L,0))</f>
        <v>药物或疾病编码复核</v>
      </c>
      <c r="O288" s="328"/>
      <c r="P288" s="531">
        <f>IF(R288=1,INDEX(服务费明细!$E:$E,MATCH(服务费底表!$K288,服务费明细!$B:$B,0)),0)</f>
        <v>14</v>
      </c>
      <c r="Q288" s="328" t="s">
        <v>1220</v>
      </c>
      <c r="R288" s="520">
        <f>IF(AND(药物或疾病编码审核YN=1,医学监查YN=1),1,0)</f>
        <v>1</v>
      </c>
      <c r="S288" s="521" t="str">
        <f>IF(AND(H288="医学",OR(I288=二三级标准!$A$4,I288=二三级标准!$A$153)),"医学撰写","医学监查")</f>
        <v>医学监查</v>
      </c>
      <c r="T288" s="328" t="s">
        <v>613</v>
      </c>
      <c r="U288" s="522" t="str">
        <f>INDEX('Rate Card'!$E:$E,MATCH(服务费底表!$T288,'Rate Card'!$F:$F,0))</f>
        <v>医学总监</v>
      </c>
      <c r="V288" s="331">
        <f>INDEX('Rate Card'!$J:$J,MATCH($T288,'Rate Card'!$F:$F,0))</f>
        <v>990</v>
      </c>
      <c r="W288" s="523">
        <f t="shared" si="251"/>
        <v>990</v>
      </c>
      <c r="X288" s="523">
        <f t="shared" si="252"/>
        <v>0.2</v>
      </c>
      <c r="Y288" s="327" cm="1">
        <f t="array" ref="Y288">_xlfn.IFS(报价场景=服务费底表!$AJ$2,服务费底表!$AJ288,报价场景=服务费底表!$AP$2,服务费底表!$AP288,报价场景=服务费底表!$AK$2,服务费底表!$AK288,报价场景=服务费底表!$AL$2,服务费底表!$AL288,报价场景=服务费底表!$AM$2,服务费底表!$AM288,报价场景=服务费底表!$AN$2,服务费底表!$AN288,报价场景=服务费底表!$AQ$2,服务费底表!$AQ288,报价场景=服务费底表!$AO$2,服务费底表!$AO288)</f>
        <v>0.2</v>
      </c>
      <c r="Z288" s="327"/>
      <c r="AA288" s="332">
        <f t="shared" si="239"/>
        <v>0.2</v>
      </c>
      <c r="AB288" s="333">
        <f t="shared" si="240"/>
        <v>198</v>
      </c>
      <c r="AC288" s="328">
        <f t="shared" si="241"/>
        <v>2.8</v>
      </c>
      <c r="AD288" s="334">
        <f t="shared" si="245"/>
        <v>2772</v>
      </c>
      <c r="AE288" s="334">
        <f>$AB288*(1-INDEX(项目参数!$D$5:$D$14,MATCH(服务费底表!$S288,项目参数!$B$5:$B$14,0)))</f>
        <v>198</v>
      </c>
      <c r="AF288" s="334">
        <f>$AD288*INDEX(项目参数!$D$5:$D$14,MATCH(服务费底表!$S288,项目参数!$B$5:$B$14,0))</f>
        <v>0</v>
      </c>
      <c r="AG288" s="334">
        <f t="shared" si="246"/>
        <v>2772</v>
      </c>
      <c r="AH288" s="328"/>
      <c r="AI288" s="328" t="s">
        <v>613</v>
      </c>
      <c r="AJ288" s="327">
        <v>0.2</v>
      </c>
      <c r="AK288" s="327">
        <v>0.5</v>
      </c>
      <c r="AL288" s="327">
        <v>0.15</v>
      </c>
      <c r="AM288" s="327">
        <v>0.4</v>
      </c>
      <c r="AN288" s="327">
        <f t="shared" si="250"/>
        <v>0.15</v>
      </c>
      <c r="AO288" s="327">
        <f t="shared" si="236"/>
        <v>0.15</v>
      </c>
      <c r="AP288" s="327">
        <v>0.2</v>
      </c>
      <c r="AQ288" s="327">
        <f t="shared" si="253"/>
        <v>0.3</v>
      </c>
      <c r="AR288" s="338"/>
      <c r="AS288" s="328">
        <f t="shared" si="254"/>
        <v>2.8</v>
      </c>
      <c r="AT288" s="328">
        <f t="shared" si="255"/>
        <v>2.8</v>
      </c>
      <c r="AU288" s="523">
        <v>0.2</v>
      </c>
      <c r="AV288" s="328"/>
      <c r="AW288" s="328"/>
      <c r="AX288" s="332">
        <v>0.2</v>
      </c>
      <c r="AY288" s="328" t="b">
        <f t="shared" si="256"/>
        <v>1</v>
      </c>
      <c r="AZ288" s="328" t="b">
        <f t="shared" si="235"/>
        <v>0</v>
      </c>
    </row>
    <row r="289" ht="27" customHeight="1" spans="1:52">
      <c r="A289" s="326" t="str">
        <f>INDEX('Rate Card'!$A:$A,MATCH(服务费底表!$T289,'Rate Card'!$F:$F,0))</f>
        <v>数统</v>
      </c>
      <c r="B289" s="327" t="str">
        <f>INDEX(二三级标准!$G:$G,MATCH(服务费底表!$K289,二三级标准!B:B,0))</f>
        <v>份</v>
      </c>
      <c r="C289" s="327">
        <f>INDEX(服务费明细!$E:$E,MATCH(服务费底表!$K289,服务费明细!$B:$B,0))</f>
        <v>4</v>
      </c>
      <c r="D289" s="327" t="str">
        <f t="shared" si="237"/>
        <v>A081SAM</v>
      </c>
      <c r="E289" s="327" t="str">
        <f t="shared" si="238"/>
        <v>T0187SAM</v>
      </c>
      <c r="F289" s="328"/>
      <c r="G289" s="328" t="s">
        <v>684</v>
      </c>
      <c r="H289" s="326" t="str">
        <f>INDEX('Rate Card'!$B:$B,MATCH(服务费底表!$T289,'Rate Card'!$F:$F,0))</f>
        <v>生物统计及分析</v>
      </c>
      <c r="I289" s="328" t="s">
        <v>922</v>
      </c>
      <c r="J289" s="328" t="str">
        <f>INDEX(二三级标准!$Q:$Q,MATCH(服务费底表!I289,二三级标准!$O:$O,0))</f>
        <v>医学监查</v>
      </c>
      <c r="K289" s="328" t="s">
        <v>267</v>
      </c>
      <c r="L289" s="328" t="str">
        <f>INDEX(二三级标准!C:C,MATCH(服务费底表!K289,二三级标准!$B:$B,0))</f>
        <v>医学监查报告撰写</v>
      </c>
      <c r="M289" s="328" t="s">
        <v>1361</v>
      </c>
      <c r="N289" s="328" t="str">
        <f>INDEX(二三级标准!$M:$M,MATCH(服务费底表!$M289,二三级标准!$L:$L,0))</f>
        <v>运行MMR统计TFLs</v>
      </c>
      <c r="O289" s="328"/>
      <c r="P289" s="531">
        <f>IF(R289=1,INDEX(服务费明细!$E:$E,MATCH(服务费底表!$K289,服务费明细!$B:$B,0)),0)</f>
        <v>0</v>
      </c>
      <c r="Q289" s="328" t="s">
        <v>1176</v>
      </c>
      <c r="R289" s="520">
        <v>0</v>
      </c>
      <c r="S289" s="524" t="str">
        <f>INDEX('Rate Card'!$D:$D,MATCH(服务费底表!$T289,'Rate Card'!F:F,0))</f>
        <v>统计分析</v>
      </c>
      <c r="T289" s="328" t="s">
        <v>638</v>
      </c>
      <c r="U289" s="522" t="str">
        <f>INDEX('Rate Card'!$E:$E,MATCH(服务费底表!$T289,'Rate Card'!$F:$F,0))</f>
        <v>统计分析经理</v>
      </c>
      <c r="V289" s="331">
        <f>INDEX('Rate Card'!$J:$J,MATCH($T289,'Rate Card'!$F:$F,0))</f>
        <v>450</v>
      </c>
      <c r="W289" s="523">
        <f t="shared" si="251"/>
        <v>450</v>
      </c>
      <c r="X289" s="523">
        <f t="shared" si="252"/>
        <v>12</v>
      </c>
      <c r="Y289" s="327" cm="1">
        <f t="array" ref="Y289">_xlfn.IFS(报价场景=服务费底表!$AJ$2,服务费底表!$AJ289,报价场景=服务费底表!$AP$2,服务费底表!$AP289,报价场景=服务费底表!$AK$2,服务费底表!$AK289,报价场景=服务费底表!$AL$2,服务费底表!$AL289,报价场景=服务费底表!$AM$2,服务费底表!$AM289,报价场景=服务费底表!$AN$2,服务费底表!$AN289,报价场景=服务费底表!$AQ$2,服务费底表!$AQ289,报价场景=服务费底表!$AO$2,服务费底表!$AO289)</f>
        <v>12</v>
      </c>
      <c r="Z289" s="327"/>
      <c r="AA289" s="332">
        <f t="shared" si="239"/>
        <v>12</v>
      </c>
      <c r="AB289" s="333">
        <f t="shared" si="240"/>
        <v>0</v>
      </c>
      <c r="AC289" s="328">
        <f t="shared" si="241"/>
        <v>0</v>
      </c>
      <c r="AD289" s="334">
        <f t="shared" si="245"/>
        <v>0</v>
      </c>
      <c r="AE289" s="334">
        <f>$AB289*(1-INDEX(项目参数!$D$5:$D$14,MATCH(服务费底表!$S289,项目参数!$B$5:$B$14,0)))</f>
        <v>0</v>
      </c>
      <c r="AF289" s="334">
        <f>$AD289*INDEX(项目参数!$D$5:$D$14,MATCH(服务费底表!$S289,项目参数!$B$5:$B$14,0))</f>
        <v>0</v>
      </c>
      <c r="AG289" s="334">
        <f t="shared" si="246"/>
        <v>0</v>
      </c>
      <c r="AH289" s="328"/>
      <c r="AI289" s="328" t="s">
        <v>638</v>
      </c>
      <c r="AJ289" s="327">
        <v>12</v>
      </c>
      <c r="AK289" s="327">
        <v>12</v>
      </c>
      <c r="AL289" s="327">
        <v>8</v>
      </c>
      <c r="AM289" s="327">
        <v>12</v>
      </c>
      <c r="AN289" s="327">
        <v>8</v>
      </c>
      <c r="AO289" s="327">
        <f t="shared" si="236"/>
        <v>8</v>
      </c>
      <c r="AP289" s="327">
        <v>12</v>
      </c>
      <c r="AQ289" s="327">
        <f t="shared" si="253"/>
        <v>18</v>
      </c>
      <c r="AR289" s="338"/>
      <c r="AS289" s="328">
        <f t="shared" si="254"/>
        <v>0</v>
      </c>
      <c r="AT289" s="328">
        <f t="shared" si="255"/>
        <v>0</v>
      </c>
      <c r="AU289" s="523">
        <v>12</v>
      </c>
      <c r="AV289" s="328"/>
      <c r="AW289" s="328"/>
      <c r="AX289" s="332">
        <v>12</v>
      </c>
      <c r="AY289" s="328" t="b">
        <f t="shared" si="256"/>
        <v>1</v>
      </c>
      <c r="AZ289" s="328" t="b">
        <f t="shared" si="235"/>
        <v>1</v>
      </c>
    </row>
    <row r="290" ht="27" customHeight="1" spans="1:52">
      <c r="A290" s="326" t="str">
        <f>INDEX('Rate Card'!$A:$A,MATCH(服务费底表!$T290,'Rate Card'!$F:$F,0))</f>
        <v>医学</v>
      </c>
      <c r="B290" s="327" t="str">
        <f>INDEX(二三级标准!$G:$G,MATCH(服务费底表!$K290,二三级标准!B:B,0))</f>
        <v>份</v>
      </c>
      <c r="C290" s="327">
        <f>INDEX(服务费明细!$E:$E,MATCH(服务费底表!$K290,服务费明细!$B:$B,0))</f>
        <v>4</v>
      </c>
      <c r="D290" s="327" t="str">
        <f t="shared" si="237"/>
        <v>A081MM</v>
      </c>
      <c r="E290" s="327" t="str">
        <f t="shared" si="238"/>
        <v>T0189MM</v>
      </c>
      <c r="F290" s="328"/>
      <c r="G290" s="328" t="s">
        <v>684</v>
      </c>
      <c r="H290" s="326" t="str">
        <f>INDEX('Rate Card'!$B:$B,MATCH(服务费底表!$T290,'Rate Card'!$F:$F,0))</f>
        <v>医学</v>
      </c>
      <c r="I290" s="328" t="s">
        <v>922</v>
      </c>
      <c r="J290" s="328" t="str">
        <f>INDEX(二三级标准!$Q:$Q,MATCH(服务费底表!I290,二三级标准!$O:$O,0))</f>
        <v>医学监查</v>
      </c>
      <c r="K290" s="328" t="s">
        <v>267</v>
      </c>
      <c r="L290" s="328" t="str">
        <f>INDEX(二三级标准!C:C,MATCH(服务费底表!K290,二三级标准!$B:$B,0))</f>
        <v>医学监查报告撰写</v>
      </c>
      <c r="M290" s="328" t="s">
        <v>1362</v>
      </c>
      <c r="N290" s="328" t="str">
        <f>INDEX(二三级标准!$M:$M,MATCH(服务费底表!$M290,二三级标准!$L:$L,0))</f>
        <v>MMR撰写和修订</v>
      </c>
      <c r="O290" s="328"/>
      <c r="P290" s="531">
        <f>IF(R290=1,INDEX(服务费明细!$E:$E,MATCH(服务费底表!$K290,服务费明细!$B:$B,0)),0)</f>
        <v>4</v>
      </c>
      <c r="Q290" s="328" t="s">
        <v>1176</v>
      </c>
      <c r="R290" s="520">
        <f>IF(AND(医学监查报告撰写YN=1,医学监查YN=1),1,0)</f>
        <v>1</v>
      </c>
      <c r="S290" s="521" t="str">
        <f>IF(AND(H290="医学",OR(I290=二三级标准!$A$4,I290=二三级标准!$A$153)),"医学撰写","医学监查")</f>
        <v>医学监查</v>
      </c>
      <c r="T290" s="328" t="s">
        <v>615</v>
      </c>
      <c r="U290" s="522" t="str">
        <f>INDEX('Rate Card'!$E:$E,MATCH(服务费底表!$T290,'Rate Card'!$F:$F,0))</f>
        <v>医学经理</v>
      </c>
      <c r="V290" s="331">
        <f>INDEX('Rate Card'!$J:$J,MATCH($T290,'Rate Card'!$F:$F,0))</f>
        <v>650</v>
      </c>
      <c r="W290" s="523">
        <f t="shared" si="251"/>
        <v>650</v>
      </c>
      <c r="X290" s="523">
        <f t="shared" si="252"/>
        <v>8</v>
      </c>
      <c r="Y290" s="327" cm="1">
        <f t="array" ref="Y290">_xlfn.IFS(报价场景=服务费底表!$AJ$2,服务费底表!$AJ290,报价场景=服务费底表!$AP$2,服务费底表!$AP290,报价场景=服务费底表!$AK$2,服务费底表!$AK290,报价场景=服务费底表!$AL$2,服务费底表!$AL290,报价场景=服务费底表!$AM$2,服务费底表!$AM290,报价场景=服务费底表!$AN$2,服务费底表!$AN290,报价场景=服务费底表!$AQ$2,服务费底表!$AQ290,报价场景=服务费底表!$AO$2,服务费底表!$AO290)</f>
        <v>8</v>
      </c>
      <c r="Z290" s="327"/>
      <c r="AA290" s="332">
        <f t="shared" si="239"/>
        <v>8</v>
      </c>
      <c r="AB290" s="333">
        <f t="shared" si="240"/>
        <v>5200</v>
      </c>
      <c r="AC290" s="328">
        <f t="shared" si="241"/>
        <v>32</v>
      </c>
      <c r="AD290" s="334">
        <f t="shared" si="245"/>
        <v>20800</v>
      </c>
      <c r="AE290" s="334">
        <f>$AB290*(1-INDEX(项目参数!$D$5:$D$14,MATCH(服务费底表!$S290,项目参数!$B$5:$B$14,0)))</f>
        <v>5200</v>
      </c>
      <c r="AF290" s="334">
        <f>$AD290*INDEX(项目参数!$D$5:$D$14,MATCH(服务费底表!$S290,项目参数!$B$5:$B$14,0))</f>
        <v>0</v>
      </c>
      <c r="AG290" s="334">
        <f t="shared" si="246"/>
        <v>20800</v>
      </c>
      <c r="AH290" s="328"/>
      <c r="AI290" s="328" t="s">
        <v>615</v>
      </c>
      <c r="AJ290" s="327">
        <v>8</v>
      </c>
      <c r="AK290" s="327">
        <f>AJ290*1.5</f>
        <v>12</v>
      </c>
      <c r="AL290" s="327">
        <f>AJ290*0.7</f>
        <v>5.6</v>
      </c>
      <c r="AM290" s="327">
        <v>10</v>
      </c>
      <c r="AN290" s="327">
        <f t="shared" ref="AN290:AN294" si="257">AL290</f>
        <v>5.6</v>
      </c>
      <c r="AO290" s="327">
        <f t="shared" si="236"/>
        <v>5.6</v>
      </c>
      <c r="AP290" s="327">
        <v>8</v>
      </c>
      <c r="AQ290" s="327">
        <f t="shared" si="253"/>
        <v>12</v>
      </c>
      <c r="AR290" s="338"/>
      <c r="AS290" s="328">
        <f t="shared" si="254"/>
        <v>32</v>
      </c>
      <c r="AT290" s="328">
        <f t="shared" si="255"/>
        <v>32</v>
      </c>
      <c r="AU290" s="523">
        <v>8</v>
      </c>
      <c r="AV290" s="328"/>
      <c r="AW290" s="328"/>
      <c r="AX290" s="332">
        <v>8</v>
      </c>
      <c r="AY290" s="328" t="b">
        <f t="shared" si="256"/>
        <v>1</v>
      </c>
      <c r="AZ290" s="328" t="b">
        <f t="shared" si="235"/>
        <v>1</v>
      </c>
    </row>
    <row r="291" ht="27" customHeight="1" spans="1:52">
      <c r="A291" s="326" t="str">
        <f>INDEX('Rate Card'!$A:$A,MATCH(服务费底表!$T291,'Rate Card'!$F:$F,0))</f>
        <v>医学</v>
      </c>
      <c r="B291" s="327" t="str">
        <f>INDEX(二三级标准!$G:$G,MATCH(服务费底表!$K291,二三级标准!B:B,0))</f>
        <v>份</v>
      </c>
      <c r="C291" s="327">
        <f>INDEX(服务费明细!$E:$E,MATCH(服务费底表!$K291,服务费明细!$B:$B,0))</f>
        <v>4</v>
      </c>
      <c r="D291" s="327" t="str">
        <f t="shared" si="237"/>
        <v>A081MD</v>
      </c>
      <c r="E291" s="327" t="str">
        <f t="shared" si="238"/>
        <v>T0190MD</v>
      </c>
      <c r="F291" s="328"/>
      <c r="G291" s="328" t="s">
        <v>684</v>
      </c>
      <c r="H291" s="326" t="str">
        <f>INDEX('Rate Card'!$B:$B,MATCH(服务费底表!$T291,'Rate Card'!$F:$F,0))</f>
        <v>医学</v>
      </c>
      <c r="I291" s="328" t="s">
        <v>922</v>
      </c>
      <c r="J291" s="328" t="str">
        <f>INDEX(二三级标准!$Q:$Q,MATCH(服务费底表!I291,二三级标准!$O:$O,0))</f>
        <v>医学监查</v>
      </c>
      <c r="K291" s="328" t="s">
        <v>267</v>
      </c>
      <c r="L291" s="328" t="str">
        <f>INDEX(二三级标准!C:C,MATCH(服务费底表!K291,二三级标准!$B:$B,0))</f>
        <v>医学监查报告撰写</v>
      </c>
      <c r="M291" s="328" t="s">
        <v>1363</v>
      </c>
      <c r="N291" s="328" t="str">
        <f>INDEX(二三级标准!$M:$M,MATCH(服务费底表!$M291,二三级标准!$L:$L,0))</f>
        <v>MMR审阅</v>
      </c>
      <c r="O291" s="328"/>
      <c r="P291" s="531">
        <f>IF(R291=1,INDEX(服务费明细!$E:$E,MATCH(服务费底表!$K291,服务费明细!$B:$B,0)),0)</f>
        <v>4</v>
      </c>
      <c r="Q291" s="328" t="s">
        <v>1176</v>
      </c>
      <c r="R291" s="520">
        <f>IF(AND(医学监查报告撰写YN=1,医学监查YN=1),1,0)</f>
        <v>1</v>
      </c>
      <c r="S291" s="521" t="str">
        <f>IF(AND(H291="医学",OR(I291=二三级标准!$A$4,I291=二三级标准!$A$153)),"医学撰写","医学监查")</f>
        <v>医学监查</v>
      </c>
      <c r="T291" s="328" t="s">
        <v>613</v>
      </c>
      <c r="U291" s="522" t="str">
        <f>INDEX('Rate Card'!$E:$E,MATCH(服务费底表!$T291,'Rate Card'!$F:$F,0))</f>
        <v>医学总监</v>
      </c>
      <c r="V291" s="331">
        <f>INDEX('Rate Card'!$J:$J,MATCH($T291,'Rate Card'!$F:$F,0))</f>
        <v>990</v>
      </c>
      <c r="W291" s="523">
        <f t="shared" si="251"/>
        <v>990</v>
      </c>
      <c r="X291" s="523">
        <f t="shared" si="252"/>
        <v>2</v>
      </c>
      <c r="Y291" s="327" cm="1">
        <f t="array" ref="Y291">_xlfn.IFS(报价场景=服务费底表!$AJ$2,服务费底表!$AJ291,报价场景=服务费底表!$AP$2,服务费底表!$AP291,报价场景=服务费底表!$AK$2,服务费底表!$AK291,报价场景=服务费底表!$AL$2,服务费底表!$AL291,报价场景=服务费底表!$AM$2,服务费底表!$AM291,报价场景=服务费底表!$AN$2,服务费底表!$AN291,报价场景=服务费底表!$AQ$2,服务费底表!$AQ291,报价场景=服务费底表!$AO$2,服务费底表!$AO291)</f>
        <v>2</v>
      </c>
      <c r="Z291" s="327"/>
      <c r="AA291" s="332">
        <f t="shared" si="239"/>
        <v>2</v>
      </c>
      <c r="AB291" s="333">
        <f t="shared" si="240"/>
        <v>1980</v>
      </c>
      <c r="AC291" s="328">
        <f t="shared" si="241"/>
        <v>8</v>
      </c>
      <c r="AD291" s="334">
        <f t="shared" si="245"/>
        <v>7920</v>
      </c>
      <c r="AE291" s="334">
        <f>$AB291*(1-INDEX(项目参数!$D$5:$D$14,MATCH(服务费底表!$S291,项目参数!$B$5:$B$14,0)))</f>
        <v>1980</v>
      </c>
      <c r="AF291" s="334">
        <f>$AD291*INDEX(项目参数!$D$5:$D$14,MATCH(服务费底表!$S291,项目参数!$B$5:$B$14,0))</f>
        <v>0</v>
      </c>
      <c r="AG291" s="334">
        <f t="shared" si="246"/>
        <v>7920</v>
      </c>
      <c r="AH291" s="328"/>
      <c r="AI291" s="328" t="s">
        <v>613</v>
      </c>
      <c r="AJ291" s="327">
        <v>2</v>
      </c>
      <c r="AK291" s="327">
        <f>AJ291*1.5</f>
        <v>3</v>
      </c>
      <c r="AL291" s="327">
        <v>1.5</v>
      </c>
      <c r="AM291" s="327">
        <v>2.5</v>
      </c>
      <c r="AN291" s="327">
        <f t="shared" si="257"/>
        <v>1.5</v>
      </c>
      <c r="AO291" s="327">
        <f t="shared" si="236"/>
        <v>1.5</v>
      </c>
      <c r="AP291" s="327">
        <v>2</v>
      </c>
      <c r="AQ291" s="327">
        <f t="shared" si="253"/>
        <v>3</v>
      </c>
      <c r="AR291" s="338"/>
      <c r="AS291" s="328">
        <f t="shared" si="254"/>
        <v>8</v>
      </c>
      <c r="AT291" s="328">
        <f t="shared" si="255"/>
        <v>8</v>
      </c>
      <c r="AU291" s="523">
        <v>2</v>
      </c>
      <c r="AV291" s="328"/>
      <c r="AW291" s="328"/>
      <c r="AX291" s="332">
        <v>2</v>
      </c>
      <c r="AY291" s="328" t="b">
        <f t="shared" si="256"/>
        <v>1</v>
      </c>
      <c r="AZ291" s="328" t="b">
        <f t="shared" si="235"/>
        <v>1</v>
      </c>
    </row>
    <row r="292" ht="27" customHeight="1" spans="1:52">
      <c r="A292" s="326" t="str">
        <f>INDEX('Rate Card'!$A:$A,MATCH(服务费底表!$T292,'Rate Card'!$F:$F,0))</f>
        <v>医学</v>
      </c>
      <c r="B292" s="327" t="str">
        <f>INDEX(二三级标准!$G:$G,MATCH(服务费底表!$K292,二三级标准!B:B,0))</f>
        <v>次</v>
      </c>
      <c r="C292" s="327">
        <f>INDEX(服务费明细!$E:$E,MATCH(服务费底表!$K292,服务费明细!$B:$B,0))</f>
        <v>0</v>
      </c>
      <c r="D292" s="327" t="str">
        <f t="shared" si="237"/>
        <v>A082MM</v>
      </c>
      <c r="E292" s="327" t="str">
        <f t="shared" si="238"/>
        <v>T0191MM</v>
      </c>
      <c r="F292" s="328"/>
      <c r="G292" s="328" t="s">
        <v>684</v>
      </c>
      <c r="H292" s="326" t="str">
        <f>INDEX('Rate Card'!$B:$B,MATCH(服务费底表!$T292,'Rate Card'!$F:$F,0))</f>
        <v>医学</v>
      </c>
      <c r="I292" s="328" t="s">
        <v>922</v>
      </c>
      <c r="J292" s="328" t="str">
        <f>INDEX(二三级标准!$Q:$Q,MATCH(服务费底表!I292,二三级标准!$O:$O,0))</f>
        <v>医学监查</v>
      </c>
      <c r="K292" s="328" t="s">
        <v>269</v>
      </c>
      <c r="L292" s="328" t="str">
        <f>INDEX(二三级标准!C:C,MATCH(服务费底表!K292,二三级标准!$B:$B,0))</f>
        <v>SAE报告医学审核</v>
      </c>
      <c r="M292" s="328" t="s">
        <v>1364</v>
      </c>
      <c r="N292" s="328" t="str">
        <f>INDEX(二三级标准!$M:$M,MATCH(服务费底表!$M292,二三级标准!$L:$L,0))</f>
        <v>SAE报告医学审核</v>
      </c>
      <c r="O292" s="328"/>
      <c r="P292" s="531">
        <f>IF(R292=1,INDEX(服务费明细!$E:$E,MATCH(服务费底表!$K292,服务费明细!$B:$B,0)),0)</f>
        <v>0</v>
      </c>
      <c r="Q292" s="328" t="s">
        <v>1281</v>
      </c>
      <c r="R292" s="520">
        <f>IF(AND(SAE报告医学审核YN=1,医学监查YN=1),1,0)</f>
        <v>0</v>
      </c>
      <c r="S292" s="521" t="str">
        <f>IF(AND(H292="医学",OR(I292=二三级标准!$A$4,I292=二三级标准!$A$153)),"医学撰写","医学监查")</f>
        <v>医学监查</v>
      </c>
      <c r="T292" s="328" t="s">
        <v>615</v>
      </c>
      <c r="U292" s="522" t="str">
        <f>INDEX('Rate Card'!$E:$E,MATCH(服务费底表!$T292,'Rate Card'!$F:$F,0))</f>
        <v>医学经理</v>
      </c>
      <c r="V292" s="331">
        <f>INDEX('Rate Card'!$J:$J,MATCH($T292,'Rate Card'!$F:$F,0))</f>
        <v>650</v>
      </c>
      <c r="W292" s="523">
        <f t="shared" si="251"/>
        <v>650</v>
      </c>
      <c r="X292" s="523">
        <f t="shared" si="252"/>
        <v>2</v>
      </c>
      <c r="Y292" s="327" cm="1">
        <f t="array" ref="Y292">_xlfn.IFS(报价场景=服务费底表!$AJ$2,服务费底表!$AJ292,报价场景=服务费底表!$AP$2,服务费底表!$AP292,报价场景=服务费底表!$AK$2,服务费底表!$AK292,报价场景=服务费底表!$AL$2,服务费底表!$AL292,报价场景=服务费底表!$AM$2,服务费底表!$AM292,报价场景=服务费底表!$AN$2,服务费底表!$AN292,报价场景=服务费底表!$AQ$2,服务费底表!$AQ292,报价场景=服务费底表!$AO$2,服务费底表!$AO292)</f>
        <v>2</v>
      </c>
      <c r="Z292" s="327"/>
      <c r="AA292" s="332">
        <f t="shared" si="239"/>
        <v>2</v>
      </c>
      <c r="AB292" s="333">
        <f t="shared" si="240"/>
        <v>0</v>
      </c>
      <c r="AC292" s="328">
        <f t="shared" si="241"/>
        <v>0</v>
      </c>
      <c r="AD292" s="334">
        <f t="shared" si="245"/>
        <v>0</v>
      </c>
      <c r="AE292" s="334">
        <f>$AB292*(1-INDEX(项目参数!$D$5:$D$14,MATCH(服务费底表!$S292,项目参数!$B$5:$B$14,0)))</f>
        <v>0</v>
      </c>
      <c r="AF292" s="334">
        <f>$AD292*INDEX(项目参数!$D$5:$D$14,MATCH(服务费底表!$S292,项目参数!$B$5:$B$14,0))</f>
        <v>0</v>
      </c>
      <c r="AG292" s="334">
        <f t="shared" si="246"/>
        <v>0</v>
      </c>
      <c r="AH292" s="328"/>
      <c r="AI292" s="328" t="s">
        <v>615</v>
      </c>
      <c r="AJ292" s="327">
        <v>2</v>
      </c>
      <c r="AK292" s="327">
        <f>AJ292*1.5</f>
        <v>3</v>
      </c>
      <c r="AL292" s="327">
        <v>1.5</v>
      </c>
      <c r="AM292" s="327">
        <v>2.5</v>
      </c>
      <c r="AN292" s="327">
        <f t="shared" si="257"/>
        <v>1.5</v>
      </c>
      <c r="AO292" s="327">
        <f t="shared" si="236"/>
        <v>1.5</v>
      </c>
      <c r="AP292" s="327">
        <v>2</v>
      </c>
      <c r="AQ292" s="327">
        <f t="shared" si="253"/>
        <v>3</v>
      </c>
      <c r="AR292" s="338"/>
      <c r="AS292" s="328">
        <f t="shared" si="254"/>
        <v>0</v>
      </c>
      <c r="AT292" s="328">
        <f t="shared" si="255"/>
        <v>0</v>
      </c>
      <c r="AU292" s="523">
        <v>2</v>
      </c>
      <c r="AV292" s="328"/>
      <c r="AW292" s="328"/>
      <c r="AX292" s="332">
        <v>2</v>
      </c>
      <c r="AY292" s="328" t="b">
        <f t="shared" si="256"/>
        <v>1</v>
      </c>
      <c r="AZ292" s="328" t="b">
        <f t="shared" si="235"/>
        <v>0</v>
      </c>
    </row>
    <row r="293" ht="27" customHeight="1" spans="1:52">
      <c r="A293" s="326" t="str">
        <f>INDEX('Rate Card'!$A:$A,MATCH(服务费底表!$T293,'Rate Card'!$F:$F,0))</f>
        <v>医学</v>
      </c>
      <c r="B293" s="327" t="str">
        <f>INDEX(二三级标准!$G:$G,MATCH(服务费底表!$K293,二三级标准!B:B,0))</f>
        <v>次</v>
      </c>
      <c r="C293" s="327">
        <f>INDEX(服务费明细!$E:$E,MATCH(服务费底表!$K293,服务费明细!$B:$B,0))</f>
        <v>0</v>
      </c>
      <c r="D293" s="327" t="str">
        <f t="shared" si="237"/>
        <v>A083MM</v>
      </c>
      <c r="E293" s="327" t="str">
        <f t="shared" si="238"/>
        <v>T0192MM</v>
      </c>
      <c r="F293" s="328"/>
      <c r="G293" s="328" t="s">
        <v>684</v>
      </c>
      <c r="H293" s="326" t="str">
        <f>INDEX('Rate Card'!$B:$B,MATCH(服务费底表!$T293,'Rate Card'!$F:$F,0))</f>
        <v>医学</v>
      </c>
      <c r="I293" s="328" t="s">
        <v>922</v>
      </c>
      <c r="J293" s="328" t="str">
        <f>INDEX(二三级标准!$Q:$Q,MATCH(服务费底表!I293,二三级标准!$O:$O,0))</f>
        <v>医学监查</v>
      </c>
      <c r="K293" s="328" t="s">
        <v>271</v>
      </c>
      <c r="L293" s="328" t="str">
        <f>INDEX(二三级标准!C:C,MATCH(服务费底表!K293,二三级标准!$B:$B,0))</f>
        <v>DSUR医学审核</v>
      </c>
      <c r="M293" s="328" t="s">
        <v>1365</v>
      </c>
      <c r="N293" s="328" t="str">
        <f>INDEX(二三级标准!$M:$M,MATCH(服务费底表!$M293,二三级标准!$L:$L,0))</f>
        <v>DSUR医学审核</v>
      </c>
      <c r="O293" s="328"/>
      <c r="P293" s="531">
        <f>IF(R293=1,INDEX(服务费明细!$E:$E,MATCH(服务费底表!$K293,服务费明细!$B:$B,0)),0)</f>
        <v>0</v>
      </c>
      <c r="Q293" s="328" t="s">
        <v>1178</v>
      </c>
      <c r="R293" s="520">
        <f>IF(AND(DSUR医学审核YN=1,医学监查YN=1),1,0)</f>
        <v>0</v>
      </c>
      <c r="S293" s="521" t="str">
        <f>IF(AND(H293="医学",OR(I293=二三级标准!$A$4,I293=二三级标准!$A$153)),"医学撰写","医学监查")</f>
        <v>医学监查</v>
      </c>
      <c r="T293" s="328" t="s">
        <v>615</v>
      </c>
      <c r="U293" s="522" t="str">
        <f>INDEX('Rate Card'!$E:$E,MATCH(服务费底表!$T293,'Rate Card'!$F:$F,0))</f>
        <v>医学经理</v>
      </c>
      <c r="V293" s="331">
        <f>INDEX('Rate Card'!$J:$J,MATCH($T293,'Rate Card'!$F:$F,0))</f>
        <v>650</v>
      </c>
      <c r="W293" s="523">
        <f t="shared" si="251"/>
        <v>650</v>
      </c>
      <c r="X293" s="523">
        <f t="shared" si="252"/>
        <v>24</v>
      </c>
      <c r="Y293" s="327" cm="1">
        <f t="array" ref="Y293">_xlfn.IFS(报价场景=服务费底表!$AJ$2,服务费底表!$AJ293,报价场景=服务费底表!$AP$2,服务费底表!$AP293,报价场景=服务费底表!$AK$2,服务费底表!$AK293,报价场景=服务费底表!$AL$2,服务费底表!$AL293,报价场景=服务费底表!$AM$2,服务费底表!$AM293,报价场景=服务费底表!$AN$2,服务费底表!$AN293,报价场景=服务费底表!$AQ$2,服务费底表!$AQ293,报价场景=服务费底表!$AO$2,服务费底表!$AO293)</f>
        <v>24</v>
      </c>
      <c r="Z293" s="327"/>
      <c r="AA293" s="332">
        <f t="shared" si="239"/>
        <v>24</v>
      </c>
      <c r="AB293" s="333">
        <f t="shared" si="240"/>
        <v>0</v>
      </c>
      <c r="AC293" s="328">
        <f t="shared" si="241"/>
        <v>0</v>
      </c>
      <c r="AD293" s="334">
        <f t="shared" si="245"/>
        <v>0</v>
      </c>
      <c r="AE293" s="334">
        <f>$AB293*(1-INDEX(项目参数!$D$5:$D$14,MATCH(服务费底表!$S293,项目参数!$B$5:$B$14,0)))</f>
        <v>0</v>
      </c>
      <c r="AF293" s="334">
        <f>$AD293*INDEX(项目参数!$D$5:$D$14,MATCH(服务费底表!$S293,项目参数!$B$5:$B$14,0))</f>
        <v>0</v>
      </c>
      <c r="AG293" s="334">
        <f t="shared" si="246"/>
        <v>0</v>
      </c>
      <c r="AH293" s="328"/>
      <c r="AI293" s="328" t="s">
        <v>615</v>
      </c>
      <c r="AJ293" s="327">
        <v>24</v>
      </c>
      <c r="AK293" s="327">
        <f>AJ293*1.5</f>
        <v>36</v>
      </c>
      <c r="AL293" s="327">
        <v>17</v>
      </c>
      <c r="AM293" s="327">
        <v>32</v>
      </c>
      <c r="AN293" s="327">
        <f t="shared" si="257"/>
        <v>17</v>
      </c>
      <c r="AO293" s="327">
        <f t="shared" si="236"/>
        <v>17</v>
      </c>
      <c r="AP293" s="327">
        <v>24</v>
      </c>
      <c r="AQ293" s="327">
        <f t="shared" si="253"/>
        <v>36</v>
      </c>
      <c r="AR293" s="338"/>
      <c r="AS293" s="328">
        <f t="shared" si="254"/>
        <v>0</v>
      </c>
      <c r="AT293" s="328">
        <f t="shared" si="255"/>
        <v>0</v>
      </c>
      <c r="AU293" s="523">
        <v>24</v>
      </c>
      <c r="AV293" s="328"/>
      <c r="AW293" s="328"/>
      <c r="AX293" s="332">
        <v>24</v>
      </c>
      <c r="AY293" s="328" t="b">
        <f t="shared" si="256"/>
        <v>1</v>
      </c>
      <c r="AZ293" s="328" t="b">
        <f t="shared" si="235"/>
        <v>1</v>
      </c>
    </row>
    <row r="294" ht="27" customHeight="1" spans="1:52">
      <c r="A294" s="326" t="str">
        <f>INDEX('Rate Card'!$A:$A,MATCH(服务费底表!$T294,'Rate Card'!$F:$F,0))</f>
        <v>医学</v>
      </c>
      <c r="B294" s="327" t="str">
        <f>INDEX(二三级标准!$G:$G,MATCH(服务费底表!$K294,二三级标准!B:B,0))</f>
        <v>份</v>
      </c>
      <c r="C294" s="327">
        <f>INDEX(服务费明细!$E:$E,MATCH(服务费底表!$K294,服务费明细!$B:$B,0))</f>
        <v>0</v>
      </c>
      <c r="D294" s="327" t="str">
        <f t="shared" si="237"/>
        <v>A338MM</v>
      </c>
      <c r="E294" s="327" t="str">
        <f t="shared" si="238"/>
        <v>T0899MM</v>
      </c>
      <c r="F294" s="328"/>
      <c r="G294" s="328" t="s">
        <v>684</v>
      </c>
      <c r="H294" s="326" t="str">
        <f>INDEX('Rate Card'!$B:$B,MATCH(服务费底表!$T294,'Rate Card'!$F:$F,0))</f>
        <v>医学</v>
      </c>
      <c r="I294" s="328" t="s">
        <v>922</v>
      </c>
      <c r="J294" s="328" t="str">
        <f>INDEX(二三级标准!$Q:$Q,MATCH(服务费底表!I294,二三级标准!$O:$O,0))</f>
        <v>医学监查</v>
      </c>
      <c r="K294" s="328" t="s">
        <v>1042</v>
      </c>
      <c r="L294" s="328" t="str">
        <f>INDEX(二三级标准!C:C,MATCH(服务费底表!K294,二三级标准!$B:$B,0))</f>
        <v>翻译服务</v>
      </c>
      <c r="M294" s="328" t="s">
        <v>1366</v>
      </c>
      <c r="N294" s="328" t="str">
        <f>INDEX(二三级标准!$M:$M,MATCH(服务费底表!$M294,二三级标准!$L:$L,0))</f>
        <v>翻译撰写</v>
      </c>
      <c r="O294" s="328"/>
      <c r="P294" s="531">
        <f>IF(R294=1,INDEX(服务费明细!$E:$E,MATCH(服务费底表!$K294,服务费明细!$B:$B,0)),0)</f>
        <v>0</v>
      </c>
      <c r="Q294" s="328" t="s">
        <v>1176</v>
      </c>
      <c r="R294" s="520">
        <f>IF(AND(翻译服务YN=1,医学监查YN=1),1,0)</f>
        <v>0</v>
      </c>
      <c r="S294" s="521" t="str">
        <f>IF(AND(H294="医学",OR(I294=二三级标准!$A$4,I294=二三级标准!$A$153)),"医学撰写","医学监查")</f>
        <v>医学监查</v>
      </c>
      <c r="T294" s="328" t="s">
        <v>615</v>
      </c>
      <c r="U294" s="522" t="str">
        <f>INDEX('Rate Card'!$E:$E,MATCH(服务费底表!$T294,'Rate Card'!$F:$F,0))</f>
        <v>医学经理</v>
      </c>
      <c r="V294" s="331">
        <f>INDEX('Rate Card'!$J:$J,MATCH($T294,'Rate Card'!$F:$F,0))</f>
        <v>650</v>
      </c>
      <c r="W294" s="523">
        <f t="shared" si="251"/>
        <v>650</v>
      </c>
      <c r="X294" s="523">
        <f t="shared" si="252"/>
        <v>154</v>
      </c>
      <c r="Y294" s="327" cm="1">
        <f t="array" ref="Y294">_xlfn.IFS(报价场景=服务费底表!$AJ$2,服务费底表!$AJ294,报价场景=服务费底表!$AP$2,服务费底表!$AP294,报价场景=服务费底表!$AK$2,服务费底表!$AK294,报价场景=服务费底表!$AL$2,服务费底表!$AL294,报价场景=服务费底表!$AM$2,服务费底表!$AM294,报价场景=服务费底表!$AN$2,服务费底表!$AN294,报价场景=服务费底表!$AQ$2,服务费底表!$AQ294,报价场景=服务费底表!$AO$2,服务费底表!$AO294)</f>
        <v>154</v>
      </c>
      <c r="Z294" s="327"/>
      <c r="AA294" s="332">
        <f t="shared" si="239"/>
        <v>154</v>
      </c>
      <c r="AB294" s="333">
        <f t="shared" si="240"/>
        <v>0</v>
      </c>
      <c r="AC294" s="328">
        <f t="shared" si="241"/>
        <v>0</v>
      </c>
      <c r="AD294" s="334">
        <f t="shared" si="245"/>
        <v>0</v>
      </c>
      <c r="AE294" s="334">
        <f>$AB294*(1-INDEX(项目参数!$D$5:$D$14,MATCH(服务费底表!$S294,项目参数!$B$5:$B$14,0)))</f>
        <v>0</v>
      </c>
      <c r="AF294" s="334">
        <f>$AD294*INDEX(项目参数!$D$5:$D$14,MATCH(服务费底表!$S294,项目参数!$B$5:$B$14,0))</f>
        <v>0</v>
      </c>
      <c r="AG294" s="334">
        <f t="shared" si="246"/>
        <v>0</v>
      </c>
      <c r="AH294" s="328"/>
      <c r="AI294" s="328" t="s">
        <v>615</v>
      </c>
      <c r="AJ294" s="327">
        <v>154</v>
      </c>
      <c r="AK294" s="327">
        <v>154</v>
      </c>
      <c r="AL294" s="327">
        <v>154</v>
      </c>
      <c r="AM294" s="327">
        <v>154</v>
      </c>
      <c r="AN294" s="327">
        <v>154</v>
      </c>
      <c r="AO294" s="327">
        <v>154</v>
      </c>
      <c r="AP294" s="327">
        <v>154</v>
      </c>
      <c r="AQ294" s="327">
        <f t="shared" si="253"/>
        <v>231</v>
      </c>
      <c r="AR294" s="338"/>
      <c r="AS294" s="328">
        <f t="shared" si="254"/>
        <v>0</v>
      </c>
      <c r="AT294" s="328">
        <f t="shared" si="255"/>
        <v>0</v>
      </c>
      <c r="AU294" s="523">
        <v>1.5</v>
      </c>
      <c r="AV294" s="328"/>
      <c r="AW294" s="328"/>
      <c r="AX294" s="332">
        <v>1.5</v>
      </c>
      <c r="AY294" s="328" t="b">
        <f t="shared" si="256"/>
        <v>0</v>
      </c>
      <c r="AZ294" s="328" t="b">
        <f t="shared" si="235"/>
        <v>0</v>
      </c>
    </row>
    <row r="295" ht="27" customHeight="1" spans="1:52">
      <c r="A295" s="326" t="str">
        <f>INDEX('Rate Card'!$A:$A,MATCH(服务费底表!$T295,'Rate Card'!$F:$F,0))</f>
        <v>医学</v>
      </c>
      <c r="B295" s="327" t="str">
        <f>INDEX(二三级标准!$G:$G,MATCH(服务费底表!$K295,二三级标准!B:B,0))</f>
        <v>月</v>
      </c>
      <c r="C295" s="327">
        <f>INDEX(服务费明细!$E:$E,MATCH(服务费底表!$K295,服务费明细!$B:$B,0))</f>
        <v>14</v>
      </c>
      <c r="D295" s="327" t="str">
        <f t="shared" si="237"/>
        <v>A084MM</v>
      </c>
      <c r="E295" s="327" t="str">
        <f t="shared" si="238"/>
        <v>T0193MM</v>
      </c>
      <c r="F295" s="328"/>
      <c r="G295" s="328" t="s">
        <v>684</v>
      </c>
      <c r="H295" s="326" t="str">
        <f>INDEX('Rate Card'!$B:$B,MATCH(服务费底表!$T295,'Rate Card'!$F:$F,0))</f>
        <v>医学</v>
      </c>
      <c r="I295" s="328" t="s">
        <v>922</v>
      </c>
      <c r="J295" s="328" t="str">
        <f>INDEX(二三级标准!$Q:$Q,MATCH(服务费底表!I295,二三级标准!$O:$O,0))</f>
        <v>医学监查</v>
      </c>
      <c r="K295" s="328" t="s">
        <v>273</v>
      </c>
      <c r="L295" s="328" t="str">
        <f>INDEX(二三级标准!C:C,MATCH(服务费底表!K295,二三级标准!$B:$B,0))</f>
        <v>医学项目管理</v>
      </c>
      <c r="M295" s="328" t="s">
        <v>1367</v>
      </c>
      <c r="N295" s="328" t="str">
        <f>INDEX(二三级标准!$M:$M,MATCH(服务费底表!$M295,二三级标准!$L:$L,0))</f>
        <v>医学监查日常沟通和文件管理</v>
      </c>
      <c r="O295" s="328"/>
      <c r="P295" s="531">
        <f>IF(R295=1,INDEX(服务费明细!$E:$E,MATCH(服务费底表!$K295,服务费明细!$B:$B,0)),0)-P296</f>
        <v>14</v>
      </c>
      <c r="Q295" s="328" t="s">
        <v>1220</v>
      </c>
      <c r="R295" s="520">
        <f>IF(AND(医学项目管理YN=1,医学监查YN=1),1,0)</f>
        <v>1</v>
      </c>
      <c r="S295" s="521" t="str">
        <f>IF(AND(H295="医学",OR(I295=二三级标准!$A$4,I295=二三级标准!$A$153)),"医学撰写","医学监查")</f>
        <v>医学监查</v>
      </c>
      <c r="T295" s="328" t="s">
        <v>615</v>
      </c>
      <c r="U295" s="522" t="str">
        <f>INDEX('Rate Card'!$E:$E,MATCH(服务费底表!$T295,'Rate Card'!$F:$F,0))</f>
        <v>医学经理</v>
      </c>
      <c r="V295" s="331">
        <f>INDEX('Rate Card'!$J:$J,MATCH($T295,'Rate Card'!$F:$F,0))</f>
        <v>650</v>
      </c>
      <c r="W295" s="523">
        <f t="shared" si="251"/>
        <v>650</v>
      </c>
      <c r="X295" s="523">
        <f t="shared" si="252"/>
        <v>1.5</v>
      </c>
      <c r="Y295" s="327" cm="1">
        <f t="array" ref="Y295">_xlfn.IFS(报价场景=服务费底表!$AJ$2,服务费底表!$AJ295,报价场景=服务费底表!$AP$2,服务费底表!$AP295,报价场景=服务费底表!$AK$2,服务费底表!$AK295,报价场景=服务费底表!$AL$2,服务费底表!$AL295,报价场景=服务费底表!$AM$2,服务费底表!$AM295,报价场景=服务费底表!$AN$2,服务费底表!$AN295,报价场景=服务费底表!$AQ$2,服务费底表!$AQ295,报价场景=服务费底表!$AO$2,服务费底表!$AO295)</f>
        <v>1.5</v>
      </c>
      <c r="Z295" s="327"/>
      <c r="AA295" s="332">
        <f t="shared" si="239"/>
        <v>1.5</v>
      </c>
      <c r="AB295" s="333">
        <f t="shared" si="240"/>
        <v>975</v>
      </c>
      <c r="AC295" s="328">
        <f t="shared" si="241"/>
        <v>21</v>
      </c>
      <c r="AD295" s="334">
        <f t="shared" si="245"/>
        <v>13650</v>
      </c>
      <c r="AE295" s="334">
        <f>$AB295*(1-INDEX(项目参数!$D$5:$D$14,MATCH(服务费底表!$S295,项目参数!$B$5:$B$14,0)))</f>
        <v>975</v>
      </c>
      <c r="AF295" s="334">
        <f>$AD295*INDEX(项目参数!$D$5:$D$14,MATCH(服务费底表!$S295,项目参数!$B$5:$B$14,0))</f>
        <v>0</v>
      </c>
      <c r="AG295" s="334">
        <f t="shared" si="246"/>
        <v>13650</v>
      </c>
      <c r="AH295" s="328"/>
      <c r="AI295" s="328" t="s">
        <v>615</v>
      </c>
      <c r="AJ295" s="327">
        <v>1.5</v>
      </c>
      <c r="AK295" s="327">
        <v>2</v>
      </c>
      <c r="AL295" s="327">
        <v>1</v>
      </c>
      <c r="AM295" s="327">
        <v>1.5</v>
      </c>
      <c r="AN295" s="327">
        <f>AL295</f>
        <v>1</v>
      </c>
      <c r="AO295" s="327">
        <f t="shared" ref="AO295:AO301" si="258">AL295</f>
        <v>1</v>
      </c>
      <c r="AP295" s="327">
        <v>1.5</v>
      </c>
      <c r="AQ295" s="327">
        <f t="shared" si="253"/>
        <v>2.25</v>
      </c>
      <c r="AR295" s="338"/>
      <c r="AS295" s="328">
        <f t="shared" si="254"/>
        <v>21</v>
      </c>
      <c r="AT295" s="328">
        <f t="shared" si="255"/>
        <v>21</v>
      </c>
      <c r="AU295" s="523">
        <v>1.5</v>
      </c>
      <c r="AV295" s="328"/>
      <c r="AW295" s="328"/>
      <c r="AX295" s="332">
        <v>1.5</v>
      </c>
      <c r="AY295" s="328" t="b">
        <f t="shared" si="256"/>
        <v>1</v>
      </c>
      <c r="AZ295" s="328" t="b">
        <f t="shared" si="235"/>
        <v>1</v>
      </c>
    </row>
    <row r="296" ht="27" customHeight="1" spans="1:52">
      <c r="A296" s="326" t="str">
        <f>INDEX('Rate Card'!$A:$A,MATCH(服务费底表!$T296,'Rate Card'!$F:$F,0))</f>
        <v>医学</v>
      </c>
      <c r="B296" s="327" t="str">
        <f>INDEX(二三级标准!$G:$G,MATCH(服务费底表!$K296,二三级标准!B:B,0))</f>
        <v>月</v>
      </c>
      <c r="C296" s="327">
        <f>INDEX(服务费明细!$E:$E,MATCH(服务费底表!$K296,服务费明细!$B:$B,0))</f>
        <v>14</v>
      </c>
      <c r="D296" s="327" t="str">
        <f t="shared" si="237"/>
        <v>A084MM</v>
      </c>
      <c r="E296" s="327" t="str">
        <f t="shared" si="238"/>
        <v>T0194MM</v>
      </c>
      <c r="F296" s="328"/>
      <c r="G296" s="328" t="s">
        <v>684</v>
      </c>
      <c r="H296" s="326" t="str">
        <f>INDEX('Rate Card'!$B:$B,MATCH(服务费底表!$T296,'Rate Card'!$F:$F,0))</f>
        <v>医学</v>
      </c>
      <c r="I296" s="328" t="s">
        <v>922</v>
      </c>
      <c r="J296" s="328" t="str">
        <f>INDEX(二三级标准!$Q:$Q,MATCH(服务费底表!I296,二三级标准!$O:$O,0))</f>
        <v>医学监查</v>
      </c>
      <c r="K296" s="328" t="s">
        <v>273</v>
      </c>
      <c r="L296" s="328" t="str">
        <f>INDEX(二三级标准!C:C,MATCH(服务费底表!K296,二三级标准!$B:$B,0))</f>
        <v>医学项目管理</v>
      </c>
      <c r="M296" s="328" t="s">
        <v>1368</v>
      </c>
      <c r="N296" s="328" t="str">
        <f>INDEX(二三级标准!$M:$M,MATCH(服务费底表!$M296,二三级标准!$L:$L,0))</f>
        <v>医学监查日常沟通和文件管理-长随访期</v>
      </c>
      <c r="O296" s="328"/>
      <c r="P296" s="531">
        <f>IF(R296=1,项目时间计划!G14,0)</f>
        <v>0</v>
      </c>
      <c r="Q296" s="328" t="s">
        <v>1220</v>
      </c>
      <c r="R296" s="520">
        <v>0</v>
      </c>
      <c r="S296" s="521" t="str">
        <f>IF(AND(H296="医学",OR(I296=二三级标准!$A$4,I296=二三级标准!$A$153)),"医学撰写","医学监查")</f>
        <v>医学监查</v>
      </c>
      <c r="T296" s="328" t="s">
        <v>615</v>
      </c>
      <c r="U296" s="522" t="str">
        <f>INDEX('Rate Card'!$E:$E,MATCH(服务费底表!$T296,'Rate Card'!$F:$F,0))</f>
        <v>医学经理</v>
      </c>
      <c r="V296" s="331">
        <f>INDEX('Rate Card'!$J:$J,MATCH($T296,'Rate Card'!$F:$F,0))</f>
        <v>650</v>
      </c>
      <c r="W296" s="523">
        <f t="shared" si="251"/>
        <v>650</v>
      </c>
      <c r="X296" s="523">
        <f t="shared" si="252"/>
        <v>1</v>
      </c>
      <c r="Y296" s="327" cm="1">
        <f t="array" ref="Y296">_xlfn.IFS(报价场景=服务费底表!$AJ$2,服务费底表!$AJ296,报价场景=服务费底表!$AP$2,服务费底表!$AP296,报价场景=服务费底表!$AK$2,服务费底表!$AK296,报价场景=服务费底表!$AL$2,服务费底表!$AL296,报价场景=服务费底表!$AM$2,服务费底表!$AM296,报价场景=服务费底表!$AN$2,服务费底表!$AN296,报价场景=服务费底表!$AQ$2,服务费底表!$AQ296,报价场景=服务费底表!$AO$2,服务费底表!$AO296)</f>
        <v>1</v>
      </c>
      <c r="Z296" s="327"/>
      <c r="AA296" s="332">
        <f t="shared" si="239"/>
        <v>1</v>
      </c>
      <c r="AB296" s="333">
        <f t="shared" si="240"/>
        <v>0</v>
      </c>
      <c r="AC296" s="328">
        <f t="shared" si="241"/>
        <v>0</v>
      </c>
      <c r="AD296" s="334">
        <f t="shared" si="245"/>
        <v>0</v>
      </c>
      <c r="AE296" s="334">
        <f>$AB296*(1-INDEX(项目参数!$D$5:$D$14,MATCH(服务费底表!$S296,项目参数!$B$5:$B$14,0)))</f>
        <v>0</v>
      </c>
      <c r="AF296" s="334">
        <f>$AD296*INDEX(项目参数!$D$5:$D$14,MATCH(服务费底表!$S296,项目参数!$B$5:$B$14,0))</f>
        <v>0</v>
      </c>
      <c r="AG296" s="334">
        <f t="shared" si="246"/>
        <v>0</v>
      </c>
      <c r="AH296" s="328"/>
      <c r="AI296" s="328" t="s">
        <v>615</v>
      </c>
      <c r="AJ296" s="327">
        <v>1</v>
      </c>
      <c r="AK296" s="327">
        <f>AJ296*1.5</f>
        <v>1.5</v>
      </c>
      <c r="AL296" s="327">
        <v>0.5</v>
      </c>
      <c r="AM296" s="327">
        <v>1.3</v>
      </c>
      <c r="AN296" s="327">
        <f>AL296</f>
        <v>0.5</v>
      </c>
      <c r="AO296" s="327">
        <f t="shared" si="258"/>
        <v>0.5</v>
      </c>
      <c r="AP296" s="327">
        <v>1</v>
      </c>
      <c r="AQ296" s="327">
        <f t="shared" si="253"/>
        <v>1.5</v>
      </c>
      <c r="AR296" s="338"/>
      <c r="AS296" s="328">
        <f t="shared" si="254"/>
        <v>0</v>
      </c>
      <c r="AT296" s="328">
        <f t="shared" si="255"/>
        <v>0</v>
      </c>
      <c r="AU296" s="523">
        <v>1</v>
      </c>
      <c r="AV296" s="328"/>
      <c r="AW296" s="328"/>
      <c r="AX296" s="332">
        <v>1</v>
      </c>
      <c r="AY296" s="328" t="b">
        <f t="shared" si="256"/>
        <v>1</v>
      </c>
      <c r="AZ296" s="328" t="b">
        <f t="shared" si="235"/>
        <v>1</v>
      </c>
    </row>
    <row r="297" ht="27" customHeight="1" spans="1:52">
      <c r="A297" s="326" t="str">
        <f>INDEX('Rate Card'!$A:$A,MATCH(服务费底表!$T297,'Rate Card'!$F:$F,0))</f>
        <v>数统</v>
      </c>
      <c r="B297" s="327" t="str">
        <f>INDEX(二三级标准!$G:$G,MATCH(服务费底表!$K297,二三级标准!B:B,0))</f>
        <v>份</v>
      </c>
      <c r="C297" s="327">
        <f>INDEX(服务费明细!$E:$E,MATCH(服务费底表!$K297,服务费明细!$B:$B,0))</f>
        <v>1</v>
      </c>
      <c r="D297" s="327" t="str">
        <f t="shared" ref="D297:D302" si="259">K297&amp;T297</f>
        <v>A249DM</v>
      </c>
      <c r="E297" s="327" t="str">
        <f t="shared" ref="E297:E302" si="260">M297&amp;T297</f>
        <v>T0712DM</v>
      </c>
      <c r="F297" s="328"/>
      <c r="G297" s="328" t="s">
        <v>684</v>
      </c>
      <c r="H297" s="326" t="str">
        <f>INDEX('Rate Card'!$B:$B,MATCH(服务费底表!$T297,'Rate Card'!$F:$F,0))</f>
        <v>数据管理</v>
      </c>
      <c r="I297" s="328" t="s">
        <v>923</v>
      </c>
      <c r="J297" s="328" t="str">
        <f>INDEX(二三级标准!$Q:$Q,MATCH(服务费底表!I297,二三级标准!$O:$O,0))</f>
        <v>数据管理</v>
      </c>
      <c r="K297" s="328" t="s">
        <v>1045</v>
      </c>
      <c r="L297" s="328" t="str">
        <f>INDEX(二三级标准!C:C,MATCH(服务费底表!K297,二三级标准!$B:$B,0))</f>
        <v>撰写DMP</v>
      </c>
      <c r="M297" s="328" t="s">
        <v>1369</v>
      </c>
      <c r="N297" s="328" t="str">
        <f>INDEX(二三级标准!$M:$M,MATCH(服务费底表!$M297,二三级标准!$L:$L,0))</f>
        <v>DMP起草与定稿</v>
      </c>
      <c r="O297" s="328"/>
      <c r="P297" s="531">
        <f>IF(R297=1,INDEX(服务费明细!$E:$E,MATCH(服务费底表!$K297,服务费明细!$B:$B,0)),0)</f>
        <v>1</v>
      </c>
      <c r="Q297" s="328" t="s">
        <v>1176</v>
      </c>
      <c r="R297" s="520">
        <f>IF(AND(撰写数据管理文档YN=1,数据管理YN=1),1,0)</f>
        <v>1</v>
      </c>
      <c r="S297" s="524" t="str">
        <f>INDEX('Rate Card'!$D:$D,MATCH(服务费底表!$T297,'Rate Card'!F:F,0))</f>
        <v>数据管理</v>
      </c>
      <c r="T297" s="328" t="s">
        <v>631</v>
      </c>
      <c r="U297" s="522" t="str">
        <f>INDEX('Rate Card'!$E:$E,MATCH(服务费底表!$T297,'Rate Card'!$F:$F,0))</f>
        <v>数据管理专员</v>
      </c>
      <c r="V297" s="331">
        <f>INDEX('Rate Card'!$J:$J,MATCH($T297,'Rate Card'!$F:$F,0))</f>
        <v>200</v>
      </c>
      <c r="W297" s="523">
        <f t="shared" ref="W297:W302" si="261">V297*(1-$W$1)</f>
        <v>200</v>
      </c>
      <c r="X297" s="523">
        <f t="shared" ref="X297:X302" si="262">Y297*$X$1</f>
        <v>5</v>
      </c>
      <c r="Y297" s="327" cm="1">
        <f t="array" ref="Y297">_xlfn.IFS(报价场景=服务费底表!$AJ$2,服务费底表!$AJ297,报价场景=服务费底表!$AP$2,服务费底表!$AP297,报价场景=服务费底表!$AK$2,服务费底表!$AK297,报价场景=服务费底表!$AL$2,服务费底表!$AL297,报价场景=服务费底表!$AM$2,服务费底表!$AM297,报价场景=服务费底表!$AN$2,服务费底表!$AN297,报价场景=服务费底表!$AQ$2,服务费底表!$AQ297,报价场景=服务费底表!$AO$2,服务费底表!$AO297)</f>
        <v>5</v>
      </c>
      <c r="Z297" s="327"/>
      <c r="AA297" s="332">
        <f t="shared" ref="AA297:AA302" si="263">IF(ISBLANK($Z297),$Y297,$Z297)</f>
        <v>5</v>
      </c>
      <c r="AB297" s="333">
        <f t="shared" ref="AB297:AB302" si="264">IFERROR(AD297/P297,0)</f>
        <v>1000</v>
      </c>
      <c r="AC297" s="328">
        <f t="shared" ref="AC297:AC302" si="265">AA297*P297*R297</f>
        <v>5</v>
      </c>
      <c r="AD297" s="334">
        <f t="shared" ref="AD297:AD302" si="266">AC297*V297</f>
        <v>1000</v>
      </c>
      <c r="AE297" s="334">
        <f>$AB297*(1-INDEX(项目参数!$D$5:$D$14,MATCH(服务费底表!$S297,项目参数!$B$5:$B$14,0)))</f>
        <v>1000</v>
      </c>
      <c r="AF297" s="334">
        <f>$AD297*INDEX(项目参数!$D$5:$D$14,MATCH(服务费底表!$S297,项目参数!$B$5:$B$14,0))</f>
        <v>0</v>
      </c>
      <c r="AG297" s="334">
        <f t="shared" ref="AG297:AG302" si="267">AD297-AF297</f>
        <v>1000</v>
      </c>
      <c r="AH297" s="328"/>
      <c r="AI297" s="328" t="s">
        <v>631</v>
      </c>
      <c r="AJ297" s="327">
        <v>5</v>
      </c>
      <c r="AK297" s="327">
        <v>8</v>
      </c>
      <c r="AL297" s="327">
        <v>4</v>
      </c>
      <c r="AM297" s="327">
        <v>8</v>
      </c>
      <c r="AN297" s="327">
        <v>5</v>
      </c>
      <c r="AO297" s="327">
        <f t="shared" si="258"/>
        <v>4</v>
      </c>
      <c r="AP297" s="327">
        <v>2</v>
      </c>
      <c r="AQ297" s="327">
        <f t="shared" ref="AQ297:AQ302" si="268">AJ297*$AQ$1</f>
        <v>7.5</v>
      </c>
      <c r="AR297" s="338"/>
      <c r="AS297" s="328">
        <f t="shared" si="254"/>
        <v>5</v>
      </c>
      <c r="AT297" s="328">
        <f t="shared" si="255"/>
        <v>5</v>
      </c>
      <c r="AU297" s="523">
        <v>5</v>
      </c>
      <c r="AV297" s="328"/>
      <c r="AW297" s="328"/>
      <c r="AX297" s="332">
        <v>5</v>
      </c>
      <c r="AY297" s="328" t="b">
        <f t="shared" si="256"/>
        <v>1</v>
      </c>
      <c r="AZ297" s="328" t="b">
        <f t="shared" si="235"/>
        <v>0</v>
      </c>
    </row>
    <row r="298" ht="27" customHeight="1" spans="1:52">
      <c r="A298" s="326" t="str">
        <f>INDEX('Rate Card'!$A:$A,MATCH(服务费底表!$T298,'Rate Card'!$F:$F,0))</f>
        <v>数统</v>
      </c>
      <c r="B298" s="327" t="str">
        <f>INDEX(二三级标准!$G:$G,MATCH(服务费底表!$K298,二三级标准!B:B,0))</f>
        <v>份</v>
      </c>
      <c r="C298" s="327">
        <f>INDEX(服务费明细!$E:$E,MATCH(服务费底表!$K298,服务费明细!$B:$B,0))</f>
        <v>1</v>
      </c>
      <c r="D298" s="327" t="str">
        <f t="shared" si="259"/>
        <v>A249LDM</v>
      </c>
      <c r="E298" s="327" t="str">
        <f t="shared" si="260"/>
        <v>T0713LDM</v>
      </c>
      <c r="F298" s="328"/>
      <c r="G298" s="328" t="s">
        <v>684</v>
      </c>
      <c r="H298" s="326" t="str">
        <f>INDEX('Rate Card'!$B:$B,MATCH(服务费底表!$T298,'Rate Card'!$F:$F,0))</f>
        <v>数据管理</v>
      </c>
      <c r="I298" s="328" t="s">
        <v>923</v>
      </c>
      <c r="J298" s="328" t="str">
        <f>INDEX(二三级标准!$Q:$Q,MATCH(服务费底表!I298,二三级标准!$O:$O,0))</f>
        <v>数据管理</v>
      </c>
      <c r="K298" s="328" t="s">
        <v>1045</v>
      </c>
      <c r="L298" s="328" t="str">
        <f>INDEX(二三级标准!C:C,MATCH(服务费底表!K298,二三级标准!$B:$B,0))</f>
        <v>撰写DMP</v>
      </c>
      <c r="M298" s="328" t="s">
        <v>1370</v>
      </c>
      <c r="N298" s="328" t="str">
        <f>INDEX(二三级标准!$M:$M,MATCH(服务费底表!$M298,二三级标准!$L:$L,0))</f>
        <v>DMP审核</v>
      </c>
      <c r="O298" s="328"/>
      <c r="P298" s="531">
        <f>IF(R298=1,INDEX(服务费明细!$E:$E,MATCH(服务费底表!$K298,服务费明细!$B:$B,0)),0)</f>
        <v>1</v>
      </c>
      <c r="Q298" s="328" t="s">
        <v>1176</v>
      </c>
      <c r="R298" s="520">
        <f>IF(AND(撰写数据管理文档YN=1,数据管理YN=1),1,0)</f>
        <v>1</v>
      </c>
      <c r="S298" s="524" t="str">
        <f>INDEX('Rate Card'!$D:$D,MATCH(服务费底表!$T298,'Rate Card'!F:F,0))</f>
        <v>数据管理</v>
      </c>
      <c r="T298" s="328" t="s">
        <v>633</v>
      </c>
      <c r="U298" s="522" t="str">
        <f>INDEX('Rate Card'!$E:$E,MATCH(服务费底表!$T298,'Rate Card'!$F:$F,0))</f>
        <v>数据管理经理</v>
      </c>
      <c r="V298" s="331">
        <f>INDEX('Rate Card'!$J:$J,MATCH($T298,'Rate Card'!$F:$F,0))</f>
        <v>360</v>
      </c>
      <c r="W298" s="523">
        <f t="shared" si="261"/>
        <v>360</v>
      </c>
      <c r="X298" s="523">
        <f t="shared" si="262"/>
        <v>2</v>
      </c>
      <c r="Y298" s="327" cm="1">
        <f t="array" ref="Y298">_xlfn.IFS(报价场景=服务费底表!$AJ$2,服务费底表!$AJ298,报价场景=服务费底表!$AP$2,服务费底表!$AP298,报价场景=服务费底表!$AK$2,服务费底表!$AK298,报价场景=服务费底表!$AL$2,服务费底表!$AL298,报价场景=服务费底表!$AM$2,服务费底表!$AM298,报价场景=服务费底表!$AN$2,服务费底表!$AN298,报价场景=服务费底表!$AQ$2,服务费底表!$AQ298,报价场景=服务费底表!$AO$2,服务费底表!$AO298)</f>
        <v>2</v>
      </c>
      <c r="Z298" s="327"/>
      <c r="AA298" s="332">
        <f t="shared" si="263"/>
        <v>2</v>
      </c>
      <c r="AB298" s="333">
        <f t="shared" si="264"/>
        <v>720</v>
      </c>
      <c r="AC298" s="328">
        <f t="shared" si="265"/>
        <v>2</v>
      </c>
      <c r="AD298" s="334">
        <f t="shared" si="266"/>
        <v>720</v>
      </c>
      <c r="AE298" s="334">
        <f>$AB298*(1-INDEX(项目参数!$D$5:$D$14,MATCH(服务费底表!$S298,项目参数!$B$5:$B$14,0)))</f>
        <v>720</v>
      </c>
      <c r="AF298" s="334">
        <f>$AD298*INDEX(项目参数!$D$5:$D$14,MATCH(服务费底表!$S298,项目参数!$B$5:$B$14,0))</f>
        <v>0</v>
      </c>
      <c r="AG298" s="334">
        <f t="shared" si="267"/>
        <v>720</v>
      </c>
      <c r="AH298" s="328"/>
      <c r="AI298" s="328" t="s">
        <v>633</v>
      </c>
      <c r="AJ298" s="327">
        <v>2</v>
      </c>
      <c r="AK298" s="327">
        <v>2</v>
      </c>
      <c r="AL298" s="327">
        <v>2</v>
      </c>
      <c r="AM298" s="327">
        <v>2</v>
      </c>
      <c r="AN298" s="327">
        <v>2</v>
      </c>
      <c r="AO298" s="327">
        <f t="shared" si="258"/>
        <v>2</v>
      </c>
      <c r="AP298" s="327">
        <v>1</v>
      </c>
      <c r="AQ298" s="327">
        <f t="shared" si="268"/>
        <v>3</v>
      </c>
      <c r="AR298" s="338"/>
      <c r="AS298" s="328">
        <f t="shared" si="254"/>
        <v>2</v>
      </c>
      <c r="AT298" s="328">
        <f t="shared" si="255"/>
        <v>2</v>
      </c>
      <c r="AU298" s="523">
        <v>2</v>
      </c>
      <c r="AV298" s="328"/>
      <c r="AW298" s="328"/>
      <c r="AX298" s="332">
        <v>2</v>
      </c>
      <c r="AY298" s="328" t="b">
        <f t="shared" si="256"/>
        <v>1</v>
      </c>
      <c r="AZ298" s="328" t="b">
        <f t="shared" si="235"/>
        <v>0</v>
      </c>
    </row>
    <row r="299" ht="27" customHeight="1" spans="1:52">
      <c r="A299" s="326" t="str">
        <f>INDEX('Rate Card'!$A:$A,MATCH(服务费底表!$T299,'Rate Card'!$F:$F,0))</f>
        <v>临床运营</v>
      </c>
      <c r="B299" s="327" t="str">
        <f>INDEX(二三级标准!$G:$G,MATCH(服务费底表!$K299,二三级标准!B:B,0))</f>
        <v>份</v>
      </c>
      <c r="C299" s="327">
        <f>INDEX(服务费明细!$E:$E,MATCH(服务费底表!$K299,服务费明细!$B:$B,0))</f>
        <v>1</v>
      </c>
      <c r="D299" s="327" t="str">
        <f t="shared" si="259"/>
        <v>A249PM</v>
      </c>
      <c r="E299" s="327" t="str">
        <f t="shared" si="260"/>
        <v>T0713PM</v>
      </c>
      <c r="F299" s="328"/>
      <c r="G299" s="328" t="s">
        <v>684</v>
      </c>
      <c r="H299" s="326" t="str">
        <f>INDEX('Rate Card'!$B:$B,MATCH(服务费底表!$T299,'Rate Card'!$F:$F,0))</f>
        <v>临床运营</v>
      </c>
      <c r="I299" s="328" t="s">
        <v>923</v>
      </c>
      <c r="J299" s="328" t="str">
        <f>INDEX(二三级标准!$Q:$Q,MATCH(服务费底表!I299,二三级标准!$O:$O,0))</f>
        <v>数据管理</v>
      </c>
      <c r="K299" s="328" t="s">
        <v>1045</v>
      </c>
      <c r="L299" s="328" t="str">
        <f>INDEX(二三级标准!C:C,MATCH(服务费底表!K299,二三级标准!$B:$B,0))</f>
        <v>撰写DMP</v>
      </c>
      <c r="M299" s="328" t="s">
        <v>1370</v>
      </c>
      <c r="N299" s="328" t="str">
        <f>INDEX(二三级标准!$M:$M,MATCH(服务费底表!$M299,二三级标准!$L:$L,0))</f>
        <v>DMP审核</v>
      </c>
      <c r="O299" s="328"/>
      <c r="P299" s="531">
        <f>IF(R299=1,INDEX(服务费明细!$E:$E,MATCH(服务费底表!$K299,服务费明细!$B:$B,0)),0)</f>
        <v>1</v>
      </c>
      <c r="Q299" s="328" t="s">
        <v>1176</v>
      </c>
      <c r="R299" s="520">
        <f>IF(AND(撰写数据管理文档YN=1,项目管理YN=1),1,0)</f>
        <v>1</v>
      </c>
      <c r="S299" s="525" t="str">
        <f>INDEX('Rate Card'!$D:$D,MATCH(服务费底表!$T299,'Rate Card'!F:F,0))</f>
        <v>项目管理</v>
      </c>
      <c r="T299" s="328" t="s">
        <v>599</v>
      </c>
      <c r="U299" s="522" t="str">
        <f>INDEX('Rate Card'!$E:$E,MATCH(服务费底表!$T299,'Rate Card'!$F:$F,0))</f>
        <v>临床项目经理</v>
      </c>
      <c r="V299" s="331">
        <f>INDEX('Rate Card'!$J:$J,MATCH($T299,'Rate Card'!$F:$F,0))</f>
        <v>650</v>
      </c>
      <c r="W299" s="523">
        <f t="shared" si="261"/>
        <v>650</v>
      </c>
      <c r="X299" s="523">
        <f t="shared" si="262"/>
        <v>1</v>
      </c>
      <c r="Y299" s="327" cm="1">
        <f t="array" ref="Y299">_xlfn.IFS(报价场景=服务费底表!$AJ$2,服务费底表!$AJ299,报价场景=服务费底表!$AP$2,服务费底表!$AP299,报价场景=服务费底表!$AK$2,服务费底表!$AK299,报价场景=服务费底表!$AL$2,服务费底表!$AL299,报价场景=服务费底表!$AM$2,服务费底表!$AM299,报价场景=服务费底表!$AN$2,服务费底表!$AN299,报价场景=服务费底表!$AQ$2,服务费底表!$AQ299,报价场景=服务费底表!$AO$2,服务费底表!$AO299)</f>
        <v>1</v>
      </c>
      <c r="Z299" s="327"/>
      <c r="AA299" s="332">
        <f t="shared" si="263"/>
        <v>1</v>
      </c>
      <c r="AB299" s="333">
        <f t="shared" si="264"/>
        <v>650</v>
      </c>
      <c r="AC299" s="328">
        <f t="shared" si="265"/>
        <v>1</v>
      </c>
      <c r="AD299" s="334">
        <f t="shared" si="266"/>
        <v>650</v>
      </c>
      <c r="AE299" s="334">
        <f>$AB299*(1-INDEX(项目参数!$D$5:$D$14,MATCH(服务费底表!$S299,项目参数!$B$5:$B$14,0)))</f>
        <v>650</v>
      </c>
      <c r="AF299" s="334">
        <f>$AD299*INDEX(项目参数!$D$5:$D$14,MATCH(服务费底表!$S299,项目参数!$B$5:$B$14,0))</f>
        <v>0</v>
      </c>
      <c r="AG299" s="334">
        <f t="shared" si="267"/>
        <v>650</v>
      </c>
      <c r="AH299" s="328"/>
      <c r="AI299" s="328" t="s">
        <v>599</v>
      </c>
      <c r="AJ299" s="327">
        <v>1</v>
      </c>
      <c r="AK299" s="327">
        <f t="shared" ref="AK299:AK302" si="269">AJ299*1.5</f>
        <v>1.5</v>
      </c>
      <c r="AL299" s="327">
        <f>AM299</f>
        <v>0.8</v>
      </c>
      <c r="AM299" s="327">
        <v>0.8</v>
      </c>
      <c r="AN299" s="327">
        <f>AJ299</f>
        <v>1</v>
      </c>
      <c r="AO299" s="327">
        <f t="shared" si="258"/>
        <v>0.8</v>
      </c>
      <c r="AP299" s="327">
        <v>1</v>
      </c>
      <c r="AQ299" s="327">
        <f t="shared" si="268"/>
        <v>1.5</v>
      </c>
      <c r="AR299" s="338"/>
      <c r="AS299" s="328">
        <f t="shared" si="254"/>
        <v>1</v>
      </c>
      <c r="AT299" s="328">
        <f t="shared" si="255"/>
        <v>1</v>
      </c>
      <c r="AU299" s="523">
        <v>1</v>
      </c>
      <c r="AV299" s="328"/>
      <c r="AW299" s="328"/>
      <c r="AX299" s="332">
        <v>1</v>
      </c>
      <c r="AY299" s="328" t="b">
        <f t="shared" si="256"/>
        <v>1</v>
      </c>
      <c r="AZ299" s="328" t="b">
        <f t="shared" si="235"/>
        <v>0</v>
      </c>
    </row>
    <row r="300" ht="27" customHeight="1" spans="1:52">
      <c r="A300" s="326" t="str">
        <f>INDEX('Rate Card'!$A:$A,MATCH(服务费底表!$T300,'Rate Card'!$F:$F,0))</f>
        <v>数统</v>
      </c>
      <c r="B300" s="327" t="str">
        <f>INDEX(二三级标准!$G:$G,MATCH(服务费底表!$K300,二三级标准!B:B,0))</f>
        <v>份</v>
      </c>
      <c r="C300" s="327">
        <f>INDEX(服务费明细!$E:$E,MATCH(服务费底表!$K300,服务费明细!$B:$B,0))</f>
        <v>1</v>
      </c>
      <c r="D300" s="327" t="str">
        <f t="shared" si="259"/>
        <v>A249DM</v>
      </c>
      <c r="E300" s="327" t="str">
        <f t="shared" si="260"/>
        <v>T0714DM</v>
      </c>
      <c r="F300" s="328"/>
      <c r="G300" s="328" t="s">
        <v>684</v>
      </c>
      <c r="H300" s="326" t="str">
        <f>INDEX('Rate Card'!$B:$B,MATCH(服务费底表!$T300,'Rate Card'!$F:$F,0))</f>
        <v>数据管理</v>
      </c>
      <c r="I300" s="328" t="s">
        <v>923</v>
      </c>
      <c r="J300" s="328" t="str">
        <f>INDEX(二三级标准!$Q:$Q,MATCH(服务费底表!I300,二三级标准!$O:$O,0))</f>
        <v>数据管理</v>
      </c>
      <c r="K300" s="328" t="s">
        <v>1045</v>
      </c>
      <c r="L300" s="328" t="str">
        <f>INDEX(二三级标准!C:C,MATCH(服务费底表!K300,二三级标准!$B:$B,0))</f>
        <v>撰写DMP</v>
      </c>
      <c r="M300" s="328" t="s">
        <v>1371</v>
      </c>
      <c r="N300" s="328" t="str">
        <f>INDEX(二三级标准!$M:$M,MATCH(服务费底表!$M300,二三级标准!$L:$L,0))</f>
        <v>SAE一致性核查计划起草和定稿</v>
      </c>
      <c r="O300" s="527"/>
      <c r="P300" s="531">
        <f>IF(R300=1,INDEX(服务费明细!$E:$E,MATCH(服务费底表!$K300,服务费明细!$B:$B,0)),0)</f>
        <v>1</v>
      </c>
      <c r="Q300" s="328" t="s">
        <v>1176</v>
      </c>
      <c r="R300" s="520">
        <f>IF(AND(撰写数据管理文档YN=1,数据管理YN=1),1,0)</f>
        <v>1</v>
      </c>
      <c r="S300" s="524" t="str">
        <f>INDEX('Rate Card'!$D:$D,MATCH(服务费底表!$T300,'Rate Card'!F:F,0))</f>
        <v>数据管理</v>
      </c>
      <c r="T300" s="328" t="s">
        <v>631</v>
      </c>
      <c r="U300" s="522" t="str">
        <f>INDEX('Rate Card'!$E:$E,MATCH(服务费底表!$T300,'Rate Card'!$F:$F,0))</f>
        <v>数据管理专员</v>
      </c>
      <c r="V300" s="331">
        <f>INDEX('Rate Card'!$J:$J,MATCH($T300,'Rate Card'!$F:$F,0))</f>
        <v>200</v>
      </c>
      <c r="W300" s="523">
        <f t="shared" si="261"/>
        <v>200</v>
      </c>
      <c r="X300" s="523">
        <f t="shared" si="262"/>
        <v>2</v>
      </c>
      <c r="Y300" s="327" cm="1">
        <f t="array" ref="Y300">_xlfn.IFS(报价场景=服务费底表!$AJ$2,服务费底表!$AJ300,报价场景=服务费底表!$AP$2,服务费底表!$AP300,报价场景=服务费底表!$AK$2,服务费底表!$AK300,报价场景=服务费底表!$AL$2,服务费底表!$AL300,报价场景=服务费底表!$AM$2,服务费底表!$AM300,报价场景=服务费底表!$AN$2,服务费底表!$AN300,报价场景=服务费底表!$AQ$2,服务费底表!$AQ300,报价场景=服务费底表!$AO$2,服务费底表!$AO300)</f>
        <v>2</v>
      </c>
      <c r="Z300" s="327"/>
      <c r="AA300" s="332">
        <f t="shared" si="263"/>
        <v>2</v>
      </c>
      <c r="AB300" s="333">
        <f t="shared" si="264"/>
        <v>400</v>
      </c>
      <c r="AC300" s="328">
        <f t="shared" si="265"/>
        <v>2</v>
      </c>
      <c r="AD300" s="334">
        <f t="shared" si="266"/>
        <v>400</v>
      </c>
      <c r="AE300" s="334">
        <f>$AB300*(1-INDEX(项目参数!$D$5:$D$14,MATCH(服务费底表!$S300,项目参数!$B$5:$B$14,0)))</f>
        <v>400</v>
      </c>
      <c r="AF300" s="334">
        <f>$AD300*INDEX(项目参数!$D$5:$D$14,MATCH(服务费底表!$S300,项目参数!$B$5:$B$14,0))</f>
        <v>0</v>
      </c>
      <c r="AG300" s="334">
        <f t="shared" si="267"/>
        <v>400</v>
      </c>
      <c r="AH300" s="328"/>
      <c r="AI300" s="328" t="s">
        <v>631</v>
      </c>
      <c r="AJ300" s="327">
        <v>2</v>
      </c>
      <c r="AK300" s="327">
        <v>2</v>
      </c>
      <c r="AL300" s="327">
        <v>2</v>
      </c>
      <c r="AM300" s="327">
        <v>2</v>
      </c>
      <c r="AN300" s="327">
        <v>2</v>
      </c>
      <c r="AO300" s="327">
        <f t="shared" si="258"/>
        <v>2</v>
      </c>
      <c r="AP300" s="327">
        <v>2</v>
      </c>
      <c r="AQ300" s="327">
        <f t="shared" si="268"/>
        <v>3</v>
      </c>
      <c r="AR300" s="338"/>
      <c r="AS300" s="328">
        <f t="shared" si="254"/>
        <v>2</v>
      </c>
      <c r="AT300" s="328">
        <f t="shared" si="255"/>
        <v>2</v>
      </c>
      <c r="AU300" s="523">
        <v>2</v>
      </c>
      <c r="AV300" s="328"/>
      <c r="AW300" s="328"/>
      <c r="AX300" s="332">
        <v>2</v>
      </c>
      <c r="AY300" s="328" t="b">
        <f t="shared" si="256"/>
        <v>1</v>
      </c>
      <c r="AZ300" s="328" t="b">
        <f t="shared" si="235"/>
        <v>0</v>
      </c>
    </row>
    <row r="301" ht="27" customHeight="1" spans="1:52">
      <c r="A301" s="326" t="str">
        <f>INDEX('Rate Card'!$A:$A,MATCH(服务费底表!$T301,'Rate Card'!$F:$F,0))</f>
        <v>药物警戒</v>
      </c>
      <c r="B301" s="327" t="str">
        <f>INDEX(二三级标准!$G:$G,MATCH(服务费底表!$K301,二三级标准!B:B,0))</f>
        <v>份</v>
      </c>
      <c r="C301" s="327">
        <f>INDEX(服务费明细!$E:$E,MATCH(服务费底表!$K301,服务费明细!$B:$B,0))</f>
        <v>1</v>
      </c>
      <c r="D301" s="327" t="str">
        <f t="shared" si="259"/>
        <v>A249PVM</v>
      </c>
      <c r="E301" s="327" t="str">
        <f t="shared" si="260"/>
        <v>T0719PVM</v>
      </c>
      <c r="F301" s="328"/>
      <c r="G301" s="328" t="s">
        <v>684</v>
      </c>
      <c r="H301" s="326" t="str">
        <f>INDEX('Rate Card'!$B:$B,MATCH(服务费底表!$T301,'Rate Card'!$F:$F,0))</f>
        <v>药物警戒</v>
      </c>
      <c r="I301" s="328" t="s">
        <v>923</v>
      </c>
      <c r="J301" s="328" t="str">
        <f>INDEX(二三级标准!$Q:$Q,MATCH(服务费底表!I301,二三级标准!$O:$O,0))</f>
        <v>数据管理</v>
      </c>
      <c r="K301" s="328" t="s">
        <v>1045</v>
      </c>
      <c r="L301" s="328" t="str">
        <f>INDEX(二三级标准!C:C,MATCH(服务费底表!K301,二三级标准!$B:$B,0))</f>
        <v>撰写DMP</v>
      </c>
      <c r="M301" s="328" t="s">
        <v>1372</v>
      </c>
      <c r="N301" s="328" t="str">
        <f>INDEX(二三级标准!$M:$M,MATCH(服务费底表!$M301,二三级标准!$L:$L,0))</f>
        <v>SAE一致性核查计划审核</v>
      </c>
      <c r="O301" s="328"/>
      <c r="P301" s="531">
        <f>IF(R301=1,INDEX(服务费明细!$E:$E,MATCH(服务费底表!$K301,服务费明细!$B:$B,0)),0)</f>
        <v>1</v>
      </c>
      <c r="Q301" s="328" t="s">
        <v>1176</v>
      </c>
      <c r="R301" s="520">
        <f>IF(AND(撰写数据管理文档YN=1,药物警戒YN=1),1,0)</f>
        <v>1</v>
      </c>
      <c r="S301" s="528" t="str">
        <f>INDEX('Rate Card'!$D:$D,MATCH(服务费底表!$T301,'Rate Card'!F:F,0))</f>
        <v>药物警戒</v>
      </c>
      <c r="T301" s="328" t="s">
        <v>620</v>
      </c>
      <c r="U301" s="522" t="str">
        <f>INDEX('Rate Card'!$E:$E,MATCH(服务费底表!$T301,'Rate Card'!$F:$F,0))</f>
        <v>药物警戒经理</v>
      </c>
      <c r="V301" s="331">
        <f>INDEX('Rate Card'!$J:$J,MATCH($T301,'Rate Card'!$F:$F,0))</f>
        <v>500</v>
      </c>
      <c r="W301" s="523">
        <f t="shared" si="261"/>
        <v>500</v>
      </c>
      <c r="X301" s="523">
        <f t="shared" si="262"/>
        <v>1</v>
      </c>
      <c r="Y301" s="327" cm="1">
        <f t="array" ref="Y301">_xlfn.IFS(报价场景=服务费底表!$AJ$2,服务费底表!$AJ301,报价场景=服务费底表!$AP$2,服务费底表!$AP301,报价场景=服务费底表!$AK$2,服务费底表!$AK301,报价场景=服务费底表!$AL$2,服务费底表!$AL301,报价场景=服务费底表!$AM$2,服务费底表!$AM301,报价场景=服务费底表!$AN$2,服务费底表!$AN301,报价场景=服务费底表!$AQ$2,服务费底表!$AQ301,报价场景=服务费底表!$AO$2,服务费底表!$AO301)</f>
        <v>1</v>
      </c>
      <c r="Z301" s="327"/>
      <c r="AA301" s="332">
        <f t="shared" si="263"/>
        <v>1</v>
      </c>
      <c r="AB301" s="333">
        <f t="shared" si="264"/>
        <v>500</v>
      </c>
      <c r="AC301" s="328">
        <f t="shared" si="265"/>
        <v>1</v>
      </c>
      <c r="AD301" s="334">
        <f t="shared" si="266"/>
        <v>500</v>
      </c>
      <c r="AE301" s="334">
        <f>$AB301*(1-INDEX(项目参数!$D$5:$D$14,MATCH(服务费底表!$S301,项目参数!$B$5:$B$14,0)))</f>
        <v>500</v>
      </c>
      <c r="AF301" s="334">
        <f>$AD301*INDEX(项目参数!$D$5:$D$14,MATCH(服务费底表!$S301,项目参数!$B$5:$B$14,0))</f>
        <v>0</v>
      </c>
      <c r="AG301" s="334">
        <f t="shared" si="267"/>
        <v>500</v>
      </c>
      <c r="AH301" s="328"/>
      <c r="AI301" s="328" t="s">
        <v>620</v>
      </c>
      <c r="AJ301" s="327">
        <v>1</v>
      </c>
      <c r="AK301" s="327">
        <f t="shared" si="269"/>
        <v>1.5</v>
      </c>
      <c r="AL301" s="327">
        <v>0.8</v>
      </c>
      <c r="AM301" s="327">
        <f>AL301</f>
        <v>0.8</v>
      </c>
      <c r="AN301" s="327">
        <v>1</v>
      </c>
      <c r="AO301" s="327">
        <f t="shared" si="258"/>
        <v>0.8</v>
      </c>
      <c r="AP301" s="327">
        <v>1</v>
      </c>
      <c r="AQ301" s="327">
        <f t="shared" si="268"/>
        <v>1.5</v>
      </c>
      <c r="AR301" s="338"/>
      <c r="AS301" s="327">
        <f t="shared" si="254"/>
        <v>1</v>
      </c>
      <c r="AT301" s="327">
        <f t="shared" si="255"/>
        <v>1</v>
      </c>
      <c r="AU301" s="523">
        <v>1</v>
      </c>
      <c r="AV301" s="328"/>
      <c r="AW301" s="328"/>
      <c r="AX301" s="332">
        <v>1</v>
      </c>
      <c r="AY301" s="328" t="b">
        <f t="shared" si="256"/>
        <v>1</v>
      </c>
      <c r="AZ301" s="328" t="b">
        <f t="shared" si="235"/>
        <v>0</v>
      </c>
    </row>
    <row r="302" ht="27" customHeight="1" spans="1:52">
      <c r="A302" s="326" t="str">
        <f>INDEX('Rate Card'!$A:$A,MATCH(服务费底表!$T302,'Rate Card'!$F:$F,0))</f>
        <v>医学</v>
      </c>
      <c r="B302" s="327" t="str">
        <f>INDEX(二三级标准!$G:$G,MATCH(服务费底表!$K302,二三级标准!B:B,0))</f>
        <v>份</v>
      </c>
      <c r="C302" s="327">
        <f>INDEX(服务费明细!$E:$E,MATCH(服务费底表!$K302,服务费明细!$B:$B,0))</f>
        <v>1</v>
      </c>
      <c r="D302" s="327" t="str">
        <f t="shared" si="259"/>
        <v>A249MM</v>
      </c>
      <c r="E302" s="327" t="str">
        <f t="shared" si="260"/>
        <v>T0719MM</v>
      </c>
      <c r="F302" s="328"/>
      <c r="G302" s="328" t="s">
        <v>684</v>
      </c>
      <c r="H302" s="326" t="str">
        <f>INDEX('Rate Card'!$B:$B,MATCH(服务费底表!$T302,'Rate Card'!$F:$F,0))</f>
        <v>医学</v>
      </c>
      <c r="I302" s="328" t="s">
        <v>923</v>
      </c>
      <c r="J302" s="328" t="str">
        <f>INDEX(二三级标准!$Q:$Q,MATCH(服务费底表!I302,二三级标准!$O:$O,0))</f>
        <v>数据管理</v>
      </c>
      <c r="K302" s="328" t="s">
        <v>1045</v>
      </c>
      <c r="L302" s="328" t="str">
        <f>INDEX(二三级标准!C:C,MATCH(服务费底表!K302,二三级标准!$B:$B,0))</f>
        <v>撰写DMP</v>
      </c>
      <c r="M302" s="328" t="s">
        <v>1372</v>
      </c>
      <c r="N302" s="328" t="str">
        <f>INDEX(二三级标准!$M:$M,MATCH(服务费底表!$M302,二三级标准!$L:$L,0))</f>
        <v>SAE一致性核查计划审核</v>
      </c>
      <c r="O302" s="328"/>
      <c r="P302" s="531">
        <f>IF(R302=1,INDEX(服务费明细!$E:$E,MATCH(服务费底表!$K302,服务费明细!$B:$B,0)),0)</f>
        <v>1</v>
      </c>
      <c r="Q302" s="328" t="s">
        <v>1176</v>
      </c>
      <c r="R302" s="520">
        <f>IF(AND(撰写数据管理文档YN=1,医学监查YN=1),1,0)</f>
        <v>1</v>
      </c>
      <c r="S302" s="521" t="str">
        <f>IF(AND(H302="医学",OR(I302=二三级标准!$A$4,I302=二三级标准!$A$153)),"医学撰写","医学监查")</f>
        <v>医学监查</v>
      </c>
      <c r="T302" s="328" t="s">
        <v>615</v>
      </c>
      <c r="U302" s="522" t="str">
        <f>INDEX('Rate Card'!$E:$E,MATCH(服务费底表!$T302,'Rate Card'!$F:$F,0))</f>
        <v>医学经理</v>
      </c>
      <c r="V302" s="331">
        <f>INDEX('Rate Card'!$J:$J,MATCH($T302,'Rate Card'!$F:$F,0))</f>
        <v>650</v>
      </c>
      <c r="W302" s="523">
        <f t="shared" si="261"/>
        <v>650</v>
      </c>
      <c r="X302" s="523">
        <f t="shared" si="262"/>
        <v>0.5</v>
      </c>
      <c r="Y302" s="327" cm="1">
        <f t="array" ref="Y302">_xlfn.IFS(报价场景=服务费底表!$AJ$2,服务费底表!$AJ302,报价场景=服务费底表!$AP$2,服务费底表!$AP302,报价场景=服务费底表!$AK$2,服务费底表!$AK302,报价场景=服务费底表!$AL$2,服务费底表!$AL302,报价场景=服务费底表!$AM$2,服务费底表!$AM302,报价场景=服务费底表!$AN$2,服务费底表!$AN302,报价场景=服务费底表!$AQ$2,服务费底表!$AQ302,报价场景=服务费底表!$AO$2,服务费底表!$AO302)</f>
        <v>0.5</v>
      </c>
      <c r="Z302" s="327"/>
      <c r="AA302" s="332">
        <f t="shared" si="263"/>
        <v>0.5</v>
      </c>
      <c r="AB302" s="333">
        <f t="shared" si="264"/>
        <v>325</v>
      </c>
      <c r="AC302" s="328">
        <f t="shared" si="265"/>
        <v>0.5</v>
      </c>
      <c r="AD302" s="334">
        <f t="shared" si="266"/>
        <v>325</v>
      </c>
      <c r="AE302" s="334">
        <f>$AB302*(1-INDEX(项目参数!$D$5:$D$14,MATCH(服务费底表!$S302,项目参数!$B$5:$B$14,0)))</f>
        <v>325</v>
      </c>
      <c r="AF302" s="334">
        <f>$AD302*INDEX(项目参数!$D$5:$D$14,MATCH(服务费底表!$S302,项目参数!$B$5:$B$14,0))</f>
        <v>0</v>
      </c>
      <c r="AG302" s="334">
        <f t="shared" si="267"/>
        <v>325</v>
      </c>
      <c r="AH302" s="328"/>
      <c r="AI302" s="328" t="s">
        <v>615</v>
      </c>
      <c r="AJ302" s="327">
        <v>0.5</v>
      </c>
      <c r="AK302" s="327">
        <v>0.5</v>
      </c>
      <c r="AL302" s="327">
        <v>0.5</v>
      </c>
      <c r="AM302" s="327">
        <v>0.5</v>
      </c>
      <c r="AN302" s="327">
        <v>0.5</v>
      </c>
      <c r="AO302" s="327">
        <v>0.5</v>
      </c>
      <c r="AP302" s="327">
        <v>0.5</v>
      </c>
      <c r="AQ302" s="327">
        <f t="shared" si="268"/>
        <v>0.75</v>
      </c>
      <c r="AR302" s="338"/>
      <c r="AS302" s="327">
        <f t="shared" si="254"/>
        <v>0.5</v>
      </c>
      <c r="AT302" s="327">
        <f t="shared" si="255"/>
        <v>0.5</v>
      </c>
      <c r="AU302" s="523">
        <v>1</v>
      </c>
      <c r="AV302" s="328"/>
      <c r="AW302" s="328"/>
      <c r="AX302" s="332">
        <v>1</v>
      </c>
      <c r="AY302" s="328" t="b">
        <f t="shared" si="256"/>
        <v>0</v>
      </c>
      <c r="AZ302" s="328" t="b">
        <f t="shared" si="235"/>
        <v>0</v>
      </c>
    </row>
    <row r="303" ht="27" customHeight="1" spans="1:52">
      <c r="A303" s="326" t="str">
        <f>INDEX('Rate Card'!$A:$A,MATCH(服务费底表!$T303,'Rate Card'!$F:$F,0))</f>
        <v>数统</v>
      </c>
      <c r="B303" s="327" t="str">
        <f>INDEX(二三级标准!$G:$G,MATCH(服务费底表!$K303,二三级标准!B:B,0))</f>
        <v>份</v>
      </c>
      <c r="C303" s="327">
        <f>INDEX(服务费明细!$E:$E,MATCH(服务费底表!$K303,服务费明细!$B:$B,0))</f>
        <v>1</v>
      </c>
      <c r="D303" s="327" t="str">
        <f t="shared" ref="D303:D305" si="270">K303&amp;T303</f>
        <v>A249DM</v>
      </c>
      <c r="E303" s="327" t="str">
        <f t="shared" ref="E303:E305" si="271">M303&amp;T303</f>
        <v>T0715DM</v>
      </c>
      <c r="F303" s="328"/>
      <c r="G303" s="328" t="s">
        <v>684</v>
      </c>
      <c r="H303" s="326" t="str">
        <f>INDEX('Rate Card'!$B:$B,MATCH(服务费底表!$T303,'Rate Card'!$F:$F,0))</f>
        <v>数据管理</v>
      </c>
      <c r="I303" s="328" t="s">
        <v>923</v>
      </c>
      <c r="J303" s="328" t="str">
        <f>INDEX(二三级标准!$Q:$Q,MATCH(服务费底表!I303,二三级标准!$O:$O,0))</f>
        <v>数据管理</v>
      </c>
      <c r="K303" s="532" t="s">
        <v>1045</v>
      </c>
      <c r="L303" s="328" t="str">
        <f>INDEX(二三级标准!C:C,MATCH(服务费底表!K303,二三级标准!$B:$B,0))</f>
        <v>撰写DMP</v>
      </c>
      <c r="M303" s="328" t="s">
        <v>1373</v>
      </c>
      <c r="N303" s="328" t="str">
        <f>INDEX(二三级标准!$M:$M,MATCH(服务费底表!$M303,二三级标准!$L:$L,0))</f>
        <v>医学编码计划起草和定稿</v>
      </c>
      <c r="O303" s="530"/>
      <c r="P303" s="531">
        <f>IF(R303=1,INDEX(服务费明细!$E:$E,MATCH(服务费底表!$K303,服务费明细!$B:$B,0)),0)</f>
        <v>1</v>
      </c>
      <c r="Q303" s="328" t="s">
        <v>1176</v>
      </c>
      <c r="R303" s="520">
        <f>IF(AND(撰写数据管理文档YN=1,数据管理YN=1),1,0)</f>
        <v>1</v>
      </c>
      <c r="S303" s="524" t="str">
        <f>INDEX('Rate Card'!$D:$D,MATCH(服务费底表!$T303,'Rate Card'!F:F,0))</f>
        <v>数据管理</v>
      </c>
      <c r="T303" s="328" t="s">
        <v>631</v>
      </c>
      <c r="U303" s="522" t="str">
        <f>INDEX('Rate Card'!$E:$E,MATCH(服务费底表!$T303,'Rate Card'!$F:$F,0))</f>
        <v>数据管理专员</v>
      </c>
      <c r="V303" s="331">
        <f>INDEX('Rate Card'!$J:$J,MATCH($T303,'Rate Card'!$F:$F,0))</f>
        <v>200</v>
      </c>
      <c r="W303" s="523">
        <f t="shared" ref="W303:W305" si="272">V303*(1-$W$1)</f>
        <v>200</v>
      </c>
      <c r="X303" s="523">
        <f t="shared" ref="X303:X305" si="273">Y303*$X$1</f>
        <v>1</v>
      </c>
      <c r="Y303" s="327" cm="1">
        <f t="array" ref="Y303">_xlfn.IFS(报价场景=服务费底表!$AJ$2,服务费底表!$AJ303,报价场景=服务费底表!$AP$2,服务费底表!$AP303,报价场景=服务费底表!$AK$2,服务费底表!$AK303,报价场景=服务费底表!$AL$2,服务费底表!$AL303,报价场景=服务费底表!$AM$2,服务费底表!$AM303,报价场景=服务费底表!$AN$2,服务费底表!$AN303,报价场景=服务费底表!$AQ$2,服务费底表!$AQ303,报价场景=服务费底表!$AO$2,服务费底表!$AO303)</f>
        <v>1</v>
      </c>
      <c r="Z303" s="327"/>
      <c r="AA303" s="332">
        <f t="shared" ref="AA303:AA305" si="274">IF(ISBLANK($Z303),$Y303,$Z303)</f>
        <v>1</v>
      </c>
      <c r="AB303" s="333">
        <f t="shared" ref="AB303:AB305" si="275">IFERROR(AD303/P303,0)</f>
        <v>200</v>
      </c>
      <c r="AC303" s="328">
        <f t="shared" ref="AC303:AC305" si="276">AA303*P303*R303</f>
        <v>1</v>
      </c>
      <c r="AD303" s="334">
        <f t="shared" ref="AD303:AD305" si="277">AC303*V303</f>
        <v>200</v>
      </c>
      <c r="AE303" s="334">
        <f>$AB303*(1-INDEX(项目参数!$D$5:$D$14,MATCH(服务费底表!$S303,项目参数!$B$5:$B$14,0)))</f>
        <v>200</v>
      </c>
      <c r="AF303" s="334">
        <f>$AD303*INDEX(项目参数!$D$5:$D$14,MATCH(服务费底表!$S303,项目参数!$B$5:$B$14,0))</f>
        <v>0</v>
      </c>
      <c r="AG303" s="334">
        <f t="shared" ref="AG303:AG305" si="278">AD303-AF303</f>
        <v>200</v>
      </c>
      <c r="AH303" s="328"/>
      <c r="AI303" s="328" t="s">
        <v>631</v>
      </c>
      <c r="AJ303" s="327">
        <v>1</v>
      </c>
      <c r="AK303" s="327">
        <v>1</v>
      </c>
      <c r="AL303" s="327">
        <v>1</v>
      </c>
      <c r="AM303" s="327">
        <v>1</v>
      </c>
      <c r="AN303" s="327">
        <v>1</v>
      </c>
      <c r="AO303" s="327">
        <f t="shared" ref="AO303:AO329" si="279">AL303</f>
        <v>1</v>
      </c>
      <c r="AP303" s="327">
        <v>0.5</v>
      </c>
      <c r="AQ303" s="327">
        <f t="shared" ref="AQ303:AQ305" si="280">AJ303*$AQ$1</f>
        <v>1.5</v>
      </c>
      <c r="AR303" s="338"/>
      <c r="AS303" s="328">
        <f t="shared" ref="AS303:AS305" si="281">AC303</f>
        <v>1</v>
      </c>
      <c r="AT303" s="328">
        <f t="shared" ref="AT303:AT305" si="282">Y303*P303</f>
        <v>1</v>
      </c>
      <c r="AU303" s="523">
        <v>1</v>
      </c>
      <c r="AV303" s="328"/>
      <c r="AW303" s="328"/>
      <c r="AX303" s="332">
        <v>1</v>
      </c>
      <c r="AY303" s="328" t="b">
        <f t="shared" ref="AY303:AY305" si="283">IF(AX303=AJ303,TRUE,FALSE)</f>
        <v>1</v>
      </c>
      <c r="AZ303" s="328" t="b">
        <f t="shared" si="235"/>
        <v>0</v>
      </c>
    </row>
    <row r="304" ht="27" customHeight="1" spans="1:52">
      <c r="A304" s="326" t="str">
        <f>INDEX('Rate Card'!$A:$A,MATCH(服务费底表!$T304,'Rate Card'!$F:$F,0))</f>
        <v>数统</v>
      </c>
      <c r="B304" s="327" t="str">
        <f>INDEX(二三级标准!$G:$G,MATCH(服务费底表!$K304,二三级标准!B:B,0))</f>
        <v>份</v>
      </c>
      <c r="C304" s="327">
        <f>INDEX(服务费明细!$E:$E,MATCH(服务费底表!$K304,服务费明细!$B:$B,0))</f>
        <v>1</v>
      </c>
      <c r="D304" s="327" t="str">
        <f t="shared" si="270"/>
        <v>A249LDM</v>
      </c>
      <c r="E304" s="327" t="str">
        <f t="shared" si="271"/>
        <v>T0716LDM</v>
      </c>
      <c r="F304" s="328"/>
      <c r="G304" s="328" t="s">
        <v>684</v>
      </c>
      <c r="H304" s="326" t="str">
        <f>INDEX('Rate Card'!$B:$B,MATCH(服务费底表!$T304,'Rate Card'!$F:$F,0))</f>
        <v>数据管理</v>
      </c>
      <c r="I304" s="328" t="s">
        <v>923</v>
      </c>
      <c r="J304" s="328" t="str">
        <f>INDEX(二三级标准!$Q:$Q,MATCH(服务费底表!I304,二三级标准!$O:$O,0))</f>
        <v>数据管理</v>
      </c>
      <c r="K304" s="532" t="s">
        <v>1045</v>
      </c>
      <c r="L304" s="328" t="str">
        <f>INDEX(二三级标准!C:C,MATCH(服务费底表!K304,二三级标准!$B:$B,0))</f>
        <v>撰写DMP</v>
      </c>
      <c r="M304" s="328" t="s">
        <v>1374</v>
      </c>
      <c r="N304" s="328" t="str">
        <f>INDEX(二三级标准!$M:$M,MATCH(服务费底表!$M304,二三级标准!$L:$L,0))</f>
        <v>医学编码计划审核</v>
      </c>
      <c r="O304" s="328"/>
      <c r="P304" s="531">
        <f>IF(R304=1,INDEX(服务费明细!$E:$E,MATCH(服务费底表!$K304,服务费明细!$B:$B,0)),0)</f>
        <v>1</v>
      </c>
      <c r="Q304" s="328" t="s">
        <v>1176</v>
      </c>
      <c r="R304" s="520">
        <f>IF(AND(撰写数据管理文档YN=1,数据管理YN=1),1,0)</f>
        <v>1</v>
      </c>
      <c r="S304" s="524" t="str">
        <f>INDEX('Rate Card'!$D:$D,MATCH(服务费底表!$T304,'Rate Card'!F:F,0))</f>
        <v>数据管理</v>
      </c>
      <c r="T304" s="328" t="s">
        <v>633</v>
      </c>
      <c r="U304" s="522" t="str">
        <f>INDEX('Rate Card'!$E:$E,MATCH(服务费底表!$T304,'Rate Card'!$F:$F,0))</f>
        <v>数据管理经理</v>
      </c>
      <c r="V304" s="331">
        <f>INDEX('Rate Card'!$J:$J,MATCH($T304,'Rate Card'!$F:$F,0))</f>
        <v>360</v>
      </c>
      <c r="W304" s="523">
        <f t="shared" si="272"/>
        <v>360</v>
      </c>
      <c r="X304" s="523">
        <f t="shared" si="273"/>
        <v>0.5</v>
      </c>
      <c r="Y304" s="327" cm="1">
        <f t="array" ref="Y304">_xlfn.IFS(报价场景=服务费底表!$AJ$2,服务费底表!$AJ304,报价场景=服务费底表!$AP$2,服务费底表!$AP304,报价场景=服务费底表!$AK$2,服务费底表!$AK304,报价场景=服务费底表!$AL$2,服务费底表!$AL304,报价场景=服务费底表!$AM$2,服务费底表!$AM304,报价场景=服务费底表!$AN$2,服务费底表!$AN304,报价场景=服务费底表!$AQ$2,服务费底表!$AQ304,报价场景=服务费底表!$AO$2,服务费底表!$AO304)</f>
        <v>0.5</v>
      </c>
      <c r="Z304" s="327"/>
      <c r="AA304" s="332">
        <f t="shared" si="274"/>
        <v>0.5</v>
      </c>
      <c r="AB304" s="333">
        <f t="shared" si="275"/>
        <v>180</v>
      </c>
      <c r="AC304" s="328">
        <f t="shared" si="276"/>
        <v>0.5</v>
      </c>
      <c r="AD304" s="334">
        <f t="shared" si="277"/>
        <v>180</v>
      </c>
      <c r="AE304" s="334">
        <f>$AB304*(1-INDEX(项目参数!$D$5:$D$14,MATCH(服务费底表!$S304,项目参数!$B$5:$B$14,0)))</f>
        <v>180</v>
      </c>
      <c r="AF304" s="334">
        <f>$AD304*INDEX(项目参数!$D$5:$D$14,MATCH(服务费底表!$S304,项目参数!$B$5:$B$14,0))</f>
        <v>0</v>
      </c>
      <c r="AG304" s="334">
        <f t="shared" si="278"/>
        <v>180</v>
      </c>
      <c r="AH304" s="328"/>
      <c r="AI304" s="328" t="s">
        <v>633</v>
      </c>
      <c r="AJ304" s="327">
        <v>0.5</v>
      </c>
      <c r="AK304" s="327">
        <v>0.5</v>
      </c>
      <c r="AL304" s="327">
        <v>0.5</v>
      </c>
      <c r="AM304" s="327">
        <v>0.5</v>
      </c>
      <c r="AN304" s="327">
        <v>0.5</v>
      </c>
      <c r="AO304" s="327">
        <f t="shared" si="279"/>
        <v>0.5</v>
      </c>
      <c r="AP304" s="327">
        <v>0.2</v>
      </c>
      <c r="AQ304" s="327">
        <f t="shared" si="280"/>
        <v>0.75</v>
      </c>
      <c r="AR304" s="338"/>
      <c r="AS304" s="328">
        <f t="shared" si="281"/>
        <v>0.5</v>
      </c>
      <c r="AT304" s="328">
        <f t="shared" si="282"/>
        <v>0.5</v>
      </c>
      <c r="AU304" s="523">
        <v>0.5</v>
      </c>
      <c r="AV304" s="328"/>
      <c r="AW304" s="328"/>
      <c r="AX304" s="332">
        <v>0.5</v>
      </c>
      <c r="AY304" s="328" t="b">
        <f t="shared" si="283"/>
        <v>1</v>
      </c>
      <c r="AZ304" s="328" t="b">
        <f t="shared" si="235"/>
        <v>0</v>
      </c>
    </row>
    <row r="305" ht="27" customHeight="1" spans="1:52">
      <c r="A305" s="326" t="str">
        <f>INDEX('Rate Card'!$A:$A,MATCH(服务费底表!$T305,'Rate Card'!$F:$F,0))</f>
        <v>医学</v>
      </c>
      <c r="B305" s="327" t="str">
        <f>INDEX(二三级标准!$G:$G,MATCH(服务费底表!$K305,二三级标准!B:B,0))</f>
        <v>份</v>
      </c>
      <c r="C305" s="327">
        <f>INDEX(服务费明细!$E:$E,MATCH(服务费底表!$K305,服务费明细!$B:$B,0))</f>
        <v>1</v>
      </c>
      <c r="D305" s="327" t="str">
        <f t="shared" si="270"/>
        <v>A249MM</v>
      </c>
      <c r="E305" s="327" t="str">
        <f t="shared" si="271"/>
        <v>T0716MM</v>
      </c>
      <c r="F305" s="328"/>
      <c r="G305" s="328" t="s">
        <v>684</v>
      </c>
      <c r="H305" s="326" t="str">
        <f>INDEX('Rate Card'!$B:$B,MATCH(服务费底表!$T305,'Rate Card'!$F:$F,0))</f>
        <v>医学</v>
      </c>
      <c r="I305" s="328" t="s">
        <v>923</v>
      </c>
      <c r="J305" s="328" t="str">
        <f>INDEX(二三级标准!$Q:$Q,MATCH(服务费底表!I305,二三级标准!$O:$O,0))</f>
        <v>数据管理</v>
      </c>
      <c r="K305" s="328" t="s">
        <v>1045</v>
      </c>
      <c r="L305" s="328" t="str">
        <f>INDEX(二三级标准!C:C,MATCH(服务费底表!K305,二三级标准!$B:$B,0))</f>
        <v>撰写DMP</v>
      </c>
      <c r="M305" s="328" t="s">
        <v>1374</v>
      </c>
      <c r="N305" s="328" t="str">
        <f>INDEX(二三级标准!$M:$M,MATCH(服务费底表!$M305,二三级标准!$L:$L,0))</f>
        <v>医学编码计划审核</v>
      </c>
      <c r="O305" s="328"/>
      <c r="P305" s="531">
        <f>IF(R305=1,INDEX(服务费明细!$E:$E,MATCH(服务费底表!$K305,服务费明细!$B:$B,0)),0)</f>
        <v>1</v>
      </c>
      <c r="Q305" s="328" t="s">
        <v>1176</v>
      </c>
      <c r="R305" s="520">
        <f>IF(AND(撰写数据管理文档YN=1,医学监查YN=1),1,0)</f>
        <v>1</v>
      </c>
      <c r="S305" s="521" t="str">
        <f>IF(AND(H305="医学",OR(I305=二三级标准!$A$4,I305=二三级标准!$A$153)),"医学撰写","医学监查")</f>
        <v>医学监查</v>
      </c>
      <c r="T305" s="328" t="s">
        <v>615</v>
      </c>
      <c r="U305" s="522" t="str">
        <f>INDEX('Rate Card'!$E:$E,MATCH(服务费底表!$T305,'Rate Card'!$F:$F,0))</f>
        <v>医学经理</v>
      </c>
      <c r="V305" s="331">
        <f>INDEX('Rate Card'!$J:$J,MATCH($T305,'Rate Card'!$F:$F,0))</f>
        <v>650</v>
      </c>
      <c r="W305" s="523">
        <f t="shared" si="272"/>
        <v>650</v>
      </c>
      <c r="X305" s="523">
        <f t="shared" si="273"/>
        <v>0.5</v>
      </c>
      <c r="Y305" s="327" cm="1">
        <f t="array" ref="Y305">_xlfn.IFS(报价场景=服务费底表!$AJ$2,服务费底表!$AJ305,报价场景=服务费底表!$AP$2,服务费底表!$AP305,报价场景=服务费底表!$AK$2,服务费底表!$AK305,报价场景=服务费底表!$AL$2,服务费底表!$AL305,报价场景=服务费底表!$AM$2,服务费底表!$AM305,报价场景=服务费底表!$AN$2,服务费底表!$AN305,报价场景=服务费底表!$AQ$2,服务费底表!$AQ305,报价场景=服务费底表!$AO$2,服务费底表!$AO305)</f>
        <v>0.5</v>
      </c>
      <c r="Z305" s="327"/>
      <c r="AA305" s="332">
        <f t="shared" si="274"/>
        <v>0.5</v>
      </c>
      <c r="AB305" s="333">
        <f t="shared" si="275"/>
        <v>325</v>
      </c>
      <c r="AC305" s="328">
        <f t="shared" si="276"/>
        <v>0.5</v>
      </c>
      <c r="AD305" s="334">
        <f t="shared" si="277"/>
        <v>325</v>
      </c>
      <c r="AE305" s="334">
        <f>$AB305*(1-INDEX(项目参数!$D$5:$D$14,MATCH(服务费底表!$S305,项目参数!$B$5:$B$14,0)))</f>
        <v>325</v>
      </c>
      <c r="AF305" s="334">
        <f>$AD305*INDEX(项目参数!$D$5:$D$14,MATCH(服务费底表!$S305,项目参数!$B$5:$B$14,0))</f>
        <v>0</v>
      </c>
      <c r="AG305" s="334">
        <f t="shared" si="278"/>
        <v>325</v>
      </c>
      <c r="AH305" s="328"/>
      <c r="AI305" s="328" t="s">
        <v>615</v>
      </c>
      <c r="AJ305" s="327">
        <v>0.5</v>
      </c>
      <c r="AK305" s="327">
        <v>0.5</v>
      </c>
      <c r="AL305" s="327">
        <v>0.5</v>
      </c>
      <c r="AM305" s="327">
        <v>0.5</v>
      </c>
      <c r="AN305" s="327">
        <v>0.5</v>
      </c>
      <c r="AO305" s="327">
        <v>0.5</v>
      </c>
      <c r="AP305" s="327">
        <v>0.5</v>
      </c>
      <c r="AQ305" s="327">
        <f t="shared" si="280"/>
        <v>0.75</v>
      </c>
      <c r="AR305" s="338"/>
      <c r="AS305" s="327">
        <f t="shared" si="281"/>
        <v>0.5</v>
      </c>
      <c r="AT305" s="327">
        <f t="shared" si="282"/>
        <v>0.5</v>
      </c>
      <c r="AU305" s="523">
        <v>1</v>
      </c>
      <c r="AV305" s="328"/>
      <c r="AW305" s="328"/>
      <c r="AX305" s="332">
        <v>1</v>
      </c>
      <c r="AY305" s="328" t="b">
        <f t="shared" si="283"/>
        <v>0</v>
      </c>
      <c r="AZ305" s="328" t="b">
        <f t="shared" si="235"/>
        <v>0</v>
      </c>
    </row>
    <row r="306" ht="27" customHeight="1" spans="1:52">
      <c r="A306" s="326" t="str">
        <f>INDEX('Rate Card'!$A:$A,MATCH(服务费底表!$T306,'Rate Card'!$F:$F,0))</f>
        <v>数统</v>
      </c>
      <c r="B306" s="327" t="str">
        <f>INDEX(二三级标准!$G:$G,MATCH(服务费底表!$K306,二三级标准!B:B,0))</f>
        <v>份</v>
      </c>
      <c r="C306" s="327">
        <f>INDEX(服务费明细!$E:$E,MATCH(服务费底表!$K306,服务费明细!$B:$B,0))</f>
        <v>1</v>
      </c>
      <c r="D306" s="327" t="str">
        <f t="shared" ref="D306:D308" si="284">K306&amp;T306</f>
        <v>A249DM</v>
      </c>
      <c r="E306" s="327" t="str">
        <f t="shared" ref="E306:E308" si="285">M306&amp;T306</f>
        <v>T0717DM</v>
      </c>
      <c r="F306" s="328"/>
      <c r="G306" s="328" t="s">
        <v>684</v>
      </c>
      <c r="H306" s="326" t="str">
        <f>INDEX('Rate Card'!$B:$B,MATCH(服务费底表!$T306,'Rate Card'!$F:$F,0))</f>
        <v>数据管理</v>
      </c>
      <c r="I306" s="328" t="s">
        <v>923</v>
      </c>
      <c r="J306" s="328" t="str">
        <f>INDEX(二三级标准!$Q:$Q,MATCH(服务费底表!I306,二三级标准!$O:$O,0))</f>
        <v>数据管理</v>
      </c>
      <c r="K306" s="532" t="s">
        <v>1045</v>
      </c>
      <c r="L306" s="328" t="str">
        <f>INDEX(二三级标准!C:C,MATCH(服务费底表!K306,二三级标准!$B:$B,0))</f>
        <v>撰写DMP</v>
      </c>
      <c r="M306" s="328" t="s">
        <v>1375</v>
      </c>
      <c r="N306" s="328" t="str">
        <f>INDEX(二三级标准!$M:$M,MATCH(服务费底表!$M306,二三级标准!$L:$L,0))</f>
        <v>医学编码规范起草和定稿</v>
      </c>
      <c r="O306" s="328"/>
      <c r="P306" s="531">
        <f>IF(R306=1,INDEX(服务费明细!$E:$E,MATCH(服务费底表!$K306,服务费明细!$B:$B,0)),0)</f>
        <v>1</v>
      </c>
      <c r="Q306" s="328" t="s">
        <v>1176</v>
      </c>
      <c r="R306" s="520">
        <f>IF(AND(撰写数据管理文档YN=1,数据管理YN=1),1,0)</f>
        <v>1</v>
      </c>
      <c r="S306" s="524" t="str">
        <f>INDEX('Rate Card'!$D:$D,MATCH(服务费底表!$T306,'Rate Card'!F:F,0))</f>
        <v>数据管理</v>
      </c>
      <c r="T306" s="328" t="s">
        <v>631</v>
      </c>
      <c r="U306" s="522" t="str">
        <f>INDEX('Rate Card'!$E:$E,MATCH(服务费底表!$T306,'Rate Card'!$F:$F,0))</f>
        <v>数据管理专员</v>
      </c>
      <c r="V306" s="331">
        <f>INDEX('Rate Card'!$J:$J,MATCH($T306,'Rate Card'!$F:$F,0))</f>
        <v>200</v>
      </c>
      <c r="W306" s="523">
        <f t="shared" ref="W306:W308" si="286">V306*(1-$W$1)</f>
        <v>200</v>
      </c>
      <c r="X306" s="523">
        <f t="shared" ref="X306:X308" si="287">Y306*$X$1</f>
        <v>1</v>
      </c>
      <c r="Y306" s="327" cm="1">
        <f t="array" ref="Y306">_xlfn.IFS(报价场景=服务费底表!$AJ$2,服务费底表!$AJ306,报价场景=服务费底表!$AP$2,服务费底表!$AP306,报价场景=服务费底表!$AK$2,服务费底表!$AK306,报价场景=服务费底表!$AL$2,服务费底表!$AL306,报价场景=服务费底表!$AM$2,服务费底表!$AM306,报价场景=服务费底表!$AN$2,服务费底表!$AN306,报价场景=服务费底表!$AQ$2,服务费底表!$AQ306,报价场景=服务费底表!$AO$2,服务费底表!$AO306)</f>
        <v>1</v>
      </c>
      <c r="Z306" s="327"/>
      <c r="AA306" s="332">
        <f t="shared" ref="AA306:AA308" si="288">IF(ISBLANK($Z306),$Y306,$Z306)</f>
        <v>1</v>
      </c>
      <c r="AB306" s="333">
        <f t="shared" ref="AB306:AB308" si="289">IFERROR(AD306/P306,0)</f>
        <v>200</v>
      </c>
      <c r="AC306" s="328">
        <f t="shared" ref="AC306:AC308" si="290">AA306*P306*R306</f>
        <v>1</v>
      </c>
      <c r="AD306" s="334">
        <f t="shared" ref="AD306:AD308" si="291">AC306*V306</f>
        <v>200</v>
      </c>
      <c r="AE306" s="334">
        <f>$AB306*(1-INDEX(项目参数!$D$5:$D$14,MATCH(服务费底表!$S306,项目参数!$B$5:$B$14,0)))</f>
        <v>200</v>
      </c>
      <c r="AF306" s="334">
        <f>$AD306*INDEX(项目参数!$D$5:$D$14,MATCH(服务费底表!$S306,项目参数!$B$5:$B$14,0))</f>
        <v>0</v>
      </c>
      <c r="AG306" s="334">
        <f t="shared" ref="AG306:AG308" si="292">AD306-AF306</f>
        <v>200</v>
      </c>
      <c r="AH306" s="328"/>
      <c r="AI306" s="328" t="s">
        <v>631</v>
      </c>
      <c r="AJ306" s="327">
        <v>1</v>
      </c>
      <c r="AK306" s="327">
        <v>1</v>
      </c>
      <c r="AL306" s="327">
        <v>1</v>
      </c>
      <c r="AM306" s="327">
        <v>1</v>
      </c>
      <c r="AN306" s="327">
        <v>1</v>
      </c>
      <c r="AO306" s="327">
        <f t="shared" si="279"/>
        <v>1</v>
      </c>
      <c r="AP306" s="327">
        <v>0.5</v>
      </c>
      <c r="AQ306" s="327">
        <f t="shared" ref="AQ306:AQ308" si="293">AJ306*$AQ$1</f>
        <v>1.5</v>
      </c>
      <c r="AR306" s="338"/>
      <c r="AS306" s="328">
        <f t="shared" ref="AS306:AS313" si="294">AC306</f>
        <v>1</v>
      </c>
      <c r="AT306" s="328">
        <f t="shared" ref="AT306:AT313" si="295">Y306*P306</f>
        <v>1</v>
      </c>
      <c r="AU306" s="523">
        <v>1</v>
      </c>
      <c r="AV306" s="328"/>
      <c r="AW306" s="328"/>
      <c r="AX306" s="332">
        <v>1</v>
      </c>
      <c r="AY306" s="328" t="b">
        <f t="shared" ref="AY306:AY313" si="296">IF(AX306=AJ306,TRUE,FALSE)</f>
        <v>1</v>
      </c>
      <c r="AZ306" s="328" t="b">
        <f t="shared" si="235"/>
        <v>0</v>
      </c>
    </row>
    <row r="307" ht="27" customHeight="1" spans="1:52">
      <c r="A307" s="326" t="str">
        <f>INDEX('Rate Card'!$A:$A,MATCH(服务费底表!$T307,'Rate Card'!$F:$F,0))</f>
        <v>数统</v>
      </c>
      <c r="B307" s="327" t="str">
        <f>INDEX(二三级标准!$G:$G,MATCH(服务费底表!$K307,二三级标准!B:B,0))</f>
        <v>份</v>
      </c>
      <c r="C307" s="327">
        <f>INDEX(服务费明细!$E:$E,MATCH(服务费底表!$K307,服务费明细!$B:$B,0))</f>
        <v>1</v>
      </c>
      <c r="D307" s="327" t="str">
        <f t="shared" si="284"/>
        <v>A249LDM</v>
      </c>
      <c r="E307" s="327" t="str">
        <f t="shared" si="285"/>
        <v>T0718LDM</v>
      </c>
      <c r="F307" s="328"/>
      <c r="G307" s="328" t="s">
        <v>684</v>
      </c>
      <c r="H307" s="326" t="str">
        <f>INDEX('Rate Card'!$B:$B,MATCH(服务费底表!$T307,'Rate Card'!$F:$F,0))</f>
        <v>数据管理</v>
      </c>
      <c r="I307" s="328" t="s">
        <v>923</v>
      </c>
      <c r="J307" s="328" t="str">
        <f>INDEX(二三级标准!$Q:$Q,MATCH(服务费底表!I307,二三级标准!$O:$O,0))</f>
        <v>数据管理</v>
      </c>
      <c r="K307" s="532" t="s">
        <v>1045</v>
      </c>
      <c r="L307" s="328" t="str">
        <f>INDEX(二三级标准!C:C,MATCH(服务费底表!K307,二三级标准!$B:$B,0))</f>
        <v>撰写DMP</v>
      </c>
      <c r="M307" s="328" t="s">
        <v>1376</v>
      </c>
      <c r="N307" s="328" t="str">
        <f>INDEX(二三级标准!$M:$M,MATCH(服务费底表!$M307,二三级标准!$L:$L,0))</f>
        <v>医学编码规范审核</v>
      </c>
      <c r="O307" s="328"/>
      <c r="P307" s="531">
        <f>IF(R307=1,INDEX(服务费明细!$E:$E,MATCH(服务费底表!$K307,服务费明细!$B:$B,0)),0)</f>
        <v>1</v>
      </c>
      <c r="Q307" s="328" t="s">
        <v>1176</v>
      </c>
      <c r="R307" s="520">
        <f>IF(AND(撰写数据管理文档YN=1,数据管理YN=1),1,0)</f>
        <v>1</v>
      </c>
      <c r="S307" s="524" t="str">
        <f>INDEX('Rate Card'!$D:$D,MATCH(服务费底表!$T307,'Rate Card'!F:F,0))</f>
        <v>数据管理</v>
      </c>
      <c r="T307" s="328" t="s">
        <v>633</v>
      </c>
      <c r="U307" s="522" t="str">
        <f>INDEX('Rate Card'!$E:$E,MATCH(服务费底表!$T307,'Rate Card'!$F:$F,0))</f>
        <v>数据管理经理</v>
      </c>
      <c r="V307" s="331">
        <f>INDEX('Rate Card'!$J:$J,MATCH($T307,'Rate Card'!$F:$F,0))</f>
        <v>360</v>
      </c>
      <c r="W307" s="523">
        <f t="shared" si="286"/>
        <v>360</v>
      </c>
      <c r="X307" s="523">
        <f t="shared" si="287"/>
        <v>0.5</v>
      </c>
      <c r="Y307" s="327" cm="1">
        <f t="array" ref="Y307">_xlfn.IFS(报价场景=服务费底表!$AJ$2,服务费底表!$AJ307,报价场景=服务费底表!$AP$2,服务费底表!$AP307,报价场景=服务费底表!$AK$2,服务费底表!$AK307,报价场景=服务费底表!$AL$2,服务费底表!$AL307,报价场景=服务费底表!$AM$2,服务费底表!$AM307,报价场景=服务费底表!$AN$2,服务费底表!$AN307,报价场景=服务费底表!$AQ$2,服务费底表!$AQ307,报价场景=服务费底表!$AO$2,服务费底表!$AO307)</f>
        <v>0.5</v>
      </c>
      <c r="Z307" s="327"/>
      <c r="AA307" s="332">
        <f t="shared" si="288"/>
        <v>0.5</v>
      </c>
      <c r="AB307" s="333">
        <f t="shared" si="289"/>
        <v>180</v>
      </c>
      <c r="AC307" s="328">
        <f t="shared" si="290"/>
        <v>0.5</v>
      </c>
      <c r="AD307" s="334">
        <f t="shared" si="291"/>
        <v>180</v>
      </c>
      <c r="AE307" s="334">
        <f>$AB307*(1-INDEX(项目参数!$D$5:$D$14,MATCH(服务费底表!$S307,项目参数!$B$5:$B$14,0)))</f>
        <v>180</v>
      </c>
      <c r="AF307" s="334">
        <f>$AD307*INDEX(项目参数!$D$5:$D$14,MATCH(服务费底表!$S307,项目参数!$B$5:$B$14,0))</f>
        <v>0</v>
      </c>
      <c r="AG307" s="334">
        <f t="shared" si="292"/>
        <v>180</v>
      </c>
      <c r="AH307" s="328"/>
      <c r="AI307" s="328" t="s">
        <v>633</v>
      </c>
      <c r="AJ307" s="327">
        <v>0.5</v>
      </c>
      <c r="AK307" s="327">
        <v>0.5</v>
      </c>
      <c r="AL307" s="327">
        <v>0.5</v>
      </c>
      <c r="AM307" s="327">
        <v>0.5</v>
      </c>
      <c r="AN307" s="327">
        <v>0.5</v>
      </c>
      <c r="AO307" s="327">
        <f t="shared" si="279"/>
        <v>0.5</v>
      </c>
      <c r="AP307" s="327">
        <v>0.2</v>
      </c>
      <c r="AQ307" s="327">
        <f t="shared" si="293"/>
        <v>0.75</v>
      </c>
      <c r="AR307" s="338"/>
      <c r="AS307" s="328">
        <f t="shared" si="294"/>
        <v>0.5</v>
      </c>
      <c r="AT307" s="328">
        <f t="shared" si="295"/>
        <v>0.5</v>
      </c>
      <c r="AU307" s="523">
        <v>0.5</v>
      </c>
      <c r="AV307" s="328"/>
      <c r="AW307" s="328"/>
      <c r="AX307" s="332">
        <v>0.5</v>
      </c>
      <c r="AY307" s="328" t="b">
        <f t="shared" si="296"/>
        <v>1</v>
      </c>
      <c r="AZ307" s="328" t="b">
        <f t="shared" si="235"/>
        <v>0</v>
      </c>
    </row>
    <row r="308" ht="27" customHeight="1" spans="1:52">
      <c r="A308" s="326" t="str">
        <f>INDEX('Rate Card'!$A:$A,MATCH(服务费底表!$T308,'Rate Card'!$F:$F,0))</f>
        <v>医学</v>
      </c>
      <c r="B308" s="327" t="str">
        <f>INDEX(二三级标准!$G:$G,MATCH(服务费底表!$K308,二三级标准!B:B,0))</f>
        <v>份</v>
      </c>
      <c r="C308" s="327">
        <f>INDEX(服务费明细!$E:$E,MATCH(服务费底表!$K308,服务费明细!$B:$B,0))</f>
        <v>1</v>
      </c>
      <c r="D308" s="327" t="str">
        <f t="shared" si="284"/>
        <v>A249MM</v>
      </c>
      <c r="E308" s="327" t="str">
        <f t="shared" si="285"/>
        <v>T0718MM</v>
      </c>
      <c r="F308" s="328"/>
      <c r="G308" s="328" t="s">
        <v>684</v>
      </c>
      <c r="H308" s="326" t="str">
        <f>INDEX('Rate Card'!$B:$B,MATCH(服务费底表!$T308,'Rate Card'!$F:$F,0))</f>
        <v>医学</v>
      </c>
      <c r="I308" s="328" t="s">
        <v>923</v>
      </c>
      <c r="J308" s="328" t="str">
        <f>INDEX(二三级标准!$Q:$Q,MATCH(服务费底表!I308,二三级标准!$O:$O,0))</f>
        <v>数据管理</v>
      </c>
      <c r="K308" s="532" t="s">
        <v>1045</v>
      </c>
      <c r="L308" s="328" t="str">
        <f>INDEX(二三级标准!C:C,MATCH(服务费底表!K308,二三级标准!$B:$B,0))</f>
        <v>撰写DMP</v>
      </c>
      <c r="M308" s="328" t="s">
        <v>1376</v>
      </c>
      <c r="N308" s="328" t="str">
        <f>INDEX(二三级标准!$M:$M,MATCH(服务费底表!$M308,二三级标准!$L:$L,0))</f>
        <v>医学编码规范审核</v>
      </c>
      <c r="O308" s="328"/>
      <c r="P308" s="531">
        <f>IF(R308=1,INDEX(服务费明细!$E:$E,MATCH(服务费底表!$K308,服务费明细!$B:$B,0)),0)</f>
        <v>1</v>
      </c>
      <c r="Q308" s="328" t="s">
        <v>1176</v>
      </c>
      <c r="R308" s="520">
        <f>IF(AND(撰写数据管理文档YN=1,医学监查YN=1),1,0)</f>
        <v>1</v>
      </c>
      <c r="S308" s="521" t="str">
        <f>IF(AND(H308="医学",OR(I308=二三级标准!$A$4,I308=二三级标准!$A$153)),"医学撰写","医学监查")</f>
        <v>医学监查</v>
      </c>
      <c r="T308" s="328" t="s">
        <v>615</v>
      </c>
      <c r="U308" s="522" t="str">
        <f>INDEX('Rate Card'!$E:$E,MATCH(服务费底表!$T308,'Rate Card'!$F:$F,0))</f>
        <v>医学经理</v>
      </c>
      <c r="V308" s="331">
        <f>INDEX('Rate Card'!$J:$J,MATCH($T308,'Rate Card'!$F:$F,0))</f>
        <v>650</v>
      </c>
      <c r="W308" s="523">
        <f t="shared" si="286"/>
        <v>650</v>
      </c>
      <c r="X308" s="523">
        <f t="shared" si="287"/>
        <v>0.5</v>
      </c>
      <c r="Y308" s="327" cm="1">
        <f t="array" ref="Y308">_xlfn.IFS(报价场景=服务费底表!$AJ$2,服务费底表!$AJ308,报价场景=服务费底表!$AP$2,服务费底表!$AP308,报价场景=服务费底表!$AK$2,服务费底表!$AK308,报价场景=服务费底表!$AL$2,服务费底表!$AL308,报价场景=服务费底表!$AM$2,服务费底表!$AM308,报价场景=服务费底表!$AN$2,服务费底表!$AN308,报价场景=服务费底表!$AQ$2,服务费底表!$AQ308,报价场景=服务费底表!$AO$2,服务费底表!$AO308)</f>
        <v>0.5</v>
      </c>
      <c r="Z308" s="327"/>
      <c r="AA308" s="332">
        <f t="shared" si="288"/>
        <v>0.5</v>
      </c>
      <c r="AB308" s="333">
        <f t="shared" si="289"/>
        <v>325</v>
      </c>
      <c r="AC308" s="328">
        <f t="shared" si="290"/>
        <v>0.5</v>
      </c>
      <c r="AD308" s="334">
        <f t="shared" si="291"/>
        <v>325</v>
      </c>
      <c r="AE308" s="334">
        <f>$AB308*(1-INDEX(项目参数!$D$5:$D$14,MATCH(服务费底表!$S308,项目参数!$B$5:$B$14,0)))</f>
        <v>325</v>
      </c>
      <c r="AF308" s="334">
        <f>$AD308*INDEX(项目参数!$D$5:$D$14,MATCH(服务费底表!$S308,项目参数!$B$5:$B$14,0))</f>
        <v>0</v>
      </c>
      <c r="AG308" s="334">
        <f t="shared" si="292"/>
        <v>325</v>
      </c>
      <c r="AH308" s="328"/>
      <c r="AI308" s="328" t="s">
        <v>615</v>
      </c>
      <c r="AJ308" s="327">
        <v>0.5</v>
      </c>
      <c r="AK308" s="327">
        <v>0.5</v>
      </c>
      <c r="AL308" s="327">
        <v>0.5</v>
      </c>
      <c r="AM308" s="327">
        <v>0.5</v>
      </c>
      <c r="AN308" s="327">
        <v>0.5</v>
      </c>
      <c r="AO308" s="327">
        <f t="shared" si="279"/>
        <v>0.5</v>
      </c>
      <c r="AP308" s="327">
        <v>0.5</v>
      </c>
      <c r="AQ308" s="327">
        <f t="shared" si="293"/>
        <v>0.75</v>
      </c>
      <c r="AR308" s="338"/>
      <c r="AS308" s="328">
        <f t="shared" si="294"/>
        <v>0.5</v>
      </c>
      <c r="AT308" s="328">
        <f t="shared" si="295"/>
        <v>0.5</v>
      </c>
      <c r="AU308" s="523">
        <v>0.5</v>
      </c>
      <c r="AV308" s="328"/>
      <c r="AW308" s="328"/>
      <c r="AX308" s="332">
        <v>0.5</v>
      </c>
      <c r="AY308" s="328" t="b">
        <f t="shared" si="296"/>
        <v>1</v>
      </c>
      <c r="AZ308" s="328" t="b">
        <f t="shared" si="235"/>
        <v>0</v>
      </c>
    </row>
    <row r="309" ht="27" customHeight="1" spans="1:52">
      <c r="A309" s="326" t="str">
        <f>INDEX('Rate Card'!$A:$A,MATCH(服务费底表!$T309,'Rate Card'!$F:$F,0))</f>
        <v>数统</v>
      </c>
      <c r="B309" s="327" t="str">
        <f>INDEX(二三级标准!$G:$G,MATCH(服务费底表!$K309,二三级标准!B:B,0))</f>
        <v>份</v>
      </c>
      <c r="C309" s="327">
        <f>INDEX(服务费明细!$E:$E,MATCH(服务费底表!$K309,服务费明细!$B:$B,0))</f>
        <v>1</v>
      </c>
      <c r="D309" s="327" t="str">
        <f t="shared" ref="D309:D325" si="297">K309&amp;T309</f>
        <v>A250DM</v>
      </c>
      <c r="E309" s="327" t="str">
        <f t="shared" ref="E309:E325" si="298">M309&amp;T309</f>
        <v>T0720DM</v>
      </c>
      <c r="F309" s="328"/>
      <c r="G309" s="328" t="s">
        <v>684</v>
      </c>
      <c r="H309" s="326" t="str">
        <f>INDEX('Rate Card'!$B:$B,MATCH(服务费底表!$T309,'Rate Card'!$F:$F,0))</f>
        <v>数据管理</v>
      </c>
      <c r="I309" s="328" t="s">
        <v>923</v>
      </c>
      <c r="J309" s="328" t="str">
        <f>INDEX(二三级标准!$Q:$Q,MATCH(服务费底表!I309,二三级标准!$O:$O,0))</f>
        <v>数据管理</v>
      </c>
      <c r="K309" s="328" t="s">
        <v>1047</v>
      </c>
      <c r="L309" s="328" t="str">
        <f>INDEX(二三级标准!C:C,MATCH(服务费底表!K309,二三级标准!$B:$B,0))</f>
        <v>撰写CCG</v>
      </c>
      <c r="M309" s="328" t="s">
        <v>1377</v>
      </c>
      <c r="N309" s="328" t="str">
        <f>INDEX(二三级标准!$M:$M,MATCH(服务费底表!$M309,二三级标准!$L:$L,0))</f>
        <v>CCG起草和定稿</v>
      </c>
      <c r="O309" s="328"/>
      <c r="P309" s="531">
        <f>IF(R309=1,INDEX(服务费明细!$E:$E,MATCH(服务费底表!$K309,服务费明细!$B:$B,0)),0)</f>
        <v>1</v>
      </c>
      <c r="Q309" s="328" t="s">
        <v>1176</v>
      </c>
      <c r="R309" s="520">
        <f>IF(AND(撰写数据管理文档YN=1,数据管理YN=1),1,0)</f>
        <v>1</v>
      </c>
      <c r="S309" s="524" t="str">
        <f>INDEX('Rate Card'!$D:$D,MATCH(服务费底表!$T309,'Rate Card'!F:F,0))</f>
        <v>数据管理</v>
      </c>
      <c r="T309" s="328" t="s">
        <v>631</v>
      </c>
      <c r="U309" s="522" t="str">
        <f>INDEX('Rate Card'!$E:$E,MATCH(服务费底表!$T309,'Rate Card'!$F:$F,0))</f>
        <v>数据管理专员</v>
      </c>
      <c r="V309" s="331">
        <f>INDEX('Rate Card'!$J:$J,MATCH($T309,'Rate Card'!$F:$F,0))</f>
        <v>200</v>
      </c>
      <c r="W309" s="523">
        <f t="shared" ref="W309:W342" si="299">V309*(1-$W$1)</f>
        <v>200</v>
      </c>
      <c r="X309" s="523">
        <f t="shared" ref="X309:X342" si="300">Y309*$X$1</f>
        <v>10</v>
      </c>
      <c r="Y309" s="327" cm="1">
        <f t="array" ref="Y309">_xlfn.IFS(报价场景=服务费底表!$AJ$2,服务费底表!$AJ309,报价场景=服务费底表!$AP$2,服务费底表!$AP309,报价场景=服务费底表!$AK$2,服务费底表!$AK309,报价场景=服务费底表!$AL$2,服务费底表!$AL309,报价场景=服务费底表!$AM$2,服务费底表!$AM309,报价场景=服务费底表!$AN$2,服务费底表!$AN309,报价场景=服务费底表!$AQ$2,服务费底表!$AQ309,报价场景=服务费底表!$AO$2,服务费底表!$AO309)</f>
        <v>10</v>
      </c>
      <c r="Z309" s="327"/>
      <c r="AA309" s="332">
        <f t="shared" ref="AA309:AA331" si="301">IF(ISBLANK($Z309),$Y309,$Z309)</f>
        <v>10</v>
      </c>
      <c r="AB309" s="333">
        <f t="shared" ref="AB309:AB325" si="302">IFERROR(AD309/P309,0)</f>
        <v>2000</v>
      </c>
      <c r="AC309" s="328">
        <f t="shared" ref="AC309:AC325" si="303">AA309*P309*R309</f>
        <v>10</v>
      </c>
      <c r="AD309" s="334">
        <f t="shared" ref="AD309:AD318" si="304">AC309*V309</f>
        <v>2000</v>
      </c>
      <c r="AE309" s="334">
        <f>$AB309*(1-INDEX(项目参数!$D$5:$D$14,MATCH(服务费底表!$S309,项目参数!$B$5:$B$14,0)))</f>
        <v>2000</v>
      </c>
      <c r="AF309" s="334">
        <f>$AD309*INDEX(项目参数!$D$5:$D$14,MATCH(服务费底表!$S309,项目参数!$B$5:$B$14,0))</f>
        <v>0</v>
      </c>
      <c r="AG309" s="334">
        <f t="shared" ref="AG309:AG318" si="305">AD309-AF309</f>
        <v>2000</v>
      </c>
      <c r="AH309" s="328"/>
      <c r="AI309" s="328" t="s">
        <v>631</v>
      </c>
      <c r="AJ309" s="327">
        <v>10</v>
      </c>
      <c r="AK309" s="327">
        <v>16</v>
      </c>
      <c r="AL309" s="327">
        <v>8</v>
      </c>
      <c r="AM309" s="327">
        <v>16</v>
      </c>
      <c r="AN309" s="327">
        <v>10</v>
      </c>
      <c r="AO309" s="327">
        <f t="shared" si="279"/>
        <v>8</v>
      </c>
      <c r="AP309" s="327">
        <v>10</v>
      </c>
      <c r="AQ309" s="327">
        <f t="shared" ref="AQ309:AQ342" si="306">AJ309*$AQ$1</f>
        <v>15</v>
      </c>
      <c r="AR309" s="338"/>
      <c r="AS309" s="328">
        <f t="shared" si="294"/>
        <v>10</v>
      </c>
      <c r="AT309" s="328">
        <f t="shared" si="295"/>
        <v>10</v>
      </c>
      <c r="AU309" s="523">
        <v>10</v>
      </c>
      <c r="AV309" s="328"/>
      <c r="AW309" s="328"/>
      <c r="AX309" s="332">
        <v>10</v>
      </c>
      <c r="AY309" s="328" t="b">
        <f t="shared" si="296"/>
        <v>1</v>
      </c>
      <c r="AZ309" s="328" t="b">
        <f t="shared" si="235"/>
        <v>1</v>
      </c>
    </row>
    <row r="310" ht="27" customHeight="1" spans="1:52">
      <c r="A310" s="326" t="str">
        <f>INDEX('Rate Card'!$A:$A,MATCH(服务费底表!$T310,'Rate Card'!$F:$F,0))</f>
        <v>数统</v>
      </c>
      <c r="B310" s="327" t="str">
        <f>INDEX(二三级标准!$G:$G,MATCH(服务费底表!$K310,二三级标准!B:B,0))</f>
        <v>份</v>
      </c>
      <c r="C310" s="327">
        <f>INDEX(服务费明细!$E:$E,MATCH(服务费底表!$K310,服务费明细!$B:$B,0))</f>
        <v>1</v>
      </c>
      <c r="D310" s="327" t="str">
        <f t="shared" si="297"/>
        <v>A250LDM</v>
      </c>
      <c r="E310" s="327" t="str">
        <f t="shared" si="298"/>
        <v>T0721LDM</v>
      </c>
      <c r="F310" s="328"/>
      <c r="G310" s="328" t="s">
        <v>684</v>
      </c>
      <c r="H310" s="326" t="str">
        <f>INDEX('Rate Card'!$B:$B,MATCH(服务费底表!$T310,'Rate Card'!$F:$F,0))</f>
        <v>数据管理</v>
      </c>
      <c r="I310" s="328" t="s">
        <v>923</v>
      </c>
      <c r="J310" s="328" t="str">
        <f>INDEX(二三级标准!$Q:$Q,MATCH(服务费底表!I310,二三级标准!$O:$O,0))</f>
        <v>数据管理</v>
      </c>
      <c r="K310" s="328" t="s">
        <v>1047</v>
      </c>
      <c r="L310" s="328" t="str">
        <f>INDEX(二三级标准!C:C,MATCH(服务费底表!K310,二三级标准!$B:$B,0))</f>
        <v>撰写CCG</v>
      </c>
      <c r="M310" s="328" t="s">
        <v>1378</v>
      </c>
      <c r="N310" s="328" t="str">
        <f>INDEX(二三级标准!$M:$M,MATCH(服务费底表!$M310,二三级标准!$L:$L,0))</f>
        <v>CCG审核</v>
      </c>
      <c r="O310" s="328"/>
      <c r="P310" s="531">
        <f>IF(R310=1,INDEX(服务费明细!$E:$E,MATCH(服务费底表!$K310,服务费明细!$B:$B,0)),0)</f>
        <v>1</v>
      </c>
      <c r="Q310" s="328" t="s">
        <v>1176</v>
      </c>
      <c r="R310" s="520">
        <f>IF(AND(撰写数据管理文档YN=1,数据管理YN=1),1,0)</f>
        <v>1</v>
      </c>
      <c r="S310" s="524" t="str">
        <f>INDEX('Rate Card'!$D:$D,MATCH(服务费底表!$T310,'Rate Card'!F:F,0))</f>
        <v>数据管理</v>
      </c>
      <c r="T310" s="328" t="s">
        <v>633</v>
      </c>
      <c r="U310" s="522" t="str">
        <f>INDEX('Rate Card'!$E:$E,MATCH(服务费底表!$T310,'Rate Card'!$F:$F,0))</f>
        <v>数据管理经理</v>
      </c>
      <c r="V310" s="331">
        <f>INDEX('Rate Card'!$J:$J,MATCH($T310,'Rate Card'!$F:$F,0))</f>
        <v>360</v>
      </c>
      <c r="W310" s="523">
        <f t="shared" si="299"/>
        <v>360</v>
      </c>
      <c r="X310" s="523">
        <f t="shared" si="300"/>
        <v>2</v>
      </c>
      <c r="Y310" s="327" cm="1">
        <f t="array" ref="Y310">_xlfn.IFS(报价场景=服务费底表!$AJ$2,服务费底表!$AJ310,报价场景=服务费底表!$AP$2,服务费底表!$AP310,报价场景=服务费底表!$AK$2,服务费底表!$AK310,报价场景=服务费底表!$AL$2,服务费底表!$AL310,报价场景=服务费底表!$AM$2,服务费底表!$AM310,报价场景=服务费底表!$AN$2,服务费底表!$AN310,报价场景=服务费底表!$AQ$2,服务费底表!$AQ310,报价场景=服务费底表!$AO$2,服务费底表!$AO310)</f>
        <v>2</v>
      </c>
      <c r="Z310" s="327"/>
      <c r="AA310" s="332">
        <f t="shared" si="301"/>
        <v>2</v>
      </c>
      <c r="AB310" s="333">
        <f t="shared" si="302"/>
        <v>720</v>
      </c>
      <c r="AC310" s="328">
        <f t="shared" si="303"/>
        <v>2</v>
      </c>
      <c r="AD310" s="334">
        <f t="shared" si="304"/>
        <v>720</v>
      </c>
      <c r="AE310" s="334">
        <f>$AB310*(1-INDEX(项目参数!$D$5:$D$14,MATCH(服务费底表!$S310,项目参数!$B$5:$B$14,0)))</f>
        <v>720</v>
      </c>
      <c r="AF310" s="334">
        <f>$AD310*INDEX(项目参数!$D$5:$D$14,MATCH(服务费底表!$S310,项目参数!$B$5:$B$14,0))</f>
        <v>0</v>
      </c>
      <c r="AG310" s="334">
        <f t="shared" si="305"/>
        <v>720</v>
      </c>
      <c r="AH310" s="328"/>
      <c r="AI310" s="328" t="s">
        <v>633</v>
      </c>
      <c r="AJ310" s="327">
        <v>2</v>
      </c>
      <c r="AK310" s="327">
        <v>6</v>
      </c>
      <c r="AL310" s="327">
        <v>2</v>
      </c>
      <c r="AM310" s="327">
        <v>6</v>
      </c>
      <c r="AN310" s="327">
        <v>2</v>
      </c>
      <c r="AO310" s="327">
        <f t="shared" si="279"/>
        <v>2</v>
      </c>
      <c r="AP310" s="327">
        <v>2</v>
      </c>
      <c r="AQ310" s="327">
        <f t="shared" si="306"/>
        <v>3</v>
      </c>
      <c r="AR310" s="338"/>
      <c r="AS310" s="328">
        <f t="shared" si="294"/>
        <v>2</v>
      </c>
      <c r="AT310" s="328">
        <f t="shared" si="295"/>
        <v>2</v>
      </c>
      <c r="AU310" s="523">
        <v>2</v>
      </c>
      <c r="AV310" s="328"/>
      <c r="AW310" s="328"/>
      <c r="AX310" s="332">
        <v>2</v>
      </c>
      <c r="AY310" s="328" t="b">
        <f t="shared" si="296"/>
        <v>1</v>
      </c>
      <c r="AZ310" s="328" t="b">
        <f t="shared" si="235"/>
        <v>1</v>
      </c>
    </row>
    <row r="311" ht="27" customHeight="1" spans="1:52">
      <c r="A311" s="326" t="str">
        <f>INDEX('Rate Card'!$A:$A,MATCH(服务费底表!$T311,'Rate Card'!$F:$F,0))</f>
        <v>数统</v>
      </c>
      <c r="B311" s="336" t="str">
        <f>INDEX(二三级标准!$G:$G,MATCH(服务费底表!$K311,二三级标准!B:B,0))</f>
        <v>份</v>
      </c>
      <c r="C311" s="327">
        <f>INDEX(服务费明细!$E:$E,MATCH(服务费底表!$K311,服务费明细!$B:$B,0))</f>
        <v>1</v>
      </c>
      <c r="D311" s="327" t="str">
        <f t="shared" si="297"/>
        <v>A251DM</v>
      </c>
      <c r="E311" s="327" t="str">
        <f t="shared" si="298"/>
        <v>T0722DM</v>
      </c>
      <c r="F311" s="328"/>
      <c r="G311" s="328" t="s">
        <v>684</v>
      </c>
      <c r="H311" s="326" t="str">
        <f>INDEX('Rate Card'!$B:$B,MATCH(服务费底表!$T311,'Rate Card'!$F:$F,0))</f>
        <v>数据管理</v>
      </c>
      <c r="I311" s="328" t="s">
        <v>923</v>
      </c>
      <c r="J311" s="328" t="str">
        <f>INDEX(二三级标准!$Q:$Q,MATCH(服务费底表!I311,二三级标准!$O:$O,0))</f>
        <v>数据管理</v>
      </c>
      <c r="K311" s="328" t="s">
        <v>1049</v>
      </c>
      <c r="L311" s="328" t="str">
        <f>INDEX(二三级标准!C:C,MATCH(服务费底表!K311,二三级标准!$B:$B,0))</f>
        <v>撰写DVP</v>
      </c>
      <c r="M311" s="328" t="s">
        <v>1379</v>
      </c>
      <c r="N311" s="328" t="str">
        <f>INDEX(二三级标准!$M:$M,MATCH(服务费底表!$M311,二三级标准!$L:$L,0))</f>
        <v>DVP起草和定稿</v>
      </c>
      <c r="O311" s="328"/>
      <c r="P311" s="531">
        <f>IF(R311=1,数据核查计划条数,0)</f>
        <v>670</v>
      </c>
      <c r="Q311" s="328" t="s">
        <v>1380</v>
      </c>
      <c r="R311" s="520">
        <f>IF(AND(撰写数据管理文档YN=1,数据管理YN=1),1,0)</f>
        <v>1</v>
      </c>
      <c r="S311" s="524" t="str">
        <f>INDEX('Rate Card'!$D:$D,MATCH(服务费底表!$T311,'Rate Card'!F:F,0))</f>
        <v>数据管理</v>
      </c>
      <c r="T311" s="328" t="s">
        <v>631</v>
      </c>
      <c r="U311" s="522" t="str">
        <f>INDEX('Rate Card'!$E:$E,MATCH(服务费底表!$T311,'Rate Card'!$F:$F,0))</f>
        <v>数据管理专员</v>
      </c>
      <c r="V311" s="331">
        <f>INDEX('Rate Card'!$J:$J,MATCH($T311,'Rate Card'!$F:$F,0))</f>
        <v>200</v>
      </c>
      <c r="W311" s="523">
        <f t="shared" si="299"/>
        <v>200</v>
      </c>
      <c r="X311" s="523">
        <f t="shared" si="300"/>
        <v>0.04</v>
      </c>
      <c r="Y311" s="327" cm="1">
        <f t="array" ref="Y311">_xlfn.IFS(报价场景=服务费底表!$AJ$2,服务费底表!$AJ311,报价场景=服务费底表!$AP$2,服务费底表!$AP311,报价场景=服务费底表!$AK$2,服务费底表!$AK311,报价场景=服务费底表!$AL$2,服务费底表!$AL311,报价场景=服务费底表!$AM$2,服务费底表!$AM311,报价场景=服务费底表!$AN$2,服务费底表!$AN311,报价场景=服务费底表!$AQ$2,服务费底表!$AQ311,报价场景=服务费底表!$AO$2,服务费底表!$AO311)</f>
        <v>0.04</v>
      </c>
      <c r="Z311" s="327"/>
      <c r="AA311" s="332">
        <f t="shared" si="301"/>
        <v>0.04</v>
      </c>
      <c r="AB311" s="333">
        <f t="shared" si="302"/>
        <v>8</v>
      </c>
      <c r="AC311" s="328">
        <f t="shared" si="303"/>
        <v>26.8</v>
      </c>
      <c r="AD311" s="334">
        <f t="shared" si="304"/>
        <v>5360</v>
      </c>
      <c r="AE311" s="334">
        <f>$AB311*(1-INDEX(项目参数!$D$5:$D$14,MATCH(服务费底表!$S311,项目参数!$B$5:$B$14,0)))</f>
        <v>8</v>
      </c>
      <c r="AF311" s="334">
        <f>$AD311*INDEX(项目参数!$D$5:$D$14,MATCH(服务费底表!$S311,项目参数!$B$5:$B$14,0))</f>
        <v>0</v>
      </c>
      <c r="AG311" s="334">
        <f t="shared" si="305"/>
        <v>5360</v>
      </c>
      <c r="AH311" s="328"/>
      <c r="AI311" s="328" t="s">
        <v>631</v>
      </c>
      <c r="AJ311" s="327">
        <v>0.04</v>
      </c>
      <c r="AK311" s="327">
        <v>0.04</v>
      </c>
      <c r="AL311" s="327">
        <v>0.04</v>
      </c>
      <c r="AM311" s="327">
        <v>0.04</v>
      </c>
      <c r="AN311" s="327">
        <v>0.04</v>
      </c>
      <c r="AO311" s="327">
        <f t="shared" si="279"/>
        <v>0.04</v>
      </c>
      <c r="AP311" s="327">
        <v>0.04</v>
      </c>
      <c r="AQ311" s="327">
        <f t="shared" si="306"/>
        <v>0.06</v>
      </c>
      <c r="AR311" s="338"/>
      <c r="AS311" s="328">
        <f t="shared" si="294"/>
        <v>26.8</v>
      </c>
      <c r="AT311" s="328">
        <f t="shared" si="295"/>
        <v>26.8</v>
      </c>
      <c r="AU311" s="523">
        <v>0.02</v>
      </c>
      <c r="AV311" s="328"/>
      <c r="AW311" s="328"/>
      <c r="AX311" s="332">
        <v>0.02</v>
      </c>
      <c r="AY311" s="328" t="b">
        <f t="shared" si="296"/>
        <v>0</v>
      </c>
      <c r="AZ311" s="328" t="b">
        <f t="shared" si="235"/>
        <v>0</v>
      </c>
    </row>
    <row r="312" ht="27" customHeight="1" spans="1:52">
      <c r="A312" s="326" t="str">
        <f>INDEX('Rate Card'!$A:$A,MATCH(服务费底表!$T312,'Rate Card'!$F:$F,0))</f>
        <v>数统</v>
      </c>
      <c r="B312" s="336" t="str">
        <f>INDEX(二三级标准!$G:$G,MATCH(服务费底表!$K312,二三级标准!B:B,0))</f>
        <v>份</v>
      </c>
      <c r="C312" s="327">
        <f>INDEX(服务费明细!$E:$E,MATCH(服务费底表!$K312,服务费明细!$B:$B,0))</f>
        <v>1</v>
      </c>
      <c r="D312" s="327" t="str">
        <f t="shared" si="297"/>
        <v>A251LDM</v>
      </c>
      <c r="E312" s="327" t="str">
        <f t="shared" si="298"/>
        <v>T0723LDM</v>
      </c>
      <c r="F312" s="328"/>
      <c r="G312" s="328" t="s">
        <v>684</v>
      </c>
      <c r="H312" s="326" t="str">
        <f>INDEX('Rate Card'!$B:$B,MATCH(服务费底表!$T312,'Rate Card'!$F:$F,0))</f>
        <v>数据管理</v>
      </c>
      <c r="I312" s="328" t="s">
        <v>923</v>
      </c>
      <c r="J312" s="328" t="str">
        <f>INDEX(二三级标准!$Q:$Q,MATCH(服务费底表!I312,二三级标准!$O:$O,0))</f>
        <v>数据管理</v>
      </c>
      <c r="K312" s="328" t="s">
        <v>1049</v>
      </c>
      <c r="L312" s="328" t="str">
        <f>INDEX(二三级标准!C:C,MATCH(服务费底表!K312,二三级标准!$B:$B,0))</f>
        <v>撰写DVP</v>
      </c>
      <c r="M312" s="328" t="s">
        <v>1381</v>
      </c>
      <c r="N312" s="328" t="str">
        <f>INDEX(二三级标准!$M:$M,MATCH(服务费底表!$M312,二三级标准!$L:$L,0))</f>
        <v>DVP审核</v>
      </c>
      <c r="O312" s="328"/>
      <c r="P312" s="531">
        <f>IF(R312=1,INDEX(服务费明细!$E:$E,MATCH(服务费底表!$K312,服务费明细!$B:$B,0)),0)</f>
        <v>1</v>
      </c>
      <c r="Q312" s="328" t="s">
        <v>1176</v>
      </c>
      <c r="R312" s="520">
        <f>IF(AND(撰写数据管理文档YN=1,数据管理YN=1),1,0)</f>
        <v>1</v>
      </c>
      <c r="S312" s="524" t="str">
        <f>INDEX('Rate Card'!$D:$D,MATCH(服务费底表!$T312,'Rate Card'!F:F,0))</f>
        <v>数据管理</v>
      </c>
      <c r="T312" s="328" t="s">
        <v>633</v>
      </c>
      <c r="U312" s="522" t="str">
        <f>INDEX('Rate Card'!$E:$E,MATCH(服务费底表!$T312,'Rate Card'!$F:$F,0))</f>
        <v>数据管理经理</v>
      </c>
      <c r="V312" s="331">
        <f>INDEX('Rate Card'!$J:$J,MATCH($T312,'Rate Card'!$F:$F,0))</f>
        <v>360</v>
      </c>
      <c r="W312" s="523">
        <f t="shared" si="299"/>
        <v>360</v>
      </c>
      <c r="X312" s="523">
        <f t="shared" si="300"/>
        <v>2</v>
      </c>
      <c r="Y312" s="327" cm="1">
        <f t="array" ref="Y312">_xlfn.IFS(报价场景=服务费底表!$AJ$2,服务费底表!$AJ312,报价场景=服务费底表!$AP$2,服务费底表!$AP312,报价场景=服务费底表!$AK$2,服务费底表!$AK312,报价场景=服务费底表!$AL$2,服务费底表!$AL312,报价场景=服务费底表!$AM$2,服务费底表!$AM312,报价场景=服务费底表!$AN$2,服务费底表!$AN312,报价场景=服务费底表!$AQ$2,服务费底表!$AQ312,报价场景=服务费底表!$AO$2,服务费底表!$AO312)</f>
        <v>2</v>
      </c>
      <c r="Z312" s="327"/>
      <c r="AA312" s="332">
        <f t="shared" si="301"/>
        <v>2</v>
      </c>
      <c r="AB312" s="333">
        <f t="shared" si="302"/>
        <v>720</v>
      </c>
      <c r="AC312" s="328">
        <f t="shared" si="303"/>
        <v>2</v>
      </c>
      <c r="AD312" s="334">
        <f t="shared" si="304"/>
        <v>720</v>
      </c>
      <c r="AE312" s="334">
        <f>$AB312*(1-INDEX(项目参数!$D$5:$D$14,MATCH(服务费底表!$S312,项目参数!$B$5:$B$14,0)))</f>
        <v>720</v>
      </c>
      <c r="AF312" s="334">
        <f>$AD312*INDEX(项目参数!$D$5:$D$14,MATCH(服务费底表!$S312,项目参数!$B$5:$B$14,0))</f>
        <v>0</v>
      </c>
      <c r="AG312" s="334">
        <f t="shared" si="305"/>
        <v>720</v>
      </c>
      <c r="AH312" s="328"/>
      <c r="AI312" s="328" t="s">
        <v>633</v>
      </c>
      <c r="AJ312" s="327">
        <v>2</v>
      </c>
      <c r="AK312" s="327">
        <v>3</v>
      </c>
      <c r="AL312" s="327">
        <v>2</v>
      </c>
      <c r="AM312" s="327">
        <v>2</v>
      </c>
      <c r="AN312" s="327">
        <v>2</v>
      </c>
      <c r="AO312" s="327">
        <f t="shared" si="279"/>
        <v>2</v>
      </c>
      <c r="AP312" s="327">
        <v>2</v>
      </c>
      <c r="AQ312" s="327">
        <f t="shared" si="306"/>
        <v>3</v>
      </c>
      <c r="AR312" s="338"/>
      <c r="AS312" s="328">
        <f t="shared" si="294"/>
        <v>2</v>
      </c>
      <c r="AT312" s="328">
        <f t="shared" si="295"/>
        <v>2</v>
      </c>
      <c r="AU312" s="523">
        <v>2</v>
      </c>
      <c r="AV312" s="328"/>
      <c r="AW312" s="328"/>
      <c r="AX312" s="332">
        <v>2</v>
      </c>
      <c r="AY312" s="328" t="b">
        <f t="shared" si="296"/>
        <v>1</v>
      </c>
      <c r="AZ312" s="328" t="b">
        <f t="shared" si="235"/>
        <v>0</v>
      </c>
    </row>
    <row r="313" ht="27" customHeight="1" spans="1:52">
      <c r="A313" s="326" t="str">
        <f>INDEX('Rate Card'!$A:$A,MATCH(服务费底表!$T313,'Rate Card'!$F:$F,0))</f>
        <v>数统</v>
      </c>
      <c r="B313" s="336" t="str">
        <f>INDEX(二三级标准!$G:$G,MATCH(服务费底表!$K313,二三级标准!B:B,0))</f>
        <v>份</v>
      </c>
      <c r="C313" s="327">
        <f>INDEX(服务费明细!$E:$E,MATCH(服务费底表!$K313,服务费明细!$B:$B,0))</f>
        <v>1</v>
      </c>
      <c r="D313" s="327" t="str">
        <f t="shared" si="297"/>
        <v>A251DBP</v>
      </c>
      <c r="E313" s="327" t="str">
        <f t="shared" si="298"/>
        <v>T0723DBP</v>
      </c>
      <c r="F313" s="328"/>
      <c r="G313" s="328" t="s">
        <v>684</v>
      </c>
      <c r="H313" s="326" t="str">
        <f>INDEX('Rate Card'!$B:$B,MATCH(服务费底表!$T313,'Rate Card'!$F:$F,0))</f>
        <v>数据管理</v>
      </c>
      <c r="I313" s="328" t="s">
        <v>923</v>
      </c>
      <c r="J313" s="328" t="str">
        <f>INDEX(二三级标准!$Q:$Q,MATCH(服务费底表!I313,二三级标准!$O:$O,0))</f>
        <v>数据管理</v>
      </c>
      <c r="K313" s="328" t="s">
        <v>1049</v>
      </c>
      <c r="L313" s="328" t="str">
        <f>INDEX(二三级标准!C:C,MATCH(服务费底表!K313,二三级标准!$B:$B,0))</f>
        <v>撰写DVP</v>
      </c>
      <c r="M313" s="328" t="s">
        <v>1381</v>
      </c>
      <c r="N313" s="328" t="str">
        <f>INDEX(二三级标准!$M:$M,MATCH(服务费底表!$M313,二三级标准!$L:$L,0))</f>
        <v>DVP审核</v>
      </c>
      <c r="O313" s="328"/>
      <c r="P313" s="531">
        <f>IF(R313=1,INDEX(服务费明细!$E:$E,MATCH(服务费底表!$K313,服务费明细!$B:$B,0)),0)</f>
        <v>1</v>
      </c>
      <c r="Q313" s="328" t="s">
        <v>1176</v>
      </c>
      <c r="R313" s="520">
        <f>IF(AND(撰写数据管理文档YN=1,数据管理YN=1),1,0)</f>
        <v>1</v>
      </c>
      <c r="S313" s="524" t="str">
        <f>INDEX('Rate Card'!$D:$D,MATCH(服务费底表!$T313,'Rate Card'!F:F,0))</f>
        <v>数据管理</v>
      </c>
      <c r="T313" s="328" t="s">
        <v>629</v>
      </c>
      <c r="U313" s="522" t="str">
        <f>INDEX('Rate Card'!$E:$E,MATCH(服务费底表!$T313,'Rate Card'!$F:$F,0))</f>
        <v>数据库编程员</v>
      </c>
      <c r="V313" s="331">
        <f>INDEX('Rate Card'!$J:$J,MATCH($T313,'Rate Card'!$F:$F,0))</f>
        <v>300</v>
      </c>
      <c r="W313" s="523">
        <f t="shared" si="299"/>
        <v>300</v>
      </c>
      <c r="X313" s="523">
        <f t="shared" si="300"/>
        <v>0.3</v>
      </c>
      <c r="Y313" s="327" cm="1">
        <f t="array" ref="Y313">_xlfn.IFS(报价场景=服务费底表!$AJ$2,服务费底表!$AJ313,报价场景=服务费底表!$AP$2,服务费底表!$AP313,报价场景=服务费底表!$AK$2,服务费底表!$AK313,报价场景=服务费底表!$AL$2,服务费底表!$AL313,报价场景=服务费底表!$AM$2,服务费底表!$AM313,报价场景=服务费底表!$AN$2,服务费底表!$AN313,报价场景=服务费底表!$AQ$2,服务费底表!$AQ313,报价场景=服务费底表!$AO$2,服务费底表!$AO313)</f>
        <v>0.3</v>
      </c>
      <c r="Z313" s="327"/>
      <c r="AA313" s="332">
        <f t="shared" si="301"/>
        <v>0.3</v>
      </c>
      <c r="AB313" s="333">
        <f t="shared" si="302"/>
        <v>90</v>
      </c>
      <c r="AC313" s="328">
        <f t="shared" si="303"/>
        <v>0.3</v>
      </c>
      <c r="AD313" s="334">
        <f t="shared" si="304"/>
        <v>90</v>
      </c>
      <c r="AE313" s="334">
        <f>$AB313*(1-INDEX(项目参数!$D$5:$D$14,MATCH(服务费底表!$S313,项目参数!$B$5:$B$14,0)))</f>
        <v>90</v>
      </c>
      <c r="AF313" s="334">
        <f>$AD313*INDEX(项目参数!$D$5:$D$14,MATCH(服务费底表!$S313,项目参数!$B$5:$B$14,0))</f>
        <v>0</v>
      </c>
      <c r="AG313" s="334">
        <f t="shared" si="305"/>
        <v>90</v>
      </c>
      <c r="AH313" s="328"/>
      <c r="AI313" s="328" t="s">
        <v>629</v>
      </c>
      <c r="AJ313" s="327">
        <v>0.3</v>
      </c>
      <c r="AK313" s="327">
        <v>0.5</v>
      </c>
      <c r="AL313" s="327">
        <v>0.3</v>
      </c>
      <c r="AM313" s="327">
        <v>0.5</v>
      </c>
      <c r="AN313" s="327">
        <v>0.3</v>
      </c>
      <c r="AO313" s="327">
        <f t="shared" si="279"/>
        <v>0.3</v>
      </c>
      <c r="AP313" s="327">
        <v>0.3</v>
      </c>
      <c r="AQ313" s="327">
        <f t="shared" si="306"/>
        <v>0.45</v>
      </c>
      <c r="AR313" s="338"/>
      <c r="AS313" s="328">
        <f t="shared" si="294"/>
        <v>0.3</v>
      </c>
      <c r="AT313" s="328">
        <f t="shared" si="295"/>
        <v>0.3</v>
      </c>
      <c r="AU313" s="523">
        <v>0.3</v>
      </c>
      <c r="AV313" s="328"/>
      <c r="AW313" s="328"/>
      <c r="AX313" s="332">
        <v>0.3</v>
      </c>
      <c r="AY313" s="328" t="b">
        <f t="shared" si="296"/>
        <v>1</v>
      </c>
      <c r="AZ313" s="328" t="b">
        <f t="shared" si="235"/>
        <v>0</v>
      </c>
    </row>
    <row r="314" ht="27" customHeight="1" spans="1:52">
      <c r="A314" s="326" t="str">
        <f>INDEX('Rate Card'!$A:$A,MATCH(服务费底表!$T314,'Rate Card'!$F:$F,0))</f>
        <v>临床运营</v>
      </c>
      <c r="B314" s="327" t="str">
        <f>INDEX(二三级标准!$G:$G,MATCH(服务费底表!$K314,二三级标准!B:B,0))</f>
        <v>份</v>
      </c>
      <c r="C314" s="327">
        <f>INDEX(服务费明细!$E:$E,MATCH(服务费底表!$K314,服务费明细!$B:$B,0))</f>
        <v>1</v>
      </c>
      <c r="D314" s="327" t="str">
        <f t="shared" si="297"/>
        <v>A251PM</v>
      </c>
      <c r="E314" s="327" t="str">
        <f t="shared" si="298"/>
        <v>T0723PM</v>
      </c>
      <c r="F314" s="328"/>
      <c r="G314" s="328" t="s">
        <v>684</v>
      </c>
      <c r="H314" s="326" t="str">
        <f>INDEX('Rate Card'!$B:$B,MATCH(服务费底表!$T314,'Rate Card'!$F:$F,0))</f>
        <v>临床运营</v>
      </c>
      <c r="I314" s="328" t="s">
        <v>923</v>
      </c>
      <c r="J314" s="328" t="str">
        <f>INDEX(二三级标准!$Q:$Q,MATCH(服务费底表!I314,二三级标准!$O:$O,0))</f>
        <v>数据管理</v>
      </c>
      <c r="K314" s="328" t="s">
        <v>1049</v>
      </c>
      <c r="L314" s="328" t="str">
        <f>INDEX(二三级标准!C:C,MATCH(服务费底表!K314,二三级标准!$B:$B,0))</f>
        <v>撰写DVP</v>
      </c>
      <c r="M314" s="328" t="s">
        <v>1381</v>
      </c>
      <c r="N314" s="328" t="str">
        <f>INDEX(二三级标准!$M:$M,MATCH(服务费底表!$M314,二三级标准!$L:$L,0))</f>
        <v>DVP审核</v>
      </c>
      <c r="O314" s="328"/>
      <c r="P314" s="531">
        <f>IF(R314=1,INDEX(服务费明细!$E:$E,MATCH(服务费底表!$K314,服务费明细!$B:$B,0)),0)</f>
        <v>1</v>
      </c>
      <c r="Q314" s="328" t="s">
        <v>1176</v>
      </c>
      <c r="R314" s="520">
        <f>IF(AND(撰写数据管理文档YN=1,项目管理YN=1),1,0)</f>
        <v>1</v>
      </c>
      <c r="S314" s="525" t="str">
        <f>INDEX('Rate Card'!$D:$D,MATCH(服务费底表!$T314,'Rate Card'!F:F,0))</f>
        <v>项目管理</v>
      </c>
      <c r="T314" s="328" t="s">
        <v>599</v>
      </c>
      <c r="U314" s="522" t="str">
        <f>INDEX('Rate Card'!$E:$E,MATCH(服务费底表!$T314,'Rate Card'!$F:$F,0))</f>
        <v>临床项目经理</v>
      </c>
      <c r="V314" s="331">
        <f>INDEX('Rate Card'!$J:$J,MATCH($T314,'Rate Card'!$F:$F,0))</f>
        <v>650</v>
      </c>
      <c r="W314" s="523">
        <f t="shared" si="299"/>
        <v>650</v>
      </c>
      <c r="X314" s="523">
        <f t="shared" si="300"/>
        <v>1</v>
      </c>
      <c r="Y314" s="327" cm="1">
        <f t="array" ref="Y314">_xlfn.IFS(报价场景=服务费底表!$AJ$2,服务费底表!$AJ314,报价场景=服务费底表!$AP$2,服务费底表!$AP314,报价场景=服务费底表!$AK$2,服务费底表!$AK314,报价场景=服务费底表!$AL$2,服务费底表!$AL314,报价场景=服务费底表!$AM$2,服务费底表!$AM314,报价场景=服务费底表!$AN$2,服务费底表!$AN314,报价场景=服务费底表!$AQ$2,服务费底表!$AQ314,报价场景=服务费底表!$AO$2,服务费底表!$AO314)</f>
        <v>1</v>
      </c>
      <c r="Z314" s="327"/>
      <c r="AA314" s="332">
        <f t="shared" si="301"/>
        <v>1</v>
      </c>
      <c r="AB314" s="333">
        <f t="shared" si="302"/>
        <v>650</v>
      </c>
      <c r="AC314" s="328">
        <f t="shared" si="303"/>
        <v>1</v>
      </c>
      <c r="AD314" s="334">
        <f t="shared" si="304"/>
        <v>650</v>
      </c>
      <c r="AE314" s="334">
        <f>$AB314*(1-INDEX(项目参数!$D$5:$D$14,MATCH(服务费底表!$S314,项目参数!$B$5:$B$14,0)))</f>
        <v>650</v>
      </c>
      <c r="AF314" s="334">
        <f>$AD314*INDEX(项目参数!$D$5:$D$14,MATCH(服务费底表!$S314,项目参数!$B$5:$B$14,0))</f>
        <v>0</v>
      </c>
      <c r="AG314" s="334">
        <f t="shared" si="305"/>
        <v>650</v>
      </c>
      <c r="AH314" s="328"/>
      <c r="AI314" s="328" t="s">
        <v>599</v>
      </c>
      <c r="AJ314" s="327">
        <v>1</v>
      </c>
      <c r="AK314" s="327">
        <f>AJ314*1.5</f>
        <v>1.5</v>
      </c>
      <c r="AL314" s="327">
        <f>AM314</f>
        <v>0.8</v>
      </c>
      <c r="AM314" s="327">
        <v>0.8</v>
      </c>
      <c r="AN314" s="327">
        <f>AJ314</f>
        <v>1</v>
      </c>
      <c r="AO314" s="327">
        <f t="shared" si="279"/>
        <v>0.8</v>
      </c>
      <c r="AP314" s="327">
        <v>1</v>
      </c>
      <c r="AQ314" s="327">
        <f t="shared" si="306"/>
        <v>1.5</v>
      </c>
      <c r="AR314" s="338"/>
      <c r="AS314" s="328">
        <f t="shared" ref="AS314:AS356" si="307">AC314</f>
        <v>1</v>
      </c>
      <c r="AT314" s="328">
        <f t="shared" ref="AT314:AT356" si="308">Y314*P314</f>
        <v>1</v>
      </c>
      <c r="AU314" s="523">
        <v>1</v>
      </c>
      <c r="AV314" s="328"/>
      <c r="AW314" s="328"/>
      <c r="AX314" s="332">
        <v>1</v>
      </c>
      <c r="AY314" s="328" t="b">
        <f t="shared" ref="AY314:AY355" si="309">IF(AX314=AJ314,TRUE,FALSE)</f>
        <v>1</v>
      </c>
      <c r="AZ314" s="328" t="b">
        <f t="shared" si="235"/>
        <v>0</v>
      </c>
    </row>
    <row r="315" ht="27" customHeight="1" spans="1:52">
      <c r="A315" s="326" t="str">
        <f>INDEX('Rate Card'!$A:$A,MATCH(服务费底表!$T315,'Rate Card'!$F:$F,0))</f>
        <v>数统</v>
      </c>
      <c r="B315" s="327" t="str">
        <f>INDEX(二三级标准!$G:$G,MATCH(服务费底表!$K315,二三级标准!B:B,0))</f>
        <v>份</v>
      </c>
      <c r="C315" s="327">
        <f>INDEX(服务费明细!$E:$E,MATCH(服务费底表!$K315,服务费明细!$B:$B,0))</f>
        <v>1</v>
      </c>
      <c r="D315" s="327" t="str">
        <f t="shared" si="297"/>
        <v>A252DM</v>
      </c>
      <c r="E315" s="327" t="str">
        <f t="shared" si="298"/>
        <v>T0724DM</v>
      </c>
      <c r="F315" s="328"/>
      <c r="G315" s="328" t="s">
        <v>684</v>
      </c>
      <c r="H315" s="326" t="str">
        <f>INDEX('Rate Card'!$B:$B,MATCH(服务费底表!$T315,'Rate Card'!$F:$F,0))</f>
        <v>数据管理</v>
      </c>
      <c r="I315" s="328" t="s">
        <v>923</v>
      </c>
      <c r="J315" s="328" t="str">
        <f>INDEX(二三级标准!$Q:$Q,MATCH(服务费底表!I315,二三级标准!$O:$O,0))</f>
        <v>数据管理</v>
      </c>
      <c r="K315" s="328" t="s">
        <v>1051</v>
      </c>
      <c r="L315" s="328" t="str">
        <f>INDEX(二三级标准!C:C,MATCH(服务费底表!K315,二三级标准!$B:$B,0))</f>
        <v>撰写人工审核计划</v>
      </c>
      <c r="M315" s="328" t="s">
        <v>1382</v>
      </c>
      <c r="N315" s="328" t="str">
        <f>INDEX(二三级标准!$M:$M,MATCH(服务费底表!$M315,二三级标准!$L:$L,0))</f>
        <v>人工审核计划起草和定稿</v>
      </c>
      <c r="O315" s="328"/>
      <c r="P315" s="531">
        <f>IF(R315=1,人工数据线下列表数,0)</f>
        <v>40</v>
      </c>
      <c r="Q315" s="330" t="s">
        <v>1380</v>
      </c>
      <c r="R315" s="520">
        <f>IF(AND(撰写人工核查计划YN=1,数据管理YN=1),1,0)</f>
        <v>1</v>
      </c>
      <c r="S315" s="524" t="str">
        <f>INDEX('Rate Card'!$D:$D,MATCH(服务费底表!$T315,'Rate Card'!F:F,0))</f>
        <v>数据管理</v>
      </c>
      <c r="T315" s="328" t="s">
        <v>631</v>
      </c>
      <c r="U315" s="522" t="str">
        <f>INDEX('Rate Card'!$E:$E,MATCH(服务费底表!$T315,'Rate Card'!$F:$F,0))</f>
        <v>数据管理专员</v>
      </c>
      <c r="V315" s="331">
        <f>INDEX('Rate Card'!$J:$J,MATCH($T315,'Rate Card'!$F:$F,0))</f>
        <v>200</v>
      </c>
      <c r="W315" s="523">
        <f t="shared" si="299"/>
        <v>200</v>
      </c>
      <c r="X315" s="523">
        <f t="shared" si="300"/>
        <v>0.1</v>
      </c>
      <c r="Y315" s="327" cm="1">
        <f t="array" ref="Y315">_xlfn.IFS(报价场景=服务费底表!$AJ$2,服务费底表!$AJ315,报价场景=服务费底表!$AP$2,服务费底表!$AP315,报价场景=服务费底表!$AK$2,服务费底表!$AK315,报价场景=服务费底表!$AL$2,服务费底表!$AL315,报价场景=服务费底表!$AM$2,服务费底表!$AM315,报价场景=服务费底表!$AN$2,服务费底表!$AN315,报价场景=服务费底表!$AQ$2,服务费底表!$AQ315,报价场景=服务费底表!$AO$2,服务费底表!$AO315)</f>
        <v>0.1</v>
      </c>
      <c r="Z315" s="327"/>
      <c r="AA315" s="332">
        <f t="shared" si="301"/>
        <v>0.1</v>
      </c>
      <c r="AB315" s="333">
        <f t="shared" si="302"/>
        <v>20</v>
      </c>
      <c r="AC315" s="328">
        <f t="shared" si="303"/>
        <v>4</v>
      </c>
      <c r="AD315" s="334">
        <f t="shared" si="304"/>
        <v>800</v>
      </c>
      <c r="AE315" s="334">
        <f>$AB315*(1-INDEX(项目参数!$D$5:$D$14,MATCH(服务费底表!$S315,项目参数!$B$5:$B$14,0)))</f>
        <v>20</v>
      </c>
      <c r="AF315" s="334">
        <f>$AD315*INDEX(项目参数!$D$5:$D$14,MATCH(服务费底表!$S315,项目参数!$B$5:$B$14,0))</f>
        <v>0</v>
      </c>
      <c r="AG315" s="334">
        <f t="shared" si="305"/>
        <v>800</v>
      </c>
      <c r="AH315" s="328"/>
      <c r="AI315" s="328" t="s">
        <v>631</v>
      </c>
      <c r="AJ315" s="327">
        <v>0.1</v>
      </c>
      <c r="AK315" s="327">
        <v>0.15</v>
      </c>
      <c r="AL315" s="327">
        <v>0.1</v>
      </c>
      <c r="AM315" s="327">
        <v>0.15</v>
      </c>
      <c r="AN315" s="327">
        <v>0.1</v>
      </c>
      <c r="AO315" s="327">
        <f t="shared" si="279"/>
        <v>0.1</v>
      </c>
      <c r="AP315" s="327">
        <v>0.1</v>
      </c>
      <c r="AQ315" s="327">
        <f t="shared" si="306"/>
        <v>0.15</v>
      </c>
      <c r="AR315" s="338"/>
      <c r="AS315" s="328">
        <f t="shared" si="307"/>
        <v>4</v>
      </c>
      <c r="AT315" s="328">
        <f t="shared" si="308"/>
        <v>4</v>
      </c>
      <c r="AU315" s="523">
        <v>0.1</v>
      </c>
      <c r="AV315" s="328"/>
      <c r="AW315" s="328"/>
      <c r="AX315" s="332">
        <v>0.1</v>
      </c>
      <c r="AY315" s="328" t="b">
        <f t="shared" si="309"/>
        <v>1</v>
      </c>
      <c r="AZ315" s="328" t="b">
        <f t="shared" si="235"/>
        <v>1</v>
      </c>
    </row>
    <row r="316" ht="27" customHeight="1" spans="1:52">
      <c r="A316" s="326" t="str">
        <f>INDEX('Rate Card'!$A:$A,MATCH(服务费底表!$T316,'Rate Card'!$F:$F,0))</f>
        <v>数统</v>
      </c>
      <c r="B316" s="327" t="str">
        <f>INDEX(二三级标准!$G:$G,MATCH(服务费底表!$K316,二三级标准!B:B,0))</f>
        <v>份</v>
      </c>
      <c r="C316" s="327">
        <f>INDEX(服务费明细!$E:$E,MATCH(服务费底表!$K316,服务费明细!$B:$B,0))</f>
        <v>1</v>
      </c>
      <c r="D316" s="327" t="str">
        <f t="shared" si="297"/>
        <v>A252SA</v>
      </c>
      <c r="E316" s="327" t="str">
        <f t="shared" si="298"/>
        <v>T0725SA</v>
      </c>
      <c r="F316" s="328"/>
      <c r="G316" s="328" t="s">
        <v>684</v>
      </c>
      <c r="H316" s="326" t="str">
        <f>INDEX('Rate Card'!$B:$B,MATCH(服务费底表!$T316,'Rate Card'!$F:$F,0))</f>
        <v>生物统计及分析</v>
      </c>
      <c r="I316" s="328" t="s">
        <v>923</v>
      </c>
      <c r="J316" s="328" t="str">
        <f>INDEX(二三级标准!$Q:$Q,MATCH(服务费底表!I316,二三级标准!$O:$O,0))</f>
        <v>数据管理</v>
      </c>
      <c r="K316" s="328" t="s">
        <v>1051</v>
      </c>
      <c r="L316" s="328" t="str">
        <f>INDEX(二三级标准!C:C,MATCH(服务费底表!K316,二三级标准!$B:$B,0))</f>
        <v>撰写人工审核计划</v>
      </c>
      <c r="M316" s="328" t="s">
        <v>1383</v>
      </c>
      <c r="N316" s="328" t="str">
        <f>INDEX(二三级标准!$M:$M,MATCH(服务费底表!$M316,二三级标准!$L:$L,0))</f>
        <v>人工审核计划审核（SAS）</v>
      </c>
      <c r="O316" s="328"/>
      <c r="P316" s="531">
        <f>IF(R316=1,人工数据线下列表数/2,0)</f>
        <v>20</v>
      </c>
      <c r="Q316" s="330" t="s">
        <v>1380</v>
      </c>
      <c r="R316" s="520">
        <f>IF(AND(撰写人工核查计划YN=1,数据管理YN=1),1,0)</f>
        <v>1</v>
      </c>
      <c r="S316" s="524" t="str">
        <f>INDEX('Rate Card'!$D:$D,MATCH(服务费底表!$T316,'Rate Card'!F:F,0))</f>
        <v>统计分析</v>
      </c>
      <c r="T316" s="328" t="s">
        <v>635</v>
      </c>
      <c r="U316" s="522" t="str">
        <f>INDEX('Rate Card'!$E:$E,MATCH(服务费底表!$T316,'Rate Card'!$F:$F,0))</f>
        <v>统计分析师</v>
      </c>
      <c r="V316" s="331">
        <f>INDEX('Rate Card'!$J:$J,MATCH($T316,'Rate Card'!$F:$F,0))</f>
        <v>225</v>
      </c>
      <c r="W316" s="523">
        <f t="shared" si="299"/>
        <v>225</v>
      </c>
      <c r="X316" s="523">
        <f t="shared" si="300"/>
        <v>0.02</v>
      </c>
      <c r="Y316" s="327" cm="1">
        <f t="array" ref="Y316">_xlfn.IFS(报价场景=服务费底表!$AJ$2,服务费底表!$AJ316,报价场景=服务费底表!$AP$2,服务费底表!$AP316,报价场景=服务费底表!$AK$2,服务费底表!$AK316,报价场景=服务费底表!$AL$2,服务费底表!$AL316,报价场景=服务费底表!$AM$2,服务费底表!$AM316,报价场景=服务费底表!$AN$2,服务费底表!$AN316,报价场景=服务费底表!$AQ$2,服务费底表!$AQ316,报价场景=服务费底表!$AO$2,服务费底表!$AO316)</f>
        <v>0.02</v>
      </c>
      <c r="Z316" s="327"/>
      <c r="AA316" s="332">
        <f t="shared" si="301"/>
        <v>0.02</v>
      </c>
      <c r="AB316" s="333">
        <f t="shared" si="302"/>
        <v>4.5</v>
      </c>
      <c r="AC316" s="328">
        <f t="shared" si="303"/>
        <v>0.4</v>
      </c>
      <c r="AD316" s="334">
        <f t="shared" si="304"/>
        <v>90</v>
      </c>
      <c r="AE316" s="334">
        <f>$AB316*(1-INDEX(项目参数!$D$5:$D$14,MATCH(服务费底表!$S316,项目参数!$B$5:$B$14,0)))</f>
        <v>4.5</v>
      </c>
      <c r="AF316" s="334">
        <f>$AD316*INDEX(项目参数!$D$5:$D$14,MATCH(服务费底表!$S316,项目参数!$B$5:$B$14,0))</f>
        <v>0</v>
      </c>
      <c r="AG316" s="334">
        <f t="shared" si="305"/>
        <v>90</v>
      </c>
      <c r="AH316" s="328"/>
      <c r="AI316" s="328" t="s">
        <v>629</v>
      </c>
      <c r="AJ316" s="327">
        <v>0.02</v>
      </c>
      <c r="AK316" s="327">
        <v>0.02</v>
      </c>
      <c r="AL316" s="327">
        <v>0.01</v>
      </c>
      <c r="AM316" s="327">
        <v>0.02</v>
      </c>
      <c r="AN316" s="327">
        <v>0.01</v>
      </c>
      <c r="AO316" s="327">
        <f t="shared" si="279"/>
        <v>0.01</v>
      </c>
      <c r="AP316" s="327">
        <v>0.01</v>
      </c>
      <c r="AQ316" s="327">
        <f t="shared" si="306"/>
        <v>0.03</v>
      </c>
      <c r="AR316" s="338"/>
      <c r="AS316" s="328">
        <f t="shared" si="307"/>
        <v>0.4</v>
      </c>
      <c r="AT316" s="328">
        <f t="shared" si="308"/>
        <v>0.4</v>
      </c>
      <c r="AU316" s="523">
        <v>0.01</v>
      </c>
      <c r="AV316" s="328"/>
      <c r="AW316" s="328"/>
      <c r="AX316" s="332">
        <v>0.01</v>
      </c>
      <c r="AY316" s="328" t="b">
        <f t="shared" si="309"/>
        <v>0</v>
      </c>
      <c r="AZ316" s="328" t="b">
        <f t="shared" si="235"/>
        <v>1</v>
      </c>
    </row>
    <row r="317" ht="27" customHeight="1" spans="1:52">
      <c r="A317" s="326" t="str">
        <f>INDEX('Rate Card'!$A:$A,MATCH(服务费底表!$T317,'Rate Card'!$F:$F,0))</f>
        <v>数统</v>
      </c>
      <c r="B317" s="327" t="str">
        <f>INDEX(二三级标准!$G:$G,MATCH(服务费底表!$K317,二三级标准!B:B,0))</f>
        <v>份</v>
      </c>
      <c r="C317" s="327">
        <f>INDEX(服务费明细!$E:$E,MATCH(服务费底表!$K317,服务费明细!$B:$B,0))</f>
        <v>1</v>
      </c>
      <c r="D317" s="327" t="str">
        <f t="shared" si="297"/>
        <v>A252LDM</v>
      </c>
      <c r="E317" s="327" t="str">
        <f t="shared" si="298"/>
        <v>T0726LDM</v>
      </c>
      <c r="F317" s="328"/>
      <c r="G317" s="328" t="s">
        <v>684</v>
      </c>
      <c r="H317" s="326" t="str">
        <f>INDEX('Rate Card'!$B:$B,MATCH(服务费底表!$T317,'Rate Card'!$F:$F,0))</f>
        <v>数据管理</v>
      </c>
      <c r="I317" s="328" t="s">
        <v>923</v>
      </c>
      <c r="J317" s="328" t="str">
        <f>INDEX(二三级标准!$Q:$Q,MATCH(服务费底表!I317,二三级标准!$O:$O,0))</f>
        <v>数据管理</v>
      </c>
      <c r="K317" s="328" t="s">
        <v>1051</v>
      </c>
      <c r="L317" s="328" t="str">
        <f>INDEX(二三级标准!C:C,MATCH(服务费底表!K317,二三级标准!$B:$B,0))</f>
        <v>撰写人工审核计划</v>
      </c>
      <c r="M317" s="328" t="s">
        <v>1384</v>
      </c>
      <c r="N317" s="328" t="str">
        <f>INDEX(二三级标准!$M:$M,MATCH(服务费底表!$M317,二三级标准!$L:$L,0))</f>
        <v>人工审核计划审核</v>
      </c>
      <c r="O317" s="328"/>
      <c r="P317" s="531">
        <f>IF(R317=1,人工数据线下列表数/2,0)</f>
        <v>20</v>
      </c>
      <c r="Q317" s="330" t="s">
        <v>1380</v>
      </c>
      <c r="R317" s="520">
        <f>IF(AND(撰写人工核查计划YN=1,数据管理YN=1),1,0)</f>
        <v>1</v>
      </c>
      <c r="S317" s="524" t="str">
        <f>INDEX('Rate Card'!$D:$D,MATCH(服务费底表!$T317,'Rate Card'!F:F,0))</f>
        <v>数据管理</v>
      </c>
      <c r="T317" s="328" t="s">
        <v>633</v>
      </c>
      <c r="U317" s="522" t="str">
        <f>INDEX('Rate Card'!$E:$E,MATCH(服务费底表!$T317,'Rate Card'!$F:$F,0))</f>
        <v>数据管理经理</v>
      </c>
      <c r="V317" s="331">
        <f>INDEX('Rate Card'!$J:$J,MATCH($T317,'Rate Card'!$F:$F,0))</f>
        <v>360</v>
      </c>
      <c r="W317" s="523">
        <f t="shared" si="299"/>
        <v>360</v>
      </c>
      <c r="X317" s="523">
        <f t="shared" si="300"/>
        <v>0.05</v>
      </c>
      <c r="Y317" s="327" cm="1">
        <f t="array" ref="Y317">_xlfn.IFS(报价场景=服务费底表!$AJ$2,服务费底表!$AJ317,报价场景=服务费底表!$AP$2,服务费底表!$AP317,报价场景=服务费底表!$AK$2,服务费底表!$AK317,报价场景=服务费底表!$AL$2,服务费底表!$AL317,报价场景=服务费底表!$AM$2,服务费底表!$AM317,报价场景=服务费底表!$AN$2,服务费底表!$AN317,报价场景=服务费底表!$AQ$2,服务费底表!$AQ317,报价场景=服务费底表!$AO$2,服务费底表!$AO317)</f>
        <v>0.05</v>
      </c>
      <c r="Z317" s="327"/>
      <c r="AA317" s="332">
        <f t="shared" si="301"/>
        <v>0.05</v>
      </c>
      <c r="AB317" s="333">
        <f t="shared" si="302"/>
        <v>18</v>
      </c>
      <c r="AC317" s="328">
        <f t="shared" si="303"/>
        <v>1</v>
      </c>
      <c r="AD317" s="334">
        <f t="shared" si="304"/>
        <v>360</v>
      </c>
      <c r="AE317" s="334">
        <f>$AB317*(1-INDEX(项目参数!$D$5:$D$14,MATCH(服务费底表!$S317,项目参数!$B$5:$B$14,0)))</f>
        <v>18</v>
      </c>
      <c r="AF317" s="334">
        <f>$AD317*INDEX(项目参数!$D$5:$D$14,MATCH(服务费底表!$S317,项目参数!$B$5:$B$14,0))</f>
        <v>0</v>
      </c>
      <c r="AG317" s="334">
        <f t="shared" si="305"/>
        <v>360</v>
      </c>
      <c r="AH317" s="328"/>
      <c r="AI317" s="328" t="s">
        <v>633</v>
      </c>
      <c r="AJ317" s="327">
        <v>0.05</v>
      </c>
      <c r="AK317" s="327">
        <v>0.08</v>
      </c>
      <c r="AL317" s="327">
        <v>0.05</v>
      </c>
      <c r="AM317" s="327">
        <v>0.05</v>
      </c>
      <c r="AN317" s="327">
        <v>0.05</v>
      </c>
      <c r="AO317" s="327">
        <f t="shared" si="279"/>
        <v>0.05</v>
      </c>
      <c r="AP317" s="327">
        <v>0.05</v>
      </c>
      <c r="AQ317" s="327">
        <f t="shared" si="306"/>
        <v>0.075</v>
      </c>
      <c r="AR317" s="338"/>
      <c r="AS317" s="328">
        <f t="shared" si="307"/>
        <v>1</v>
      </c>
      <c r="AT317" s="328">
        <f t="shared" si="308"/>
        <v>1</v>
      </c>
      <c r="AU317" s="523">
        <v>0.05</v>
      </c>
      <c r="AV317" s="328"/>
      <c r="AW317" s="328"/>
      <c r="AX317" s="332">
        <v>0.05</v>
      </c>
      <c r="AY317" s="328" t="b">
        <f t="shared" si="309"/>
        <v>1</v>
      </c>
      <c r="AZ317" s="328" t="b">
        <f t="shared" si="235"/>
        <v>1</v>
      </c>
    </row>
    <row r="318" ht="27" customHeight="1" spans="1:52">
      <c r="A318" s="326" t="str">
        <f>INDEX('Rate Card'!$A:$A,MATCH(服务费底表!$T318,'Rate Card'!$F:$F,0))</f>
        <v>数统</v>
      </c>
      <c r="B318" s="327" t="str">
        <f>INDEX(二三级标准!$G:$G,MATCH(服务费底表!$K318,二三级标准!B:B,0))</f>
        <v>项目</v>
      </c>
      <c r="C318" s="327">
        <f>INDEX(服务费明细!$E:$E,MATCH(服务费底表!$K318,服务费明细!$B:$B,0))</f>
        <v>1</v>
      </c>
      <c r="D318" s="327" t="str">
        <f t="shared" si="297"/>
        <v>A086DBP</v>
      </c>
      <c r="E318" s="327" t="str">
        <f t="shared" si="298"/>
        <v>T0208DBP</v>
      </c>
      <c r="F318" s="328"/>
      <c r="G318" s="328" t="s">
        <v>684</v>
      </c>
      <c r="H318" s="326" t="str">
        <f>INDEX('Rate Card'!$B:$B,MATCH(服务费底表!$T318,'Rate Card'!$F:$F,0))</f>
        <v>数据管理</v>
      </c>
      <c r="I318" s="328" t="s">
        <v>923</v>
      </c>
      <c r="J318" s="328" t="str">
        <f>INDEX(二三级标准!$Q:$Q,MATCH(服务费底表!I318,二三级标准!$O:$O,0))</f>
        <v>数据管理</v>
      </c>
      <c r="K318" s="328" t="s">
        <v>277</v>
      </c>
      <c r="L318" s="328" t="str">
        <f>INDEX(二三级标准!C:C,MATCH(服务费底表!K318,二三级标准!$B:$B,0))</f>
        <v>搭建数据库界面</v>
      </c>
      <c r="M318" s="328" t="s">
        <v>1385</v>
      </c>
      <c r="N318" s="328" t="str">
        <f>INDEX(二三级标准!$M:$M,MATCH(服务费底表!$M318,二三级标准!$L:$L,0))</f>
        <v>URL架构搭建和配置</v>
      </c>
      <c r="O318" s="328"/>
      <c r="P318" s="531">
        <f>IF(R318=1,INDEX(服务费明细!$E:$E,MATCH(服务费底表!$K318,服务费明细!$B:$B,0)),0)</f>
        <v>1</v>
      </c>
      <c r="Q318" s="328" t="s">
        <v>1281</v>
      </c>
      <c r="R318" s="520">
        <f>IF(AND(搭建数据库界面YN=1,数据管理YN=1),1,0)</f>
        <v>1</v>
      </c>
      <c r="S318" s="524" t="str">
        <f>INDEX('Rate Card'!$D:$D,MATCH(服务费底表!$T318,'Rate Card'!F:F,0))</f>
        <v>数据管理</v>
      </c>
      <c r="T318" s="328" t="s">
        <v>629</v>
      </c>
      <c r="U318" s="522" t="str">
        <f>INDEX('Rate Card'!$E:$E,MATCH(服务费底表!$T318,'Rate Card'!$F:$F,0))</f>
        <v>数据库编程员</v>
      </c>
      <c r="V318" s="331">
        <f>INDEX('Rate Card'!$J:$J,MATCH($T318,'Rate Card'!$F:$F,0))</f>
        <v>300</v>
      </c>
      <c r="W318" s="523">
        <f t="shared" si="299"/>
        <v>300</v>
      </c>
      <c r="X318" s="523">
        <f t="shared" si="300"/>
        <v>2</v>
      </c>
      <c r="Y318" s="327" cm="1">
        <f t="array" ref="Y318">_xlfn.IFS(报价场景=服务费底表!$AJ$2,服务费底表!$AJ318,报价场景=服务费底表!$AP$2,服务费底表!$AP318,报价场景=服务费底表!$AK$2,服务费底表!$AK318,报价场景=服务费底表!$AL$2,服务费底表!$AL318,报价场景=服务费底表!$AM$2,服务费底表!$AM318,报价场景=服务费底表!$AN$2,服务费底表!$AN318,报价场景=服务费底表!$AQ$2,服务费底表!$AQ318,报价场景=服务费底表!$AO$2,服务费底表!$AO318)</f>
        <v>2</v>
      </c>
      <c r="Z318" s="327"/>
      <c r="AA318" s="332">
        <f t="shared" si="301"/>
        <v>2</v>
      </c>
      <c r="AB318" s="333">
        <f t="shared" si="302"/>
        <v>600</v>
      </c>
      <c r="AC318" s="328">
        <f t="shared" si="303"/>
        <v>2</v>
      </c>
      <c r="AD318" s="334">
        <f t="shared" ref="AD314:AD324" si="310">AC318*V318</f>
        <v>600</v>
      </c>
      <c r="AE318" s="334">
        <f>$AB318*(1-INDEX(项目参数!$D$5:$D$14,MATCH(服务费底表!$S318,项目参数!$B$5:$B$14,0)))</f>
        <v>600</v>
      </c>
      <c r="AF318" s="334">
        <f>$AD318*INDEX(项目参数!$D$5:$D$14,MATCH(服务费底表!$S318,项目参数!$B$5:$B$14,0))</f>
        <v>0</v>
      </c>
      <c r="AG318" s="334">
        <f t="shared" ref="AG318:AG330" si="311">AD318-AF318</f>
        <v>600</v>
      </c>
      <c r="AH318" s="328"/>
      <c r="AI318" s="328" t="s">
        <v>629</v>
      </c>
      <c r="AJ318" s="327">
        <v>2</v>
      </c>
      <c r="AK318" s="327">
        <v>4</v>
      </c>
      <c r="AL318" s="327">
        <v>2</v>
      </c>
      <c r="AM318" s="327">
        <v>4</v>
      </c>
      <c r="AN318" s="327">
        <v>2</v>
      </c>
      <c r="AO318" s="327">
        <f t="shared" si="279"/>
        <v>2</v>
      </c>
      <c r="AP318" s="327">
        <v>2</v>
      </c>
      <c r="AQ318" s="327">
        <f t="shared" si="306"/>
        <v>3</v>
      </c>
      <c r="AR318" s="338"/>
      <c r="AS318" s="328">
        <f t="shared" si="307"/>
        <v>2</v>
      </c>
      <c r="AT318" s="328">
        <f t="shared" si="308"/>
        <v>2</v>
      </c>
      <c r="AU318" s="523">
        <v>2</v>
      </c>
      <c r="AV318" s="328"/>
      <c r="AW318" s="328"/>
      <c r="AX318" s="332">
        <v>2</v>
      </c>
      <c r="AY318" s="328" t="b">
        <f t="shared" si="309"/>
        <v>1</v>
      </c>
      <c r="AZ318" s="328" t="b">
        <f t="shared" si="235"/>
        <v>0</v>
      </c>
    </row>
    <row r="319" ht="27" customHeight="1" spans="1:52">
      <c r="A319" s="326" t="str">
        <f>INDEX('Rate Card'!$A:$A,MATCH(服务费底表!$T319,'Rate Card'!$F:$F,0))</f>
        <v>数统</v>
      </c>
      <c r="B319" s="327" t="str">
        <f>INDEX(二三级标准!$G:$G,MATCH(服务费底表!$K319,二三级标准!B:B,0))</f>
        <v>项目</v>
      </c>
      <c r="C319" s="327">
        <f>INDEX(服务费明细!$E:$E,MATCH(服务费底表!$K319,服务费明细!$B:$B,0))</f>
        <v>1</v>
      </c>
      <c r="D319" s="327" t="str">
        <f t="shared" si="297"/>
        <v>A086DBP</v>
      </c>
      <c r="E319" s="327" t="str">
        <f t="shared" si="298"/>
        <v>T0211aDBP</v>
      </c>
      <c r="F319" s="328"/>
      <c r="G319" s="328" t="s">
        <v>684</v>
      </c>
      <c r="H319" s="326" t="str">
        <f>INDEX('Rate Card'!$B:$B,MATCH(服务费底表!$T319,'Rate Card'!$F:$F,0))</f>
        <v>数据管理</v>
      </c>
      <c r="I319" s="328" t="s">
        <v>923</v>
      </c>
      <c r="J319" s="328" t="str">
        <f>INDEX(二三级标准!$Q:$Q,MATCH(服务费底表!I319,二三级标准!$O:$O,0))</f>
        <v>数据管理</v>
      </c>
      <c r="K319" s="328" t="s">
        <v>277</v>
      </c>
      <c r="L319" s="328" t="str">
        <f>INDEX(二三级标准!C:C,MATCH(服务费底表!K319,二三级标准!$B:$B,0))</f>
        <v>搭建数据库界面</v>
      </c>
      <c r="M319" s="328" t="s">
        <v>1386</v>
      </c>
      <c r="N319" s="328" t="str">
        <f>INDEX(二三级标准!$M:$M,MATCH(服务费底表!$M319,二三级标准!$L:$L,0))</f>
        <v>创建eCRF页面</v>
      </c>
      <c r="O319" s="328"/>
      <c r="P319" s="531">
        <f>IF(R319=1,CRF唯一页面数+CRF重复页面数,0)</f>
        <v>180</v>
      </c>
      <c r="Q319" s="328" t="s">
        <v>1187</v>
      </c>
      <c r="R319" s="520">
        <f>IF(AND(搭建数据库界面YN=1,数据管理YN=1),1,0)</f>
        <v>1</v>
      </c>
      <c r="S319" s="524" t="str">
        <f>INDEX('Rate Card'!$D:$D,MATCH(服务费底表!$T319,'Rate Card'!F:F,0))</f>
        <v>数据管理</v>
      </c>
      <c r="T319" s="328" t="s">
        <v>629</v>
      </c>
      <c r="U319" s="522" t="str">
        <f>INDEX('Rate Card'!$E:$E,MATCH(服务费底表!$T319,'Rate Card'!$F:$F,0))</f>
        <v>数据库编程员</v>
      </c>
      <c r="V319" s="331">
        <f>INDEX('Rate Card'!$J:$J,MATCH($T319,'Rate Card'!$F:$F,0))</f>
        <v>300</v>
      </c>
      <c r="W319" s="523">
        <f t="shared" si="299"/>
        <v>300</v>
      </c>
      <c r="X319" s="523">
        <f t="shared" si="300"/>
        <v>0.2</v>
      </c>
      <c r="Y319" s="327" cm="1">
        <f t="array" ref="Y319">_xlfn.IFS(报价场景=服务费底表!$AJ$2,服务费底表!$AJ319,报价场景=服务费底表!$AP$2,服务费底表!$AP319,报价场景=服务费底表!$AK$2,服务费底表!$AK319,报价场景=服务费底表!$AL$2,服务费底表!$AL319,报价场景=服务费底表!$AM$2,服务费底表!$AM319,报价场景=服务费底表!$AN$2,服务费底表!$AN319,报价场景=服务费底表!$AQ$2,服务费底表!$AQ319,报价场景=服务费底表!$AO$2,服务费底表!$AO319)</f>
        <v>0.2</v>
      </c>
      <c r="Z319" s="327"/>
      <c r="AA319" s="332">
        <f t="shared" si="301"/>
        <v>0.2</v>
      </c>
      <c r="AB319" s="333">
        <f t="shared" si="302"/>
        <v>60</v>
      </c>
      <c r="AC319" s="328">
        <f t="shared" si="303"/>
        <v>36</v>
      </c>
      <c r="AD319" s="334">
        <f t="shared" si="310"/>
        <v>10800</v>
      </c>
      <c r="AE319" s="334">
        <f>$AB319*(1-INDEX(项目参数!$D$5:$D$14,MATCH(服务费底表!$S319,项目参数!$B$5:$B$14,0)))</f>
        <v>60</v>
      </c>
      <c r="AF319" s="334">
        <f>$AD319*INDEX(项目参数!$D$5:$D$14,MATCH(服务费底表!$S319,项目参数!$B$5:$B$14,0))</f>
        <v>0</v>
      </c>
      <c r="AG319" s="334">
        <f t="shared" si="311"/>
        <v>10800</v>
      </c>
      <c r="AH319" s="328"/>
      <c r="AI319" s="328" t="s">
        <v>629</v>
      </c>
      <c r="AJ319" s="327">
        <v>0.2</v>
      </c>
      <c r="AK319" s="327">
        <v>0.3</v>
      </c>
      <c r="AL319" s="327">
        <v>0.2</v>
      </c>
      <c r="AM319" s="327">
        <v>0.3</v>
      </c>
      <c r="AN319" s="327">
        <v>0.2</v>
      </c>
      <c r="AO319" s="327">
        <f t="shared" si="279"/>
        <v>0.2</v>
      </c>
      <c r="AP319" s="327">
        <v>0.2</v>
      </c>
      <c r="AQ319" s="327">
        <f t="shared" si="306"/>
        <v>0.3</v>
      </c>
      <c r="AR319" s="338"/>
      <c r="AS319" s="328">
        <f t="shared" si="307"/>
        <v>36</v>
      </c>
      <c r="AT319" s="328">
        <f t="shared" si="308"/>
        <v>36</v>
      </c>
      <c r="AU319" s="523">
        <v>0.2</v>
      </c>
      <c r="AV319" s="328"/>
      <c r="AW319" s="328"/>
      <c r="AX319" s="332">
        <v>0.2</v>
      </c>
      <c r="AY319" s="328" t="b">
        <f t="shared" si="309"/>
        <v>1</v>
      </c>
      <c r="AZ319" s="328" t="b">
        <f t="shared" si="235"/>
        <v>0</v>
      </c>
    </row>
    <row r="320" ht="27" customHeight="1" spans="1:52">
      <c r="A320" s="326" t="str">
        <f>INDEX('Rate Card'!$A:$A,MATCH(服务费底表!$T320,'Rate Card'!$F:$F,0))</f>
        <v>数统</v>
      </c>
      <c r="B320" s="327" t="str">
        <f>INDEX(二三级标准!$G:$G,MATCH(服务费底表!$K320,二三级标准!B:B,0))</f>
        <v>项目</v>
      </c>
      <c r="C320" s="327">
        <f>INDEX(服务费明细!$E:$E,MATCH(服务费底表!$K320,服务费明细!$B:$B,0))</f>
        <v>1</v>
      </c>
      <c r="D320" s="327" t="str">
        <f t="shared" si="297"/>
        <v>A086DBP</v>
      </c>
      <c r="E320" s="327" t="str">
        <f t="shared" si="298"/>
        <v>T0213aDBP</v>
      </c>
      <c r="F320" s="328"/>
      <c r="G320" s="328" t="s">
        <v>684</v>
      </c>
      <c r="H320" s="326" t="str">
        <f>INDEX('Rate Card'!$B:$B,MATCH(服务费底表!$T320,'Rate Card'!$F:$F,0))</f>
        <v>数据管理</v>
      </c>
      <c r="I320" s="328" t="s">
        <v>923</v>
      </c>
      <c r="J320" s="328" t="str">
        <f>INDEX(二三级标准!$Q:$Q,MATCH(服务费底表!I320,二三级标准!$O:$O,0))</f>
        <v>数据管理</v>
      </c>
      <c r="K320" s="328" t="s">
        <v>277</v>
      </c>
      <c r="L320" s="328" t="str">
        <f>INDEX(二三级标准!C:C,MATCH(服务费底表!K320,二三级标准!$B:$B,0))</f>
        <v>搭建数据库界面</v>
      </c>
      <c r="M320" s="328" t="s">
        <v>1387</v>
      </c>
      <c r="N320" s="328" t="str">
        <f>INDEX(二三级标准!$M:$M,MATCH(服务费底表!$M320,二三级标准!$L:$L,0))</f>
        <v>验证eCRF页面</v>
      </c>
      <c r="O320" s="328"/>
      <c r="P320" s="531">
        <f>IF(R320=1,CRF唯一页面数+CRF重复页面数,0)</f>
        <v>180</v>
      </c>
      <c r="Q320" s="328" t="s">
        <v>1187</v>
      </c>
      <c r="R320" s="520">
        <f>IF(AND(搭建数据库界面YN=1,数据管理YN=1),1,0)</f>
        <v>1</v>
      </c>
      <c r="S320" s="524" t="str">
        <f>INDEX('Rate Card'!$D:$D,MATCH(服务费底表!$T320,'Rate Card'!F:F,0))</f>
        <v>数据管理</v>
      </c>
      <c r="T320" s="328" t="s">
        <v>629</v>
      </c>
      <c r="U320" s="522" t="str">
        <f>INDEX('Rate Card'!$E:$E,MATCH(服务费底表!$T320,'Rate Card'!$F:$F,0))</f>
        <v>数据库编程员</v>
      </c>
      <c r="V320" s="331">
        <f>INDEX('Rate Card'!$J:$J,MATCH($T320,'Rate Card'!$F:$F,0))</f>
        <v>300</v>
      </c>
      <c r="W320" s="523">
        <f t="shared" si="299"/>
        <v>300</v>
      </c>
      <c r="X320" s="523">
        <f t="shared" si="300"/>
        <v>0.03</v>
      </c>
      <c r="Y320" s="327" cm="1">
        <f t="array" ref="Y320">_xlfn.IFS(报价场景=服务费底表!$AJ$2,服务费底表!$AJ320,报价场景=服务费底表!$AP$2,服务费底表!$AP320,报价场景=服务费底表!$AK$2,服务费底表!$AK320,报价场景=服务费底表!$AL$2,服务费底表!$AL320,报价场景=服务费底表!$AM$2,服务费底表!$AM320,报价场景=服务费底表!$AN$2,服务费底表!$AN320,报价场景=服务费底表!$AQ$2,服务费底表!$AQ320,报价场景=服务费底表!$AO$2,服务费底表!$AO320)</f>
        <v>0.03</v>
      </c>
      <c r="Z320" s="327"/>
      <c r="AA320" s="332">
        <f t="shared" si="301"/>
        <v>0.03</v>
      </c>
      <c r="AB320" s="333">
        <f t="shared" si="302"/>
        <v>9</v>
      </c>
      <c r="AC320" s="328">
        <f t="shared" si="303"/>
        <v>5.4</v>
      </c>
      <c r="AD320" s="334">
        <f t="shared" si="310"/>
        <v>1620</v>
      </c>
      <c r="AE320" s="334">
        <f>$AB320*(1-INDEX(项目参数!$D$5:$D$14,MATCH(服务费底表!$S320,项目参数!$B$5:$B$14,0)))</f>
        <v>9</v>
      </c>
      <c r="AF320" s="334">
        <f>$AD320*INDEX(项目参数!$D$5:$D$14,MATCH(服务费底表!$S320,项目参数!$B$5:$B$14,0))</f>
        <v>0</v>
      </c>
      <c r="AG320" s="334">
        <f t="shared" si="311"/>
        <v>1620</v>
      </c>
      <c r="AH320" s="328"/>
      <c r="AI320" s="328" t="s">
        <v>629</v>
      </c>
      <c r="AJ320" s="327">
        <v>0.03</v>
      </c>
      <c r="AK320" s="327">
        <v>0.05</v>
      </c>
      <c r="AL320" s="327">
        <v>0.03</v>
      </c>
      <c r="AM320" s="327">
        <v>0.04</v>
      </c>
      <c r="AN320" s="327">
        <v>0.03</v>
      </c>
      <c r="AO320" s="327">
        <f t="shared" si="279"/>
        <v>0.03</v>
      </c>
      <c r="AP320" s="327">
        <v>0.03</v>
      </c>
      <c r="AQ320" s="327">
        <f t="shared" si="306"/>
        <v>0.045</v>
      </c>
      <c r="AR320" s="338"/>
      <c r="AS320" s="328">
        <f t="shared" si="307"/>
        <v>5.4</v>
      </c>
      <c r="AT320" s="328">
        <f t="shared" si="308"/>
        <v>5.4</v>
      </c>
      <c r="AU320" s="523">
        <v>0.03</v>
      </c>
      <c r="AV320" s="328"/>
      <c r="AW320" s="328"/>
      <c r="AX320" s="332">
        <v>0.03</v>
      </c>
      <c r="AY320" s="328" t="b">
        <f t="shared" si="309"/>
        <v>1</v>
      </c>
      <c r="AZ320" s="328" t="b">
        <f t="shared" si="235"/>
        <v>0</v>
      </c>
    </row>
    <row r="321" ht="27" customHeight="1" spans="1:52">
      <c r="A321" s="326" t="str">
        <f>INDEX('Rate Card'!$A:$A,MATCH(服务费底表!$T321,'Rate Card'!$F:$F,0))</f>
        <v>数统</v>
      </c>
      <c r="B321" s="327" t="str">
        <f>INDEX(二三级标准!$G:$G,MATCH(服务费底表!$K321,二三级标准!B:B,0))</f>
        <v>项目</v>
      </c>
      <c r="C321" s="327">
        <f>INDEX(服务费明细!$E:$E,MATCH(服务费底表!$K321,服务费明细!$B:$B,0))</f>
        <v>1</v>
      </c>
      <c r="D321" s="327" t="str">
        <f t="shared" si="297"/>
        <v>A086DM</v>
      </c>
      <c r="E321" s="327" t="str">
        <f t="shared" si="298"/>
        <v>T0215aDM</v>
      </c>
      <c r="F321" s="328"/>
      <c r="G321" s="328" t="s">
        <v>684</v>
      </c>
      <c r="H321" s="326" t="str">
        <f>INDEX('Rate Card'!$B:$B,MATCH(服务费底表!$T321,'Rate Card'!$F:$F,0))</f>
        <v>数据管理</v>
      </c>
      <c r="I321" s="328" t="s">
        <v>923</v>
      </c>
      <c r="J321" s="328" t="str">
        <f>INDEX(二三级标准!$Q:$Q,MATCH(服务费底表!I321,二三级标准!$O:$O,0))</f>
        <v>数据管理</v>
      </c>
      <c r="K321" s="328" t="s">
        <v>277</v>
      </c>
      <c r="L321" s="328" t="str">
        <f>INDEX(二三级标准!C:C,MATCH(服务费底表!K321,二三级标准!$B:$B,0))</f>
        <v>搭建数据库界面</v>
      </c>
      <c r="M321" s="328" t="s">
        <v>1388</v>
      </c>
      <c r="N321" s="328" t="str">
        <f>INDEX(二三级标准!$M:$M,MATCH(服务费底表!$M321,二三级标准!$L:$L,0))</f>
        <v>测试eCRF页面</v>
      </c>
      <c r="O321" s="328"/>
      <c r="P321" s="531">
        <f>IF(R321=1,CRF唯一页面数+CRF重复页面数,0)</f>
        <v>180</v>
      </c>
      <c r="Q321" s="328" t="s">
        <v>1187</v>
      </c>
      <c r="R321" s="520">
        <f>IF(AND(搭建数据库界面YN=1,数据管理YN=1),1,0)</f>
        <v>1</v>
      </c>
      <c r="S321" s="524" t="str">
        <f>INDEX('Rate Card'!$D:$D,MATCH(服务费底表!$T321,'Rate Card'!F:F,0))</f>
        <v>数据管理</v>
      </c>
      <c r="T321" s="328" t="s">
        <v>631</v>
      </c>
      <c r="U321" s="522" t="str">
        <f>INDEX('Rate Card'!$E:$E,MATCH(服务费底表!$T321,'Rate Card'!$F:$F,0))</f>
        <v>数据管理专员</v>
      </c>
      <c r="V321" s="331">
        <f>INDEX('Rate Card'!$J:$J,MATCH($T321,'Rate Card'!$F:$F,0))</f>
        <v>200</v>
      </c>
      <c r="W321" s="523">
        <f t="shared" si="299"/>
        <v>200</v>
      </c>
      <c r="X321" s="523">
        <f t="shared" si="300"/>
        <v>0.15</v>
      </c>
      <c r="Y321" s="327" cm="1">
        <f t="array" ref="Y321">_xlfn.IFS(报价场景=服务费底表!$AJ$2,服务费底表!$AJ321,报价场景=服务费底表!$AP$2,服务费底表!$AP321,报价场景=服务费底表!$AK$2,服务费底表!$AK321,报价场景=服务费底表!$AL$2,服务费底表!$AL321,报价场景=服务费底表!$AM$2,服务费底表!$AM321,报价场景=服务费底表!$AN$2,服务费底表!$AN321,报价场景=服务费底表!$AQ$2,服务费底表!$AQ321,报价场景=服务费底表!$AO$2,服务费底表!$AO321)</f>
        <v>0.15</v>
      </c>
      <c r="Z321" s="327"/>
      <c r="AA321" s="332">
        <f t="shared" si="301"/>
        <v>0.15</v>
      </c>
      <c r="AB321" s="333">
        <f t="shared" si="302"/>
        <v>30</v>
      </c>
      <c r="AC321" s="328">
        <f t="shared" si="303"/>
        <v>27</v>
      </c>
      <c r="AD321" s="334">
        <f t="shared" si="310"/>
        <v>5400</v>
      </c>
      <c r="AE321" s="334">
        <f>$AB321*(1-INDEX(项目参数!$D$5:$D$14,MATCH(服务费底表!$S321,项目参数!$B$5:$B$14,0)))</f>
        <v>30</v>
      </c>
      <c r="AF321" s="334">
        <f>$AD321*INDEX(项目参数!$D$5:$D$14,MATCH(服务费底表!$S321,项目参数!$B$5:$B$14,0))</f>
        <v>0</v>
      </c>
      <c r="AG321" s="334">
        <f t="shared" si="311"/>
        <v>5400</v>
      </c>
      <c r="AH321" s="328"/>
      <c r="AI321" s="328" t="s">
        <v>631</v>
      </c>
      <c r="AJ321" s="327">
        <v>0.15</v>
      </c>
      <c r="AK321" s="327">
        <v>0.2</v>
      </c>
      <c r="AL321" s="327">
        <v>0.15</v>
      </c>
      <c r="AM321" s="327">
        <v>0.2</v>
      </c>
      <c r="AN321" s="327">
        <v>0.1</v>
      </c>
      <c r="AO321" s="327">
        <f t="shared" si="279"/>
        <v>0.15</v>
      </c>
      <c r="AP321" s="327">
        <v>0.15</v>
      </c>
      <c r="AQ321" s="327">
        <f t="shared" si="306"/>
        <v>0.225</v>
      </c>
      <c r="AR321" s="338"/>
      <c r="AS321" s="328">
        <f t="shared" si="307"/>
        <v>27</v>
      </c>
      <c r="AT321" s="328">
        <f t="shared" si="308"/>
        <v>27</v>
      </c>
      <c r="AU321" s="523">
        <v>0.15</v>
      </c>
      <c r="AV321" s="328"/>
      <c r="AW321" s="328"/>
      <c r="AX321" s="332">
        <v>0.15</v>
      </c>
      <c r="AY321" s="328" t="b">
        <f t="shared" si="309"/>
        <v>1</v>
      </c>
      <c r="AZ321" s="328" t="b">
        <f t="shared" si="235"/>
        <v>0</v>
      </c>
    </row>
    <row r="322" ht="27" customHeight="1" spans="1:52">
      <c r="A322" s="326" t="str">
        <f>INDEX('Rate Card'!$A:$A,MATCH(服务费底表!$T322,'Rate Card'!$F:$F,0))</f>
        <v>数统</v>
      </c>
      <c r="B322" s="327" t="str">
        <f>INDEX(二三级标准!$G:$G,MATCH(服务费底表!$K322,二三级标准!B:B,0))</f>
        <v>项目</v>
      </c>
      <c r="C322" s="327">
        <f>INDEX(服务费明细!$E:$E,MATCH(服务费底表!$K322,服务费明细!$B:$B,0))</f>
        <v>1</v>
      </c>
      <c r="D322" s="327" t="str">
        <f t="shared" si="297"/>
        <v>A086DBP</v>
      </c>
      <c r="E322" s="327" t="str">
        <f t="shared" si="298"/>
        <v>T0210DBP</v>
      </c>
      <c r="F322" s="328"/>
      <c r="G322" s="328" t="s">
        <v>684</v>
      </c>
      <c r="H322" s="326" t="str">
        <f>INDEX('Rate Card'!$B:$B,MATCH(服务费底表!$T322,'Rate Card'!$F:$F,0))</f>
        <v>数据管理</v>
      </c>
      <c r="I322" s="328" t="s">
        <v>923</v>
      </c>
      <c r="J322" s="328" t="str">
        <f>INDEX(二三级标准!$Q:$Q,MATCH(服务费底表!I322,二三级标准!$O:$O,0))</f>
        <v>数据管理</v>
      </c>
      <c r="K322" s="328" t="s">
        <v>277</v>
      </c>
      <c r="L322" s="328" t="str">
        <f>INDEX(二三级标准!C:C,MATCH(服务费底表!K322,二三级标准!$B:$B,0))</f>
        <v>搭建数据库界面</v>
      </c>
      <c r="M322" s="328" t="s">
        <v>1389</v>
      </c>
      <c r="N322" s="328" t="str">
        <f>INDEX(二三级标准!$M:$M,MATCH(服务费底表!$M322,二三级标准!$L:$L,0))</f>
        <v>衍生变量与动态设置</v>
      </c>
      <c r="O322" s="328"/>
      <c r="P322" s="531">
        <f>IF(R322=1,INDEX(服务费明细!$E:$E,MATCH(服务费底表!$K322,服务费明细!$B:$B,0)),0)</f>
        <v>1</v>
      </c>
      <c r="Q322" s="328" t="s">
        <v>1178</v>
      </c>
      <c r="R322" s="520">
        <f>IF(AND(搭建数据库界面YN=1,数据管理YN=1),1,0)</f>
        <v>1</v>
      </c>
      <c r="S322" s="524" t="str">
        <f>INDEX('Rate Card'!$D:$D,MATCH(服务费底表!$T322,'Rate Card'!F:F,0))</f>
        <v>数据管理</v>
      </c>
      <c r="T322" s="328" t="s">
        <v>629</v>
      </c>
      <c r="U322" s="522" t="str">
        <f>INDEX('Rate Card'!$E:$E,MATCH(服务费底表!$T322,'Rate Card'!$F:$F,0))</f>
        <v>数据库编程员</v>
      </c>
      <c r="V322" s="331">
        <f>INDEX('Rate Card'!$J:$J,MATCH($T322,'Rate Card'!$F:$F,0))</f>
        <v>300</v>
      </c>
      <c r="W322" s="523">
        <f t="shared" si="299"/>
        <v>300</v>
      </c>
      <c r="X322" s="523">
        <f t="shared" si="300"/>
        <v>8</v>
      </c>
      <c r="Y322" s="327" cm="1">
        <f t="array" ref="Y322">_xlfn.IFS(报价场景=服务费底表!$AJ$2,服务费底表!$AJ322,报价场景=服务费底表!$AP$2,服务费底表!$AP322,报价场景=服务费底表!$AK$2,服务费底表!$AK322,报价场景=服务费底表!$AL$2,服务费底表!$AL322,报价场景=服务费底表!$AM$2,服务费底表!$AM322,报价场景=服务费底表!$AN$2,服务费底表!$AN322,报价场景=服务费底表!$AQ$2,服务费底表!$AQ322,报价场景=服务费底表!$AO$2,服务费底表!$AO322)</f>
        <v>8</v>
      </c>
      <c r="Z322" s="327"/>
      <c r="AA322" s="332">
        <f t="shared" si="301"/>
        <v>8</v>
      </c>
      <c r="AB322" s="333">
        <f t="shared" si="302"/>
        <v>2400</v>
      </c>
      <c r="AC322" s="328">
        <f t="shared" si="303"/>
        <v>8</v>
      </c>
      <c r="AD322" s="334">
        <f t="shared" si="310"/>
        <v>2400</v>
      </c>
      <c r="AE322" s="334">
        <f>$AB322*(1-INDEX(项目参数!$D$5:$D$14,MATCH(服务费底表!$S322,项目参数!$B$5:$B$14,0)))</f>
        <v>2400</v>
      </c>
      <c r="AF322" s="334">
        <f>$AD322*INDEX(项目参数!$D$5:$D$14,MATCH(服务费底表!$S322,项目参数!$B$5:$B$14,0))</f>
        <v>0</v>
      </c>
      <c r="AG322" s="334">
        <f t="shared" si="311"/>
        <v>2400</v>
      </c>
      <c r="AH322" s="328"/>
      <c r="AI322" s="328" t="s">
        <v>629</v>
      </c>
      <c r="AJ322" s="327">
        <v>8</v>
      </c>
      <c r="AK322" s="327">
        <v>9</v>
      </c>
      <c r="AL322" s="327">
        <v>8</v>
      </c>
      <c r="AM322" s="327">
        <v>8</v>
      </c>
      <c r="AN322" s="327">
        <v>8</v>
      </c>
      <c r="AO322" s="327">
        <f t="shared" si="279"/>
        <v>8</v>
      </c>
      <c r="AP322" s="327">
        <v>8</v>
      </c>
      <c r="AQ322" s="327">
        <f t="shared" si="306"/>
        <v>12</v>
      </c>
      <c r="AR322" s="338"/>
      <c r="AS322" s="328">
        <f t="shared" si="307"/>
        <v>8</v>
      </c>
      <c r="AT322" s="328">
        <f t="shared" si="308"/>
        <v>8</v>
      </c>
      <c r="AU322" s="523">
        <v>8</v>
      </c>
      <c r="AV322" s="328"/>
      <c r="AW322" s="328"/>
      <c r="AX322" s="332">
        <v>8</v>
      </c>
      <c r="AY322" s="328" t="b">
        <f t="shared" si="309"/>
        <v>1</v>
      </c>
      <c r="AZ322" s="328" t="b">
        <f t="shared" si="235"/>
        <v>0</v>
      </c>
    </row>
    <row r="323" ht="27" customHeight="1" spans="1:52">
      <c r="A323" s="326" t="str">
        <f>INDEX('Rate Card'!$A:$A,MATCH(服务费底表!$T323,'Rate Card'!$F:$F,0))</f>
        <v>数统</v>
      </c>
      <c r="B323" s="327" t="str">
        <f>INDEX(二三级标准!$G:$G,MATCH(服务费底表!$K323,二三级标准!B:B,0))</f>
        <v>项目</v>
      </c>
      <c r="C323" s="327">
        <f>INDEX(服务费明细!$E:$E,MATCH(服务费底表!$K323,服务费明细!$B:$B,0))</f>
        <v>1</v>
      </c>
      <c r="D323" s="327" t="str">
        <f t="shared" si="297"/>
        <v>A086DBP</v>
      </c>
      <c r="E323" s="327" t="str">
        <f t="shared" si="298"/>
        <v>T0217DBP</v>
      </c>
      <c r="F323" s="328"/>
      <c r="G323" s="328" t="s">
        <v>684</v>
      </c>
      <c r="H323" s="326" t="str">
        <f>INDEX('Rate Card'!$B:$B,MATCH(服务费底表!$T323,'Rate Card'!$F:$F,0))</f>
        <v>数据管理</v>
      </c>
      <c r="I323" s="328" t="s">
        <v>923</v>
      </c>
      <c r="J323" s="328" t="str">
        <f>INDEX(二三级标准!$Q:$Q,MATCH(服务费底表!I323,二三级标准!$O:$O,0))</f>
        <v>数据管理</v>
      </c>
      <c r="K323" s="328" t="s">
        <v>277</v>
      </c>
      <c r="L323" s="328" t="str">
        <f>INDEX(二三级标准!C:C,MATCH(服务费底表!K323,二三级标准!$B:$B,0))</f>
        <v>搭建数据库界面</v>
      </c>
      <c r="M323" s="328" t="s">
        <v>1390</v>
      </c>
      <c r="N323" s="328" t="str">
        <f>INDEX(二三级标准!$M:$M,MATCH(服务费底表!$M323,二三级标准!$L:$L,0))</f>
        <v>EDC功能模块搭建(编码、实验室等)</v>
      </c>
      <c r="O323" s="328"/>
      <c r="P323" s="531">
        <f>IF(R323=1,INDEX(服务费明细!$E:$E,MATCH(服务费底表!$K323,服务费明细!$B:$B,0)),0)</f>
        <v>1</v>
      </c>
      <c r="Q323" s="328" t="s">
        <v>1178</v>
      </c>
      <c r="R323" s="520">
        <f>IF(AND(搭建数据库界面YN=1,数据管理YN=1),1,0)</f>
        <v>1</v>
      </c>
      <c r="S323" s="524" t="str">
        <f>INDEX('Rate Card'!$D:$D,MATCH(服务费底表!$T323,'Rate Card'!F:F,0))</f>
        <v>数据管理</v>
      </c>
      <c r="T323" s="328" t="s">
        <v>629</v>
      </c>
      <c r="U323" s="522" t="str">
        <f>INDEX('Rate Card'!$E:$E,MATCH(服务费底表!$T323,'Rate Card'!$F:$F,0))</f>
        <v>数据库编程员</v>
      </c>
      <c r="V323" s="331">
        <f>INDEX('Rate Card'!$J:$J,MATCH($T323,'Rate Card'!$F:$F,0))</f>
        <v>300</v>
      </c>
      <c r="W323" s="523">
        <f t="shared" si="299"/>
        <v>300</v>
      </c>
      <c r="X323" s="523">
        <f t="shared" si="300"/>
        <v>2.5</v>
      </c>
      <c r="Y323" s="327" cm="1">
        <f t="array" ref="Y323">_xlfn.IFS(报价场景=服务费底表!$AJ$2,服务费底表!$AJ323,报价场景=服务费底表!$AP$2,服务费底表!$AP323,报价场景=服务费底表!$AK$2,服务费底表!$AK323,报价场景=服务费底表!$AL$2,服务费底表!$AL323,报价场景=服务费底表!$AM$2,服务费底表!$AM323,报价场景=服务费底表!$AN$2,服务费底表!$AN323,报价场景=服务费底表!$AQ$2,服务费底表!$AQ323,报价场景=服务费底表!$AO$2,服务费底表!$AO323)</f>
        <v>2.5</v>
      </c>
      <c r="Z323" s="327"/>
      <c r="AA323" s="332">
        <f t="shared" si="301"/>
        <v>2.5</v>
      </c>
      <c r="AB323" s="333">
        <f t="shared" si="302"/>
        <v>750</v>
      </c>
      <c r="AC323" s="328">
        <f t="shared" si="303"/>
        <v>2.5</v>
      </c>
      <c r="AD323" s="334">
        <f t="shared" si="310"/>
        <v>750</v>
      </c>
      <c r="AE323" s="334">
        <f>$AB323*(1-INDEX(项目参数!$D$5:$D$14,MATCH(服务费底表!$S323,项目参数!$B$5:$B$14,0)))</f>
        <v>750</v>
      </c>
      <c r="AF323" s="334">
        <f>$AD323*INDEX(项目参数!$D$5:$D$14,MATCH(服务费底表!$S323,项目参数!$B$5:$B$14,0))</f>
        <v>0</v>
      </c>
      <c r="AG323" s="334">
        <f t="shared" si="311"/>
        <v>750</v>
      </c>
      <c r="AH323" s="328"/>
      <c r="AI323" s="328" t="s">
        <v>629</v>
      </c>
      <c r="AJ323" s="327">
        <v>2.5</v>
      </c>
      <c r="AK323" s="327">
        <v>4</v>
      </c>
      <c r="AL323" s="327">
        <v>2.5</v>
      </c>
      <c r="AM323" s="327">
        <v>4</v>
      </c>
      <c r="AN323" s="327">
        <v>2.5</v>
      </c>
      <c r="AO323" s="327">
        <f t="shared" si="279"/>
        <v>2.5</v>
      </c>
      <c r="AP323" s="327">
        <v>2.5</v>
      </c>
      <c r="AQ323" s="327">
        <f t="shared" si="306"/>
        <v>3.75</v>
      </c>
      <c r="AR323" s="338"/>
      <c r="AS323" s="328">
        <f t="shared" si="307"/>
        <v>2.5</v>
      </c>
      <c r="AT323" s="328">
        <f t="shared" si="308"/>
        <v>2.5</v>
      </c>
      <c r="AU323" s="523">
        <v>2.5</v>
      </c>
      <c r="AV323" s="328"/>
      <c r="AW323" s="328"/>
      <c r="AX323" s="332">
        <v>2.5</v>
      </c>
      <c r="AY323" s="328" t="b">
        <f t="shared" si="309"/>
        <v>1</v>
      </c>
      <c r="AZ323" s="328" t="b">
        <f t="shared" si="235"/>
        <v>0</v>
      </c>
    </row>
    <row r="324" ht="27" customHeight="1" spans="1:52">
      <c r="A324" s="326" t="str">
        <f>INDEX('Rate Card'!$A:$A,MATCH(服务费底表!$T324,'Rate Card'!$F:$F,0))</f>
        <v>数统</v>
      </c>
      <c r="B324" s="327" t="str">
        <f>INDEX(二三级标准!$G:$G,MATCH(服务费底表!$K324,二三级标准!B:B,0))</f>
        <v>项目</v>
      </c>
      <c r="C324" s="327">
        <f>INDEX(服务费明细!$E:$E,MATCH(服务费底表!$K324,服务费明细!$B:$B,0))</f>
        <v>1</v>
      </c>
      <c r="D324" s="327" t="str">
        <f t="shared" si="297"/>
        <v>A086DM</v>
      </c>
      <c r="E324" s="327" t="str">
        <f t="shared" si="298"/>
        <v>T0218DM</v>
      </c>
      <c r="F324" s="328"/>
      <c r="G324" s="328" t="s">
        <v>684</v>
      </c>
      <c r="H324" s="326" t="str">
        <f>INDEX('Rate Card'!$B:$B,MATCH(服务费底表!$T324,'Rate Card'!$F:$F,0))</f>
        <v>数据管理</v>
      </c>
      <c r="I324" s="328" t="s">
        <v>923</v>
      </c>
      <c r="J324" s="328" t="str">
        <f>INDEX(二三级标准!$Q:$Q,MATCH(服务费底表!I324,二三级标准!$O:$O,0))</f>
        <v>数据管理</v>
      </c>
      <c r="K324" s="328" t="s">
        <v>277</v>
      </c>
      <c r="L324" s="328" t="str">
        <f>INDEX(二三级标准!C:C,MATCH(服务费底表!K324,二三级标准!$B:$B,0))</f>
        <v>搭建数据库界面</v>
      </c>
      <c r="M324" s="328" t="s">
        <v>1391</v>
      </c>
      <c r="N324" s="328" t="str">
        <f>INDEX(二三级标准!$M:$M,MATCH(服务费底表!$M324,二三级标准!$L:$L,0))</f>
        <v>EDC功能模块测试(编码、实验室等)</v>
      </c>
      <c r="O324" s="328"/>
      <c r="P324" s="531">
        <f>IF(R324=1,INDEX(服务费明细!$E:$E,MATCH(服务费底表!$K324,服务费明细!$B:$B,0)),0)</f>
        <v>1</v>
      </c>
      <c r="Q324" s="328" t="s">
        <v>1178</v>
      </c>
      <c r="R324" s="520">
        <f>IF(AND(搭建数据库界面YN=1,数据管理YN=1),1,0)</f>
        <v>1</v>
      </c>
      <c r="S324" s="524" t="str">
        <f>INDEX('Rate Card'!$D:$D,MATCH(服务费底表!$T324,'Rate Card'!F:F,0))</f>
        <v>数据管理</v>
      </c>
      <c r="T324" s="328" t="s">
        <v>631</v>
      </c>
      <c r="U324" s="522" t="str">
        <f>INDEX('Rate Card'!$E:$E,MATCH(服务费底表!$T324,'Rate Card'!$F:$F,0))</f>
        <v>数据管理专员</v>
      </c>
      <c r="V324" s="331">
        <f>INDEX('Rate Card'!$J:$J,MATCH($T324,'Rate Card'!$F:$F,0))</f>
        <v>200</v>
      </c>
      <c r="W324" s="523">
        <f t="shared" si="299"/>
        <v>200</v>
      </c>
      <c r="X324" s="523">
        <f t="shared" si="300"/>
        <v>1.5</v>
      </c>
      <c r="Y324" s="327" cm="1">
        <f t="array" ref="Y324">_xlfn.IFS(报价场景=服务费底表!$AJ$2,服务费底表!$AJ324,报价场景=服务费底表!$AP$2,服务费底表!$AP324,报价场景=服务费底表!$AK$2,服务费底表!$AK324,报价场景=服务费底表!$AL$2,服务费底表!$AL324,报价场景=服务费底表!$AM$2,服务费底表!$AM324,报价场景=服务费底表!$AN$2,服务费底表!$AN324,报价场景=服务费底表!$AQ$2,服务费底表!$AQ324,报价场景=服务费底表!$AO$2,服务费底表!$AO324)</f>
        <v>1.5</v>
      </c>
      <c r="Z324" s="327"/>
      <c r="AA324" s="332">
        <f t="shared" si="301"/>
        <v>1.5</v>
      </c>
      <c r="AB324" s="333">
        <f t="shared" si="302"/>
        <v>300</v>
      </c>
      <c r="AC324" s="328">
        <f t="shared" si="303"/>
        <v>1.5</v>
      </c>
      <c r="AD324" s="334">
        <f t="shared" si="310"/>
        <v>300</v>
      </c>
      <c r="AE324" s="334">
        <f>$AB324*(1-INDEX(项目参数!$D$5:$D$14,MATCH(服务费底表!$S324,项目参数!$B$5:$B$14,0)))</f>
        <v>300</v>
      </c>
      <c r="AF324" s="334">
        <f>$AD324*INDEX(项目参数!$D$5:$D$14,MATCH(服务费底表!$S324,项目参数!$B$5:$B$14,0))</f>
        <v>0</v>
      </c>
      <c r="AG324" s="334">
        <f t="shared" si="311"/>
        <v>300</v>
      </c>
      <c r="AH324" s="328"/>
      <c r="AI324" s="328" t="s">
        <v>631</v>
      </c>
      <c r="AJ324" s="327">
        <v>1.5</v>
      </c>
      <c r="AK324" s="327">
        <v>2</v>
      </c>
      <c r="AL324" s="327">
        <v>1.5</v>
      </c>
      <c r="AM324" s="327">
        <v>2</v>
      </c>
      <c r="AN324" s="327">
        <v>1.5</v>
      </c>
      <c r="AO324" s="327">
        <f t="shared" si="279"/>
        <v>1.5</v>
      </c>
      <c r="AP324" s="327">
        <v>1.5</v>
      </c>
      <c r="AQ324" s="327">
        <f t="shared" si="306"/>
        <v>2.25</v>
      </c>
      <c r="AR324" s="338"/>
      <c r="AS324" s="328">
        <f t="shared" si="307"/>
        <v>1.5</v>
      </c>
      <c r="AT324" s="328">
        <f t="shared" si="308"/>
        <v>1.5</v>
      </c>
      <c r="AU324" s="523">
        <v>1.5</v>
      </c>
      <c r="AV324" s="328"/>
      <c r="AW324" s="328"/>
      <c r="AX324" s="332">
        <v>1.5</v>
      </c>
      <c r="AY324" s="328" t="b">
        <f t="shared" si="309"/>
        <v>1</v>
      </c>
      <c r="AZ324" s="328" t="b">
        <f t="shared" ref="AZ324:AZ387" si="312">IF(K324&lt;&gt;K323,IF(AZ323=TRUE,FALSE,TRUE),AZ323)</f>
        <v>0</v>
      </c>
    </row>
    <row r="325" ht="27" customHeight="1" spans="1:52">
      <c r="A325" s="326" t="str">
        <f>INDEX('Rate Card'!$A:$A,MATCH(服务费底表!$T325,'Rate Card'!$F:$F,0))</f>
        <v>数统</v>
      </c>
      <c r="B325" s="327" t="str">
        <f>INDEX(二三级标准!$G:$G,MATCH(服务费底表!$K325,二三级标准!B:B,0))</f>
        <v>项目</v>
      </c>
      <c r="C325" s="327">
        <f>INDEX(服务费明细!$E:$E,MATCH(服务费底表!$K325,服务费明细!$B:$B,0))</f>
        <v>1</v>
      </c>
      <c r="D325" s="327" t="str">
        <f t="shared" ref="D325:D362" si="313">K325&amp;T325</f>
        <v>A086DM</v>
      </c>
      <c r="E325" s="327" t="str">
        <f t="shared" ref="E325:E362" si="314">M325&amp;T325</f>
        <v>T0221DM</v>
      </c>
      <c r="F325" s="328"/>
      <c r="G325" s="328" t="s">
        <v>684</v>
      </c>
      <c r="H325" s="326" t="str">
        <f>INDEX('Rate Card'!$B:$B,MATCH(服务费底表!$T325,'Rate Card'!$F:$F,0))</f>
        <v>数据管理</v>
      </c>
      <c r="I325" s="328" t="s">
        <v>923</v>
      </c>
      <c r="J325" s="328" t="str">
        <f>INDEX(二三级标准!$Q:$Q,MATCH(服务费底表!I325,二三级标准!$O:$O,0))</f>
        <v>数据管理</v>
      </c>
      <c r="K325" s="328" t="s">
        <v>277</v>
      </c>
      <c r="L325" s="328" t="str">
        <f>INDEX(二三级标准!C:C,MATCH(服务费底表!K325,二三级标准!$B:$B,0))</f>
        <v>搭建数据库界面</v>
      </c>
      <c r="M325" s="328" t="s">
        <v>1392</v>
      </c>
      <c r="N325" s="328" t="str">
        <f>INDEX(二三级标准!$M:$M,MATCH(服务费底表!$M325,二三级标准!$L:$L,0))</f>
        <v>数据库上线前检查</v>
      </c>
      <c r="O325" s="328"/>
      <c r="P325" s="531">
        <f>IF(R325=1,INDEX(服务费明细!$E:$E,MATCH(服务费底表!$K325,服务费明细!$B:$B,0)),0)</f>
        <v>1</v>
      </c>
      <c r="Q325" s="328" t="s">
        <v>1178</v>
      </c>
      <c r="R325" s="520">
        <f>IF(AND(搭建数据库界面YN=1,数据管理YN=1),1,0)</f>
        <v>1</v>
      </c>
      <c r="S325" s="524" t="str">
        <f>INDEX('Rate Card'!$D:$D,MATCH(服务费底表!$T325,'Rate Card'!F:F,0))</f>
        <v>数据管理</v>
      </c>
      <c r="T325" s="328" t="s">
        <v>631</v>
      </c>
      <c r="U325" s="522" t="str">
        <f>INDEX('Rate Card'!$E:$E,MATCH(服务费底表!$T325,'Rate Card'!$F:$F,0))</f>
        <v>数据管理专员</v>
      </c>
      <c r="V325" s="331">
        <f>INDEX('Rate Card'!$J:$J,MATCH($T325,'Rate Card'!$F:$F,0))</f>
        <v>200</v>
      </c>
      <c r="W325" s="523">
        <f t="shared" si="299"/>
        <v>200</v>
      </c>
      <c r="X325" s="523">
        <f t="shared" si="300"/>
        <v>1</v>
      </c>
      <c r="Y325" s="327" cm="1">
        <f t="array" ref="Y325">_xlfn.IFS(报价场景=服务费底表!$AJ$2,服务费底表!$AJ325,报价场景=服务费底表!$AP$2,服务费底表!$AP325,报价场景=服务费底表!$AK$2,服务费底表!$AK325,报价场景=服务费底表!$AL$2,服务费底表!$AL325,报价场景=服务费底表!$AM$2,服务费底表!$AM325,报价场景=服务费底表!$AN$2,服务费底表!$AN325,报价场景=服务费底表!$AQ$2,服务费底表!$AQ325,报价场景=服务费底表!$AO$2,服务费底表!$AO325)</f>
        <v>1</v>
      </c>
      <c r="Z325" s="327"/>
      <c r="AA325" s="332">
        <f t="shared" si="301"/>
        <v>1</v>
      </c>
      <c r="AB325" s="333">
        <f t="shared" ref="AB325:AB362" si="315">IFERROR(AD325/P325,0)</f>
        <v>200</v>
      </c>
      <c r="AC325" s="328">
        <f t="shared" ref="AC325:AC362" si="316">AA325*P325*R325</f>
        <v>1</v>
      </c>
      <c r="AD325" s="334">
        <f t="shared" ref="AD325:AD362" si="317">AC325*V325</f>
        <v>200</v>
      </c>
      <c r="AE325" s="334">
        <f>$AB325*(1-INDEX(项目参数!$D$5:$D$14,MATCH(服务费底表!$S325,项目参数!$B$5:$B$14,0)))</f>
        <v>200</v>
      </c>
      <c r="AF325" s="334">
        <f>$AD325*INDEX(项目参数!$D$5:$D$14,MATCH(服务费底表!$S325,项目参数!$B$5:$B$14,0))</f>
        <v>0</v>
      </c>
      <c r="AG325" s="334">
        <f t="shared" si="311"/>
        <v>200</v>
      </c>
      <c r="AH325" s="328"/>
      <c r="AI325" s="328" t="s">
        <v>631</v>
      </c>
      <c r="AJ325" s="327">
        <v>1</v>
      </c>
      <c r="AK325" s="327">
        <v>1</v>
      </c>
      <c r="AL325" s="327">
        <v>1</v>
      </c>
      <c r="AM325" s="327">
        <v>1</v>
      </c>
      <c r="AN325" s="327">
        <v>1</v>
      </c>
      <c r="AO325" s="327">
        <f t="shared" si="279"/>
        <v>1</v>
      </c>
      <c r="AP325" s="327">
        <v>1</v>
      </c>
      <c r="AQ325" s="327">
        <f t="shared" si="306"/>
        <v>1.5</v>
      </c>
      <c r="AR325" s="338"/>
      <c r="AS325" s="328">
        <f t="shared" si="307"/>
        <v>1</v>
      </c>
      <c r="AT325" s="328">
        <f t="shared" si="308"/>
        <v>1</v>
      </c>
      <c r="AU325" s="523">
        <v>1</v>
      </c>
      <c r="AV325" s="328"/>
      <c r="AW325" s="328"/>
      <c r="AX325" s="332">
        <v>1</v>
      </c>
      <c r="AY325" s="328" t="b">
        <f t="shared" si="309"/>
        <v>1</v>
      </c>
      <c r="AZ325" s="328" t="b">
        <f t="shared" si="312"/>
        <v>0</v>
      </c>
    </row>
    <row r="326" ht="27" customHeight="1" spans="1:52">
      <c r="A326" s="326" t="str">
        <f>INDEX('Rate Card'!$A:$A,MATCH(服务费底表!$T326,'Rate Card'!$F:$F,0))</f>
        <v>数统</v>
      </c>
      <c r="B326" s="327" t="str">
        <f>INDEX(二三级标准!$G:$G,MATCH(服务费底表!$K326,二三级标准!B:B,0))</f>
        <v>项目</v>
      </c>
      <c r="C326" s="327">
        <f>INDEX(服务费明细!$E:$E,MATCH(服务费底表!$K326,服务费明细!$B:$B,0))</f>
        <v>1</v>
      </c>
      <c r="D326" s="327" t="str">
        <f t="shared" si="313"/>
        <v>A086DBP</v>
      </c>
      <c r="E326" s="327" t="str">
        <f t="shared" si="314"/>
        <v>T0222DBP</v>
      </c>
      <c r="F326" s="328"/>
      <c r="G326" s="328" t="s">
        <v>684</v>
      </c>
      <c r="H326" s="326" t="str">
        <f>INDEX('Rate Card'!$B:$B,MATCH(服务费底表!$T326,'Rate Card'!$F:$F,0))</f>
        <v>数据管理</v>
      </c>
      <c r="I326" s="328" t="s">
        <v>923</v>
      </c>
      <c r="J326" s="328" t="str">
        <f>INDEX(二三级标准!$Q:$Q,MATCH(服务费底表!I326,二三级标准!$O:$O,0))</f>
        <v>数据管理</v>
      </c>
      <c r="K326" s="328" t="s">
        <v>277</v>
      </c>
      <c r="L326" s="328" t="str">
        <f>INDEX(二三级标准!C:C,MATCH(服务费底表!K326,二三级标准!$B:$B,0))</f>
        <v>搭建数据库界面</v>
      </c>
      <c r="M326" s="328" t="s">
        <v>1393</v>
      </c>
      <c r="N326" s="328" t="str">
        <f>INDEX(二三级标准!$M:$M,MATCH(服务费底表!$M326,二三级标准!$L:$L,0))</f>
        <v>数据库上线操作</v>
      </c>
      <c r="O326" s="328"/>
      <c r="P326" s="531">
        <f>IF(R326=1,INDEX(服务费明细!$E:$E,MATCH(服务费底表!$K326,服务费明细!$B:$B,0)),0)</f>
        <v>1</v>
      </c>
      <c r="Q326" s="328" t="s">
        <v>1178</v>
      </c>
      <c r="R326" s="520">
        <f>IF(AND(搭建数据库界面YN=1,数据管理YN=1),1,0)</f>
        <v>1</v>
      </c>
      <c r="S326" s="524" t="str">
        <f>INDEX('Rate Card'!$D:$D,MATCH(服务费底表!$T326,'Rate Card'!F:F,0))</f>
        <v>数据管理</v>
      </c>
      <c r="T326" s="328" t="s">
        <v>629</v>
      </c>
      <c r="U326" s="522" t="str">
        <f>INDEX('Rate Card'!$E:$E,MATCH(服务费底表!$T326,'Rate Card'!$F:$F,0))</f>
        <v>数据库编程员</v>
      </c>
      <c r="V326" s="331">
        <f>INDEX('Rate Card'!$J:$J,MATCH($T326,'Rate Card'!$F:$F,0))</f>
        <v>300</v>
      </c>
      <c r="W326" s="523">
        <f t="shared" si="299"/>
        <v>300</v>
      </c>
      <c r="X326" s="523">
        <f t="shared" si="300"/>
        <v>3</v>
      </c>
      <c r="Y326" s="327" cm="1">
        <f t="array" ref="Y326">_xlfn.IFS(报价场景=服务费底表!$AJ$2,服务费底表!$AJ326,报价场景=服务费底表!$AP$2,服务费底表!$AP326,报价场景=服务费底表!$AK$2,服务费底表!$AK326,报价场景=服务费底表!$AL$2,服务费底表!$AL326,报价场景=服务费底表!$AM$2,服务费底表!$AM326,报价场景=服务费底表!$AN$2,服务费底表!$AN326,报价场景=服务费底表!$AQ$2,服务费底表!$AQ326,报价场景=服务费底表!$AO$2,服务费底表!$AO326)</f>
        <v>3</v>
      </c>
      <c r="Z326" s="327"/>
      <c r="AA326" s="332">
        <f t="shared" si="301"/>
        <v>3</v>
      </c>
      <c r="AB326" s="333">
        <f t="shared" si="315"/>
        <v>900</v>
      </c>
      <c r="AC326" s="328">
        <f t="shared" si="316"/>
        <v>3</v>
      </c>
      <c r="AD326" s="334">
        <f t="shared" si="317"/>
        <v>900</v>
      </c>
      <c r="AE326" s="334">
        <f>$AB326*(1-INDEX(项目参数!$D$5:$D$14,MATCH(服务费底表!$S326,项目参数!$B$5:$B$14,0)))</f>
        <v>900</v>
      </c>
      <c r="AF326" s="334">
        <f>$AD326*INDEX(项目参数!$D$5:$D$14,MATCH(服务费底表!$S326,项目参数!$B$5:$B$14,0))</f>
        <v>0</v>
      </c>
      <c r="AG326" s="334">
        <f t="shared" si="311"/>
        <v>900</v>
      </c>
      <c r="AH326" s="328"/>
      <c r="AI326" s="328" t="s">
        <v>629</v>
      </c>
      <c r="AJ326" s="327">
        <v>3</v>
      </c>
      <c r="AK326" s="327">
        <v>3</v>
      </c>
      <c r="AL326" s="327">
        <v>2</v>
      </c>
      <c r="AM326" s="327">
        <v>3</v>
      </c>
      <c r="AN326" s="327">
        <v>2</v>
      </c>
      <c r="AO326" s="327">
        <f t="shared" si="279"/>
        <v>2</v>
      </c>
      <c r="AP326" s="327">
        <v>3</v>
      </c>
      <c r="AQ326" s="327">
        <f t="shared" si="306"/>
        <v>4.5</v>
      </c>
      <c r="AR326" s="338"/>
      <c r="AS326" s="328">
        <f t="shared" si="307"/>
        <v>3</v>
      </c>
      <c r="AT326" s="328">
        <f t="shared" si="308"/>
        <v>3</v>
      </c>
      <c r="AU326" s="523">
        <v>3</v>
      </c>
      <c r="AV326" s="328"/>
      <c r="AW326" s="328"/>
      <c r="AX326" s="332">
        <v>3</v>
      </c>
      <c r="AY326" s="328" t="b">
        <f t="shared" si="309"/>
        <v>1</v>
      </c>
      <c r="AZ326" s="328" t="b">
        <f t="shared" si="312"/>
        <v>0</v>
      </c>
    </row>
    <row r="327" ht="27" customHeight="1" spans="1:52">
      <c r="A327" s="326" t="str">
        <f>INDEX('Rate Card'!$A:$A,MATCH(服务费底表!$T327,'Rate Card'!$F:$F,0))</f>
        <v>数统</v>
      </c>
      <c r="B327" s="327" t="str">
        <f>INDEX(二三级标准!$G:$G,MATCH(服务费底表!$K327,二三级标准!B:B,0))</f>
        <v>项目</v>
      </c>
      <c r="C327" s="327">
        <f>INDEX(服务费明细!$E:$E,MATCH(服务费底表!$K327,服务费明细!$B:$B,0))</f>
        <v>1</v>
      </c>
      <c r="D327" s="327" t="str">
        <f t="shared" si="313"/>
        <v>A086LDM</v>
      </c>
      <c r="E327" s="327" t="str">
        <f t="shared" si="314"/>
        <v>T0223LDM</v>
      </c>
      <c r="F327" s="328"/>
      <c r="G327" s="328" t="s">
        <v>684</v>
      </c>
      <c r="H327" s="326" t="str">
        <f>INDEX('Rate Card'!$B:$B,MATCH(服务费底表!$T327,'Rate Card'!$F:$F,0))</f>
        <v>数据管理</v>
      </c>
      <c r="I327" s="328" t="s">
        <v>923</v>
      </c>
      <c r="J327" s="328" t="str">
        <f>INDEX(二三级标准!$Q:$Q,MATCH(服务费底表!I327,二三级标准!$O:$O,0))</f>
        <v>数据管理</v>
      </c>
      <c r="K327" s="328" t="s">
        <v>277</v>
      </c>
      <c r="L327" s="328" t="str">
        <f>INDEX(二三级标准!C:C,MATCH(服务费底表!K327,二三级标准!$B:$B,0))</f>
        <v>搭建数据库界面</v>
      </c>
      <c r="M327" s="328" t="s">
        <v>1394</v>
      </c>
      <c r="N327" s="328" t="str">
        <f>INDEX(二三级标准!$M:$M,MATCH(服务费底表!$M327,二三级标准!$L:$L,0))</f>
        <v>EDC培训</v>
      </c>
      <c r="O327" s="328"/>
      <c r="P327" s="531">
        <f>IF(R327=1,INDEX(服务费明细!$E:$E,MATCH(服务费底表!$K327,服务费明细!$B:$B,0)),0)</f>
        <v>1</v>
      </c>
      <c r="Q327" s="328" t="s">
        <v>1178</v>
      </c>
      <c r="R327" s="520">
        <f>IF(AND(搭建数据库界面YN=1,数据管理YN=1),1,0)</f>
        <v>1</v>
      </c>
      <c r="S327" s="524" t="str">
        <f>INDEX('Rate Card'!$D:$D,MATCH(服务费底表!$T327,'Rate Card'!F:F,0))</f>
        <v>数据管理</v>
      </c>
      <c r="T327" s="328" t="s">
        <v>633</v>
      </c>
      <c r="U327" s="522" t="str">
        <f>INDEX('Rate Card'!$E:$E,MATCH(服务费底表!$T327,'Rate Card'!$F:$F,0))</f>
        <v>数据管理经理</v>
      </c>
      <c r="V327" s="331">
        <f>INDEX('Rate Card'!$J:$J,MATCH($T327,'Rate Card'!$F:$F,0))</f>
        <v>360</v>
      </c>
      <c r="W327" s="523">
        <f t="shared" si="299"/>
        <v>360</v>
      </c>
      <c r="X327" s="523">
        <f t="shared" si="300"/>
        <v>1</v>
      </c>
      <c r="Y327" s="327" cm="1">
        <f t="array" ref="Y327">_xlfn.IFS(报价场景=服务费底表!$AJ$2,服务费底表!$AJ327,报价场景=服务费底表!$AP$2,服务费底表!$AP327,报价场景=服务费底表!$AK$2,服务费底表!$AK327,报价场景=服务费底表!$AL$2,服务费底表!$AL327,报价场景=服务费底表!$AM$2,服务费底表!$AM327,报价场景=服务费底表!$AN$2,服务费底表!$AN327,报价场景=服务费底表!$AQ$2,服务费底表!$AQ327,报价场景=服务费底表!$AO$2,服务费底表!$AO327)</f>
        <v>1</v>
      </c>
      <c r="Z327" s="327"/>
      <c r="AA327" s="332">
        <f t="shared" si="301"/>
        <v>1</v>
      </c>
      <c r="AB327" s="333">
        <f t="shared" si="315"/>
        <v>360</v>
      </c>
      <c r="AC327" s="328">
        <f t="shared" si="316"/>
        <v>1</v>
      </c>
      <c r="AD327" s="334">
        <f t="shared" si="317"/>
        <v>360</v>
      </c>
      <c r="AE327" s="334">
        <f>$AB327*(1-INDEX(项目参数!$D$5:$D$14,MATCH(服务费底表!$S327,项目参数!$B$5:$B$14,0)))</f>
        <v>360</v>
      </c>
      <c r="AF327" s="334">
        <f>$AD327*INDEX(项目参数!$D$5:$D$14,MATCH(服务费底表!$S327,项目参数!$B$5:$B$14,0))</f>
        <v>0</v>
      </c>
      <c r="AG327" s="334">
        <f t="shared" si="311"/>
        <v>360</v>
      </c>
      <c r="AH327" s="328"/>
      <c r="AI327" s="328" t="s">
        <v>633</v>
      </c>
      <c r="AJ327" s="327">
        <v>1</v>
      </c>
      <c r="AK327" s="327">
        <v>2</v>
      </c>
      <c r="AL327" s="327">
        <v>1</v>
      </c>
      <c r="AM327" s="327">
        <v>2</v>
      </c>
      <c r="AN327" s="327">
        <v>2</v>
      </c>
      <c r="AO327" s="327">
        <f t="shared" si="279"/>
        <v>1</v>
      </c>
      <c r="AP327" s="327">
        <v>1</v>
      </c>
      <c r="AQ327" s="327">
        <f t="shared" si="306"/>
        <v>1.5</v>
      </c>
      <c r="AR327" s="338"/>
      <c r="AS327" s="328">
        <f t="shared" si="307"/>
        <v>1</v>
      </c>
      <c r="AT327" s="328">
        <f t="shared" si="308"/>
        <v>1</v>
      </c>
      <c r="AU327" s="523">
        <v>1</v>
      </c>
      <c r="AV327" s="328"/>
      <c r="AW327" s="328"/>
      <c r="AX327" s="332">
        <v>1</v>
      </c>
      <c r="AY327" s="328" t="b">
        <f t="shared" si="309"/>
        <v>1</v>
      </c>
      <c r="AZ327" s="328" t="b">
        <f t="shared" si="312"/>
        <v>0</v>
      </c>
    </row>
    <row r="328" ht="27" customHeight="1" spans="1:52">
      <c r="A328" s="326" t="str">
        <f>INDEX('Rate Card'!$A:$A,MATCH(服务费底表!$T328,'Rate Card'!$F:$F,0))</f>
        <v>数统</v>
      </c>
      <c r="B328" s="327" t="str">
        <f>INDEX(二三级标准!$G:$G,MATCH(服务费底表!$K328,二三级标准!B:B,0))</f>
        <v>条</v>
      </c>
      <c r="C328" s="327">
        <f>INDEX(服务费明细!$E:$E,MATCH(服务费底表!$K328,服务费明细!$B:$B,0))</f>
        <v>630</v>
      </c>
      <c r="D328" s="327" t="str">
        <f t="shared" si="313"/>
        <v>A087DBP</v>
      </c>
      <c r="E328" s="327" t="str">
        <f t="shared" si="314"/>
        <v>T0224DBP</v>
      </c>
      <c r="F328" s="328"/>
      <c r="G328" s="328" t="s">
        <v>684</v>
      </c>
      <c r="H328" s="326" t="str">
        <f>INDEX('Rate Card'!$B:$B,MATCH(服务费底表!$T328,'Rate Card'!$F:$F,0))</f>
        <v>数据管理</v>
      </c>
      <c r="I328" s="328" t="s">
        <v>923</v>
      </c>
      <c r="J328" s="328" t="str">
        <f>INDEX(二三级标准!$Q:$Q,MATCH(服务费底表!I328,二三级标准!$O:$O,0))</f>
        <v>数据管理</v>
      </c>
      <c r="K328" s="328" t="s">
        <v>279</v>
      </c>
      <c r="L328" s="328" t="str">
        <f>INDEX(二三级标准!C:C,MATCH(服务费底表!K328,二三级标准!$B:$B,0))</f>
        <v>设置数据核查程序</v>
      </c>
      <c r="M328" s="328" t="s">
        <v>1395</v>
      </c>
      <c r="N328" s="328" t="str">
        <f>INDEX(二三级标准!$M:$M,MATCH(服务费底表!$M328,二三级标准!$L:$L,0))</f>
        <v>逻辑核查系统程序编程</v>
      </c>
      <c r="O328" s="328"/>
      <c r="P328" s="531">
        <f>IF(R328=1,INDEX(服务费明细!$E:$E,MATCH(服务费底表!$K328,服务费明细!$B:$B,0)),0)</f>
        <v>630</v>
      </c>
      <c r="Q328" s="328" t="s">
        <v>1380</v>
      </c>
      <c r="R328" s="520">
        <f>IF(AND(设置数据核查程序YN=1,数据管理YN=1),1,0)</f>
        <v>1</v>
      </c>
      <c r="S328" s="524" t="str">
        <f>INDEX('Rate Card'!$D:$D,MATCH(服务费底表!$T328,'Rate Card'!F:F,0))</f>
        <v>数据管理</v>
      </c>
      <c r="T328" s="328" t="s">
        <v>629</v>
      </c>
      <c r="U328" s="522" t="str">
        <f>INDEX('Rate Card'!$E:$E,MATCH(服务费底表!$T328,'Rate Card'!$F:$F,0))</f>
        <v>数据库编程员</v>
      </c>
      <c r="V328" s="331">
        <f>INDEX('Rate Card'!$J:$J,MATCH($T328,'Rate Card'!$F:$F,0))</f>
        <v>300</v>
      </c>
      <c r="W328" s="523">
        <f t="shared" si="299"/>
        <v>300</v>
      </c>
      <c r="X328" s="523">
        <f t="shared" si="300"/>
        <v>0.05</v>
      </c>
      <c r="Y328" s="327" cm="1">
        <f t="array" ref="Y328">_xlfn.IFS(报价场景=服务费底表!$AJ$2,服务费底表!$AJ328,报价场景=服务费底表!$AP$2,服务费底表!$AP328,报价场景=服务费底表!$AK$2,服务费底表!$AK328,报价场景=服务费底表!$AL$2,服务费底表!$AL328,报价场景=服务费底表!$AM$2,服务费底表!$AM328,报价场景=服务费底表!$AN$2,服务费底表!$AN328,报价场景=服务费底表!$AQ$2,服务费底表!$AQ328,报价场景=服务费底表!$AO$2,服务费底表!$AO328)</f>
        <v>0.05</v>
      </c>
      <c r="Z328" s="327"/>
      <c r="AA328" s="332">
        <f t="shared" si="301"/>
        <v>0.05</v>
      </c>
      <c r="AB328" s="333">
        <f t="shared" si="315"/>
        <v>15</v>
      </c>
      <c r="AC328" s="328">
        <f t="shared" si="316"/>
        <v>31.5</v>
      </c>
      <c r="AD328" s="334">
        <f t="shared" si="317"/>
        <v>9450</v>
      </c>
      <c r="AE328" s="334">
        <f>$AB328*(1-INDEX(项目参数!$D$5:$D$14,MATCH(服务费底表!$S328,项目参数!$B$5:$B$14,0)))</f>
        <v>15</v>
      </c>
      <c r="AF328" s="334">
        <f>$AD328*INDEX(项目参数!$D$5:$D$14,MATCH(服务费底表!$S328,项目参数!$B$5:$B$14,0))</f>
        <v>0</v>
      </c>
      <c r="AG328" s="334">
        <f t="shared" si="311"/>
        <v>9450</v>
      </c>
      <c r="AH328" s="328"/>
      <c r="AI328" s="328" t="s">
        <v>629</v>
      </c>
      <c r="AJ328" s="327">
        <v>0.05</v>
      </c>
      <c r="AK328" s="327">
        <v>0.1</v>
      </c>
      <c r="AL328" s="327">
        <v>0.05</v>
      </c>
      <c r="AM328" s="327">
        <v>0.05</v>
      </c>
      <c r="AN328" s="327">
        <v>0.05</v>
      </c>
      <c r="AO328" s="327">
        <f t="shared" si="279"/>
        <v>0.05</v>
      </c>
      <c r="AP328" s="327">
        <v>0.05</v>
      </c>
      <c r="AQ328" s="327">
        <f t="shared" si="306"/>
        <v>0.075</v>
      </c>
      <c r="AR328" s="338"/>
      <c r="AS328" s="328">
        <f t="shared" si="307"/>
        <v>31.5</v>
      </c>
      <c r="AT328" s="328">
        <f t="shared" si="308"/>
        <v>31.5</v>
      </c>
      <c r="AU328" s="523">
        <v>0.05</v>
      </c>
      <c r="AV328" s="328"/>
      <c r="AW328" s="328"/>
      <c r="AX328" s="332">
        <v>0.05</v>
      </c>
      <c r="AY328" s="328" t="b">
        <f t="shared" si="309"/>
        <v>1</v>
      </c>
      <c r="AZ328" s="328" t="b">
        <f t="shared" si="312"/>
        <v>1</v>
      </c>
    </row>
    <row r="329" ht="27" customHeight="1" spans="1:52">
      <c r="A329" s="326" t="str">
        <f>INDEX('Rate Card'!$A:$A,MATCH(服务费底表!$T329,'Rate Card'!$F:$F,0))</f>
        <v>数统</v>
      </c>
      <c r="B329" s="327" t="str">
        <f>INDEX(二三级标准!$G:$G,MATCH(服务费底表!$K329,二三级标准!B:B,0))</f>
        <v>条</v>
      </c>
      <c r="C329" s="327">
        <f>INDEX(服务费明细!$E:$E,MATCH(服务费底表!$K329,服务费明细!$B:$B,0))</f>
        <v>630</v>
      </c>
      <c r="D329" s="327" t="str">
        <f t="shared" si="313"/>
        <v>A087DBP</v>
      </c>
      <c r="E329" s="327" t="str">
        <f t="shared" si="314"/>
        <v>T0225DBP</v>
      </c>
      <c r="F329" s="328"/>
      <c r="G329" s="328" t="s">
        <v>684</v>
      </c>
      <c r="H329" s="326" t="str">
        <f>INDEX('Rate Card'!$B:$B,MATCH(服务费底表!$T329,'Rate Card'!$F:$F,0))</f>
        <v>数据管理</v>
      </c>
      <c r="I329" s="328" t="s">
        <v>923</v>
      </c>
      <c r="J329" s="328" t="str">
        <f>INDEX(二三级标准!$Q:$Q,MATCH(服务费底表!I329,二三级标准!$O:$O,0))</f>
        <v>数据管理</v>
      </c>
      <c r="K329" s="328" t="s">
        <v>279</v>
      </c>
      <c r="L329" s="328" t="str">
        <f>INDEX(二三级标准!C:C,MATCH(服务费底表!K329,二三级标准!$B:$B,0))</f>
        <v>设置数据核查程序</v>
      </c>
      <c r="M329" s="328" t="s">
        <v>1396</v>
      </c>
      <c r="N329" s="328" t="str">
        <f>INDEX(二三级标准!$M:$M,MATCH(服务费底表!$M329,二三级标准!$L:$L,0))</f>
        <v>逻辑核查系统程序验证</v>
      </c>
      <c r="O329" s="328"/>
      <c r="P329" s="531">
        <f>IF(R329=1,INDEX(服务费明细!$E:$E,MATCH(服务费底表!$K329,服务费明细!$B:$B,0)),0)*10%</f>
        <v>63</v>
      </c>
      <c r="Q329" s="328" t="s">
        <v>1380</v>
      </c>
      <c r="R329" s="520">
        <f>IF(AND(设置数据核查程序YN=1,数据管理YN=1),1,0)</f>
        <v>1</v>
      </c>
      <c r="S329" s="524" t="str">
        <f>INDEX('Rate Card'!$D:$D,MATCH(服务费底表!$T329,'Rate Card'!F:F,0))</f>
        <v>数据管理</v>
      </c>
      <c r="T329" s="328" t="s">
        <v>629</v>
      </c>
      <c r="U329" s="522" t="str">
        <f>INDEX('Rate Card'!$E:$E,MATCH(服务费底表!$T329,'Rate Card'!$F:$F,0))</f>
        <v>数据库编程员</v>
      </c>
      <c r="V329" s="331">
        <f>INDEX('Rate Card'!$J:$J,MATCH($T329,'Rate Card'!$F:$F,0))</f>
        <v>300</v>
      </c>
      <c r="W329" s="523">
        <f t="shared" si="299"/>
        <v>300</v>
      </c>
      <c r="X329" s="523">
        <f t="shared" si="300"/>
        <v>0.05</v>
      </c>
      <c r="Y329" s="327" cm="1">
        <f t="array" ref="Y329">_xlfn.IFS(报价场景=服务费底表!$AJ$2,服务费底表!$AJ329,报价场景=服务费底表!$AP$2,服务费底表!$AP329,报价场景=服务费底表!$AK$2,服务费底表!$AK329,报价场景=服务费底表!$AL$2,服务费底表!$AL329,报价场景=服务费底表!$AM$2,服务费底表!$AM329,报价场景=服务费底表!$AN$2,服务费底表!$AN329,报价场景=服务费底表!$AQ$2,服务费底表!$AQ329,报价场景=服务费底表!$AO$2,服务费底表!$AO329)</f>
        <v>0.05</v>
      </c>
      <c r="Z329" s="327"/>
      <c r="AA329" s="332">
        <f t="shared" si="301"/>
        <v>0.05</v>
      </c>
      <c r="AB329" s="333">
        <f t="shared" si="315"/>
        <v>15</v>
      </c>
      <c r="AC329" s="328">
        <f t="shared" si="316"/>
        <v>3.15</v>
      </c>
      <c r="AD329" s="334">
        <f t="shared" si="317"/>
        <v>945</v>
      </c>
      <c r="AE329" s="334">
        <f>$AB329*(1-INDEX(项目参数!$D$5:$D$14,MATCH(服务费底表!$S329,项目参数!$B$5:$B$14,0)))</f>
        <v>15</v>
      </c>
      <c r="AF329" s="334">
        <f>$AD329*INDEX(项目参数!$D$5:$D$14,MATCH(服务费底表!$S329,项目参数!$B$5:$B$14,0))</f>
        <v>0</v>
      </c>
      <c r="AG329" s="334">
        <f t="shared" si="311"/>
        <v>945</v>
      </c>
      <c r="AH329" s="328"/>
      <c r="AI329" s="328" t="s">
        <v>629</v>
      </c>
      <c r="AJ329" s="327">
        <v>0.05</v>
      </c>
      <c r="AK329" s="327">
        <v>0.1</v>
      </c>
      <c r="AL329" s="327">
        <v>0.05</v>
      </c>
      <c r="AM329" s="327">
        <v>0.05</v>
      </c>
      <c r="AN329" s="327">
        <v>0.05</v>
      </c>
      <c r="AO329" s="327">
        <f t="shared" si="279"/>
        <v>0.05</v>
      </c>
      <c r="AP329" s="327">
        <v>0.05</v>
      </c>
      <c r="AQ329" s="327">
        <f t="shared" si="306"/>
        <v>0.075</v>
      </c>
      <c r="AR329" s="338"/>
      <c r="AS329" s="328">
        <f t="shared" si="307"/>
        <v>3.15</v>
      </c>
      <c r="AT329" s="328">
        <f t="shared" si="308"/>
        <v>3.15</v>
      </c>
      <c r="AU329" s="523">
        <v>0.05</v>
      </c>
      <c r="AV329" s="328"/>
      <c r="AW329" s="328"/>
      <c r="AX329" s="332">
        <v>0.05</v>
      </c>
      <c r="AY329" s="328" t="b">
        <f t="shared" si="309"/>
        <v>1</v>
      </c>
      <c r="AZ329" s="328" t="b">
        <f t="shared" si="312"/>
        <v>1</v>
      </c>
    </row>
    <row r="330" ht="27" customHeight="1" spans="1:52">
      <c r="A330" s="326" t="str">
        <f>INDEX('Rate Card'!$A:$A,MATCH(服务费底表!$T330,'Rate Card'!$F:$F,0))</f>
        <v>数统</v>
      </c>
      <c r="B330" s="327" t="str">
        <f>INDEX(二三级标准!$G:$G,MATCH(服务费底表!$K330,二三级标准!B:B,0))</f>
        <v>条</v>
      </c>
      <c r="C330" s="327">
        <f>INDEX(服务费明细!$E:$E,MATCH(服务费底表!$K330,服务费明细!$B:$B,0))</f>
        <v>630</v>
      </c>
      <c r="D330" s="327" t="str">
        <f t="shared" si="313"/>
        <v>A087DM</v>
      </c>
      <c r="E330" s="327" t="str">
        <f t="shared" si="314"/>
        <v>T0226DM</v>
      </c>
      <c r="F330" s="328"/>
      <c r="G330" s="328" t="s">
        <v>684</v>
      </c>
      <c r="H330" s="326" t="str">
        <f>INDEX('Rate Card'!$B:$B,MATCH(服务费底表!$T330,'Rate Card'!$F:$F,0))</f>
        <v>数据管理</v>
      </c>
      <c r="I330" s="328" t="s">
        <v>923</v>
      </c>
      <c r="J330" s="328" t="str">
        <f>INDEX(二三级标准!$Q:$Q,MATCH(服务费底表!I330,二三级标准!$O:$O,0))</f>
        <v>数据管理</v>
      </c>
      <c r="K330" s="328" t="s">
        <v>279</v>
      </c>
      <c r="L330" s="328" t="str">
        <f>INDEX(二三级标准!C:C,MATCH(服务费底表!K330,二三级标准!$B:$B,0))</f>
        <v>设置数据核查程序</v>
      </c>
      <c r="M330" s="328" t="s">
        <v>1397</v>
      </c>
      <c r="N330" s="328" t="str">
        <f>INDEX(二三级标准!$M:$M,MATCH(服务费底表!$M330,二三级标准!$L:$L,0))</f>
        <v>逻辑核查系统程序测试</v>
      </c>
      <c r="O330" s="328"/>
      <c r="P330" s="531">
        <f>IF(R330=1,INDEX(服务费明细!$E:$E,MATCH(服务费底表!$K330,服务费明细!$B:$B,0)),0)</f>
        <v>630</v>
      </c>
      <c r="Q330" s="328" t="s">
        <v>1380</v>
      </c>
      <c r="R330" s="520">
        <f>IF(AND(设置数据核查程序YN=1,数据管理YN=1),1,0)</f>
        <v>1</v>
      </c>
      <c r="S330" s="524" t="str">
        <f>INDEX('Rate Card'!$D:$D,MATCH(服务费底表!$T330,'Rate Card'!F:F,0))</f>
        <v>数据管理</v>
      </c>
      <c r="T330" s="328" t="s">
        <v>631</v>
      </c>
      <c r="U330" s="522" t="str">
        <f>INDEX('Rate Card'!$E:$E,MATCH(服务费底表!$T330,'Rate Card'!$F:$F,0))</f>
        <v>数据管理专员</v>
      </c>
      <c r="V330" s="331">
        <f>INDEX('Rate Card'!$J:$J,MATCH($T330,'Rate Card'!$F:$F,0))</f>
        <v>200</v>
      </c>
      <c r="W330" s="523">
        <f t="shared" si="299"/>
        <v>200</v>
      </c>
      <c r="X330" s="523">
        <f t="shared" si="300"/>
        <v>0.1</v>
      </c>
      <c r="Y330" s="327" cm="1">
        <f t="array" ref="Y330">_xlfn.IFS(报价场景=服务费底表!$AJ$2,服务费底表!$AJ330,报价场景=服务费底表!$AP$2,服务费底表!$AP330,报价场景=服务费底表!$AK$2,服务费底表!$AK330,报价场景=服务费底表!$AL$2,服务费底表!$AL330,报价场景=服务费底表!$AM$2,服务费底表!$AM330,报价场景=服务费底表!$AN$2,服务费底表!$AN330,报价场景=服务费底表!$AQ$2,服务费底表!$AQ330,报价场景=服务费底表!$AO$2,服务费底表!$AO330)</f>
        <v>0.1</v>
      </c>
      <c r="Z330" s="327"/>
      <c r="AA330" s="332">
        <f t="shared" si="301"/>
        <v>0.1</v>
      </c>
      <c r="AB330" s="333">
        <f t="shared" si="315"/>
        <v>20</v>
      </c>
      <c r="AC330" s="328">
        <f t="shared" si="316"/>
        <v>63</v>
      </c>
      <c r="AD330" s="334">
        <f t="shared" si="317"/>
        <v>12600</v>
      </c>
      <c r="AE330" s="334">
        <f>$AB330*(1-INDEX(项目参数!$D$5:$D$14,MATCH(服务费底表!$S330,项目参数!$B$5:$B$14,0)))</f>
        <v>20</v>
      </c>
      <c r="AF330" s="334">
        <f>$AD330*INDEX(项目参数!$D$5:$D$14,MATCH(服务费底表!$S330,项目参数!$B$5:$B$14,0))</f>
        <v>0</v>
      </c>
      <c r="AG330" s="334">
        <f t="shared" si="311"/>
        <v>12600</v>
      </c>
      <c r="AH330" s="328"/>
      <c r="AI330" s="328" t="s">
        <v>631</v>
      </c>
      <c r="AJ330" s="327">
        <v>0.1</v>
      </c>
      <c r="AK330" s="327">
        <v>0.15</v>
      </c>
      <c r="AL330" s="327">
        <v>0.1</v>
      </c>
      <c r="AM330" s="327">
        <v>0.1</v>
      </c>
      <c r="AN330" s="327">
        <v>0.1</v>
      </c>
      <c r="AO330" s="327">
        <f t="shared" ref="AO330:AO393" si="318">AL330</f>
        <v>0.1</v>
      </c>
      <c r="AP330" s="327">
        <v>0.05</v>
      </c>
      <c r="AQ330" s="327">
        <f t="shared" si="306"/>
        <v>0.15</v>
      </c>
      <c r="AR330" s="338"/>
      <c r="AS330" s="328">
        <f t="shared" si="307"/>
        <v>63</v>
      </c>
      <c r="AT330" s="328">
        <f t="shared" si="308"/>
        <v>63</v>
      </c>
      <c r="AU330" s="523">
        <v>0.1</v>
      </c>
      <c r="AV330" s="328"/>
      <c r="AW330" s="328"/>
      <c r="AX330" s="332">
        <v>0.1</v>
      </c>
      <c r="AY330" s="328" t="b">
        <f t="shared" si="309"/>
        <v>1</v>
      </c>
      <c r="AZ330" s="328" t="b">
        <f t="shared" si="312"/>
        <v>1</v>
      </c>
    </row>
    <row r="331" ht="27" customHeight="1" spans="1:52">
      <c r="A331" s="326" t="str">
        <f>INDEX('Rate Card'!$A:$A,MATCH(服务费底表!$T331,'Rate Card'!$F:$F,0))</f>
        <v>数统</v>
      </c>
      <c r="B331" s="327" t="str">
        <f>INDEX(二三级标准!$G:$G,MATCH(服务费底表!$K331,二三级标准!B:B,0))</f>
        <v>次</v>
      </c>
      <c r="C331" s="327">
        <f>INDEX(服务费明细!$E:$E,MATCH(服务费底表!$K331,服务费明细!$B:$B,0))</f>
        <v>1</v>
      </c>
      <c r="D331" s="327" t="str">
        <f t="shared" si="313"/>
        <v>A088LDM</v>
      </c>
      <c r="E331" s="327" t="str">
        <f t="shared" si="314"/>
        <v>T0230LDM</v>
      </c>
      <c r="F331" s="328"/>
      <c r="G331" s="328" t="s">
        <v>684</v>
      </c>
      <c r="H331" s="326" t="str">
        <f>INDEX('Rate Card'!$B:$B,MATCH(服务费底表!$T331,'Rate Card'!$F:$F,0))</f>
        <v>数据管理</v>
      </c>
      <c r="I331" s="328" t="s">
        <v>923</v>
      </c>
      <c r="J331" s="328" t="str">
        <f>INDEX(二三级标准!$Q:$Q,MATCH(服务费底表!I331,二三级标准!$O:$O,0))</f>
        <v>数据管理</v>
      </c>
      <c r="K331" s="328" t="s">
        <v>281</v>
      </c>
      <c r="L331" s="328" t="str">
        <f>INDEX(二三级标准!C:C,MATCH(服务费底表!K331,二三级标准!$B:$B,0))</f>
        <v>用户接受性测试(UAT)</v>
      </c>
      <c r="M331" s="328" t="s">
        <v>1398</v>
      </c>
      <c r="N331" s="328" t="str">
        <f>INDEX(二三级标准!$M:$M,MATCH(服务费底表!$M331,二三级标准!$L:$L,0))</f>
        <v>面向项目组的UAT培训(UAT会议)</v>
      </c>
      <c r="O331" s="328"/>
      <c r="P331" s="531">
        <f>IF(R331=1,INDEX(服务费明细!$E:$E,MATCH(服务费底表!$K331,服务费明细!$B:$B,0)),0)</f>
        <v>1</v>
      </c>
      <c r="Q331" s="328" t="s">
        <v>1178</v>
      </c>
      <c r="R331" s="520">
        <f>IF(AND(完成用户接收性测试YN=1,数据管理YN=1),1,0)</f>
        <v>1</v>
      </c>
      <c r="S331" s="524" t="str">
        <f>INDEX('Rate Card'!$D:$D,MATCH(服务费底表!$T331,'Rate Card'!F:F,0))</f>
        <v>数据管理</v>
      </c>
      <c r="T331" s="328" t="s">
        <v>633</v>
      </c>
      <c r="U331" s="522" t="str">
        <f>INDEX('Rate Card'!$E:$E,MATCH(服务费底表!$T331,'Rate Card'!$F:$F,0))</f>
        <v>数据管理经理</v>
      </c>
      <c r="V331" s="331">
        <f>INDEX('Rate Card'!$J:$J,MATCH($T331,'Rate Card'!$F:$F,0))</f>
        <v>360</v>
      </c>
      <c r="W331" s="523">
        <f t="shared" si="299"/>
        <v>360</v>
      </c>
      <c r="X331" s="523">
        <f t="shared" si="300"/>
        <v>2</v>
      </c>
      <c r="Y331" s="327" cm="1">
        <f t="array" ref="Y331">_xlfn.IFS(报价场景=服务费底表!$AJ$2,服务费底表!$AJ331,报价场景=服务费底表!$AP$2,服务费底表!$AP331,报价场景=服务费底表!$AK$2,服务费底表!$AK331,报价场景=服务费底表!$AL$2,服务费底表!$AL331,报价场景=服务费底表!$AM$2,服务费底表!$AM331,报价场景=服务费底表!$AN$2,服务费底表!$AN331,报价场景=服务费底表!$AQ$2,服务费底表!$AQ331,报价场景=服务费底表!$AO$2,服务费底表!$AO331)</f>
        <v>2</v>
      </c>
      <c r="Z331" s="327"/>
      <c r="AA331" s="332">
        <f t="shared" ref="AA331:AA359" si="319">IF(ISBLANK($Z331),$Y331,$Z331)</f>
        <v>2</v>
      </c>
      <c r="AB331" s="333">
        <f t="shared" si="315"/>
        <v>720</v>
      </c>
      <c r="AC331" s="328">
        <f t="shared" si="316"/>
        <v>2</v>
      </c>
      <c r="AD331" s="334">
        <f t="shared" si="317"/>
        <v>720</v>
      </c>
      <c r="AE331" s="334">
        <f>$AB331*(1-INDEX(项目参数!$D$5:$D$14,MATCH(服务费底表!$S331,项目参数!$B$5:$B$14,0)))</f>
        <v>720</v>
      </c>
      <c r="AF331" s="334">
        <f>$AD331*INDEX(项目参数!$D$5:$D$14,MATCH(服务费底表!$S331,项目参数!$B$5:$B$14,0))</f>
        <v>0</v>
      </c>
      <c r="AG331" s="334">
        <f t="shared" ref="AG331:AG362" si="320">AD331-AF331</f>
        <v>720</v>
      </c>
      <c r="AH331" s="328"/>
      <c r="AI331" s="328" t="s">
        <v>633</v>
      </c>
      <c r="AJ331" s="327">
        <v>2</v>
      </c>
      <c r="AK331" s="327">
        <v>2</v>
      </c>
      <c r="AL331" s="327">
        <v>2</v>
      </c>
      <c r="AM331" s="327">
        <v>2</v>
      </c>
      <c r="AN331" s="327">
        <v>2</v>
      </c>
      <c r="AO331" s="327">
        <f t="shared" si="318"/>
        <v>2</v>
      </c>
      <c r="AP331" s="327">
        <v>2</v>
      </c>
      <c r="AQ331" s="327">
        <f t="shared" si="306"/>
        <v>3</v>
      </c>
      <c r="AR331" s="338"/>
      <c r="AS331" s="328">
        <f t="shared" si="307"/>
        <v>2</v>
      </c>
      <c r="AT331" s="328">
        <f t="shared" si="308"/>
        <v>2</v>
      </c>
      <c r="AU331" s="523">
        <v>2</v>
      </c>
      <c r="AV331" s="328"/>
      <c r="AW331" s="328"/>
      <c r="AX331" s="332">
        <v>2</v>
      </c>
      <c r="AY331" s="328" t="b">
        <f t="shared" si="309"/>
        <v>1</v>
      </c>
      <c r="AZ331" s="328" t="b">
        <f t="shared" si="312"/>
        <v>0</v>
      </c>
    </row>
    <row r="332" ht="27" customHeight="1" spans="1:52">
      <c r="A332" s="326" t="str">
        <f>INDEX('Rate Card'!$A:$A,MATCH(服务费底表!$T332,'Rate Card'!$F:$F,0))</f>
        <v>数统</v>
      </c>
      <c r="B332" s="327" t="str">
        <f>INDEX(二三级标准!$G:$G,MATCH(服务费底表!$K332,二三级标准!B:B,0))</f>
        <v>次</v>
      </c>
      <c r="C332" s="327">
        <f>INDEX(服务费明细!$E:$E,MATCH(服务费底表!$K332,服务费明细!$B:$B,0))</f>
        <v>1</v>
      </c>
      <c r="D332" s="327" t="str">
        <f t="shared" si="313"/>
        <v>A088DBP</v>
      </c>
      <c r="E332" s="327" t="str">
        <f t="shared" si="314"/>
        <v>T0231DBP</v>
      </c>
      <c r="F332" s="328"/>
      <c r="G332" s="328" t="s">
        <v>684</v>
      </c>
      <c r="H332" s="326" t="str">
        <f>INDEX('Rate Card'!$B:$B,MATCH(服务费底表!$T332,'Rate Card'!$F:$F,0))</f>
        <v>数据管理</v>
      </c>
      <c r="I332" s="328" t="s">
        <v>923</v>
      </c>
      <c r="J332" s="328" t="str">
        <f>INDEX(二三级标准!$Q:$Q,MATCH(服务费底表!I332,二三级标准!$O:$O,0))</f>
        <v>数据管理</v>
      </c>
      <c r="K332" s="328" t="s">
        <v>281</v>
      </c>
      <c r="L332" s="328" t="str">
        <f>INDEX(二三级标准!C:C,MATCH(服务费底表!K332,二三级标准!$B:$B,0))</f>
        <v>用户接受性测试(UAT)</v>
      </c>
      <c r="M332" s="328" t="s">
        <v>1399</v>
      </c>
      <c r="N332" s="328" t="str">
        <f>INDEX(二三级标准!$M:$M,MATCH(服务费底表!$M332,二三级标准!$L:$L,0))</f>
        <v>项目组UAT测试后的EDC调整</v>
      </c>
      <c r="O332" s="328"/>
      <c r="P332" s="531">
        <f>IF(R332=1,INDEX(服务费明细!$E:$E,MATCH(服务费底表!$K332,服务费明细!$B:$B,0)),0)</f>
        <v>1</v>
      </c>
      <c r="Q332" s="328" t="s">
        <v>1178</v>
      </c>
      <c r="R332" s="520">
        <f>IF(AND(完成用户接收性测试YN=1,数据管理YN=1),1,0)</f>
        <v>1</v>
      </c>
      <c r="S332" s="524" t="str">
        <f>INDEX('Rate Card'!$D:$D,MATCH(服务费底表!$T332,'Rate Card'!F:F,0))</f>
        <v>数据管理</v>
      </c>
      <c r="T332" s="328" t="s">
        <v>629</v>
      </c>
      <c r="U332" s="522" t="str">
        <f>INDEX('Rate Card'!$E:$E,MATCH(服务费底表!$T332,'Rate Card'!$F:$F,0))</f>
        <v>数据库编程员</v>
      </c>
      <c r="V332" s="331">
        <f>INDEX('Rate Card'!$J:$J,MATCH($T332,'Rate Card'!$F:$F,0))</f>
        <v>300</v>
      </c>
      <c r="W332" s="523">
        <f t="shared" si="299"/>
        <v>300</v>
      </c>
      <c r="X332" s="523">
        <f t="shared" si="300"/>
        <v>2</v>
      </c>
      <c r="Y332" s="327" cm="1">
        <f t="array" ref="Y332">_xlfn.IFS(报价场景=服务费底表!$AJ$2,服务费底表!$AJ332,报价场景=服务费底表!$AP$2,服务费底表!$AP332,报价场景=服务费底表!$AK$2,服务费底表!$AK332,报价场景=服务费底表!$AL$2,服务费底表!$AL332,报价场景=服务费底表!$AM$2,服务费底表!$AM332,报价场景=服务费底表!$AN$2,服务费底表!$AN332,报价场景=服务费底表!$AQ$2,服务费底表!$AQ332,报价场景=服务费底表!$AO$2,服务费底表!$AO332)</f>
        <v>2</v>
      </c>
      <c r="Z332" s="327"/>
      <c r="AA332" s="332">
        <f t="shared" si="319"/>
        <v>2</v>
      </c>
      <c r="AB332" s="333">
        <f t="shared" si="315"/>
        <v>600</v>
      </c>
      <c r="AC332" s="328">
        <f t="shared" si="316"/>
        <v>2</v>
      </c>
      <c r="AD332" s="334">
        <f t="shared" si="317"/>
        <v>600</v>
      </c>
      <c r="AE332" s="334">
        <f>$AB332*(1-INDEX(项目参数!$D$5:$D$14,MATCH(服务费底表!$S332,项目参数!$B$5:$B$14,0)))</f>
        <v>600</v>
      </c>
      <c r="AF332" s="334">
        <f>$AD332*INDEX(项目参数!$D$5:$D$14,MATCH(服务费底表!$S332,项目参数!$B$5:$B$14,0))</f>
        <v>0</v>
      </c>
      <c r="AG332" s="334">
        <f t="shared" si="320"/>
        <v>600</v>
      </c>
      <c r="AH332" s="328"/>
      <c r="AI332" s="328" t="s">
        <v>629</v>
      </c>
      <c r="AJ332" s="327">
        <v>2</v>
      </c>
      <c r="AK332" s="327">
        <v>3</v>
      </c>
      <c r="AL332" s="327">
        <v>2</v>
      </c>
      <c r="AM332" s="327">
        <v>2</v>
      </c>
      <c r="AN332" s="327">
        <v>2</v>
      </c>
      <c r="AO332" s="327">
        <f t="shared" si="318"/>
        <v>2</v>
      </c>
      <c r="AP332" s="327">
        <v>2</v>
      </c>
      <c r="AQ332" s="327">
        <f t="shared" si="306"/>
        <v>3</v>
      </c>
      <c r="AR332" s="338"/>
      <c r="AS332" s="328">
        <f t="shared" si="307"/>
        <v>2</v>
      </c>
      <c r="AT332" s="328">
        <f t="shared" si="308"/>
        <v>2</v>
      </c>
      <c r="AU332" s="523">
        <v>2</v>
      </c>
      <c r="AV332" s="328"/>
      <c r="AW332" s="328"/>
      <c r="AX332" s="332">
        <v>2</v>
      </c>
      <c r="AY332" s="328" t="b">
        <f t="shared" si="309"/>
        <v>1</v>
      </c>
      <c r="AZ332" s="328" t="b">
        <f t="shared" si="312"/>
        <v>0</v>
      </c>
    </row>
    <row r="333" ht="27" customHeight="1" spans="1:52">
      <c r="A333" s="326" t="str">
        <f>INDEX('Rate Card'!$A:$A,MATCH(服务费底表!$T333,'Rate Card'!$F:$F,0))</f>
        <v>数统</v>
      </c>
      <c r="B333" s="327" t="str">
        <f>INDEX(二三级标准!$G:$G,MATCH(服务费底表!$K333,二三级标准!B:B,0))</f>
        <v>次</v>
      </c>
      <c r="C333" s="327">
        <f>INDEX(服务费明细!$E:$E,MATCH(服务费底表!$K333,服务费明细!$B:$B,0))</f>
        <v>1</v>
      </c>
      <c r="D333" s="327" t="str">
        <f t="shared" si="313"/>
        <v>A088DM</v>
      </c>
      <c r="E333" s="327" t="str">
        <f t="shared" si="314"/>
        <v>T0232DM</v>
      </c>
      <c r="F333" s="328"/>
      <c r="G333" s="328" t="s">
        <v>684</v>
      </c>
      <c r="H333" s="326" t="str">
        <f>INDEX('Rate Card'!$B:$B,MATCH(服务费底表!$T333,'Rate Card'!$F:$F,0))</f>
        <v>数据管理</v>
      </c>
      <c r="I333" s="328" t="s">
        <v>923</v>
      </c>
      <c r="J333" s="328" t="str">
        <f>INDEX(二三级标准!$Q:$Q,MATCH(服务费底表!I333,二三级标准!$O:$O,0))</f>
        <v>数据管理</v>
      </c>
      <c r="K333" s="328" t="s">
        <v>281</v>
      </c>
      <c r="L333" s="328" t="str">
        <f>INDEX(二三级标准!C:C,MATCH(服务费底表!K333,二三级标准!$B:$B,0))</f>
        <v>用户接受性测试(UAT)</v>
      </c>
      <c r="M333" s="328" t="s">
        <v>1400</v>
      </c>
      <c r="N333" s="328" t="str">
        <f>INDEX(二三级标准!$M:$M,MATCH(服务费底表!$M333,二三级标准!$L:$L,0))</f>
        <v>UAT测试计划/报告</v>
      </c>
      <c r="O333" s="328"/>
      <c r="P333" s="531">
        <f>IF(R333=1,INDEX(服务费明细!$E:$E,MATCH(服务费底表!$K333,服务费明细!$B:$B,0)),0)</f>
        <v>1</v>
      </c>
      <c r="Q333" s="328" t="s">
        <v>1176</v>
      </c>
      <c r="R333" s="520">
        <f>IF(AND(完成用户接收性测试YN=1,数据管理YN=1),1,0)</f>
        <v>1</v>
      </c>
      <c r="S333" s="524" t="str">
        <f>INDEX('Rate Card'!$D:$D,MATCH(服务费底表!$T333,'Rate Card'!F:F,0))</f>
        <v>数据管理</v>
      </c>
      <c r="T333" s="328" t="s">
        <v>631</v>
      </c>
      <c r="U333" s="522" t="str">
        <f>INDEX('Rate Card'!$E:$E,MATCH(服务费底表!$T333,'Rate Card'!$F:$F,0))</f>
        <v>数据管理专员</v>
      </c>
      <c r="V333" s="331">
        <f>INDEX('Rate Card'!$J:$J,MATCH($T333,'Rate Card'!$F:$F,0))</f>
        <v>200</v>
      </c>
      <c r="W333" s="523">
        <f t="shared" si="299"/>
        <v>200</v>
      </c>
      <c r="X333" s="523">
        <f t="shared" si="300"/>
        <v>2</v>
      </c>
      <c r="Y333" s="327" cm="1">
        <f t="array" ref="Y333">_xlfn.IFS(报价场景=服务费底表!$AJ$2,服务费底表!$AJ333,报价场景=服务费底表!$AP$2,服务费底表!$AP333,报价场景=服务费底表!$AK$2,服务费底表!$AK333,报价场景=服务费底表!$AL$2,服务费底表!$AL333,报价场景=服务费底表!$AM$2,服务费底表!$AM333,报价场景=服务费底表!$AN$2,服务费底表!$AN333,报价场景=服务费底表!$AQ$2,服务费底表!$AQ333,报价场景=服务费底表!$AO$2,服务费底表!$AO333)</f>
        <v>2</v>
      </c>
      <c r="Z333" s="327"/>
      <c r="AA333" s="332">
        <f t="shared" si="319"/>
        <v>2</v>
      </c>
      <c r="AB333" s="333">
        <f t="shared" si="315"/>
        <v>400</v>
      </c>
      <c r="AC333" s="328">
        <f t="shared" si="316"/>
        <v>2</v>
      </c>
      <c r="AD333" s="334">
        <f t="shared" si="317"/>
        <v>400</v>
      </c>
      <c r="AE333" s="334">
        <f>$AB333*(1-INDEX(项目参数!$D$5:$D$14,MATCH(服务费底表!$S333,项目参数!$B$5:$B$14,0)))</f>
        <v>400</v>
      </c>
      <c r="AF333" s="334">
        <f>$AD333*INDEX(项目参数!$D$5:$D$14,MATCH(服务费底表!$S333,项目参数!$B$5:$B$14,0))</f>
        <v>0</v>
      </c>
      <c r="AG333" s="334">
        <f t="shared" si="320"/>
        <v>400</v>
      </c>
      <c r="AH333" s="328"/>
      <c r="AI333" s="328" t="s">
        <v>631</v>
      </c>
      <c r="AJ333" s="327">
        <v>2</v>
      </c>
      <c r="AK333" s="327">
        <v>2</v>
      </c>
      <c r="AL333" s="327">
        <v>2</v>
      </c>
      <c r="AM333" s="327">
        <v>2</v>
      </c>
      <c r="AN333" s="327">
        <v>2</v>
      </c>
      <c r="AO333" s="327">
        <f t="shared" si="318"/>
        <v>2</v>
      </c>
      <c r="AP333" s="327">
        <v>2</v>
      </c>
      <c r="AQ333" s="327">
        <f t="shared" si="306"/>
        <v>3</v>
      </c>
      <c r="AR333" s="338"/>
      <c r="AS333" s="328">
        <f t="shared" si="307"/>
        <v>2</v>
      </c>
      <c r="AT333" s="328">
        <f t="shared" si="308"/>
        <v>2</v>
      </c>
      <c r="AU333" s="523">
        <v>2</v>
      </c>
      <c r="AV333" s="328"/>
      <c r="AW333" s="328"/>
      <c r="AX333" s="332">
        <v>2</v>
      </c>
      <c r="AY333" s="328" t="b">
        <f t="shared" si="309"/>
        <v>1</v>
      </c>
      <c r="AZ333" s="328" t="b">
        <f t="shared" si="312"/>
        <v>0</v>
      </c>
    </row>
    <row r="334" ht="27" customHeight="1" spans="1:52">
      <c r="A334" s="326" t="str">
        <f>INDEX('Rate Card'!$A:$A,MATCH(服务费底表!$T334,'Rate Card'!$F:$F,0))</f>
        <v>数统</v>
      </c>
      <c r="B334" s="327" t="str">
        <f>INDEX(二三级标准!$G:$G,MATCH(服务费底表!$K334,二三级标准!B:B,0))</f>
        <v>个</v>
      </c>
      <c r="C334" s="327">
        <f>INDEX(服务费明细!$E:$E,MATCH(服务费底表!$K334,服务费明细!$B:$B,0))</f>
        <v>0</v>
      </c>
      <c r="D334" s="327" t="str">
        <f t="shared" si="313"/>
        <v>A089DBP</v>
      </c>
      <c r="E334" s="327" t="str">
        <f t="shared" si="314"/>
        <v>T0233DBP</v>
      </c>
      <c r="F334" s="328"/>
      <c r="G334" s="328" t="s">
        <v>684</v>
      </c>
      <c r="H334" s="326" t="str">
        <f>INDEX('Rate Card'!$B:$B,MATCH(服务费底表!$T334,'Rate Card'!$F:$F,0))</f>
        <v>数据管理</v>
      </c>
      <c r="I334" s="328" t="s">
        <v>923</v>
      </c>
      <c r="J334" s="328" t="str">
        <f>INDEX(二三级标准!$Q:$Q,MATCH(服务费底表!I334,二三级标准!$O:$O,0))</f>
        <v>数据管理</v>
      </c>
      <c r="K334" s="328" t="s">
        <v>283</v>
      </c>
      <c r="L334" s="328" t="str">
        <f>INDEX(二三级标准!C:C,MATCH(服务费底表!K334,二三级标准!$B:$B,0))</f>
        <v>搭建随机发药系统</v>
      </c>
      <c r="M334" s="328" t="s">
        <v>1401</v>
      </c>
      <c r="N334" s="328" t="str">
        <f>INDEX(二三级标准!$M:$M,MATCH(服务费底表!$M334,二三级标准!$L:$L,0))</f>
        <v>RTSM系统数据库搭建</v>
      </c>
      <c r="O334" s="328"/>
      <c r="P334" s="531">
        <f>IF(R334=1,INDEX(服务费明细!$E:$E,MATCH(服务费底表!$K334,服务费明细!$B:$B,0)),0)</f>
        <v>0</v>
      </c>
      <c r="Q334" s="328" t="s">
        <v>1281</v>
      </c>
      <c r="R334" s="520">
        <f>IF(AND(搭建随机发药系统YN=1,数据管理YN=1),1,0)</f>
        <v>0</v>
      </c>
      <c r="S334" s="524" t="str">
        <f>INDEX('Rate Card'!$D:$D,MATCH(服务费底表!$T334,'Rate Card'!F:F,0))</f>
        <v>数据管理</v>
      </c>
      <c r="T334" s="328" t="s">
        <v>629</v>
      </c>
      <c r="U334" s="522" t="str">
        <f>INDEX('Rate Card'!$E:$E,MATCH(服务费底表!$T334,'Rate Card'!$F:$F,0))</f>
        <v>数据库编程员</v>
      </c>
      <c r="V334" s="331">
        <f>INDEX('Rate Card'!$J:$J,MATCH($T334,'Rate Card'!$F:$F,0))</f>
        <v>300</v>
      </c>
      <c r="W334" s="523">
        <f t="shared" si="299"/>
        <v>300</v>
      </c>
      <c r="X334" s="523">
        <f t="shared" si="300"/>
        <v>24</v>
      </c>
      <c r="Y334" s="327" cm="1">
        <f t="array" ref="Y334">_xlfn.IFS(报价场景=服务费底表!$AJ$2,服务费底表!$AJ334,报价场景=服务费底表!$AP$2,服务费底表!$AP334,报价场景=服务费底表!$AK$2,服务费底表!$AK334,报价场景=服务费底表!$AL$2,服务费底表!$AL334,报价场景=服务费底表!$AM$2,服务费底表!$AM334,报价场景=服务费底表!$AN$2,服务费底表!$AN334,报价场景=服务费底表!$AQ$2,服务费底表!$AQ334,报价场景=服务费底表!$AO$2,服务费底表!$AO334)</f>
        <v>24</v>
      </c>
      <c r="Z334" s="327"/>
      <c r="AA334" s="332">
        <f t="shared" si="319"/>
        <v>24</v>
      </c>
      <c r="AB334" s="333">
        <f t="shared" si="315"/>
        <v>0</v>
      </c>
      <c r="AC334" s="328">
        <f t="shared" si="316"/>
        <v>0</v>
      </c>
      <c r="AD334" s="334">
        <f t="shared" si="317"/>
        <v>0</v>
      </c>
      <c r="AE334" s="334">
        <f>$AB334*(1-INDEX(项目参数!$D$5:$D$14,MATCH(服务费底表!$S334,项目参数!$B$5:$B$14,0)))</f>
        <v>0</v>
      </c>
      <c r="AF334" s="334">
        <f>$AD334*INDEX(项目参数!$D$5:$D$14,MATCH(服务费底表!$S334,项目参数!$B$5:$B$14,0))</f>
        <v>0</v>
      </c>
      <c r="AG334" s="334">
        <f t="shared" si="320"/>
        <v>0</v>
      </c>
      <c r="AH334" s="328"/>
      <c r="AI334" s="328" t="s">
        <v>629</v>
      </c>
      <c r="AJ334" s="327">
        <v>24</v>
      </c>
      <c r="AK334" s="327">
        <v>24</v>
      </c>
      <c r="AL334" s="327">
        <v>24</v>
      </c>
      <c r="AM334" s="327">
        <v>24</v>
      </c>
      <c r="AN334" s="327">
        <v>24</v>
      </c>
      <c r="AO334" s="327">
        <f t="shared" si="318"/>
        <v>24</v>
      </c>
      <c r="AP334" s="327">
        <v>24</v>
      </c>
      <c r="AQ334" s="327">
        <f t="shared" si="306"/>
        <v>36</v>
      </c>
      <c r="AR334" s="338"/>
      <c r="AS334" s="328">
        <f t="shared" si="307"/>
        <v>0</v>
      </c>
      <c r="AT334" s="328">
        <f t="shared" si="308"/>
        <v>0</v>
      </c>
      <c r="AU334" s="523">
        <v>24</v>
      </c>
      <c r="AV334" s="328"/>
      <c r="AW334" s="328"/>
      <c r="AX334" s="332">
        <v>24</v>
      </c>
      <c r="AY334" s="328" t="b">
        <f t="shared" si="309"/>
        <v>1</v>
      </c>
      <c r="AZ334" s="328" t="b">
        <f t="shared" si="312"/>
        <v>1</v>
      </c>
    </row>
    <row r="335" ht="27" customHeight="1" spans="1:52">
      <c r="A335" s="326" t="str">
        <f>INDEX('Rate Card'!$A:$A,MATCH(服务费底表!$T335,'Rate Card'!$F:$F,0))</f>
        <v>数统</v>
      </c>
      <c r="B335" s="327" t="str">
        <f>INDEX(二三级标准!$G:$G,MATCH(服务费底表!$K335,二三级标准!B:B,0))</f>
        <v>个</v>
      </c>
      <c r="C335" s="327">
        <f>INDEX(服务费明细!$E:$E,MATCH(服务费底表!$K335,服务费明细!$B:$B,0))</f>
        <v>0</v>
      </c>
      <c r="D335" s="327" t="str">
        <f t="shared" si="313"/>
        <v>A089DBP</v>
      </c>
      <c r="E335" s="327" t="str">
        <f t="shared" si="314"/>
        <v>T0234DBP</v>
      </c>
      <c r="F335" s="328"/>
      <c r="G335" s="328" t="s">
        <v>684</v>
      </c>
      <c r="H335" s="326" t="str">
        <f>INDEX('Rate Card'!$B:$B,MATCH(服务费底表!$T335,'Rate Card'!$F:$F,0))</f>
        <v>数据管理</v>
      </c>
      <c r="I335" s="328" t="s">
        <v>923</v>
      </c>
      <c r="J335" s="328" t="str">
        <f>INDEX(二三级标准!$Q:$Q,MATCH(服务费底表!I335,二三级标准!$O:$O,0))</f>
        <v>数据管理</v>
      </c>
      <c r="K335" s="328" t="s">
        <v>283</v>
      </c>
      <c r="L335" s="328" t="str">
        <f>INDEX(二三级标准!C:C,MATCH(服务费底表!K335,二三级标准!$B:$B,0))</f>
        <v>搭建随机发药系统</v>
      </c>
      <c r="M335" s="328" t="s">
        <v>1402</v>
      </c>
      <c r="N335" s="328" t="str">
        <f>INDEX(二三级标准!$M:$M,MATCH(服务费底表!$M335,二三级标准!$L:$L,0))</f>
        <v>RTSM系统内部测试</v>
      </c>
      <c r="O335" s="328"/>
      <c r="P335" s="531">
        <f>IF(R335=1,INDEX(服务费明细!$E:$E,MATCH(服务费底表!$K335,服务费明细!$B:$B,0)),0)</f>
        <v>0</v>
      </c>
      <c r="Q335" s="328" t="s">
        <v>1178</v>
      </c>
      <c r="R335" s="520">
        <f>IF(AND(搭建随机发药系统YN=1,数据管理YN=1),1,0)</f>
        <v>0</v>
      </c>
      <c r="S335" s="524" t="str">
        <f>INDEX('Rate Card'!$D:$D,MATCH(服务费底表!$T335,'Rate Card'!F:F,0))</f>
        <v>数据管理</v>
      </c>
      <c r="T335" s="328" t="s">
        <v>629</v>
      </c>
      <c r="U335" s="522" t="str">
        <f>INDEX('Rate Card'!$E:$E,MATCH(服务费底表!$T335,'Rate Card'!$F:$F,0))</f>
        <v>数据库编程员</v>
      </c>
      <c r="V335" s="331">
        <f>INDEX('Rate Card'!$J:$J,MATCH($T335,'Rate Card'!$F:$F,0))</f>
        <v>300</v>
      </c>
      <c r="W335" s="523">
        <f t="shared" si="299"/>
        <v>300</v>
      </c>
      <c r="X335" s="523">
        <f t="shared" si="300"/>
        <v>6</v>
      </c>
      <c r="Y335" s="327" cm="1">
        <f t="array" ref="Y335">_xlfn.IFS(报价场景=服务费底表!$AJ$2,服务费底表!$AJ335,报价场景=服务费底表!$AP$2,服务费底表!$AP335,报价场景=服务费底表!$AK$2,服务费底表!$AK335,报价场景=服务费底表!$AL$2,服务费底表!$AL335,报价场景=服务费底表!$AM$2,服务费底表!$AM335,报价场景=服务费底表!$AN$2,服务费底表!$AN335,报价场景=服务费底表!$AQ$2,服务费底表!$AQ335,报价场景=服务费底表!$AO$2,服务费底表!$AO335)</f>
        <v>6</v>
      </c>
      <c r="Z335" s="327"/>
      <c r="AA335" s="332">
        <f t="shared" si="319"/>
        <v>6</v>
      </c>
      <c r="AB335" s="333">
        <f t="shared" si="315"/>
        <v>0</v>
      </c>
      <c r="AC335" s="328">
        <f t="shared" si="316"/>
        <v>0</v>
      </c>
      <c r="AD335" s="334">
        <f t="shared" si="317"/>
        <v>0</v>
      </c>
      <c r="AE335" s="334">
        <f>$AB335*(1-INDEX(项目参数!$D$5:$D$14,MATCH(服务费底表!$S335,项目参数!$B$5:$B$14,0)))</f>
        <v>0</v>
      </c>
      <c r="AF335" s="334">
        <f>$AD335*INDEX(项目参数!$D$5:$D$14,MATCH(服务费底表!$S335,项目参数!$B$5:$B$14,0))</f>
        <v>0</v>
      </c>
      <c r="AG335" s="334">
        <f t="shared" si="320"/>
        <v>0</v>
      </c>
      <c r="AH335" s="328"/>
      <c r="AI335" s="328" t="s">
        <v>629</v>
      </c>
      <c r="AJ335" s="327">
        <v>6</v>
      </c>
      <c r="AK335" s="327">
        <v>6</v>
      </c>
      <c r="AL335" s="327">
        <v>6</v>
      </c>
      <c r="AM335" s="327">
        <v>6</v>
      </c>
      <c r="AN335" s="327">
        <v>6</v>
      </c>
      <c r="AO335" s="327">
        <f t="shared" si="318"/>
        <v>6</v>
      </c>
      <c r="AP335" s="327">
        <v>6</v>
      </c>
      <c r="AQ335" s="327">
        <f t="shared" si="306"/>
        <v>9</v>
      </c>
      <c r="AR335" s="338"/>
      <c r="AS335" s="328">
        <f t="shared" si="307"/>
        <v>0</v>
      </c>
      <c r="AT335" s="328">
        <f t="shared" si="308"/>
        <v>0</v>
      </c>
      <c r="AU335" s="523">
        <v>6</v>
      </c>
      <c r="AV335" s="328"/>
      <c r="AW335" s="328"/>
      <c r="AX335" s="332">
        <v>6</v>
      </c>
      <c r="AY335" s="328" t="b">
        <f t="shared" si="309"/>
        <v>1</v>
      </c>
      <c r="AZ335" s="328" t="b">
        <f t="shared" si="312"/>
        <v>1</v>
      </c>
    </row>
    <row r="336" ht="27" customHeight="1" spans="1:52">
      <c r="A336" s="326" t="str">
        <f>INDEX('Rate Card'!$A:$A,MATCH(服务费底表!$T336,'Rate Card'!$F:$F,0))</f>
        <v>数统</v>
      </c>
      <c r="B336" s="327" t="str">
        <f>INDEX(二三级标准!$G:$G,MATCH(服务费底表!$K336,二三级标准!B:B,0))</f>
        <v>个</v>
      </c>
      <c r="C336" s="327">
        <f>INDEX(服务费明细!$E:$E,MATCH(服务费底表!$K336,服务费明细!$B:$B,0))</f>
        <v>0</v>
      </c>
      <c r="D336" s="327" t="str">
        <f t="shared" si="313"/>
        <v>A089LDM</v>
      </c>
      <c r="E336" s="327" t="str">
        <f t="shared" si="314"/>
        <v>T0235LDM</v>
      </c>
      <c r="F336" s="328"/>
      <c r="G336" s="328" t="s">
        <v>684</v>
      </c>
      <c r="H336" s="326" t="str">
        <f>INDEX('Rate Card'!$B:$B,MATCH(服务费底表!$T336,'Rate Card'!$F:$F,0))</f>
        <v>数据管理</v>
      </c>
      <c r="I336" s="328" t="s">
        <v>923</v>
      </c>
      <c r="J336" s="328" t="str">
        <f>INDEX(二三级标准!$Q:$Q,MATCH(服务费底表!I336,二三级标准!$O:$O,0))</f>
        <v>数据管理</v>
      </c>
      <c r="K336" s="328" t="s">
        <v>283</v>
      </c>
      <c r="L336" s="328" t="str">
        <f>INDEX(二三级标准!C:C,MATCH(服务费底表!K336,二三级标准!$B:$B,0))</f>
        <v>搭建随机发药系统</v>
      </c>
      <c r="M336" s="328" t="s">
        <v>1403</v>
      </c>
      <c r="N336" s="328" t="str">
        <f>INDEX(二三级标准!$M:$M,MATCH(服务费底表!$M336,二三级标准!$L:$L,0))</f>
        <v>RTSM系统项目组测试前培训</v>
      </c>
      <c r="O336" s="328"/>
      <c r="P336" s="531">
        <f>IF(R336=1,INDEX(服务费明细!$E:$E,MATCH(服务费底表!$K336,服务费明细!$B:$B,0)),0)</f>
        <v>0</v>
      </c>
      <c r="Q336" s="328" t="s">
        <v>1178</v>
      </c>
      <c r="R336" s="520">
        <f>IF(AND(搭建随机发药系统YN=1,数据管理YN=1),1,0)</f>
        <v>0</v>
      </c>
      <c r="S336" s="524" t="str">
        <f>INDEX('Rate Card'!$D:$D,MATCH(服务费底表!$T336,'Rate Card'!F:F,0))</f>
        <v>数据管理</v>
      </c>
      <c r="T336" s="328" t="s">
        <v>633</v>
      </c>
      <c r="U336" s="522" t="str">
        <f>INDEX('Rate Card'!$E:$E,MATCH(服务费底表!$T336,'Rate Card'!$F:$F,0))</f>
        <v>数据管理经理</v>
      </c>
      <c r="V336" s="331">
        <f>INDEX('Rate Card'!$J:$J,MATCH($T336,'Rate Card'!$F:$F,0))</f>
        <v>360</v>
      </c>
      <c r="W336" s="523">
        <f t="shared" si="299"/>
        <v>360</v>
      </c>
      <c r="X336" s="523">
        <f t="shared" si="300"/>
        <v>1</v>
      </c>
      <c r="Y336" s="327" cm="1">
        <f t="array" ref="Y336">_xlfn.IFS(报价场景=服务费底表!$AJ$2,服务费底表!$AJ336,报价场景=服务费底表!$AP$2,服务费底表!$AP336,报价场景=服务费底表!$AK$2,服务费底表!$AK336,报价场景=服务费底表!$AL$2,服务费底表!$AL336,报价场景=服务费底表!$AM$2,服务费底表!$AM336,报价场景=服务费底表!$AN$2,服务费底表!$AN336,报价场景=服务费底表!$AQ$2,服务费底表!$AQ336,报价场景=服务费底表!$AO$2,服务费底表!$AO336)</f>
        <v>1</v>
      </c>
      <c r="Z336" s="327"/>
      <c r="AA336" s="332">
        <f t="shared" si="319"/>
        <v>1</v>
      </c>
      <c r="AB336" s="333">
        <f t="shared" si="315"/>
        <v>0</v>
      </c>
      <c r="AC336" s="328">
        <f t="shared" si="316"/>
        <v>0</v>
      </c>
      <c r="AD336" s="334">
        <f t="shared" si="317"/>
        <v>0</v>
      </c>
      <c r="AE336" s="334">
        <f>$AB336*(1-INDEX(项目参数!$D$5:$D$14,MATCH(服务费底表!$S336,项目参数!$B$5:$B$14,0)))</f>
        <v>0</v>
      </c>
      <c r="AF336" s="334">
        <f>$AD336*INDEX(项目参数!$D$5:$D$14,MATCH(服务费底表!$S336,项目参数!$B$5:$B$14,0))</f>
        <v>0</v>
      </c>
      <c r="AG336" s="334">
        <f t="shared" si="320"/>
        <v>0</v>
      </c>
      <c r="AH336" s="328"/>
      <c r="AI336" s="328" t="s">
        <v>633</v>
      </c>
      <c r="AJ336" s="327">
        <v>1</v>
      </c>
      <c r="AK336" s="327">
        <v>1</v>
      </c>
      <c r="AL336" s="327">
        <v>1</v>
      </c>
      <c r="AM336" s="327">
        <v>1</v>
      </c>
      <c r="AN336" s="327">
        <v>1</v>
      </c>
      <c r="AO336" s="327">
        <f t="shared" si="318"/>
        <v>1</v>
      </c>
      <c r="AP336" s="327">
        <v>1</v>
      </c>
      <c r="AQ336" s="327">
        <f t="shared" si="306"/>
        <v>1.5</v>
      </c>
      <c r="AR336" s="338"/>
      <c r="AS336" s="328">
        <f t="shared" si="307"/>
        <v>0</v>
      </c>
      <c r="AT336" s="328">
        <f t="shared" si="308"/>
        <v>0</v>
      </c>
      <c r="AU336" s="523">
        <v>1</v>
      </c>
      <c r="AV336" s="328"/>
      <c r="AW336" s="328"/>
      <c r="AX336" s="332">
        <v>1</v>
      </c>
      <c r="AY336" s="328" t="b">
        <f t="shared" si="309"/>
        <v>1</v>
      </c>
      <c r="AZ336" s="328" t="b">
        <f t="shared" si="312"/>
        <v>1</v>
      </c>
    </row>
    <row r="337" ht="27" customHeight="1" spans="1:52">
      <c r="A337" s="326" t="str">
        <f>INDEX('Rate Card'!$A:$A,MATCH(服务费底表!$T337,'Rate Card'!$F:$F,0))</f>
        <v>数统</v>
      </c>
      <c r="B337" s="327" t="str">
        <f>INDEX(二三级标准!$G:$G,MATCH(服务费底表!$K337,二三级标准!B:B,0))</f>
        <v>个</v>
      </c>
      <c r="C337" s="327">
        <f>INDEX(服务费明细!$E:$E,MATCH(服务费底表!$K337,服务费明细!$B:$B,0))</f>
        <v>0</v>
      </c>
      <c r="D337" s="327" t="str">
        <f t="shared" si="313"/>
        <v>A089DBP</v>
      </c>
      <c r="E337" s="327" t="str">
        <f t="shared" si="314"/>
        <v>T0235DBP</v>
      </c>
      <c r="F337" s="328"/>
      <c r="G337" s="328" t="s">
        <v>684</v>
      </c>
      <c r="H337" s="326" t="str">
        <f>INDEX('Rate Card'!$B:$B,MATCH(服务费底表!$T337,'Rate Card'!$F:$F,0))</f>
        <v>数据管理</v>
      </c>
      <c r="I337" s="328" t="s">
        <v>923</v>
      </c>
      <c r="J337" s="328" t="str">
        <f>INDEX(二三级标准!$Q:$Q,MATCH(服务费底表!I337,二三级标准!$O:$O,0))</f>
        <v>数据管理</v>
      </c>
      <c r="K337" s="328" t="s">
        <v>283</v>
      </c>
      <c r="L337" s="328" t="str">
        <f>INDEX(二三级标准!C:C,MATCH(服务费底表!K337,二三级标准!$B:$B,0))</f>
        <v>搭建随机发药系统</v>
      </c>
      <c r="M337" s="328" t="s">
        <v>1403</v>
      </c>
      <c r="N337" s="328" t="str">
        <f>INDEX(二三级标准!$M:$M,MATCH(服务费底表!$M337,二三级标准!$L:$L,0))</f>
        <v>RTSM系统项目组测试前培训</v>
      </c>
      <c r="O337" s="328"/>
      <c r="P337" s="531">
        <f>IF(R337=1,INDEX(服务费明细!$E:$E,MATCH(服务费底表!$K337,服务费明细!$B:$B,0)),0)</f>
        <v>0</v>
      </c>
      <c r="Q337" s="328" t="s">
        <v>1178</v>
      </c>
      <c r="R337" s="520">
        <f>IF(AND(搭建随机发药系统YN=1,数据管理YN=1),1,0)</f>
        <v>0</v>
      </c>
      <c r="S337" s="524" t="str">
        <f>INDEX('Rate Card'!$D:$D,MATCH(服务费底表!$T337,'Rate Card'!F:F,0))</f>
        <v>数据管理</v>
      </c>
      <c r="T337" s="328" t="s">
        <v>629</v>
      </c>
      <c r="U337" s="522" t="str">
        <f>INDEX('Rate Card'!$E:$E,MATCH(服务费底表!$T337,'Rate Card'!$F:$F,0))</f>
        <v>数据库编程员</v>
      </c>
      <c r="V337" s="331">
        <f>INDEX('Rate Card'!$J:$J,MATCH($T337,'Rate Card'!$F:$F,0))</f>
        <v>300</v>
      </c>
      <c r="W337" s="523">
        <f t="shared" si="299"/>
        <v>300</v>
      </c>
      <c r="X337" s="523">
        <f t="shared" si="300"/>
        <v>1</v>
      </c>
      <c r="Y337" s="327" cm="1">
        <f t="array" ref="Y337">_xlfn.IFS(报价场景=服务费底表!$AJ$2,服务费底表!$AJ337,报价场景=服务费底表!$AP$2,服务费底表!$AP337,报价场景=服务费底表!$AK$2,服务费底表!$AK337,报价场景=服务费底表!$AL$2,服务费底表!$AL337,报价场景=服务费底表!$AM$2,服务费底表!$AM337,报价场景=服务费底表!$AN$2,服务费底表!$AN337,报价场景=服务费底表!$AQ$2,服务费底表!$AQ337,报价场景=服务费底表!$AO$2,服务费底表!$AO337)</f>
        <v>1</v>
      </c>
      <c r="Z337" s="327"/>
      <c r="AA337" s="332">
        <f t="shared" si="319"/>
        <v>1</v>
      </c>
      <c r="AB337" s="333">
        <f t="shared" si="315"/>
        <v>0</v>
      </c>
      <c r="AC337" s="328">
        <f t="shared" si="316"/>
        <v>0</v>
      </c>
      <c r="AD337" s="334">
        <f t="shared" si="317"/>
        <v>0</v>
      </c>
      <c r="AE337" s="334">
        <f>$AB337*(1-INDEX(项目参数!$D$5:$D$14,MATCH(服务费底表!$S337,项目参数!$B$5:$B$14,0)))</f>
        <v>0</v>
      </c>
      <c r="AF337" s="334">
        <f>$AD337*INDEX(项目参数!$D$5:$D$14,MATCH(服务费底表!$S337,项目参数!$B$5:$B$14,0))</f>
        <v>0</v>
      </c>
      <c r="AG337" s="334">
        <f t="shared" si="320"/>
        <v>0</v>
      </c>
      <c r="AH337" s="328"/>
      <c r="AI337" s="328" t="s">
        <v>629</v>
      </c>
      <c r="AJ337" s="327">
        <v>1</v>
      </c>
      <c r="AK337" s="327">
        <v>1</v>
      </c>
      <c r="AL337" s="327">
        <v>1</v>
      </c>
      <c r="AM337" s="327">
        <v>1</v>
      </c>
      <c r="AN337" s="327">
        <v>1</v>
      </c>
      <c r="AO337" s="327">
        <f t="shared" si="318"/>
        <v>1</v>
      </c>
      <c r="AP337" s="327">
        <v>1</v>
      </c>
      <c r="AQ337" s="327">
        <f t="shared" si="306"/>
        <v>1.5</v>
      </c>
      <c r="AR337" s="338"/>
      <c r="AS337" s="328">
        <f t="shared" si="307"/>
        <v>0</v>
      </c>
      <c r="AT337" s="328">
        <f t="shared" si="308"/>
        <v>0</v>
      </c>
      <c r="AU337" s="523">
        <v>1</v>
      </c>
      <c r="AV337" s="328"/>
      <c r="AW337" s="328"/>
      <c r="AX337" s="332">
        <v>1</v>
      </c>
      <c r="AY337" s="328" t="b">
        <f t="shared" si="309"/>
        <v>1</v>
      </c>
      <c r="AZ337" s="328" t="b">
        <f t="shared" si="312"/>
        <v>1</v>
      </c>
    </row>
    <row r="338" ht="27" customHeight="1" spans="1:52">
      <c r="A338" s="326" t="str">
        <f>INDEX('Rate Card'!$A:$A,MATCH(服务费底表!$T338,'Rate Card'!$F:$F,0))</f>
        <v>数统</v>
      </c>
      <c r="B338" s="327" t="str">
        <f>INDEX(二三级标准!$G:$G,MATCH(服务费底表!$K338,二三级标准!B:B,0))</f>
        <v>个</v>
      </c>
      <c r="C338" s="327">
        <f>INDEX(服务费明细!$E:$E,MATCH(服务费底表!$K338,服务费明细!$B:$B,0))</f>
        <v>0</v>
      </c>
      <c r="D338" s="327" t="str">
        <f t="shared" si="313"/>
        <v>A089ST</v>
      </c>
      <c r="E338" s="327" t="str">
        <f t="shared" si="314"/>
        <v>T0235ST</v>
      </c>
      <c r="F338" s="328"/>
      <c r="G338" s="328" t="s">
        <v>684</v>
      </c>
      <c r="H338" s="326" t="str">
        <f>INDEX('Rate Card'!$B:$B,MATCH(服务费底表!$T338,'Rate Card'!$F:$F,0))</f>
        <v>生物统计及分析</v>
      </c>
      <c r="I338" s="328" t="s">
        <v>923</v>
      </c>
      <c r="J338" s="328" t="str">
        <f>INDEX(二三级标准!$Q:$Q,MATCH(服务费底表!I338,二三级标准!$O:$O,0))</f>
        <v>数据管理</v>
      </c>
      <c r="K338" s="328" t="s">
        <v>283</v>
      </c>
      <c r="L338" s="328" t="str">
        <f>INDEX(二三级标准!C:C,MATCH(服务费底表!K338,二三级标准!$B:$B,0))</f>
        <v>搭建随机发药系统</v>
      </c>
      <c r="M338" s="328" t="s">
        <v>1403</v>
      </c>
      <c r="N338" s="328" t="str">
        <f>INDEX(二三级标准!$M:$M,MATCH(服务费底表!$M338,二三级标准!$L:$L,0))</f>
        <v>RTSM系统项目组测试前培训</v>
      </c>
      <c r="O338" s="328"/>
      <c r="P338" s="531">
        <f>IF(R338=1,INDEX(服务费明细!$E:$E,MATCH(服务费底表!$K338,服务费明细!$B:$B,0)),0)</f>
        <v>0</v>
      </c>
      <c r="Q338" s="328" t="s">
        <v>1178</v>
      </c>
      <c r="R338" s="520">
        <f>IF(AND(搭建随机发药系统YN=1,生物统计YN=1),1,0)</f>
        <v>0</v>
      </c>
      <c r="S338" s="524" t="str">
        <f>INDEX('Rate Card'!$D:$D,MATCH(服务费底表!$T338,'Rate Card'!F:F,0))</f>
        <v>生物统计</v>
      </c>
      <c r="T338" s="328" t="s">
        <v>639</v>
      </c>
      <c r="U338" s="522" t="str">
        <f>INDEX('Rate Card'!$E:$E,MATCH(服务费底表!$T338,'Rate Card'!$F:$F,0))</f>
        <v>生物统计师</v>
      </c>
      <c r="V338" s="331">
        <f>INDEX('Rate Card'!$J:$J,MATCH($T338,'Rate Card'!$F:$F,0))</f>
        <v>400</v>
      </c>
      <c r="W338" s="523">
        <f t="shared" si="299"/>
        <v>400</v>
      </c>
      <c r="X338" s="523">
        <f t="shared" si="300"/>
        <v>1</v>
      </c>
      <c r="Y338" s="327" cm="1">
        <f t="array" ref="Y338">_xlfn.IFS(报价场景=服务费底表!$AJ$2,服务费底表!$AJ338,报价场景=服务费底表!$AP$2,服务费底表!$AP338,报价场景=服务费底表!$AK$2,服务费底表!$AK338,报价场景=服务费底表!$AL$2,服务费底表!$AL338,报价场景=服务费底表!$AM$2,服务费底表!$AM338,报价场景=服务费底表!$AN$2,服务费底表!$AN338,报价场景=服务费底表!$AQ$2,服务费底表!$AQ338,报价场景=服务费底表!$AO$2,服务费底表!$AO338)</f>
        <v>1</v>
      </c>
      <c r="Z338" s="327"/>
      <c r="AA338" s="332">
        <f t="shared" si="319"/>
        <v>1</v>
      </c>
      <c r="AB338" s="333">
        <f t="shared" si="315"/>
        <v>0</v>
      </c>
      <c r="AC338" s="328">
        <f t="shared" si="316"/>
        <v>0</v>
      </c>
      <c r="AD338" s="334">
        <f t="shared" si="317"/>
        <v>0</v>
      </c>
      <c r="AE338" s="334">
        <f>$AB338*(1-INDEX(项目参数!$D$5:$D$14,MATCH(服务费底表!$S338,项目参数!$B$5:$B$14,0)))</f>
        <v>0</v>
      </c>
      <c r="AF338" s="334">
        <f>$AD338*INDEX(项目参数!$D$5:$D$14,MATCH(服务费底表!$S338,项目参数!$B$5:$B$14,0))</f>
        <v>0</v>
      </c>
      <c r="AG338" s="334">
        <f t="shared" si="320"/>
        <v>0</v>
      </c>
      <c r="AH338" s="328"/>
      <c r="AI338" s="328" t="s">
        <v>639</v>
      </c>
      <c r="AJ338" s="327">
        <v>1</v>
      </c>
      <c r="AK338" s="327">
        <v>1</v>
      </c>
      <c r="AL338" s="327">
        <v>1</v>
      </c>
      <c r="AM338" s="327">
        <v>1</v>
      </c>
      <c r="AN338" s="327">
        <v>1</v>
      </c>
      <c r="AO338" s="327">
        <f t="shared" si="318"/>
        <v>1</v>
      </c>
      <c r="AP338" s="327">
        <v>1</v>
      </c>
      <c r="AQ338" s="327">
        <f t="shared" si="306"/>
        <v>1.5</v>
      </c>
      <c r="AR338" s="338"/>
      <c r="AS338" s="328">
        <f t="shared" si="307"/>
        <v>0</v>
      </c>
      <c r="AT338" s="328">
        <f t="shared" si="308"/>
        <v>0</v>
      </c>
      <c r="AU338" s="523">
        <v>1</v>
      </c>
      <c r="AV338" s="328"/>
      <c r="AW338" s="328"/>
      <c r="AX338" s="332">
        <v>1</v>
      </c>
      <c r="AY338" s="328" t="b">
        <f t="shared" si="309"/>
        <v>1</v>
      </c>
      <c r="AZ338" s="328" t="b">
        <f t="shared" si="312"/>
        <v>1</v>
      </c>
    </row>
    <row r="339" ht="27" customHeight="1" spans="1:52">
      <c r="A339" s="326" t="str">
        <f>INDEX('Rate Card'!$A:$A,MATCH(服务费底表!$T339,'Rate Card'!$F:$F,0))</f>
        <v>数统</v>
      </c>
      <c r="B339" s="327" t="str">
        <f>INDEX(二三级标准!$G:$G,MATCH(服务费底表!$K339,二三级标准!B:B,0))</f>
        <v>个</v>
      </c>
      <c r="C339" s="327">
        <f>INDEX(服务费明细!$E:$E,MATCH(服务费底表!$K339,服务费明细!$B:$B,0))</f>
        <v>0</v>
      </c>
      <c r="D339" s="327" t="str">
        <f t="shared" si="313"/>
        <v>A089DBP</v>
      </c>
      <c r="E339" s="327" t="str">
        <f t="shared" si="314"/>
        <v>T0236DBP</v>
      </c>
      <c r="F339" s="328"/>
      <c r="G339" s="328" t="s">
        <v>684</v>
      </c>
      <c r="H339" s="326" t="str">
        <f>INDEX('Rate Card'!$B:$B,MATCH(服务费底表!$T339,'Rate Card'!$F:$F,0))</f>
        <v>数据管理</v>
      </c>
      <c r="I339" s="328" t="s">
        <v>923</v>
      </c>
      <c r="J339" s="328" t="str">
        <f>INDEX(二三级标准!$Q:$Q,MATCH(服务费底表!I339,二三级标准!$O:$O,0))</f>
        <v>数据管理</v>
      </c>
      <c r="K339" s="328" t="s">
        <v>283</v>
      </c>
      <c r="L339" s="328" t="str">
        <f>INDEX(二三级标准!C:C,MATCH(服务费底表!K339,二三级标准!$B:$B,0))</f>
        <v>搭建随机发药系统</v>
      </c>
      <c r="M339" s="328" t="s">
        <v>1404</v>
      </c>
      <c r="N339" s="328" t="str">
        <f>INDEX(二三级标准!$M:$M,MATCH(服务费底表!$M339,二三级标准!$L:$L,0))</f>
        <v>RTSM系统项目组测试后的系统调整</v>
      </c>
      <c r="O339" s="328"/>
      <c r="P339" s="531">
        <f>IF(R339=1,INDEX(服务费明细!$E:$E,MATCH(服务费底表!$K339,服务费明细!$B:$B,0)),0)</f>
        <v>0</v>
      </c>
      <c r="Q339" s="328" t="s">
        <v>1281</v>
      </c>
      <c r="R339" s="520">
        <f>IF(AND(搭建随机发药系统YN=1,数据管理YN=1),1,0)</f>
        <v>0</v>
      </c>
      <c r="S339" s="524" t="str">
        <f>INDEX('Rate Card'!$D:$D,MATCH(服务费底表!$T339,'Rate Card'!F:F,0))</f>
        <v>数据管理</v>
      </c>
      <c r="T339" s="328" t="s">
        <v>629</v>
      </c>
      <c r="U339" s="522" t="str">
        <f>INDEX('Rate Card'!$E:$E,MATCH(服务费底表!$T339,'Rate Card'!$F:$F,0))</f>
        <v>数据库编程员</v>
      </c>
      <c r="V339" s="331">
        <f>INDEX('Rate Card'!$J:$J,MATCH($T339,'Rate Card'!$F:$F,0))</f>
        <v>300</v>
      </c>
      <c r="W339" s="523">
        <f t="shared" si="299"/>
        <v>300</v>
      </c>
      <c r="X339" s="523">
        <f t="shared" si="300"/>
        <v>6</v>
      </c>
      <c r="Y339" s="327" cm="1">
        <f t="array" ref="Y339">_xlfn.IFS(报价场景=服务费底表!$AJ$2,服务费底表!$AJ339,报价场景=服务费底表!$AP$2,服务费底表!$AP339,报价场景=服务费底表!$AK$2,服务费底表!$AK339,报价场景=服务费底表!$AL$2,服务费底表!$AL339,报价场景=服务费底表!$AM$2,服务费底表!$AM339,报价场景=服务费底表!$AN$2,服务费底表!$AN339,报价场景=服务费底表!$AQ$2,服务费底表!$AQ339,报价场景=服务费底表!$AO$2,服务费底表!$AO339)</f>
        <v>6</v>
      </c>
      <c r="Z339" s="327"/>
      <c r="AA339" s="332">
        <f t="shared" si="319"/>
        <v>6</v>
      </c>
      <c r="AB339" s="333">
        <f t="shared" si="315"/>
        <v>0</v>
      </c>
      <c r="AC339" s="328">
        <f t="shared" si="316"/>
        <v>0</v>
      </c>
      <c r="AD339" s="334">
        <f t="shared" si="317"/>
        <v>0</v>
      </c>
      <c r="AE339" s="334">
        <f>$AB339*(1-INDEX(项目参数!$D$5:$D$14,MATCH(服务费底表!$S339,项目参数!$B$5:$B$14,0)))</f>
        <v>0</v>
      </c>
      <c r="AF339" s="334">
        <f>$AD339*INDEX(项目参数!$D$5:$D$14,MATCH(服务费底表!$S339,项目参数!$B$5:$B$14,0))</f>
        <v>0</v>
      </c>
      <c r="AG339" s="334">
        <f t="shared" si="320"/>
        <v>0</v>
      </c>
      <c r="AH339" s="328"/>
      <c r="AI339" s="328" t="s">
        <v>629</v>
      </c>
      <c r="AJ339" s="327">
        <v>6</v>
      </c>
      <c r="AK339" s="327">
        <v>6</v>
      </c>
      <c r="AL339" s="327">
        <v>6</v>
      </c>
      <c r="AM339" s="327">
        <v>6</v>
      </c>
      <c r="AN339" s="327">
        <v>6</v>
      </c>
      <c r="AO339" s="327">
        <f t="shared" si="318"/>
        <v>6</v>
      </c>
      <c r="AP339" s="327">
        <v>6</v>
      </c>
      <c r="AQ339" s="327">
        <f t="shared" si="306"/>
        <v>9</v>
      </c>
      <c r="AR339" s="338"/>
      <c r="AS339" s="328">
        <f t="shared" si="307"/>
        <v>0</v>
      </c>
      <c r="AT339" s="328">
        <f t="shared" si="308"/>
        <v>0</v>
      </c>
      <c r="AU339" s="523">
        <v>6</v>
      </c>
      <c r="AV339" s="328"/>
      <c r="AW339" s="328"/>
      <c r="AX339" s="332">
        <v>6</v>
      </c>
      <c r="AY339" s="328" t="b">
        <f t="shared" si="309"/>
        <v>1</v>
      </c>
      <c r="AZ339" s="328" t="b">
        <f t="shared" si="312"/>
        <v>1</v>
      </c>
    </row>
    <row r="340" ht="27" customHeight="1" spans="1:52">
      <c r="A340" s="326" t="str">
        <f>INDEX('Rate Card'!$A:$A,MATCH(服务费底表!$T340,'Rate Card'!$F:$F,0))</f>
        <v>数统</v>
      </c>
      <c r="B340" s="327" t="str">
        <f>INDEX(二三级标准!$G:$G,MATCH(服务费底表!$K340,二三级标准!B:B,0))</f>
        <v>个</v>
      </c>
      <c r="C340" s="327">
        <f>INDEX(服务费明细!$E:$E,MATCH(服务费底表!$K340,服务费明细!$B:$B,0))</f>
        <v>0</v>
      </c>
      <c r="D340" s="327" t="str">
        <f t="shared" si="313"/>
        <v>A089ST</v>
      </c>
      <c r="E340" s="327" t="str">
        <f t="shared" si="314"/>
        <v>T0237ST</v>
      </c>
      <c r="F340" s="328"/>
      <c r="G340" s="328" t="s">
        <v>684</v>
      </c>
      <c r="H340" s="326" t="str">
        <f>INDEX('Rate Card'!$B:$B,MATCH(服务费底表!$T340,'Rate Card'!$F:$F,0))</f>
        <v>生物统计及分析</v>
      </c>
      <c r="I340" s="328" t="s">
        <v>923</v>
      </c>
      <c r="J340" s="328" t="str">
        <f>INDEX(二三级标准!$Q:$Q,MATCH(服务费底表!I340,二三级标准!$O:$O,0))</f>
        <v>数据管理</v>
      </c>
      <c r="K340" s="328" t="s">
        <v>283</v>
      </c>
      <c r="L340" s="328" t="str">
        <f>INDEX(二三级标准!C:C,MATCH(服务费底表!K340,二三级标准!$B:$B,0))</f>
        <v>搭建随机发药系统</v>
      </c>
      <c r="M340" s="328" t="s">
        <v>1405</v>
      </c>
      <c r="N340" s="328" t="str">
        <f>INDEX(二三级标准!$M:$M,MATCH(服务费底表!$M340,二三级标准!$L:$L,0))</f>
        <v>RTSM系统数据库测试</v>
      </c>
      <c r="O340" s="328"/>
      <c r="P340" s="531">
        <f>IF(R340=1,INDEX(服务费明细!$E:$E,MATCH(服务费底表!$K340,服务费明细!$B:$B,0)),0)</f>
        <v>0</v>
      </c>
      <c r="Q340" s="328" t="s">
        <v>1178</v>
      </c>
      <c r="R340" s="520">
        <f>IF(AND(搭建随机发药系统YN=1,生物统计YN=1),1,0)</f>
        <v>0</v>
      </c>
      <c r="S340" s="524" t="str">
        <f>INDEX('Rate Card'!$D:$D,MATCH(服务费底表!$T340,'Rate Card'!F:F,0))</f>
        <v>生物统计</v>
      </c>
      <c r="T340" s="328" t="s">
        <v>639</v>
      </c>
      <c r="U340" s="522" t="str">
        <f>INDEX('Rate Card'!$E:$E,MATCH(服务费底表!$T340,'Rate Card'!$F:$F,0))</f>
        <v>生物统计师</v>
      </c>
      <c r="V340" s="331">
        <f>INDEX('Rate Card'!$J:$J,MATCH($T340,'Rate Card'!$F:$F,0))</f>
        <v>400</v>
      </c>
      <c r="W340" s="523">
        <f t="shared" si="299"/>
        <v>400</v>
      </c>
      <c r="X340" s="523">
        <f t="shared" si="300"/>
        <v>1</v>
      </c>
      <c r="Y340" s="327" cm="1">
        <f t="array" ref="Y340">_xlfn.IFS(报价场景=服务费底表!$AJ$2,服务费底表!$AJ340,报价场景=服务费底表!$AP$2,服务费底表!$AP340,报价场景=服务费底表!$AK$2,服务费底表!$AK340,报价场景=服务费底表!$AL$2,服务费底表!$AL340,报价场景=服务费底表!$AM$2,服务费底表!$AM340,报价场景=服务费底表!$AN$2,服务费底表!$AN340,报价场景=服务费底表!$AQ$2,服务费底表!$AQ340,报价场景=服务费底表!$AO$2,服务费底表!$AO340)</f>
        <v>1</v>
      </c>
      <c r="Z340" s="327"/>
      <c r="AA340" s="332">
        <f t="shared" si="319"/>
        <v>1</v>
      </c>
      <c r="AB340" s="333">
        <f t="shared" si="315"/>
        <v>0</v>
      </c>
      <c r="AC340" s="328">
        <f t="shared" si="316"/>
        <v>0</v>
      </c>
      <c r="AD340" s="334">
        <f t="shared" si="317"/>
        <v>0</v>
      </c>
      <c r="AE340" s="334">
        <f>$AB340*(1-INDEX(项目参数!$D$5:$D$14,MATCH(服务费底表!$S340,项目参数!$B$5:$B$14,0)))</f>
        <v>0</v>
      </c>
      <c r="AF340" s="334">
        <f>$AD340*INDEX(项目参数!$D$5:$D$14,MATCH(服务费底表!$S340,项目参数!$B$5:$B$14,0))</f>
        <v>0</v>
      </c>
      <c r="AG340" s="334">
        <f t="shared" si="320"/>
        <v>0</v>
      </c>
      <c r="AH340" s="328"/>
      <c r="AI340" s="328" t="s">
        <v>639</v>
      </c>
      <c r="AJ340" s="327">
        <v>1</v>
      </c>
      <c r="AK340" s="327">
        <v>1</v>
      </c>
      <c r="AL340" s="327">
        <v>1</v>
      </c>
      <c r="AM340" s="327">
        <v>1</v>
      </c>
      <c r="AN340" s="327">
        <v>1</v>
      </c>
      <c r="AO340" s="327">
        <f t="shared" si="318"/>
        <v>1</v>
      </c>
      <c r="AP340" s="327">
        <v>1</v>
      </c>
      <c r="AQ340" s="327">
        <f t="shared" si="306"/>
        <v>1.5</v>
      </c>
      <c r="AR340" s="338"/>
      <c r="AS340" s="328">
        <f t="shared" si="307"/>
        <v>0</v>
      </c>
      <c r="AT340" s="328">
        <f t="shared" si="308"/>
        <v>0</v>
      </c>
      <c r="AU340" s="523">
        <v>1</v>
      </c>
      <c r="AV340" s="328"/>
      <c r="AW340" s="328"/>
      <c r="AX340" s="332">
        <v>1</v>
      </c>
      <c r="AY340" s="328" t="b">
        <f t="shared" si="309"/>
        <v>1</v>
      </c>
      <c r="AZ340" s="328" t="b">
        <f t="shared" si="312"/>
        <v>1</v>
      </c>
    </row>
    <row r="341" ht="27" customHeight="1" spans="1:52">
      <c r="A341" s="326" t="str">
        <f>INDEX('Rate Card'!$A:$A,MATCH(服务费底表!$T341,'Rate Card'!$F:$F,0))</f>
        <v>数统</v>
      </c>
      <c r="B341" s="327" t="str">
        <f>INDEX(二三级标准!$G:$G,MATCH(服务费底表!$K341,二三级标准!B:B,0))</f>
        <v>个</v>
      </c>
      <c r="C341" s="327">
        <f>INDEX(服务费明细!$E:$E,MATCH(服务费底表!$K341,服务费明细!$B:$B,0))</f>
        <v>0</v>
      </c>
      <c r="D341" s="327" t="str">
        <f t="shared" si="313"/>
        <v>A089DBP</v>
      </c>
      <c r="E341" s="327" t="str">
        <f t="shared" si="314"/>
        <v>T0614DBP</v>
      </c>
      <c r="F341" s="328"/>
      <c r="G341" s="328" t="s">
        <v>684</v>
      </c>
      <c r="H341" s="326" t="str">
        <f>INDEX('Rate Card'!$B:$B,MATCH(服务费底表!$T341,'Rate Card'!$F:$F,0))</f>
        <v>数据管理</v>
      </c>
      <c r="I341" s="328" t="s">
        <v>923</v>
      </c>
      <c r="J341" s="328" t="str">
        <f>INDEX(二三级标准!$Q:$Q,MATCH(服务费底表!I341,二三级标准!$O:$O,0))</f>
        <v>数据管理</v>
      </c>
      <c r="K341" s="328" t="s">
        <v>283</v>
      </c>
      <c r="L341" s="328" t="str">
        <f>INDEX(二三级标准!C:C,MATCH(服务费底表!K341,二三级标准!$B:$B,0))</f>
        <v>搭建随机发药系统</v>
      </c>
      <c r="M341" s="328" t="s">
        <v>1406</v>
      </c>
      <c r="N341" s="328" t="str">
        <f>INDEX(二三级标准!$M:$M,MATCH(服务费底表!$M341,二三级标准!$L:$L,0))</f>
        <v>RTSM系统数据库上线操作</v>
      </c>
      <c r="O341" s="328"/>
      <c r="P341" s="531">
        <f>IF(R341=1,INDEX(服务费明细!$E:$E,MATCH(服务费底表!$K341,服务费明细!$B:$B,0)),0)</f>
        <v>0</v>
      </c>
      <c r="Q341" s="328" t="s">
        <v>1178</v>
      </c>
      <c r="R341" s="520">
        <f>IF(AND(搭建随机发药系统YN=1,数据管理YN=1),1,0)</f>
        <v>0</v>
      </c>
      <c r="S341" s="524" t="s">
        <v>573</v>
      </c>
      <c r="T341" s="328" t="s">
        <v>629</v>
      </c>
      <c r="U341" s="522" t="str">
        <f>INDEX('Rate Card'!$E:$E,MATCH(服务费底表!$T341,'Rate Card'!$F:$F,0))</f>
        <v>数据库编程员</v>
      </c>
      <c r="V341" s="331">
        <f>INDEX('Rate Card'!$J:$J,MATCH($T341,'Rate Card'!$F:$F,0))</f>
        <v>300</v>
      </c>
      <c r="W341" s="523">
        <f t="shared" si="299"/>
        <v>300</v>
      </c>
      <c r="X341" s="523">
        <f t="shared" si="300"/>
        <v>1</v>
      </c>
      <c r="Y341" s="327" cm="1">
        <f t="array" ref="Y341">_xlfn.IFS(报价场景=服务费底表!$AJ$2,服务费底表!$AJ341,报价场景=服务费底表!$AP$2,服务费底表!$AP341,报价场景=服务费底表!$AK$2,服务费底表!$AK341,报价场景=服务费底表!$AL$2,服务费底表!$AL341,报价场景=服务费底表!$AM$2,服务费底表!$AM341,报价场景=服务费底表!$AN$2,服务费底表!$AN341,报价场景=服务费底表!$AQ$2,服务费底表!$AQ341,报价场景=服务费底表!$AO$2,服务费底表!$AO341)</f>
        <v>1</v>
      </c>
      <c r="Z341" s="327"/>
      <c r="AA341" s="332">
        <f t="shared" si="319"/>
        <v>1</v>
      </c>
      <c r="AB341" s="333">
        <f t="shared" si="315"/>
        <v>0</v>
      </c>
      <c r="AC341" s="328">
        <f t="shared" si="316"/>
        <v>0</v>
      </c>
      <c r="AD341" s="334">
        <f t="shared" si="317"/>
        <v>0</v>
      </c>
      <c r="AE341" s="334">
        <f>$AB341*(1-INDEX(项目参数!$D$5:$D$14,MATCH(服务费底表!$S341,项目参数!$B$5:$B$14,0)))</f>
        <v>0</v>
      </c>
      <c r="AF341" s="334">
        <f>$AD341*INDEX(项目参数!$D$5:$D$14,MATCH(服务费底表!$S341,项目参数!$B$5:$B$14,0))</f>
        <v>0</v>
      </c>
      <c r="AG341" s="334">
        <f t="shared" si="320"/>
        <v>0</v>
      </c>
      <c r="AH341" s="328"/>
      <c r="AI341" s="328" t="s">
        <v>629</v>
      </c>
      <c r="AJ341" s="327">
        <v>1</v>
      </c>
      <c r="AK341" s="327">
        <v>1</v>
      </c>
      <c r="AL341" s="327">
        <v>1</v>
      </c>
      <c r="AM341" s="327">
        <v>1</v>
      </c>
      <c r="AN341" s="327">
        <v>1</v>
      </c>
      <c r="AO341" s="327">
        <f t="shared" si="318"/>
        <v>1</v>
      </c>
      <c r="AP341" s="327">
        <v>1</v>
      </c>
      <c r="AQ341" s="327">
        <f t="shared" si="306"/>
        <v>1.5</v>
      </c>
      <c r="AR341" s="338"/>
      <c r="AS341" s="328">
        <f t="shared" si="307"/>
        <v>0</v>
      </c>
      <c r="AT341" s="328">
        <f t="shared" si="308"/>
        <v>0</v>
      </c>
      <c r="AU341" s="523">
        <v>1</v>
      </c>
      <c r="AV341" s="328"/>
      <c r="AW341" s="328"/>
      <c r="AX341" s="332">
        <v>1</v>
      </c>
      <c r="AY341" s="328" t="b">
        <f t="shared" si="309"/>
        <v>1</v>
      </c>
      <c r="AZ341" s="328" t="b">
        <f t="shared" si="312"/>
        <v>1</v>
      </c>
    </row>
    <row r="342" ht="27" customHeight="1" spans="1:52">
      <c r="A342" s="326" t="str">
        <f>INDEX('Rate Card'!$A:$A,MATCH(服务费底表!$T342,'Rate Card'!$F:$F,0))</f>
        <v>数统</v>
      </c>
      <c r="B342" s="327" t="str">
        <f>INDEX(二三级标准!$G:$G,MATCH(服务费底表!$K342,二三级标准!B:B,0))</f>
        <v>条</v>
      </c>
      <c r="C342" s="327">
        <f>INDEX(服务费明细!$E:$E,MATCH(服务费底表!$K342,服务费明细!$B:$B,0))</f>
        <v>900</v>
      </c>
      <c r="D342" s="327" t="str">
        <f t="shared" si="313"/>
        <v>A090DM</v>
      </c>
      <c r="E342" s="327" t="str">
        <f t="shared" si="314"/>
        <v>T0244DM</v>
      </c>
      <c r="F342" s="328"/>
      <c r="G342" s="328" t="s">
        <v>684</v>
      </c>
      <c r="H342" s="326" t="str">
        <f>INDEX('Rate Card'!$B:$B,MATCH(服务费底表!$T342,'Rate Card'!$F:$F,0))</f>
        <v>数据管理</v>
      </c>
      <c r="I342" s="328" t="s">
        <v>923</v>
      </c>
      <c r="J342" s="328" t="str">
        <f>INDEX(二三级标准!$Q:$Q,MATCH(服务费底表!I342,二三级标准!$O:$O,0))</f>
        <v>数据管理</v>
      </c>
      <c r="K342" s="328" t="s">
        <v>285</v>
      </c>
      <c r="L342" s="328" t="str">
        <f>INDEX(二三级标准!C:C,MATCH(服务费底表!K342,二三级标准!$B:$B,0))</f>
        <v>系统自动质疑管理</v>
      </c>
      <c r="M342" s="328" t="s">
        <v>1407</v>
      </c>
      <c r="N342" s="328" t="str">
        <f>INDEX(二三级标准!$M:$M,MATCH(服务费底表!$M342,二三级标准!$L:$L,0))</f>
        <v>EDC内触发的自动质疑管理</v>
      </c>
      <c r="O342" s="328"/>
      <c r="P342" s="531">
        <f>IF(R342=1,INDEX(服务费明细!$E:$E,MATCH(服务费底表!$K342,服务费明细!$B:$B,0)),0)</f>
        <v>900</v>
      </c>
      <c r="Q342" s="328" t="s">
        <v>1380</v>
      </c>
      <c r="R342" s="520">
        <f>IF(AND(系统自动质疑YN=1,数据管理YN=1),1,0)</f>
        <v>1</v>
      </c>
      <c r="S342" s="524" t="str">
        <f>INDEX('Rate Card'!$D:$D,MATCH(服务费底表!$T342,'Rate Card'!F:F,0))</f>
        <v>数据管理</v>
      </c>
      <c r="T342" s="328" t="s">
        <v>631</v>
      </c>
      <c r="U342" s="522" t="str">
        <f>INDEX('Rate Card'!$E:$E,MATCH(服务费底表!$T342,'Rate Card'!$F:$F,0))</f>
        <v>数据管理专员</v>
      </c>
      <c r="V342" s="331">
        <f>INDEX('Rate Card'!$J:$J,MATCH($T342,'Rate Card'!$F:$F,0))</f>
        <v>200</v>
      </c>
      <c r="W342" s="523">
        <f t="shared" si="299"/>
        <v>200</v>
      </c>
      <c r="X342" s="523">
        <f t="shared" si="300"/>
        <v>0.05</v>
      </c>
      <c r="Y342" s="327" cm="1">
        <f t="array" ref="Y342">_xlfn.IFS(报价场景=服务费底表!$AJ$2,服务费底表!$AJ342,报价场景=服务费底表!$AP$2,服务费底表!$AP342,报价场景=服务费底表!$AK$2,服务费底表!$AK342,报价场景=服务费底表!$AL$2,服务费底表!$AL342,报价场景=服务费底表!$AM$2,服务费底表!$AM342,报价场景=服务费底表!$AN$2,服务费底表!$AN342,报价场景=服务费底表!$AQ$2,服务费底表!$AQ342,报价场景=服务费底表!$AO$2,服务费底表!$AO342)</f>
        <v>0.05</v>
      </c>
      <c r="Z342" s="327"/>
      <c r="AA342" s="332">
        <f t="shared" si="319"/>
        <v>0.05</v>
      </c>
      <c r="AB342" s="333">
        <f t="shared" si="315"/>
        <v>10</v>
      </c>
      <c r="AC342" s="328">
        <f t="shared" si="316"/>
        <v>45</v>
      </c>
      <c r="AD342" s="334">
        <f t="shared" si="317"/>
        <v>9000</v>
      </c>
      <c r="AE342" s="334">
        <f>$AB342*(1-INDEX(项目参数!$D$5:$D$14,MATCH(服务费底表!$S342,项目参数!$B$5:$B$14,0)))</f>
        <v>10</v>
      </c>
      <c r="AF342" s="334">
        <f>$AD342*INDEX(项目参数!$D$5:$D$14,MATCH(服务费底表!$S342,项目参数!$B$5:$B$14,0))</f>
        <v>0</v>
      </c>
      <c r="AG342" s="334">
        <f t="shared" si="320"/>
        <v>9000</v>
      </c>
      <c r="AH342" s="328"/>
      <c r="AI342" s="328" t="s">
        <v>631</v>
      </c>
      <c r="AJ342" s="327">
        <v>0.05</v>
      </c>
      <c r="AK342" s="327">
        <v>0.05</v>
      </c>
      <c r="AL342" s="327">
        <v>0.04</v>
      </c>
      <c r="AM342" s="327">
        <v>0.05</v>
      </c>
      <c r="AN342" s="327">
        <v>0.05</v>
      </c>
      <c r="AO342" s="327">
        <f t="shared" si="318"/>
        <v>0.04</v>
      </c>
      <c r="AP342" s="327">
        <v>0.05</v>
      </c>
      <c r="AQ342" s="327">
        <f t="shared" si="306"/>
        <v>0.075</v>
      </c>
      <c r="AR342" s="338"/>
      <c r="AS342" s="328">
        <f t="shared" si="307"/>
        <v>45</v>
      </c>
      <c r="AT342" s="328">
        <f t="shared" si="308"/>
        <v>45</v>
      </c>
      <c r="AU342" s="523">
        <v>0.05</v>
      </c>
      <c r="AV342" s="328"/>
      <c r="AW342" s="328"/>
      <c r="AX342" s="332">
        <v>0.05</v>
      </c>
      <c r="AY342" s="328" t="b">
        <f t="shared" si="309"/>
        <v>1</v>
      </c>
      <c r="AZ342" s="328" t="b">
        <f t="shared" si="312"/>
        <v>0</v>
      </c>
    </row>
    <row r="343" ht="27" customHeight="1" spans="1:52">
      <c r="A343" s="326" t="str">
        <f>INDEX('Rate Card'!$A:$A,MATCH(服务费底表!$T343,'Rate Card'!$F:$F,0))</f>
        <v>数统</v>
      </c>
      <c r="B343" s="327" t="str">
        <f>INDEX(二三级标准!$G:$G,MATCH(服务费底表!$K343,二三级标准!B:B,0))</f>
        <v>次</v>
      </c>
      <c r="C343" s="327">
        <f>INDEX(服务费明细!$E:$E,MATCH(服务费底表!$K343,服务费明细!$B:$B,0))</f>
        <v>14</v>
      </c>
      <c r="D343" s="327" t="str">
        <f t="shared" si="313"/>
        <v>A271SA</v>
      </c>
      <c r="E343" s="327" t="str">
        <f t="shared" si="314"/>
        <v>T0786SA</v>
      </c>
      <c r="F343" s="328"/>
      <c r="G343" s="328" t="s">
        <v>684</v>
      </c>
      <c r="H343" s="326" t="str">
        <f>INDEX('Rate Card'!$B:$B,MATCH(服务费底表!$T343,'Rate Card'!$F:$F,0))</f>
        <v>生物统计及分析</v>
      </c>
      <c r="I343" s="328" t="s">
        <v>923</v>
      </c>
      <c r="J343" s="328" t="str">
        <f>INDEX(二三级标准!$Q:$Q,MATCH(服务费底表!I343,二三级标准!$O:$O,0))</f>
        <v>数据管理</v>
      </c>
      <c r="K343" s="328" t="s">
        <v>1053</v>
      </c>
      <c r="L343" s="328" t="str">
        <f>INDEX(二三级标准!C:C,MATCH(服务费底表!K343,二三级标准!$B:$B,0))</f>
        <v>人工数据审核</v>
      </c>
      <c r="M343" s="328" t="s">
        <v>1408</v>
      </c>
      <c r="N343" s="328" t="str">
        <f>INDEX(二三级标准!$M:$M,MATCH(服务费底表!$M343,二三级标准!$L:$L,0))</f>
        <v>人工数据线下列表运行(SAS)</v>
      </c>
      <c r="O343" s="328"/>
      <c r="P343" s="531">
        <f>IF(R343=1,INDEX(服务费明细!$E:$E,MATCH(服务费底表!$K343,服务费明细!$B:$B,0)),0)</f>
        <v>14</v>
      </c>
      <c r="Q343" s="328" t="s">
        <v>1178</v>
      </c>
      <c r="R343" s="520">
        <f>IF(AND(人工审核质疑YN=1,数据管理YN=1),1,0)</f>
        <v>1</v>
      </c>
      <c r="S343" s="524" t="str">
        <f>INDEX('Rate Card'!$D:$D,MATCH(服务费底表!$T343,'Rate Card'!F:F,0))</f>
        <v>统计分析</v>
      </c>
      <c r="T343" s="328" t="s">
        <v>635</v>
      </c>
      <c r="U343" s="522" t="str">
        <f>INDEX('Rate Card'!$E:$E,MATCH(服务费底表!$T343,'Rate Card'!$F:$F,0))</f>
        <v>统计分析师</v>
      </c>
      <c r="V343" s="331">
        <f>INDEX('Rate Card'!$J:$J,MATCH($T343,'Rate Card'!$F:$F,0))</f>
        <v>225</v>
      </c>
      <c r="W343" s="523">
        <f t="shared" ref="W343:W353" si="321">V343*(1-$W$1)</f>
        <v>225</v>
      </c>
      <c r="X343" s="523">
        <f t="shared" ref="X343:X353" si="322">Y343*$X$1</f>
        <v>0.5</v>
      </c>
      <c r="Y343" s="327" cm="1">
        <f t="array" ref="Y343">_xlfn.IFS(报价场景=服务费底表!$AJ$2,服务费底表!$AJ343,报价场景=服务费底表!$AP$2,服务费底表!$AP343,报价场景=服务费底表!$AK$2,服务费底表!$AK343,报价场景=服务费底表!$AL$2,服务费底表!$AL343,报价场景=服务费底表!$AM$2,服务费底表!$AM343,报价场景=服务费底表!$AN$2,服务费底表!$AN343,报价场景=服务费底表!$AQ$2,服务费底表!$AQ343,报价场景=服务费底表!$AO$2,服务费底表!$AO343)</f>
        <v>0.5</v>
      </c>
      <c r="Z343" s="327"/>
      <c r="AA343" s="332">
        <f t="shared" si="319"/>
        <v>0.5</v>
      </c>
      <c r="AB343" s="333">
        <f t="shared" si="315"/>
        <v>112.5</v>
      </c>
      <c r="AC343" s="328">
        <f t="shared" si="316"/>
        <v>7</v>
      </c>
      <c r="AD343" s="334">
        <f t="shared" si="317"/>
        <v>1575</v>
      </c>
      <c r="AE343" s="334">
        <f>$AB343*(1-INDEX(项目参数!$D$5:$D$14,MATCH(服务费底表!$S343,项目参数!$B$5:$B$14,0)))</f>
        <v>112.5</v>
      </c>
      <c r="AF343" s="334">
        <f>$AD343*INDEX(项目参数!$D$5:$D$14,MATCH(服务费底表!$S343,项目参数!$B$5:$B$14,0))</f>
        <v>0</v>
      </c>
      <c r="AG343" s="334">
        <f t="shared" si="320"/>
        <v>1575</v>
      </c>
      <c r="AH343" s="328"/>
      <c r="AI343" s="328" t="s">
        <v>629</v>
      </c>
      <c r="AJ343" s="327">
        <v>0.5</v>
      </c>
      <c r="AK343" s="327">
        <v>0.3</v>
      </c>
      <c r="AL343" s="327">
        <v>0.2</v>
      </c>
      <c r="AM343" s="327">
        <v>0.2</v>
      </c>
      <c r="AN343" s="327">
        <v>0.4</v>
      </c>
      <c r="AO343" s="327">
        <f t="shared" si="318"/>
        <v>0.2</v>
      </c>
      <c r="AP343" s="327">
        <v>0.4</v>
      </c>
      <c r="AQ343" s="327">
        <f t="shared" ref="AQ343:AQ353" si="323">AJ343*$AQ$1</f>
        <v>0.75</v>
      </c>
      <c r="AR343" s="338"/>
      <c r="AS343" s="328">
        <f t="shared" si="307"/>
        <v>7</v>
      </c>
      <c r="AT343" s="328">
        <f t="shared" si="308"/>
        <v>7</v>
      </c>
      <c r="AU343" s="523">
        <v>0.4</v>
      </c>
      <c r="AV343" s="328"/>
      <c r="AW343" s="328"/>
      <c r="AX343" s="332">
        <v>0.4</v>
      </c>
      <c r="AY343" s="328" t="b">
        <f t="shared" si="309"/>
        <v>0</v>
      </c>
      <c r="AZ343" s="328" t="b">
        <f t="shared" si="312"/>
        <v>1</v>
      </c>
    </row>
    <row r="344" ht="27" customHeight="1" spans="1:52">
      <c r="A344" s="326" t="str">
        <f>INDEX('Rate Card'!$A:$A,MATCH(服务费底表!$T344,'Rate Card'!$F:$F,0))</f>
        <v>数统</v>
      </c>
      <c r="B344" s="327" t="str">
        <f>INDEX(二三级标准!$G:$G,MATCH(服务费底表!$K344,二三级标准!B:B,0))</f>
        <v>次</v>
      </c>
      <c r="C344" s="327">
        <f>INDEX(服务费明细!$E:$E,MATCH(服务费底表!$K344,服务费明细!$B:$B,0))</f>
        <v>14</v>
      </c>
      <c r="D344" s="327" t="str">
        <f t="shared" si="313"/>
        <v>A271DM</v>
      </c>
      <c r="E344" s="327" t="str">
        <f t="shared" si="314"/>
        <v>T0787DM</v>
      </c>
      <c r="F344" s="328"/>
      <c r="G344" s="328" t="s">
        <v>684</v>
      </c>
      <c r="H344" s="326" t="str">
        <f>INDEX('Rate Card'!$B:$B,MATCH(服务费底表!$T344,'Rate Card'!$F:$F,0))</f>
        <v>数据管理</v>
      </c>
      <c r="I344" s="328" t="s">
        <v>923</v>
      </c>
      <c r="J344" s="328" t="str">
        <f>INDEX(二三级标准!$Q:$Q,MATCH(服务费底表!I344,二三级标准!$O:$O,0))</f>
        <v>数据管理</v>
      </c>
      <c r="K344" s="328" t="s">
        <v>1053</v>
      </c>
      <c r="L344" s="328" t="str">
        <f>INDEX(二三级标准!C:C,MATCH(服务费底表!K344,二三级标准!$B:$B,0))</f>
        <v>人工数据审核</v>
      </c>
      <c r="M344" s="328" t="s">
        <v>1409</v>
      </c>
      <c r="N344" s="328" t="str">
        <f>INDEX(二三级标准!$M:$M,MATCH(服务费底表!$M344,二三级标准!$L:$L,0))</f>
        <v>人工数据列表审核</v>
      </c>
      <c r="O344" s="328"/>
      <c r="P344" s="531">
        <f>IF(R344=1,INDEX(服务费明细!$E:$E,MATCH(服务费底表!$K344,服务费明细!$B:$B,0)),0)</f>
        <v>14</v>
      </c>
      <c r="Q344" s="330" t="s">
        <v>1178</v>
      </c>
      <c r="R344" s="520">
        <f>IF(AND(人工审核质疑YN=1,数据管理YN=1),1,0)</f>
        <v>1</v>
      </c>
      <c r="S344" s="524" t="str">
        <f>INDEX('Rate Card'!$D:$D,MATCH(服务费底表!$T344,'Rate Card'!F:F,0))</f>
        <v>数据管理</v>
      </c>
      <c r="T344" s="328" t="s">
        <v>631</v>
      </c>
      <c r="U344" s="522" t="str">
        <f>INDEX('Rate Card'!$E:$E,MATCH(服务费底表!$T344,'Rate Card'!$F:$F,0))</f>
        <v>数据管理专员</v>
      </c>
      <c r="V344" s="331">
        <f>INDEX('Rate Card'!$J:$J,MATCH($T344,'Rate Card'!$F:$F,0))</f>
        <v>200</v>
      </c>
      <c r="W344" s="523">
        <f t="shared" si="321"/>
        <v>200</v>
      </c>
      <c r="X344" s="523">
        <f t="shared" si="322"/>
        <v>6</v>
      </c>
      <c r="Y344" s="327" cm="1">
        <f t="array" ref="Y344">_xlfn.IFS(报价场景=服务费底表!$AJ$2,服务费底表!$AJ344,报价场景=服务费底表!$AP$2,服务费底表!$AP344,报价场景=服务费底表!$AK$2,服务费底表!$AK344,报价场景=服务费底表!$AL$2,服务费底表!$AL344,报价场景=服务费底表!$AM$2,服务费底表!$AM344,报价场景=服务费底表!$AN$2,服务费底表!$AN344,报价场景=服务费底表!$AQ$2,服务费底表!$AQ344,报价场景=服务费底表!$AO$2,服务费底表!$AO344)</f>
        <v>6</v>
      </c>
      <c r="Z344" s="327"/>
      <c r="AA344" s="332">
        <f t="shared" si="319"/>
        <v>6</v>
      </c>
      <c r="AB344" s="333">
        <f t="shared" si="315"/>
        <v>1200</v>
      </c>
      <c r="AC344" s="328">
        <f t="shared" si="316"/>
        <v>84</v>
      </c>
      <c r="AD344" s="334">
        <f t="shared" si="317"/>
        <v>16800</v>
      </c>
      <c r="AE344" s="334">
        <f>$AB344*(1-INDEX(项目参数!$D$5:$D$14,MATCH(服务费底表!$S344,项目参数!$B$5:$B$14,0)))</f>
        <v>1200</v>
      </c>
      <c r="AF344" s="334">
        <f>$AD344*INDEX(项目参数!$D$5:$D$14,MATCH(服务费底表!$S344,项目参数!$B$5:$B$14,0))</f>
        <v>0</v>
      </c>
      <c r="AG344" s="334">
        <f t="shared" si="320"/>
        <v>16800</v>
      </c>
      <c r="AH344" s="328"/>
      <c r="AI344" s="328" t="s">
        <v>631</v>
      </c>
      <c r="AJ344" s="327">
        <v>6</v>
      </c>
      <c r="AK344" s="327">
        <v>8</v>
      </c>
      <c r="AL344" s="327">
        <v>6</v>
      </c>
      <c r="AM344" s="327">
        <v>8</v>
      </c>
      <c r="AN344" s="327">
        <v>6</v>
      </c>
      <c r="AO344" s="327">
        <f t="shared" si="318"/>
        <v>6</v>
      </c>
      <c r="AP344" s="327">
        <v>6</v>
      </c>
      <c r="AQ344" s="327">
        <f t="shared" si="323"/>
        <v>9</v>
      </c>
      <c r="AR344" s="338"/>
      <c r="AS344" s="328">
        <f t="shared" si="307"/>
        <v>84</v>
      </c>
      <c r="AT344" s="328">
        <f t="shared" si="308"/>
        <v>84</v>
      </c>
      <c r="AU344" s="523">
        <v>6</v>
      </c>
      <c r="AV344" s="328"/>
      <c r="AW344" s="328"/>
      <c r="AX344" s="332">
        <v>6</v>
      </c>
      <c r="AY344" s="328" t="b">
        <f t="shared" si="309"/>
        <v>1</v>
      </c>
      <c r="AZ344" s="328" t="b">
        <f t="shared" si="312"/>
        <v>1</v>
      </c>
    </row>
    <row r="345" ht="27" customHeight="1" spans="1:52">
      <c r="A345" s="326" t="str">
        <f>INDEX('Rate Card'!$A:$A,MATCH(服务费底表!$T345,'Rate Card'!$F:$F,0))</f>
        <v>数统</v>
      </c>
      <c r="B345" s="327" t="str">
        <f>INDEX(二三级标准!$G:$G,MATCH(服务费底表!$K345,二三级标准!B:B,0))</f>
        <v>条</v>
      </c>
      <c r="C345" s="327">
        <f>INDEX(服务费明细!$E:$E,MATCH(服务费底表!$K345,服务费明细!$B:$B,0))</f>
        <v>750</v>
      </c>
      <c r="D345" s="327" t="str">
        <f t="shared" si="313"/>
        <v>A272DM</v>
      </c>
      <c r="E345" s="327" t="str">
        <f t="shared" si="314"/>
        <v>T0788DM</v>
      </c>
      <c r="F345" s="328"/>
      <c r="G345" s="328" t="s">
        <v>684</v>
      </c>
      <c r="H345" s="326" t="str">
        <f>INDEX('Rate Card'!$B:$B,MATCH(服务费底表!$T345,'Rate Card'!$F:$F,0))</f>
        <v>数据管理</v>
      </c>
      <c r="I345" s="328" t="s">
        <v>923</v>
      </c>
      <c r="J345" s="328" t="str">
        <f>INDEX(二三级标准!$Q:$Q,MATCH(服务费底表!I345,二三级标准!$O:$O,0))</f>
        <v>数据管理</v>
      </c>
      <c r="K345" s="328" t="s">
        <v>1055</v>
      </c>
      <c r="L345" s="328" t="str">
        <f>INDEX(二三级标准!C:C,MATCH(服务费底表!K345,二三级标准!$B:$B,0))</f>
        <v>人工质疑管理</v>
      </c>
      <c r="M345" s="328" t="s">
        <v>1410</v>
      </c>
      <c r="N345" s="328" t="str">
        <f>INDEX(二三级标准!$M:$M,MATCH(服务费底表!$M345,二三级标准!$L:$L,0))</f>
        <v>人工审核的手动质疑管理</v>
      </c>
      <c r="O345" s="328"/>
      <c r="P345" s="531">
        <f>IF(R345=1,INDEX(服务费明细!$E:$E,MATCH(服务费底表!$K345,服务费明细!$B:$B,0)),0)</f>
        <v>750</v>
      </c>
      <c r="Q345" s="328" t="s">
        <v>1380</v>
      </c>
      <c r="R345" s="520">
        <f>IF(AND(人工质疑管理YN=1,数据管理YN=1),1,0)</f>
        <v>1</v>
      </c>
      <c r="S345" s="524" t="str">
        <f>INDEX('Rate Card'!$D:$D,MATCH(服务费底表!$T345,'Rate Card'!F:F,0))</f>
        <v>数据管理</v>
      </c>
      <c r="T345" s="328" t="s">
        <v>631</v>
      </c>
      <c r="U345" s="522" t="str">
        <f>INDEX('Rate Card'!$E:$E,MATCH(服务费底表!$T345,'Rate Card'!$F:$F,0))</f>
        <v>数据管理专员</v>
      </c>
      <c r="V345" s="331">
        <f>INDEX('Rate Card'!$J:$J,MATCH($T345,'Rate Card'!$F:$F,0))</f>
        <v>200</v>
      </c>
      <c r="W345" s="523">
        <f t="shared" si="321"/>
        <v>200</v>
      </c>
      <c r="X345" s="523">
        <f t="shared" si="322"/>
        <v>0.07</v>
      </c>
      <c r="Y345" s="327" cm="1">
        <f t="array" ref="Y345">_xlfn.IFS(报价场景=服务费底表!$AJ$2,服务费底表!$AJ345,报价场景=服务费底表!$AP$2,服务费底表!$AP345,报价场景=服务费底表!$AK$2,服务费底表!$AK345,报价场景=服务费底表!$AL$2,服务费底表!$AL345,报价场景=服务费底表!$AM$2,服务费底表!$AM345,报价场景=服务费底表!$AN$2,服务费底表!$AN345,报价场景=服务费底表!$AQ$2,服务费底表!$AQ345,报价场景=服务费底表!$AO$2,服务费底表!$AO345)</f>
        <v>0.07</v>
      </c>
      <c r="Z345" s="327"/>
      <c r="AA345" s="332">
        <f t="shared" si="319"/>
        <v>0.07</v>
      </c>
      <c r="AB345" s="333">
        <f t="shared" si="315"/>
        <v>14</v>
      </c>
      <c r="AC345" s="328">
        <f t="shared" si="316"/>
        <v>52.5</v>
      </c>
      <c r="AD345" s="334">
        <f t="shared" si="317"/>
        <v>10500</v>
      </c>
      <c r="AE345" s="334">
        <f>$AB345*(1-INDEX(项目参数!$D$5:$D$14,MATCH(服务费底表!$S345,项目参数!$B$5:$B$14,0)))</f>
        <v>14</v>
      </c>
      <c r="AF345" s="334">
        <f>$AD345*INDEX(项目参数!$D$5:$D$14,MATCH(服务费底表!$S345,项目参数!$B$5:$B$14,0))</f>
        <v>0</v>
      </c>
      <c r="AG345" s="334">
        <f t="shared" si="320"/>
        <v>10500</v>
      </c>
      <c r="AH345" s="328"/>
      <c r="AI345" s="328" t="s">
        <v>631</v>
      </c>
      <c r="AJ345" s="327">
        <v>0.07</v>
      </c>
      <c r="AK345" s="327">
        <v>0.07</v>
      </c>
      <c r="AL345" s="327">
        <v>0.05</v>
      </c>
      <c r="AM345" s="327">
        <v>0.07</v>
      </c>
      <c r="AN345" s="327">
        <v>0.07</v>
      </c>
      <c r="AO345" s="327">
        <f t="shared" si="318"/>
        <v>0.05</v>
      </c>
      <c r="AP345" s="327">
        <v>0.07</v>
      </c>
      <c r="AQ345" s="327">
        <f t="shared" si="323"/>
        <v>0.105</v>
      </c>
      <c r="AR345" s="338"/>
      <c r="AS345" s="328">
        <f t="shared" si="307"/>
        <v>52.5</v>
      </c>
      <c r="AT345" s="328">
        <f t="shared" si="308"/>
        <v>52.5</v>
      </c>
      <c r="AU345" s="523">
        <v>0.07</v>
      </c>
      <c r="AV345" s="328"/>
      <c r="AW345" s="328"/>
      <c r="AX345" s="332">
        <v>0.07</v>
      </c>
      <c r="AY345" s="328" t="b">
        <f t="shared" si="309"/>
        <v>1</v>
      </c>
      <c r="AZ345" s="328" t="b">
        <f t="shared" si="312"/>
        <v>0</v>
      </c>
    </row>
    <row r="346" ht="27" customHeight="1" spans="1:52">
      <c r="A346" s="326" t="str">
        <f>INDEX('Rate Card'!$A:$A,MATCH(服务费底表!$T346,'Rate Card'!$F:$F,0))</f>
        <v>数统</v>
      </c>
      <c r="B346" s="327" t="str">
        <f>INDEX(二三级标准!$G:$G,MATCH(服务费底表!$K346,二三级标准!B:B,0))</f>
        <v>份</v>
      </c>
      <c r="C346" s="327">
        <f>INDEX(服务费明细!$E:$E,MATCH(服务费底表!$K346,服务费明细!$B:$B,0))</f>
        <v>2</v>
      </c>
      <c r="D346" s="327" t="str">
        <f t="shared" si="313"/>
        <v>A274DM</v>
      </c>
      <c r="E346" s="327" t="str">
        <f t="shared" si="314"/>
        <v>T0789DM</v>
      </c>
      <c r="F346" s="328"/>
      <c r="G346" s="328" t="s">
        <v>684</v>
      </c>
      <c r="H346" s="326" t="str">
        <f>INDEX('Rate Card'!$B:$B,MATCH(服务费底表!$T346,'Rate Card'!$F:$F,0))</f>
        <v>数据管理</v>
      </c>
      <c r="I346" s="328" t="s">
        <v>923</v>
      </c>
      <c r="J346" s="328" t="str">
        <f>INDEX(二三级标准!$Q:$Q,MATCH(服务费底表!I346,二三级标准!$O:$O,0))</f>
        <v>数据管理</v>
      </c>
      <c r="K346" s="328" t="s">
        <v>1057</v>
      </c>
      <c r="L346" s="328" t="str">
        <f>INDEX(二三级标准!C:C,MATCH(服务费底表!K346,二三级标准!$B:$B,0))</f>
        <v>撰写DTA</v>
      </c>
      <c r="M346" s="328" t="s">
        <v>1411</v>
      </c>
      <c r="N346" s="328" t="str">
        <f>INDEX(二三级标准!$M:$M,MATCH(服务费底表!$M346,二三级标准!$L:$L,0))</f>
        <v>撰写DTA</v>
      </c>
      <c r="O346" s="328"/>
      <c r="P346" s="531">
        <f>IF(R346=1,外部数据供应商数,0)</f>
        <v>2</v>
      </c>
      <c r="Q346" s="328" t="s">
        <v>1176</v>
      </c>
      <c r="R346" s="520">
        <f>IF(AND(外部数据一致性核查逻辑说明YN=1,数据管理YN=1),1,0)</f>
        <v>1</v>
      </c>
      <c r="S346" s="524" t="str">
        <f>INDEX('Rate Card'!$D:$D,MATCH(服务费底表!$T346,'Rate Card'!F:F,0))</f>
        <v>数据管理</v>
      </c>
      <c r="T346" s="328" t="s">
        <v>631</v>
      </c>
      <c r="U346" s="522" t="str">
        <f>INDEX('Rate Card'!$E:$E,MATCH(服务费底表!$T346,'Rate Card'!$F:$F,0))</f>
        <v>数据管理专员</v>
      </c>
      <c r="V346" s="331">
        <f>INDEX('Rate Card'!$J:$J,MATCH($T346,'Rate Card'!$F:$F,0))</f>
        <v>200</v>
      </c>
      <c r="W346" s="523">
        <f t="shared" si="321"/>
        <v>200</v>
      </c>
      <c r="X346" s="523">
        <f t="shared" si="322"/>
        <v>3.5</v>
      </c>
      <c r="Y346" s="327" cm="1">
        <f t="array" ref="Y346">_xlfn.IFS(报价场景=服务费底表!$AJ$2,服务费底表!$AJ346,报价场景=服务费底表!$AP$2,服务费底表!$AP346,报价场景=服务费底表!$AK$2,服务费底表!$AK346,报价场景=服务费底表!$AL$2,服务费底表!$AL346,报价场景=服务费底表!$AM$2,服务费底表!$AM346,报价场景=服务费底表!$AN$2,服务费底表!$AN346,报价场景=服务费底表!$AQ$2,服务费底表!$AQ346,报价场景=服务费底表!$AO$2,服务费底表!$AO346)</f>
        <v>3.5</v>
      </c>
      <c r="Z346" s="327"/>
      <c r="AA346" s="332">
        <f t="shared" si="319"/>
        <v>3.5</v>
      </c>
      <c r="AB346" s="333">
        <f t="shared" si="315"/>
        <v>700</v>
      </c>
      <c r="AC346" s="328">
        <f t="shared" si="316"/>
        <v>7</v>
      </c>
      <c r="AD346" s="334">
        <f t="shared" si="317"/>
        <v>1400</v>
      </c>
      <c r="AE346" s="334">
        <f>$AB346*(1-INDEX(项目参数!$D$5:$D$14,MATCH(服务费底表!$S346,项目参数!$B$5:$B$14,0)))</f>
        <v>700</v>
      </c>
      <c r="AF346" s="334">
        <f>$AD346*INDEX(项目参数!$D$5:$D$14,MATCH(服务费底表!$S346,项目参数!$B$5:$B$14,0))</f>
        <v>0</v>
      </c>
      <c r="AG346" s="334">
        <f t="shared" si="320"/>
        <v>1400</v>
      </c>
      <c r="AH346" s="328"/>
      <c r="AI346" s="328" t="s">
        <v>631</v>
      </c>
      <c r="AJ346" s="327">
        <v>3.5</v>
      </c>
      <c r="AK346" s="327">
        <v>4</v>
      </c>
      <c r="AL346" s="327">
        <v>3.5</v>
      </c>
      <c r="AM346" s="327">
        <v>4</v>
      </c>
      <c r="AN346" s="327">
        <v>3.5</v>
      </c>
      <c r="AO346" s="327">
        <f t="shared" si="318"/>
        <v>3.5</v>
      </c>
      <c r="AP346" s="327">
        <v>2</v>
      </c>
      <c r="AQ346" s="327">
        <f t="shared" si="323"/>
        <v>5.25</v>
      </c>
      <c r="AR346" s="338"/>
      <c r="AS346" s="328">
        <f t="shared" si="307"/>
        <v>7</v>
      </c>
      <c r="AT346" s="328">
        <f t="shared" si="308"/>
        <v>7</v>
      </c>
      <c r="AU346" s="523">
        <v>3.5</v>
      </c>
      <c r="AV346" s="328"/>
      <c r="AW346" s="328"/>
      <c r="AX346" s="332">
        <v>3.5</v>
      </c>
      <c r="AY346" s="328" t="b">
        <f t="shared" si="309"/>
        <v>1</v>
      </c>
      <c r="AZ346" s="328" t="b">
        <f t="shared" si="312"/>
        <v>1</v>
      </c>
    </row>
    <row r="347" ht="27" customHeight="1" spans="1:52">
      <c r="A347" s="326" t="str">
        <f>INDEX('Rate Card'!$A:$A,MATCH(服务费底表!$T347,'Rate Card'!$F:$F,0))</f>
        <v>数统</v>
      </c>
      <c r="B347" s="327" t="str">
        <f>INDEX(二三级标准!$G:$G,MATCH(服务费底表!$K347,二三级标准!B:B,0))</f>
        <v>份</v>
      </c>
      <c r="C347" s="327">
        <f>INDEX(服务费明细!$E:$E,MATCH(服务费底表!$K347,服务费明细!$B:$B,0))</f>
        <v>2</v>
      </c>
      <c r="D347" s="327" t="str">
        <f t="shared" si="313"/>
        <v>A274DM</v>
      </c>
      <c r="E347" s="327" t="str">
        <f t="shared" si="314"/>
        <v>T0790DM</v>
      </c>
      <c r="F347" s="328"/>
      <c r="G347" s="328" t="s">
        <v>684</v>
      </c>
      <c r="H347" s="326" t="str">
        <f>INDEX('Rate Card'!$B:$B,MATCH(服务费底表!$T347,'Rate Card'!$F:$F,0))</f>
        <v>数据管理</v>
      </c>
      <c r="I347" s="328" t="s">
        <v>923</v>
      </c>
      <c r="J347" s="328" t="str">
        <f>INDEX(二三级标准!$Q:$Q,MATCH(服务费底表!I347,二三级标准!$O:$O,0))</f>
        <v>数据管理</v>
      </c>
      <c r="K347" s="328" t="s">
        <v>1057</v>
      </c>
      <c r="L347" s="328" t="str">
        <f>INDEX(二三级标准!C:C,MATCH(服务费底表!K347,二三级标准!$B:$B,0))</f>
        <v>撰写DTA</v>
      </c>
      <c r="M347" s="328" t="s">
        <v>1412</v>
      </c>
      <c r="N347" s="328" t="str">
        <f>INDEX(二三级标准!$M:$M,MATCH(服务费底表!$M347,二三级标准!$L:$L,0))</f>
        <v>外部数据一致性核查报表编程说明</v>
      </c>
      <c r="O347" s="328"/>
      <c r="P347" s="531">
        <f>IF(R347=1,外部数据供应商数,0)</f>
        <v>2</v>
      </c>
      <c r="Q347" s="328" t="s">
        <v>1176</v>
      </c>
      <c r="R347" s="520">
        <f>IF(AND(外部数据一致性核查逻辑说明YN=1,数据管理YN=1),1,0)</f>
        <v>1</v>
      </c>
      <c r="S347" s="524" t="str">
        <f>INDEX('Rate Card'!$D:$D,MATCH(服务费底表!$T347,'Rate Card'!F:F,0))</f>
        <v>数据管理</v>
      </c>
      <c r="T347" s="328" t="s">
        <v>631</v>
      </c>
      <c r="U347" s="522" t="str">
        <f>INDEX('Rate Card'!$E:$E,MATCH(服务费底表!$T347,'Rate Card'!$F:$F,0))</f>
        <v>数据管理专员</v>
      </c>
      <c r="V347" s="331">
        <f>INDEX('Rate Card'!$J:$J,MATCH($T347,'Rate Card'!$F:$F,0))</f>
        <v>200</v>
      </c>
      <c r="W347" s="523">
        <f t="shared" si="321"/>
        <v>200</v>
      </c>
      <c r="X347" s="523">
        <f t="shared" si="322"/>
        <v>1</v>
      </c>
      <c r="Y347" s="327" cm="1">
        <f t="array" ref="Y347">_xlfn.IFS(报价场景=服务费底表!$AJ$2,服务费底表!$AJ347,报价场景=服务费底表!$AP$2,服务费底表!$AP347,报价场景=服务费底表!$AK$2,服务费底表!$AK347,报价场景=服务费底表!$AL$2,服务费底表!$AL347,报价场景=服务费底表!$AM$2,服务费底表!$AM347,报价场景=服务费底表!$AN$2,服务费底表!$AN347,报价场景=服务费底表!$AQ$2,服务费底表!$AQ347,报价场景=服务费底表!$AO$2,服务费底表!$AO347)</f>
        <v>1</v>
      </c>
      <c r="Z347" s="327"/>
      <c r="AA347" s="332">
        <f t="shared" si="319"/>
        <v>1</v>
      </c>
      <c r="AB347" s="333">
        <f t="shared" si="315"/>
        <v>200</v>
      </c>
      <c r="AC347" s="328">
        <f t="shared" si="316"/>
        <v>2</v>
      </c>
      <c r="AD347" s="334">
        <f t="shared" si="317"/>
        <v>400</v>
      </c>
      <c r="AE347" s="334">
        <f>$AB347*(1-INDEX(项目参数!$D$5:$D$14,MATCH(服务费底表!$S347,项目参数!$B$5:$B$14,0)))</f>
        <v>200</v>
      </c>
      <c r="AF347" s="334">
        <f>$AD347*INDEX(项目参数!$D$5:$D$14,MATCH(服务费底表!$S347,项目参数!$B$5:$B$14,0))</f>
        <v>0</v>
      </c>
      <c r="AG347" s="334">
        <f t="shared" si="320"/>
        <v>400</v>
      </c>
      <c r="AH347" s="328"/>
      <c r="AI347" s="328" t="s">
        <v>631</v>
      </c>
      <c r="AJ347" s="327">
        <v>1</v>
      </c>
      <c r="AK347" s="327">
        <v>1</v>
      </c>
      <c r="AL347" s="327">
        <v>1</v>
      </c>
      <c r="AM347" s="327">
        <v>1</v>
      </c>
      <c r="AN347" s="327">
        <v>1</v>
      </c>
      <c r="AO347" s="327">
        <f t="shared" si="318"/>
        <v>1</v>
      </c>
      <c r="AP347" s="327">
        <v>1</v>
      </c>
      <c r="AQ347" s="327">
        <f t="shared" si="323"/>
        <v>1.5</v>
      </c>
      <c r="AR347" s="338"/>
      <c r="AS347" s="328">
        <f t="shared" si="307"/>
        <v>2</v>
      </c>
      <c r="AT347" s="328">
        <f t="shared" si="308"/>
        <v>2</v>
      </c>
      <c r="AU347" s="523">
        <v>1</v>
      </c>
      <c r="AV347" s="328"/>
      <c r="AW347" s="328"/>
      <c r="AX347" s="332">
        <v>1</v>
      </c>
      <c r="AY347" s="328" t="b">
        <f t="shared" si="309"/>
        <v>1</v>
      </c>
      <c r="AZ347" s="328" t="b">
        <f t="shared" si="312"/>
        <v>1</v>
      </c>
    </row>
    <row r="348" ht="27" customHeight="1" spans="1:52">
      <c r="A348" s="326" t="str">
        <f>INDEX('Rate Card'!$A:$A,MATCH(服务费底表!$T348,'Rate Card'!$F:$F,0))</f>
        <v>数统</v>
      </c>
      <c r="B348" s="327" t="str">
        <f>INDEX(二三级标准!$G:$G,MATCH(服务费底表!$K348,二三级标准!B:B,0))</f>
        <v>份</v>
      </c>
      <c r="C348" s="327">
        <f>INDEX(服务费明细!$E:$E,MATCH(服务费底表!$K348,服务费明细!$B:$B,0))</f>
        <v>2</v>
      </c>
      <c r="D348" s="327" t="str">
        <f t="shared" si="313"/>
        <v>A274SAM</v>
      </c>
      <c r="E348" s="327" t="str">
        <f t="shared" si="314"/>
        <v>T0252aSAM</v>
      </c>
      <c r="F348" s="328"/>
      <c r="G348" s="328" t="s">
        <v>684</v>
      </c>
      <c r="H348" s="326" t="str">
        <f>INDEX('Rate Card'!$B:$B,MATCH(服务费底表!$T348,'Rate Card'!$F:$F,0))</f>
        <v>生物统计及分析</v>
      </c>
      <c r="I348" s="328" t="s">
        <v>923</v>
      </c>
      <c r="J348" s="328" t="str">
        <f>INDEX(二三级标准!$Q:$Q,MATCH(服务费底表!I348,二三级标准!$O:$O,0))</f>
        <v>数据管理</v>
      </c>
      <c r="K348" s="328" t="s">
        <v>1057</v>
      </c>
      <c r="L348" s="328" t="str">
        <f>INDEX(二三级标准!C:C,MATCH(服务费底表!K348,二三级标准!$B:$B,0))</f>
        <v>撰写DTA</v>
      </c>
      <c r="M348" s="328" t="s">
        <v>1413</v>
      </c>
      <c r="N348" s="328" t="str">
        <f>INDEX(二三级标准!$M:$M,MATCH(服务费底表!$M348,二三级标准!$L:$L,0))</f>
        <v>DTA审核和传输测试</v>
      </c>
      <c r="O348" s="328"/>
      <c r="P348" s="531">
        <f>IF(R348=1,外部数据供应商数,0)</f>
        <v>2</v>
      </c>
      <c r="Q348" s="328" t="s">
        <v>1176</v>
      </c>
      <c r="R348" s="520">
        <f>IF(AND(外部数据一致性核查逻辑说明YN=1,统计分析YN=1),1,0)</f>
        <v>1</v>
      </c>
      <c r="S348" s="524" t="str">
        <f>INDEX('Rate Card'!$D:$D,MATCH(服务费底表!$T348,'Rate Card'!F:F,0))</f>
        <v>统计分析</v>
      </c>
      <c r="T348" s="328" t="s">
        <v>638</v>
      </c>
      <c r="U348" s="522" t="str">
        <f>INDEX('Rate Card'!$E:$E,MATCH(服务费底表!$T348,'Rate Card'!$F:$F,0))</f>
        <v>统计分析经理</v>
      </c>
      <c r="V348" s="331">
        <f>INDEX('Rate Card'!$J:$J,MATCH($T348,'Rate Card'!$F:$F,0))</f>
        <v>450</v>
      </c>
      <c r="W348" s="523">
        <f t="shared" si="321"/>
        <v>450</v>
      </c>
      <c r="X348" s="523">
        <f t="shared" si="322"/>
        <v>0.5</v>
      </c>
      <c r="Y348" s="327" cm="1">
        <f t="array" ref="Y348">_xlfn.IFS(报价场景=服务费底表!$AJ$2,服务费底表!$AJ348,报价场景=服务费底表!$AP$2,服务费底表!$AP348,报价场景=服务费底表!$AK$2,服务费底表!$AK348,报价场景=服务费底表!$AL$2,服务费底表!$AL348,报价场景=服务费底表!$AM$2,服务费底表!$AM348,报价场景=服务费底表!$AN$2,服务费底表!$AN348,报价场景=服务费底表!$AQ$2,服务费底表!$AQ348,报价场景=服务费底表!$AO$2,服务费底表!$AO348)</f>
        <v>0.5</v>
      </c>
      <c r="Z348" s="327"/>
      <c r="AA348" s="332">
        <f t="shared" si="319"/>
        <v>0.5</v>
      </c>
      <c r="AB348" s="333">
        <f t="shared" si="315"/>
        <v>225</v>
      </c>
      <c r="AC348" s="328">
        <f t="shared" si="316"/>
        <v>1</v>
      </c>
      <c r="AD348" s="334">
        <f t="shared" si="317"/>
        <v>450</v>
      </c>
      <c r="AE348" s="334">
        <f>$AB348*(1-INDEX(项目参数!$D$5:$D$14,MATCH(服务费底表!$S348,项目参数!$B$5:$B$14,0)))</f>
        <v>225</v>
      </c>
      <c r="AF348" s="334">
        <f>$AD348*INDEX(项目参数!$D$5:$D$14,MATCH(服务费底表!$S348,项目参数!$B$5:$B$14,0))</f>
        <v>0</v>
      </c>
      <c r="AG348" s="334">
        <f t="shared" si="320"/>
        <v>450</v>
      </c>
      <c r="AH348" s="328"/>
      <c r="AI348" s="328" t="s">
        <v>638</v>
      </c>
      <c r="AJ348" s="327">
        <v>0.5</v>
      </c>
      <c r="AK348" s="327">
        <v>1</v>
      </c>
      <c r="AL348" s="327">
        <v>0.5</v>
      </c>
      <c r="AM348" s="327">
        <v>1</v>
      </c>
      <c r="AN348" s="327">
        <v>0.5</v>
      </c>
      <c r="AO348" s="327">
        <f t="shared" si="318"/>
        <v>0.5</v>
      </c>
      <c r="AP348" s="327">
        <v>0.5</v>
      </c>
      <c r="AQ348" s="327">
        <f t="shared" si="323"/>
        <v>0.75</v>
      </c>
      <c r="AR348" s="338"/>
      <c r="AS348" s="328">
        <f t="shared" si="307"/>
        <v>1</v>
      </c>
      <c r="AT348" s="328">
        <f t="shared" si="308"/>
        <v>1</v>
      </c>
      <c r="AU348" s="523">
        <v>0.5</v>
      </c>
      <c r="AV348" s="328"/>
      <c r="AW348" s="328"/>
      <c r="AX348" s="332">
        <v>0.5</v>
      </c>
      <c r="AY348" s="328" t="b">
        <f t="shared" si="309"/>
        <v>1</v>
      </c>
      <c r="AZ348" s="328" t="b">
        <f t="shared" si="312"/>
        <v>1</v>
      </c>
    </row>
    <row r="349" ht="27" customHeight="1" spans="1:52">
      <c r="A349" s="326" t="str">
        <f>INDEX('Rate Card'!$A:$A,MATCH(服务费底表!$T349,'Rate Card'!$F:$F,0))</f>
        <v>数统</v>
      </c>
      <c r="B349" s="327" t="str">
        <f>INDEX(二三级标准!$G:$G,MATCH(服务费底表!$K349,二三级标准!B:B,0))</f>
        <v>次</v>
      </c>
      <c r="C349" s="327">
        <f>INDEX(服务费明细!$E:$E,MATCH(服务费底表!$K349,服务费明细!$B:$B,0))</f>
        <v>10</v>
      </c>
      <c r="D349" s="327" t="str">
        <f t="shared" si="313"/>
        <v>A092DM</v>
      </c>
      <c r="E349" s="327" t="str">
        <f t="shared" si="314"/>
        <v>T0256aDM</v>
      </c>
      <c r="F349" s="328"/>
      <c r="G349" s="328" t="s">
        <v>684</v>
      </c>
      <c r="H349" s="326" t="str">
        <f>INDEX('Rate Card'!$B:$B,MATCH(服务费底表!$T349,'Rate Card'!$F:$F,0))</f>
        <v>数据管理</v>
      </c>
      <c r="I349" s="328" t="s">
        <v>923</v>
      </c>
      <c r="J349" s="328" t="str">
        <f>INDEX(二三级标准!$Q:$Q,MATCH(服务费底表!I349,二三级标准!$O:$O,0))</f>
        <v>数据管理</v>
      </c>
      <c r="K349" s="328" t="s">
        <v>289</v>
      </c>
      <c r="L349" s="328" t="str">
        <f>INDEX(二三级标准!C:C,MATCH(服务费底表!K349,二三级标准!$B:$B,0))</f>
        <v>核查外部数据一致性</v>
      </c>
      <c r="M349" s="328" t="s">
        <v>1414</v>
      </c>
      <c r="N349" s="328" t="str">
        <f>INDEX(二三级标准!$M:$M,MATCH(服务费底表!$M349,二三级标准!$L:$L,0))</f>
        <v>外部数据一致性核查报表运行和审核</v>
      </c>
      <c r="O349" s="328"/>
      <c r="P349" s="531">
        <f>IF(R349=1,INDEX(服务费明细!$E:$E,MATCH(服务费底表!$K349,服务费明细!$B:$B,0)),0)</f>
        <v>10</v>
      </c>
      <c r="Q349" s="328" t="s">
        <v>1178</v>
      </c>
      <c r="R349" s="520">
        <f>IF(AND(核查外部数据一致性YN=1,数据管理YN=1),1,0)</f>
        <v>1</v>
      </c>
      <c r="S349" s="524" t="str">
        <f>INDEX('Rate Card'!$D:$D,MATCH(服务费底表!$T349,'Rate Card'!F:F,0))</f>
        <v>数据管理</v>
      </c>
      <c r="T349" s="328" t="s">
        <v>631</v>
      </c>
      <c r="U349" s="522" t="str">
        <f>INDEX('Rate Card'!$E:$E,MATCH(服务费底表!$T349,'Rate Card'!$F:$F,0))</f>
        <v>数据管理专员</v>
      </c>
      <c r="V349" s="331">
        <f>INDEX('Rate Card'!$J:$J,MATCH($T349,'Rate Card'!$F:$F,0))</f>
        <v>200</v>
      </c>
      <c r="W349" s="523">
        <f t="shared" si="321"/>
        <v>200</v>
      </c>
      <c r="X349" s="523">
        <f t="shared" si="322"/>
        <v>1</v>
      </c>
      <c r="Y349" s="327" cm="1">
        <f t="array" ref="Y349">_xlfn.IFS(报价场景=服务费底表!$AJ$2,服务费底表!$AJ349,报价场景=服务费底表!$AP$2,服务费底表!$AP349,报价场景=服务费底表!$AK$2,服务费底表!$AK349,报价场景=服务费底表!$AL$2,服务费底表!$AL349,报价场景=服务费底表!$AM$2,服务费底表!$AM349,报价场景=服务费底表!$AN$2,服务费底表!$AN349,报价场景=服务费底表!$AQ$2,服务费底表!$AQ349,报价场景=服务费底表!$AO$2,服务费底表!$AO349)</f>
        <v>1</v>
      </c>
      <c r="Z349" s="327"/>
      <c r="AA349" s="332">
        <f t="shared" si="319"/>
        <v>1</v>
      </c>
      <c r="AB349" s="333">
        <f t="shared" si="315"/>
        <v>200</v>
      </c>
      <c r="AC349" s="328">
        <f t="shared" si="316"/>
        <v>10</v>
      </c>
      <c r="AD349" s="334">
        <f t="shared" si="317"/>
        <v>2000</v>
      </c>
      <c r="AE349" s="334">
        <f>$AB349*(1-INDEX(项目参数!$D$5:$D$14,MATCH(服务费底表!$S349,项目参数!$B$5:$B$14,0)))</f>
        <v>200</v>
      </c>
      <c r="AF349" s="334">
        <f>$AD349*INDEX(项目参数!$D$5:$D$14,MATCH(服务费底表!$S349,项目参数!$B$5:$B$14,0))</f>
        <v>0</v>
      </c>
      <c r="AG349" s="334">
        <f t="shared" si="320"/>
        <v>2000</v>
      </c>
      <c r="AH349" s="328"/>
      <c r="AI349" s="328" t="s">
        <v>631</v>
      </c>
      <c r="AJ349" s="327">
        <v>1</v>
      </c>
      <c r="AK349" s="327">
        <v>1</v>
      </c>
      <c r="AL349" s="327">
        <v>1</v>
      </c>
      <c r="AM349" s="327">
        <v>1</v>
      </c>
      <c r="AN349" s="327">
        <v>1</v>
      </c>
      <c r="AO349" s="327">
        <f t="shared" si="318"/>
        <v>1</v>
      </c>
      <c r="AP349" s="327">
        <v>1</v>
      </c>
      <c r="AQ349" s="327">
        <f t="shared" si="323"/>
        <v>1.5</v>
      </c>
      <c r="AR349" s="338"/>
      <c r="AS349" s="328">
        <f t="shared" si="307"/>
        <v>10</v>
      </c>
      <c r="AT349" s="328">
        <f t="shared" si="308"/>
        <v>10</v>
      </c>
      <c r="AU349" s="523">
        <v>1</v>
      </c>
      <c r="AV349" s="328"/>
      <c r="AW349" s="328"/>
      <c r="AX349" s="332">
        <v>1</v>
      </c>
      <c r="AY349" s="328" t="b">
        <f t="shared" si="309"/>
        <v>1</v>
      </c>
      <c r="AZ349" s="328" t="b">
        <f t="shared" si="312"/>
        <v>0</v>
      </c>
    </row>
    <row r="350" ht="27" customHeight="1" spans="1:52">
      <c r="A350" s="326" t="str">
        <f>INDEX('Rate Card'!$A:$A,MATCH(服务费底表!$T350,'Rate Card'!$F:$F,0))</f>
        <v>数统</v>
      </c>
      <c r="B350" s="327" t="str">
        <f>INDEX(二三级标准!$G:$G,MATCH(服务费底表!$K350,二三级标准!B:B,0))</f>
        <v>条</v>
      </c>
      <c r="C350" s="327">
        <f>INDEX(服务费明细!$E:$E,MATCH(服务费底表!$K350,服务费明细!$B:$B,0))</f>
        <v>240</v>
      </c>
      <c r="D350" s="327" t="str">
        <f t="shared" si="313"/>
        <v>A253DM</v>
      </c>
      <c r="E350" s="327" t="str">
        <f t="shared" si="314"/>
        <v>T0727DM</v>
      </c>
      <c r="F350" s="328"/>
      <c r="G350" s="328" t="s">
        <v>684</v>
      </c>
      <c r="H350" s="326" t="str">
        <f>INDEX('Rate Card'!$B:$B,MATCH(服务费底表!$T350,'Rate Card'!$F:$F,0))</f>
        <v>数据管理</v>
      </c>
      <c r="I350" s="328" t="s">
        <v>923</v>
      </c>
      <c r="J350" s="328" t="str">
        <f>INDEX(二三级标准!$Q:$Q,MATCH(服务费底表!I350,二三级标准!$O:$O,0))</f>
        <v>数据管理</v>
      </c>
      <c r="K350" s="328" t="s">
        <v>1060</v>
      </c>
      <c r="L350" s="328" t="str">
        <f>INDEX(二三级标准!C:C,MATCH(服务费底表!K350,二三级标准!$B:$B,0))</f>
        <v>医学编码MedDRA</v>
      </c>
      <c r="M350" s="328" t="s">
        <v>1415</v>
      </c>
      <c r="N350" s="328" t="str">
        <f>INDEX(二三级标准!$M:$M,MATCH(服务费底表!$M350,二三级标准!$L:$L,0))</f>
        <v>MedDRA编码</v>
      </c>
      <c r="O350" s="328"/>
      <c r="P350" s="531">
        <f>IF(R350=1,INDEX(服务费明细!$E:$E,MATCH(服务费底表!$K350,服务费明细!$B:$B,0)),0)</f>
        <v>240</v>
      </c>
      <c r="Q350" s="328" t="s">
        <v>1380</v>
      </c>
      <c r="R350" s="520">
        <f>IF(AND(实施医学编码YN=1,数据管理YN=1),1,0)</f>
        <v>1</v>
      </c>
      <c r="S350" s="524" t="str">
        <f>INDEX('Rate Card'!$D:$D,MATCH(服务费底表!$T350,'Rate Card'!F:F,0))</f>
        <v>数据管理</v>
      </c>
      <c r="T350" s="328" t="s">
        <v>631</v>
      </c>
      <c r="U350" s="522" t="str">
        <f>INDEX('Rate Card'!$E:$E,MATCH(服务费底表!$T350,'Rate Card'!$F:$F,0))</f>
        <v>数据管理专员</v>
      </c>
      <c r="V350" s="331">
        <f>INDEX('Rate Card'!$J:$J,MATCH($T350,'Rate Card'!$F:$F,0))</f>
        <v>200</v>
      </c>
      <c r="W350" s="523">
        <f t="shared" si="321"/>
        <v>200</v>
      </c>
      <c r="X350" s="523">
        <f t="shared" si="322"/>
        <v>0.03</v>
      </c>
      <c r="Y350" s="327" cm="1">
        <f t="array" ref="Y350">_xlfn.IFS(报价场景=服务费底表!$AJ$2,服务费底表!$AJ350,报价场景=服务费底表!$AP$2,服务费底表!$AP350,报价场景=服务费底表!$AK$2,服务费底表!$AK350,报价场景=服务费底表!$AL$2,服务费底表!$AL350,报价场景=服务费底表!$AM$2,服务费底表!$AM350,报价场景=服务费底表!$AN$2,服务费底表!$AN350,报价场景=服务费底表!$AQ$2,服务费底表!$AQ350,报价场景=服务费底表!$AO$2,服务费底表!$AO350)</f>
        <v>0.03</v>
      </c>
      <c r="Z350" s="327"/>
      <c r="AA350" s="332">
        <f t="shared" si="319"/>
        <v>0.03</v>
      </c>
      <c r="AB350" s="333">
        <f t="shared" si="315"/>
        <v>6</v>
      </c>
      <c r="AC350" s="328">
        <f t="shared" si="316"/>
        <v>7.2</v>
      </c>
      <c r="AD350" s="334">
        <f t="shared" si="317"/>
        <v>1440</v>
      </c>
      <c r="AE350" s="334">
        <f>$AB350*(1-INDEX(项目参数!$D$5:$D$14,MATCH(服务费底表!$S350,项目参数!$B$5:$B$14,0)))</f>
        <v>6</v>
      </c>
      <c r="AF350" s="334">
        <f>$AD350*INDEX(项目参数!$D$5:$D$14,MATCH(服务费底表!$S350,项目参数!$B$5:$B$14,0))</f>
        <v>0</v>
      </c>
      <c r="AG350" s="334">
        <f t="shared" si="320"/>
        <v>1440</v>
      </c>
      <c r="AH350" s="328"/>
      <c r="AI350" s="328" t="s">
        <v>631</v>
      </c>
      <c r="AJ350" s="327">
        <v>0.03</v>
      </c>
      <c r="AK350" s="327">
        <v>0.03</v>
      </c>
      <c r="AL350" s="327">
        <v>0.03</v>
      </c>
      <c r="AM350" s="327">
        <v>0.02</v>
      </c>
      <c r="AN350" s="327">
        <v>0.03</v>
      </c>
      <c r="AO350" s="327">
        <f t="shared" si="318"/>
        <v>0.03</v>
      </c>
      <c r="AP350" s="327">
        <v>0.03</v>
      </c>
      <c r="AQ350" s="327">
        <f t="shared" si="323"/>
        <v>0.045</v>
      </c>
      <c r="AR350" s="338"/>
      <c r="AS350" s="328">
        <f t="shared" si="307"/>
        <v>7.2</v>
      </c>
      <c r="AT350" s="328">
        <f t="shared" si="308"/>
        <v>7.2</v>
      </c>
      <c r="AU350" s="523">
        <v>0.03</v>
      </c>
      <c r="AV350" s="328"/>
      <c r="AW350" s="328"/>
      <c r="AX350" s="332">
        <v>0.03</v>
      </c>
      <c r="AY350" s="328" t="b">
        <f t="shared" si="309"/>
        <v>1</v>
      </c>
      <c r="AZ350" s="328" t="b">
        <f t="shared" si="312"/>
        <v>1</v>
      </c>
    </row>
    <row r="351" ht="27" customHeight="1" spans="1:52">
      <c r="A351" s="326" t="str">
        <f>INDEX('Rate Card'!$A:$A,MATCH(服务费底表!$T351,'Rate Card'!$F:$F,0))</f>
        <v>数统</v>
      </c>
      <c r="B351" s="327" t="str">
        <f>INDEX(二三级标准!$G:$G,MATCH(服务费底表!$K351,二三级标准!B:B,0))</f>
        <v>条</v>
      </c>
      <c r="C351" s="327">
        <f>INDEX(服务费明细!$E:$E,MATCH(服务费底表!$K351,服务费明细!$B:$B,0))</f>
        <v>240</v>
      </c>
      <c r="D351" s="327" t="str">
        <f t="shared" si="313"/>
        <v>A253DM</v>
      </c>
      <c r="E351" s="327" t="str">
        <f t="shared" si="314"/>
        <v>T0728DM</v>
      </c>
      <c r="F351" s="328"/>
      <c r="G351" s="328" t="s">
        <v>684</v>
      </c>
      <c r="H351" s="326" t="str">
        <f>INDEX('Rate Card'!$B:$B,MATCH(服务费底表!$T351,'Rate Card'!$F:$F,0))</f>
        <v>数据管理</v>
      </c>
      <c r="I351" s="328" t="s">
        <v>923</v>
      </c>
      <c r="J351" s="328" t="str">
        <f>INDEX(二三级标准!$Q:$Q,MATCH(服务费底表!I351,二三级标准!$O:$O,0))</f>
        <v>数据管理</v>
      </c>
      <c r="K351" s="328" t="s">
        <v>1060</v>
      </c>
      <c r="L351" s="328" t="str">
        <f>INDEX(二三级标准!C:C,MATCH(服务费底表!K351,二三级标准!$B:$B,0))</f>
        <v>医学编码MedDRA</v>
      </c>
      <c r="M351" s="328" t="s">
        <v>1416</v>
      </c>
      <c r="N351" s="328" t="str">
        <f>INDEX(二三级标准!$M:$M,MATCH(服务费底表!$M351,二三级标准!$L:$L,0))</f>
        <v>MedDRA质控</v>
      </c>
      <c r="O351" s="328"/>
      <c r="P351" s="531">
        <f>IF(R351=1,INDEX(服务费明细!$E:$E,MATCH(服务费底表!$K351,服务费明细!$B:$B,0)),0)</f>
        <v>240</v>
      </c>
      <c r="Q351" s="328" t="s">
        <v>1380</v>
      </c>
      <c r="R351" s="520">
        <f>IF(AND(实施医学编码YN=1,数据管理YN=1),1,0)</f>
        <v>1</v>
      </c>
      <c r="S351" s="524" t="str">
        <f>INDEX('Rate Card'!$D:$D,MATCH(服务费底表!$T351,'Rate Card'!F:F,0))</f>
        <v>数据管理</v>
      </c>
      <c r="T351" s="328" t="s">
        <v>631</v>
      </c>
      <c r="U351" s="522" t="str">
        <f>INDEX('Rate Card'!$E:$E,MATCH(服务费底表!$T351,'Rate Card'!$F:$F,0))</f>
        <v>数据管理专员</v>
      </c>
      <c r="V351" s="331">
        <f>INDEX('Rate Card'!$J:$J,MATCH($T351,'Rate Card'!$F:$F,0))</f>
        <v>200</v>
      </c>
      <c r="W351" s="523">
        <f t="shared" si="321"/>
        <v>200</v>
      </c>
      <c r="X351" s="523">
        <f t="shared" si="322"/>
        <v>0.08</v>
      </c>
      <c r="Y351" s="327" cm="1">
        <f t="array" ref="Y351">_xlfn.IFS(报价场景=服务费底表!$AJ$2,服务费底表!$AJ351,报价场景=服务费底表!$AP$2,服务费底表!$AP351,报价场景=服务费底表!$AK$2,服务费底表!$AK351,报价场景=服务费底表!$AL$2,服务费底表!$AL351,报价场景=服务费底表!$AM$2,服务费底表!$AM351,报价场景=服务费底表!$AN$2,服务费底表!$AN351,报价场景=服务费底表!$AQ$2,服务费底表!$AQ351,报价场景=服务费底表!$AO$2,服务费底表!$AO351)</f>
        <v>0.08</v>
      </c>
      <c r="Z351" s="327"/>
      <c r="AA351" s="332">
        <f t="shared" si="319"/>
        <v>0.08</v>
      </c>
      <c r="AB351" s="333">
        <f t="shared" si="315"/>
        <v>16</v>
      </c>
      <c r="AC351" s="328">
        <f t="shared" si="316"/>
        <v>19.2</v>
      </c>
      <c r="AD351" s="334">
        <f t="shared" si="317"/>
        <v>3840</v>
      </c>
      <c r="AE351" s="334">
        <f>$AB351*(1-INDEX(项目参数!$D$5:$D$14,MATCH(服务费底表!$S351,项目参数!$B$5:$B$14,0)))</f>
        <v>16</v>
      </c>
      <c r="AF351" s="334">
        <f>$AD351*INDEX(项目参数!$D$5:$D$14,MATCH(服务费底表!$S351,项目参数!$B$5:$B$14,0))</f>
        <v>0</v>
      </c>
      <c r="AG351" s="334">
        <f t="shared" si="320"/>
        <v>3840</v>
      </c>
      <c r="AH351" s="328"/>
      <c r="AI351" s="328" t="s">
        <v>631</v>
      </c>
      <c r="AJ351" s="327">
        <v>0.08</v>
      </c>
      <c r="AK351" s="327">
        <v>0.05</v>
      </c>
      <c r="AL351" s="327">
        <v>0.05</v>
      </c>
      <c r="AM351" s="327">
        <v>0.03</v>
      </c>
      <c r="AN351" s="327">
        <v>0.08</v>
      </c>
      <c r="AO351" s="327">
        <f t="shared" si="318"/>
        <v>0.05</v>
      </c>
      <c r="AP351" s="327">
        <v>0.08</v>
      </c>
      <c r="AQ351" s="327">
        <f t="shared" si="323"/>
        <v>0.12</v>
      </c>
      <c r="AR351" s="338"/>
      <c r="AS351" s="328">
        <f t="shared" si="307"/>
        <v>19.2</v>
      </c>
      <c r="AT351" s="328">
        <f t="shared" si="308"/>
        <v>19.2</v>
      </c>
      <c r="AU351" s="523">
        <v>0.08</v>
      </c>
      <c r="AV351" s="328"/>
      <c r="AW351" s="328"/>
      <c r="AX351" s="332">
        <v>0.08</v>
      </c>
      <c r="AY351" s="328" t="b">
        <f t="shared" si="309"/>
        <v>1</v>
      </c>
      <c r="AZ351" s="328" t="b">
        <f t="shared" si="312"/>
        <v>1</v>
      </c>
    </row>
    <row r="352" ht="27" customHeight="1" spans="1:52">
      <c r="A352" s="326" t="str">
        <f>INDEX('Rate Card'!$A:$A,MATCH(服务费底表!$T352,'Rate Card'!$F:$F,0))</f>
        <v>数统</v>
      </c>
      <c r="B352" s="327" t="str">
        <f>INDEX(二三级标准!$G:$G,MATCH(服务费底表!$K352,二三级标准!B:B,0))</f>
        <v>条</v>
      </c>
      <c r="C352" s="327">
        <f>INDEX(服务费明细!$E:$E,MATCH(服务费底表!$K352,服务费明细!$B:$B,0))</f>
        <v>300</v>
      </c>
      <c r="D352" s="327" t="str">
        <f t="shared" si="313"/>
        <v>A254DM</v>
      </c>
      <c r="E352" s="327" t="str">
        <f t="shared" si="314"/>
        <v>T0731DM</v>
      </c>
      <c r="F352" s="328"/>
      <c r="G352" s="328" t="s">
        <v>684</v>
      </c>
      <c r="H352" s="326" t="str">
        <f>INDEX('Rate Card'!$B:$B,MATCH(服务费底表!$T352,'Rate Card'!$F:$F,0))</f>
        <v>数据管理</v>
      </c>
      <c r="I352" s="328" t="s">
        <v>923</v>
      </c>
      <c r="J352" s="328" t="str">
        <f>INDEX(二三级标准!$Q:$Q,MATCH(服务费底表!I352,二三级标准!$O:$O,0))</f>
        <v>数据管理</v>
      </c>
      <c r="K352" s="328" t="s">
        <v>1061</v>
      </c>
      <c r="L352" s="328" t="str">
        <f>INDEX(二三级标准!C:C,MATCH(服务费底表!K352,二三级标准!$B:$B,0))</f>
        <v>药物编码WHODrug</v>
      </c>
      <c r="M352" s="328" t="s">
        <v>1417</v>
      </c>
      <c r="N352" s="328" t="str">
        <f>INDEX(二三级标准!$M:$M,MATCH(服务费底表!$M352,二三级标准!$L:$L,0))</f>
        <v>WHODrug编码</v>
      </c>
      <c r="O352" s="328"/>
      <c r="P352" s="531">
        <f>IF(R352=1,INDEX(服务费明细!$E:$E,MATCH(服务费底表!$K352,服务费明细!$B:$B,0)),0)</f>
        <v>300</v>
      </c>
      <c r="Q352" s="328" t="s">
        <v>1380</v>
      </c>
      <c r="R352" s="520">
        <f>IF(AND(实施医学编码YN=1,数据管理YN=1),1,0)</f>
        <v>1</v>
      </c>
      <c r="S352" s="524" t="str">
        <f>INDEX('Rate Card'!$D:$D,MATCH(服务费底表!$T352,'Rate Card'!F:F,0))</f>
        <v>数据管理</v>
      </c>
      <c r="T352" s="328" t="s">
        <v>631</v>
      </c>
      <c r="U352" s="522" t="str">
        <f>INDEX('Rate Card'!$E:$E,MATCH(服务费底表!$T352,'Rate Card'!$F:$F,0))</f>
        <v>数据管理专员</v>
      </c>
      <c r="V352" s="331">
        <f>INDEX('Rate Card'!$J:$J,MATCH($T352,'Rate Card'!$F:$F,0))</f>
        <v>200</v>
      </c>
      <c r="W352" s="523">
        <f t="shared" si="321"/>
        <v>200</v>
      </c>
      <c r="X352" s="523">
        <f t="shared" si="322"/>
        <v>0.08</v>
      </c>
      <c r="Y352" s="327" cm="1">
        <f t="array" ref="Y352">_xlfn.IFS(报价场景=服务费底表!$AJ$2,服务费底表!$AJ352,报价场景=服务费底表!$AP$2,服务费底表!$AP352,报价场景=服务费底表!$AK$2,服务费底表!$AK352,报价场景=服务费底表!$AL$2,服务费底表!$AL352,报价场景=服务费底表!$AM$2,服务费底表!$AM352,报价场景=服务费底表!$AN$2,服务费底表!$AN352,报价场景=服务费底表!$AQ$2,服务费底表!$AQ352,报价场景=服务费底表!$AO$2,服务费底表!$AO352)</f>
        <v>0.08</v>
      </c>
      <c r="Z352" s="327"/>
      <c r="AA352" s="332">
        <f t="shared" si="319"/>
        <v>0.08</v>
      </c>
      <c r="AB352" s="333">
        <f t="shared" si="315"/>
        <v>16</v>
      </c>
      <c r="AC352" s="328">
        <f t="shared" si="316"/>
        <v>24</v>
      </c>
      <c r="AD352" s="334">
        <f t="shared" si="317"/>
        <v>4800</v>
      </c>
      <c r="AE352" s="334">
        <f>$AB352*(1-INDEX(项目参数!$D$5:$D$14,MATCH(服务费底表!$S352,项目参数!$B$5:$B$14,0)))</f>
        <v>16</v>
      </c>
      <c r="AF352" s="334">
        <f>$AD352*INDEX(项目参数!$D$5:$D$14,MATCH(服务费底表!$S352,项目参数!$B$5:$B$14,0))</f>
        <v>0</v>
      </c>
      <c r="AG352" s="334">
        <f t="shared" si="320"/>
        <v>4800</v>
      </c>
      <c r="AH352" s="328"/>
      <c r="AI352" s="328" t="s">
        <v>631</v>
      </c>
      <c r="AJ352" s="327">
        <v>0.08</v>
      </c>
      <c r="AK352" s="327">
        <v>0.08</v>
      </c>
      <c r="AL352" s="327">
        <v>0.05</v>
      </c>
      <c r="AM352" s="327">
        <v>0.06</v>
      </c>
      <c r="AN352" s="327">
        <v>0.08</v>
      </c>
      <c r="AO352" s="327">
        <f t="shared" si="318"/>
        <v>0.05</v>
      </c>
      <c r="AP352" s="327">
        <v>0.08</v>
      </c>
      <c r="AQ352" s="327">
        <f t="shared" si="323"/>
        <v>0.12</v>
      </c>
      <c r="AR352" s="338"/>
      <c r="AS352" s="328">
        <f t="shared" si="307"/>
        <v>24</v>
      </c>
      <c r="AT352" s="328">
        <f t="shared" si="308"/>
        <v>24</v>
      </c>
      <c r="AU352" s="523">
        <v>0.08</v>
      </c>
      <c r="AV352" s="328"/>
      <c r="AW352" s="328"/>
      <c r="AX352" s="332">
        <v>0.08</v>
      </c>
      <c r="AY352" s="328" t="b">
        <f t="shared" si="309"/>
        <v>1</v>
      </c>
      <c r="AZ352" s="328" t="b">
        <f t="shared" si="312"/>
        <v>0</v>
      </c>
    </row>
    <row r="353" ht="27" customHeight="1" spans="1:52">
      <c r="A353" s="326" t="str">
        <f>INDEX('Rate Card'!$A:$A,MATCH(服务费底表!$T353,'Rate Card'!$F:$F,0))</f>
        <v>数统</v>
      </c>
      <c r="B353" s="327" t="str">
        <f>INDEX(二三级标准!$G:$G,MATCH(服务费底表!$K353,二三级标准!B:B,0))</f>
        <v>条</v>
      </c>
      <c r="C353" s="327">
        <f>INDEX(服务费明细!$E:$E,MATCH(服务费底表!$K353,服务费明细!$B:$B,0))</f>
        <v>300</v>
      </c>
      <c r="D353" s="327" t="str">
        <f t="shared" si="313"/>
        <v>A254DM</v>
      </c>
      <c r="E353" s="327" t="str">
        <f t="shared" si="314"/>
        <v>T0732DM</v>
      </c>
      <c r="F353" s="328"/>
      <c r="G353" s="328" t="s">
        <v>684</v>
      </c>
      <c r="H353" s="326" t="str">
        <f>INDEX('Rate Card'!$B:$B,MATCH(服务费底表!$T353,'Rate Card'!$F:$F,0))</f>
        <v>数据管理</v>
      </c>
      <c r="I353" s="328" t="s">
        <v>923</v>
      </c>
      <c r="J353" s="328" t="str">
        <f>INDEX(二三级标准!$Q:$Q,MATCH(服务费底表!I353,二三级标准!$O:$O,0))</f>
        <v>数据管理</v>
      </c>
      <c r="K353" s="328" t="s">
        <v>1061</v>
      </c>
      <c r="L353" s="328" t="str">
        <f>INDEX(二三级标准!C:C,MATCH(服务费底表!K353,二三级标准!$B:$B,0))</f>
        <v>药物编码WHODrug</v>
      </c>
      <c r="M353" s="328" t="s">
        <v>1418</v>
      </c>
      <c r="N353" s="328" t="str">
        <f>INDEX(二三级标准!$M:$M,MATCH(服务费底表!$M353,二三级标准!$L:$L,0))</f>
        <v>WHODrug质控</v>
      </c>
      <c r="O353" s="328"/>
      <c r="P353" s="531">
        <f>IF(R353=1,INDEX(服务费明细!$E:$E,MATCH(服务费底表!$K353,服务费明细!$B:$B,0)),0)</f>
        <v>300</v>
      </c>
      <c r="Q353" s="328" t="s">
        <v>1380</v>
      </c>
      <c r="R353" s="520">
        <f>IF(AND(实施医学编码YN=1,数据管理YN=1),1,0)</f>
        <v>1</v>
      </c>
      <c r="S353" s="524" t="str">
        <f>INDEX('Rate Card'!$D:$D,MATCH(服务费底表!$T353,'Rate Card'!F:F,0))</f>
        <v>数据管理</v>
      </c>
      <c r="T353" s="328" t="s">
        <v>631</v>
      </c>
      <c r="U353" s="522" t="str">
        <f>INDEX('Rate Card'!$E:$E,MATCH(服务费底表!$T353,'Rate Card'!$F:$F,0))</f>
        <v>数据管理专员</v>
      </c>
      <c r="V353" s="331">
        <f>INDEX('Rate Card'!$J:$J,MATCH($T353,'Rate Card'!$F:$F,0))</f>
        <v>200</v>
      </c>
      <c r="W353" s="523">
        <f t="shared" si="321"/>
        <v>200</v>
      </c>
      <c r="X353" s="523">
        <f t="shared" si="322"/>
        <v>0.08</v>
      </c>
      <c r="Y353" s="327" cm="1">
        <f t="array" ref="Y353">_xlfn.IFS(报价场景=服务费底表!$AJ$2,服务费底表!$AJ353,报价场景=服务费底表!$AP$2,服务费底表!$AP353,报价场景=服务费底表!$AK$2,服务费底表!$AK353,报价场景=服务费底表!$AL$2,服务费底表!$AL353,报价场景=服务费底表!$AM$2,服务费底表!$AM353,报价场景=服务费底表!$AN$2,服务费底表!$AN353,报价场景=服务费底表!$AQ$2,服务费底表!$AQ353,报价场景=服务费底表!$AO$2,服务费底表!$AO353)</f>
        <v>0.08</v>
      </c>
      <c r="Z353" s="327"/>
      <c r="AA353" s="332">
        <f t="shared" si="319"/>
        <v>0.08</v>
      </c>
      <c r="AB353" s="333">
        <f t="shared" si="315"/>
        <v>16</v>
      </c>
      <c r="AC353" s="328">
        <f t="shared" si="316"/>
        <v>24</v>
      </c>
      <c r="AD353" s="334">
        <f t="shared" si="317"/>
        <v>4800</v>
      </c>
      <c r="AE353" s="334">
        <f>$AB353*(1-INDEX(项目参数!$D$5:$D$14,MATCH(服务费底表!$S353,项目参数!$B$5:$B$14,0)))</f>
        <v>16</v>
      </c>
      <c r="AF353" s="334">
        <f>$AD353*INDEX(项目参数!$D$5:$D$14,MATCH(服务费底表!$S353,项目参数!$B$5:$B$14,0))</f>
        <v>0</v>
      </c>
      <c r="AG353" s="334">
        <f t="shared" si="320"/>
        <v>4800</v>
      </c>
      <c r="AH353" s="328"/>
      <c r="AI353" s="328" t="s">
        <v>631</v>
      </c>
      <c r="AJ353" s="327">
        <v>0.08</v>
      </c>
      <c r="AK353" s="327">
        <v>0.05</v>
      </c>
      <c r="AL353" s="327">
        <v>0.05</v>
      </c>
      <c r="AM353" s="327">
        <v>0.04</v>
      </c>
      <c r="AN353" s="327">
        <v>0.08</v>
      </c>
      <c r="AO353" s="327">
        <f t="shared" si="318"/>
        <v>0.05</v>
      </c>
      <c r="AP353" s="327">
        <v>0.08</v>
      </c>
      <c r="AQ353" s="327">
        <f t="shared" si="323"/>
        <v>0.12</v>
      </c>
      <c r="AR353" s="338"/>
      <c r="AS353" s="328">
        <f t="shared" si="307"/>
        <v>24</v>
      </c>
      <c r="AT353" s="328">
        <f t="shared" si="308"/>
        <v>24</v>
      </c>
      <c r="AU353" s="523">
        <v>0.08</v>
      </c>
      <c r="AV353" s="328"/>
      <c r="AW353" s="328"/>
      <c r="AX353" s="332">
        <v>0.08</v>
      </c>
      <c r="AY353" s="328" t="b">
        <f t="shared" si="309"/>
        <v>1</v>
      </c>
      <c r="AZ353" s="328" t="b">
        <f t="shared" si="312"/>
        <v>0</v>
      </c>
    </row>
    <row r="354" ht="27" customHeight="1" spans="1:52">
      <c r="A354" s="326" t="str">
        <f>INDEX('Rate Card'!$A:$A,MATCH(服务费底表!$T354,'Rate Card'!$F:$F,0))</f>
        <v>数统</v>
      </c>
      <c r="B354" s="327" t="str">
        <f>INDEX(二三级标准!$G:$G,MATCH(服务费底表!$K354,二三级标准!B:B,0))</f>
        <v>份</v>
      </c>
      <c r="C354" s="327">
        <f>INDEX(服务费明细!$E:$E,MATCH(服务费底表!$K354,服务费明细!$B:$B,0))</f>
        <v>5</v>
      </c>
      <c r="D354" s="327" t="str">
        <f t="shared" si="313"/>
        <v>A273DM</v>
      </c>
      <c r="E354" s="327" t="str">
        <f t="shared" si="314"/>
        <v>T0730DM</v>
      </c>
      <c r="F354" s="328"/>
      <c r="G354" s="328" t="s">
        <v>684</v>
      </c>
      <c r="H354" s="326" t="str">
        <f>INDEX('Rate Card'!$B:$B,MATCH(服务费底表!$T354,'Rate Card'!$F:$F,0))</f>
        <v>数据管理</v>
      </c>
      <c r="I354" s="328" t="s">
        <v>923</v>
      </c>
      <c r="J354" s="328" t="str">
        <f>INDEX(二三级标准!$Q:$Q,MATCH(服务费底表!I354,二三级标准!$O:$O,0))</f>
        <v>数据管理</v>
      </c>
      <c r="K354" s="328" t="s">
        <v>1062</v>
      </c>
      <c r="L354" s="328" t="str">
        <f>INDEX(二三级标准!C:C,MATCH(服务费底表!K354,二三级标准!$B:$B,0))</f>
        <v>编码报告</v>
      </c>
      <c r="M354" s="328" t="s">
        <v>1419</v>
      </c>
      <c r="N354" s="328" t="str">
        <f>INDEX(二三级标准!$M:$M,MATCH(服务费底表!$M354,二三级标准!$L:$L,0))</f>
        <v>MedDRA编码报告制作和提交</v>
      </c>
      <c r="O354" s="328"/>
      <c r="P354" s="531">
        <f>IF(R354=1,INDEX(服务费明细!$E:$E,MATCH(服务费底表!$K354,服务费明细!$B:$B,0)),0)</f>
        <v>5</v>
      </c>
      <c r="Q354" s="328" t="s">
        <v>1178</v>
      </c>
      <c r="R354" s="520">
        <f>IF(AND(编码报告YN=1,数据管理YN=1),1,0)</f>
        <v>1</v>
      </c>
      <c r="S354" s="524" t="str">
        <f>INDEX('Rate Card'!$D:$D,MATCH(服务费底表!$T354,'Rate Card'!F:F,0))</f>
        <v>数据管理</v>
      </c>
      <c r="T354" s="328" t="s">
        <v>631</v>
      </c>
      <c r="U354" s="522" t="str">
        <f>INDEX('Rate Card'!$E:$E,MATCH(服务费底表!$T354,'Rate Card'!$F:$F,0))</f>
        <v>数据管理专员</v>
      </c>
      <c r="V354" s="331">
        <f>INDEX('Rate Card'!$J:$J,MATCH($T354,'Rate Card'!$F:$F,0))</f>
        <v>200</v>
      </c>
      <c r="W354" s="523">
        <f t="shared" ref="W354:W401" si="324">V354*(1-$W$1)</f>
        <v>200</v>
      </c>
      <c r="X354" s="523">
        <f t="shared" ref="X354:X401" si="325">Y354*$X$1</f>
        <v>0.5</v>
      </c>
      <c r="Y354" s="327" cm="1">
        <f t="array" ref="Y354">_xlfn.IFS(报价场景=服务费底表!$AJ$2,服务费底表!$AJ354,报价场景=服务费底表!$AP$2,服务费底表!$AP354,报价场景=服务费底表!$AK$2,服务费底表!$AK354,报价场景=服务费底表!$AL$2,服务费底表!$AL354,报价场景=服务费底表!$AM$2,服务费底表!$AM354,报价场景=服务费底表!$AN$2,服务费底表!$AN354,报价场景=服务费底表!$AQ$2,服务费底表!$AQ354,报价场景=服务费底表!$AO$2,服务费底表!$AO354)</f>
        <v>0.5</v>
      </c>
      <c r="Z354" s="327"/>
      <c r="AA354" s="332">
        <f t="shared" si="319"/>
        <v>0.5</v>
      </c>
      <c r="AB354" s="333">
        <f t="shared" si="315"/>
        <v>100</v>
      </c>
      <c r="AC354" s="328">
        <f t="shared" si="316"/>
        <v>2.5</v>
      </c>
      <c r="AD354" s="334">
        <f t="shared" si="317"/>
        <v>500</v>
      </c>
      <c r="AE354" s="334">
        <f>$AB354*(1-INDEX(项目参数!$D$5:$D$14,MATCH(服务费底表!$S354,项目参数!$B$5:$B$14,0)))</f>
        <v>100</v>
      </c>
      <c r="AF354" s="334">
        <f>$AD354*INDEX(项目参数!$D$5:$D$14,MATCH(服务费底表!$S354,项目参数!$B$5:$B$14,0))</f>
        <v>0</v>
      </c>
      <c r="AG354" s="334">
        <f t="shared" si="320"/>
        <v>500</v>
      </c>
      <c r="AH354" s="328"/>
      <c r="AI354" s="328" t="s">
        <v>631</v>
      </c>
      <c r="AJ354" s="327">
        <v>0.5</v>
      </c>
      <c r="AK354" s="327">
        <v>1</v>
      </c>
      <c r="AL354" s="327">
        <v>0.4</v>
      </c>
      <c r="AM354" s="327">
        <v>0.5</v>
      </c>
      <c r="AN354" s="327">
        <v>0.5</v>
      </c>
      <c r="AO354" s="327">
        <f t="shared" si="318"/>
        <v>0.4</v>
      </c>
      <c r="AP354" s="327">
        <v>0.5</v>
      </c>
      <c r="AQ354" s="327">
        <f t="shared" ref="AQ354:AQ401" si="326">AJ354*$AQ$1</f>
        <v>0.75</v>
      </c>
      <c r="AR354" s="338"/>
      <c r="AS354" s="328">
        <f t="shared" si="307"/>
        <v>2.5</v>
      </c>
      <c r="AT354" s="328">
        <f t="shared" si="308"/>
        <v>2.5</v>
      </c>
      <c r="AU354" s="523">
        <v>0.5</v>
      </c>
      <c r="AV354" s="328"/>
      <c r="AW354" s="328"/>
      <c r="AX354" s="332">
        <v>0.5</v>
      </c>
      <c r="AY354" s="328" t="b">
        <f t="shared" si="309"/>
        <v>1</v>
      </c>
      <c r="AZ354" s="328" t="b">
        <f t="shared" si="312"/>
        <v>1</v>
      </c>
    </row>
    <row r="355" ht="27" customHeight="1" spans="1:52">
      <c r="A355" s="326" t="str">
        <f>INDEX('Rate Card'!$A:$A,MATCH(服务费底表!$T355,'Rate Card'!$F:$F,0))</f>
        <v>数统</v>
      </c>
      <c r="B355" s="327" t="str">
        <f>INDEX(二三级标准!$G:$G,MATCH(服务费底表!$K355,二三级标准!B:B,0))</f>
        <v>份</v>
      </c>
      <c r="C355" s="327">
        <f>INDEX(服务费明细!$E:$E,MATCH(服务费底表!$K355,服务费明细!$B:$B,0))</f>
        <v>5</v>
      </c>
      <c r="D355" s="327" t="str">
        <f t="shared" si="313"/>
        <v>A273DM</v>
      </c>
      <c r="E355" s="327" t="str">
        <f t="shared" si="314"/>
        <v>T0734DM</v>
      </c>
      <c r="F355" s="328"/>
      <c r="G355" s="328" t="s">
        <v>684</v>
      </c>
      <c r="H355" s="326" t="str">
        <f>INDEX('Rate Card'!$B:$B,MATCH(服务费底表!$T355,'Rate Card'!$F:$F,0))</f>
        <v>数据管理</v>
      </c>
      <c r="I355" s="328" t="s">
        <v>923</v>
      </c>
      <c r="J355" s="328" t="str">
        <f>INDEX(二三级标准!$Q:$Q,MATCH(服务费底表!I355,二三级标准!$O:$O,0))</f>
        <v>数据管理</v>
      </c>
      <c r="K355" s="328" t="s">
        <v>1062</v>
      </c>
      <c r="L355" s="328" t="str">
        <f>INDEX(二三级标准!C:C,MATCH(服务费底表!K355,二三级标准!$B:$B,0))</f>
        <v>编码报告</v>
      </c>
      <c r="M355" s="328" t="s">
        <v>1420</v>
      </c>
      <c r="N355" s="328" t="str">
        <f>INDEX(二三级标准!$M:$M,MATCH(服务费底表!$M355,二三级标准!$L:$L,0))</f>
        <v>WHODrug编码报告制作和提交</v>
      </c>
      <c r="O355" s="527"/>
      <c r="P355" s="531">
        <f>IF(R355=1,INDEX(服务费明细!$E:$E,MATCH(服务费底表!$K355,服务费明细!$B:$B,0)),0)</f>
        <v>5</v>
      </c>
      <c r="Q355" s="328" t="s">
        <v>1178</v>
      </c>
      <c r="R355" s="520">
        <f>IF(AND(编码报告YN=1,数据管理YN=1),1,0)</f>
        <v>1</v>
      </c>
      <c r="S355" s="524" t="str">
        <f>INDEX('Rate Card'!$D:$D,MATCH(服务费底表!$T355,'Rate Card'!F:F,0))</f>
        <v>数据管理</v>
      </c>
      <c r="T355" s="328" t="s">
        <v>631</v>
      </c>
      <c r="U355" s="522" t="str">
        <f>INDEX('Rate Card'!$E:$E,MATCH(服务费底表!$T355,'Rate Card'!$F:$F,0))</f>
        <v>数据管理专员</v>
      </c>
      <c r="V355" s="331">
        <f>INDEX('Rate Card'!$J:$J,MATCH($T355,'Rate Card'!$F:$F,0))</f>
        <v>200</v>
      </c>
      <c r="W355" s="523">
        <f t="shared" si="324"/>
        <v>200</v>
      </c>
      <c r="X355" s="523">
        <f t="shared" si="325"/>
        <v>0.5</v>
      </c>
      <c r="Y355" s="327" cm="1">
        <f t="array" ref="Y355">_xlfn.IFS(报价场景=服务费底表!$AJ$2,服务费底表!$AJ355,报价场景=服务费底表!$AP$2,服务费底表!$AP355,报价场景=服务费底表!$AK$2,服务费底表!$AK355,报价场景=服务费底表!$AL$2,服务费底表!$AL355,报价场景=服务费底表!$AM$2,服务费底表!$AM355,报价场景=服务费底表!$AN$2,服务费底表!$AN355,报价场景=服务费底表!$AQ$2,服务费底表!$AQ355,报价场景=服务费底表!$AO$2,服务费底表!$AO355)</f>
        <v>0.5</v>
      </c>
      <c r="Z355" s="327"/>
      <c r="AA355" s="332">
        <f t="shared" si="319"/>
        <v>0.5</v>
      </c>
      <c r="AB355" s="333">
        <f t="shared" si="315"/>
        <v>100</v>
      </c>
      <c r="AC355" s="328">
        <f t="shared" si="316"/>
        <v>2.5</v>
      </c>
      <c r="AD355" s="334">
        <f t="shared" si="317"/>
        <v>500</v>
      </c>
      <c r="AE355" s="334">
        <f>$AB355*(1-INDEX(项目参数!$D$5:$D$14,MATCH(服务费底表!$S355,项目参数!$B$5:$B$14,0)))</f>
        <v>100</v>
      </c>
      <c r="AF355" s="334">
        <f>$AD355*INDEX(项目参数!$D$5:$D$14,MATCH(服务费底表!$S355,项目参数!$B$5:$B$14,0))</f>
        <v>0</v>
      </c>
      <c r="AG355" s="334">
        <f t="shared" si="320"/>
        <v>500</v>
      </c>
      <c r="AH355" s="328"/>
      <c r="AI355" s="328" t="s">
        <v>631</v>
      </c>
      <c r="AJ355" s="327">
        <v>0.5</v>
      </c>
      <c r="AK355" s="327">
        <v>1</v>
      </c>
      <c r="AL355" s="327">
        <v>0.4</v>
      </c>
      <c r="AM355" s="327">
        <v>0.5</v>
      </c>
      <c r="AN355" s="327">
        <v>0.5</v>
      </c>
      <c r="AO355" s="327">
        <f t="shared" si="318"/>
        <v>0.4</v>
      </c>
      <c r="AP355" s="327">
        <v>0.5</v>
      </c>
      <c r="AQ355" s="327">
        <f t="shared" si="326"/>
        <v>0.75</v>
      </c>
      <c r="AR355" s="338"/>
      <c r="AS355" s="328">
        <f t="shared" si="307"/>
        <v>2.5</v>
      </c>
      <c r="AT355" s="328">
        <f t="shared" si="308"/>
        <v>2.5</v>
      </c>
      <c r="AU355" s="523">
        <v>0.5</v>
      </c>
      <c r="AV355" s="328"/>
      <c r="AW355" s="328"/>
      <c r="AX355" s="332">
        <v>0.5</v>
      </c>
      <c r="AY355" s="328" t="b">
        <f t="shared" ref="AY355:AY364" si="327">IF(AX355=AJ355,TRUE,FALSE)</f>
        <v>1</v>
      </c>
      <c r="AZ355" s="328" t="b">
        <f t="shared" si="312"/>
        <v>1</v>
      </c>
    </row>
    <row r="356" ht="27" customHeight="1" spans="1:52">
      <c r="A356" s="326" t="str">
        <f>INDEX('Rate Card'!$A:$A,MATCH(服务费底表!$T356,'Rate Card'!$F:$F,0))</f>
        <v>药物警戒</v>
      </c>
      <c r="B356" s="327" t="str">
        <f>INDEX(二三级标准!$G:$G,MATCH(服务费底表!$K356,二三级标准!B:B,0))</f>
        <v>次</v>
      </c>
      <c r="C356" s="327">
        <f>INDEX(服务费明细!$E:$E,MATCH(服务费底表!$K356,服务费明细!$B:$B,0))</f>
        <v>5</v>
      </c>
      <c r="D356" s="327" t="str">
        <f t="shared" si="313"/>
        <v>A094PVM</v>
      </c>
      <c r="E356" s="327" t="str">
        <f t="shared" si="314"/>
        <v>T0263PVM</v>
      </c>
      <c r="F356" s="328"/>
      <c r="G356" s="328" t="s">
        <v>684</v>
      </c>
      <c r="H356" s="326" t="str">
        <f>INDEX('Rate Card'!$B:$B,MATCH(服务费底表!$T356,'Rate Card'!$F:$F,0))</f>
        <v>药物警戒</v>
      </c>
      <c r="I356" s="328" t="s">
        <v>923</v>
      </c>
      <c r="J356" s="328" t="str">
        <f>INDEX(二三级标准!$Q:$Q,MATCH(服务费底表!I356,二三级标准!$O:$O,0))</f>
        <v>数据管理</v>
      </c>
      <c r="K356" s="328" t="s">
        <v>293</v>
      </c>
      <c r="L356" s="328" t="str">
        <f>INDEX(二三级标准!C:C,MATCH(服务费底表!K356,二三级标准!$B:$B,0))</f>
        <v>核查SAE一致性</v>
      </c>
      <c r="M356" s="328" t="s">
        <v>1421</v>
      </c>
      <c r="N356" s="328" t="str">
        <f>INDEX(二三级标准!$M:$M,MATCH(服务费底表!$M356,二三级标准!$L:$L,0))</f>
        <v>安全性数据库数据传输</v>
      </c>
      <c r="O356" s="338"/>
      <c r="P356" s="531">
        <f>IF(R356=1,INDEX(服务费明细!$E:$E,MATCH(服务费底表!$K356,服务费明细!$B:$B,0)),0)</f>
        <v>5</v>
      </c>
      <c r="Q356" s="330" t="s">
        <v>1178</v>
      </c>
      <c r="R356" s="520">
        <f>IF(AND(核查SAE一致性YN=1,药物警戒YN=1),1,0)</f>
        <v>1</v>
      </c>
      <c r="S356" s="528" t="str">
        <f>INDEX('Rate Card'!$D:$D,MATCH(服务费底表!$T356,'Rate Card'!F:F,0))</f>
        <v>药物警戒</v>
      </c>
      <c r="T356" s="328" t="s">
        <v>620</v>
      </c>
      <c r="U356" s="522" t="str">
        <f>INDEX('Rate Card'!$E:$E,MATCH(服务费底表!$T356,'Rate Card'!$F:$F,0))</f>
        <v>药物警戒经理</v>
      </c>
      <c r="V356" s="331">
        <f>INDEX('Rate Card'!$J:$J,MATCH($T356,'Rate Card'!$F:$F,0))</f>
        <v>500</v>
      </c>
      <c r="W356" s="523">
        <f t="shared" si="324"/>
        <v>500</v>
      </c>
      <c r="X356" s="523">
        <f t="shared" si="325"/>
        <v>1</v>
      </c>
      <c r="Y356" s="327" cm="1">
        <f t="array" ref="Y356">_xlfn.IFS(报价场景=服务费底表!$AJ$2,服务费底表!$AJ356,报价场景=服务费底表!$AP$2,服务费底表!$AP356,报价场景=服务费底表!$AK$2,服务费底表!$AK356,报价场景=服务费底表!$AL$2,服务费底表!$AL356,报价场景=服务费底表!$AM$2,服务费底表!$AM356,报价场景=服务费底表!$AN$2,服务费底表!$AN356,报价场景=服务费底表!$AQ$2,服务费底表!$AQ356,报价场景=服务费底表!$AO$2,服务费底表!$AO356)</f>
        <v>1</v>
      </c>
      <c r="Z356" s="336"/>
      <c r="AA356" s="332">
        <f t="shared" si="319"/>
        <v>1</v>
      </c>
      <c r="AB356" s="333">
        <f t="shared" si="315"/>
        <v>500</v>
      </c>
      <c r="AC356" s="328">
        <f t="shared" si="316"/>
        <v>5</v>
      </c>
      <c r="AD356" s="334">
        <f t="shared" si="317"/>
        <v>2500</v>
      </c>
      <c r="AE356" s="334">
        <f>$AB356*(1-INDEX(项目参数!$D$5:$D$14,MATCH(服务费底表!$S356,项目参数!$B$5:$B$14,0)))</f>
        <v>500</v>
      </c>
      <c r="AF356" s="334">
        <f>$AD356*INDEX(项目参数!$D$5:$D$14,MATCH(服务费底表!$S356,项目参数!$B$5:$B$14,0))</f>
        <v>0</v>
      </c>
      <c r="AG356" s="334">
        <f t="shared" si="320"/>
        <v>2500</v>
      </c>
      <c r="AH356" s="328"/>
      <c r="AI356" s="328" t="s">
        <v>620</v>
      </c>
      <c r="AJ356" s="327">
        <v>1</v>
      </c>
      <c r="AK356" s="327">
        <f>AJ356*1.5</f>
        <v>1.5</v>
      </c>
      <c r="AL356" s="327">
        <v>0.8</v>
      </c>
      <c r="AM356" s="327">
        <f>AL356</f>
        <v>0.8</v>
      </c>
      <c r="AN356" s="327">
        <f>ROUND(AJ356*0.8,2)</f>
        <v>0.8</v>
      </c>
      <c r="AO356" s="327">
        <f t="shared" si="318"/>
        <v>0.8</v>
      </c>
      <c r="AP356" s="327">
        <v>1</v>
      </c>
      <c r="AQ356" s="327">
        <f t="shared" si="326"/>
        <v>1.5</v>
      </c>
      <c r="AR356" s="338"/>
      <c r="AS356" s="327">
        <f t="shared" ref="AS356:AS364" si="328">AC356</f>
        <v>5</v>
      </c>
      <c r="AT356" s="327">
        <f t="shared" ref="AT356:AT364" si="329">Y356*P356</f>
        <v>5</v>
      </c>
      <c r="AU356" s="523">
        <v>1</v>
      </c>
      <c r="AV356" s="328"/>
      <c r="AW356" s="328"/>
      <c r="AX356" s="332">
        <v>1</v>
      </c>
      <c r="AY356" s="328" t="b">
        <f t="shared" si="327"/>
        <v>1</v>
      </c>
      <c r="AZ356" s="328" t="b">
        <f t="shared" si="312"/>
        <v>0</v>
      </c>
    </row>
    <row r="357" ht="27" customHeight="1" spans="1:52">
      <c r="A357" s="326" t="str">
        <f>INDEX('Rate Card'!$A:$A,MATCH(服务费底表!$T357,'Rate Card'!$F:$F,0))</f>
        <v>数统</v>
      </c>
      <c r="B357" s="327" t="str">
        <f>INDEX(二三级标准!$G:$G,MATCH(服务费底表!$K357,二三级标准!B:B,0))</f>
        <v>次</v>
      </c>
      <c r="C357" s="327">
        <f>INDEX(服务费明细!$E:$E,MATCH(服务费底表!$K357,服务费明细!$B:$B,0))</f>
        <v>5</v>
      </c>
      <c r="D357" s="327" t="str">
        <f t="shared" si="313"/>
        <v>A094DM</v>
      </c>
      <c r="E357" s="327" t="str">
        <f t="shared" si="314"/>
        <v>T0266aDM</v>
      </c>
      <c r="F357" s="328"/>
      <c r="G357" s="328" t="s">
        <v>684</v>
      </c>
      <c r="H357" s="326" t="str">
        <f>INDEX('Rate Card'!$B:$B,MATCH(服务费底表!$T357,'Rate Card'!$F:$F,0))</f>
        <v>数据管理</v>
      </c>
      <c r="I357" s="328" t="s">
        <v>923</v>
      </c>
      <c r="J357" s="328" t="str">
        <f>INDEX(二三级标准!$Q:$Q,MATCH(服务费底表!I357,二三级标准!$O:$O,0))</f>
        <v>数据管理</v>
      </c>
      <c r="K357" s="328" t="s">
        <v>293</v>
      </c>
      <c r="L357" s="328" t="str">
        <f>INDEX(二三级标准!C:C,MATCH(服务费底表!K357,二三级标准!$B:$B,0))</f>
        <v>核查SAE一致性</v>
      </c>
      <c r="M357" s="328" t="s">
        <v>1422</v>
      </c>
      <c r="N357" s="328" t="str">
        <f>INDEX(二三级标准!$M:$M,MATCH(服务费底表!$M357,二三级标准!$L:$L,0))</f>
        <v>SAE一致性核查报表运行和审核</v>
      </c>
      <c r="O357" s="530"/>
      <c r="P357" s="531">
        <f>IF(R357=1,INDEX(服务费明细!$E:$E,MATCH(服务费底表!$K357,服务费明细!$B:$B,0)),0)</f>
        <v>5</v>
      </c>
      <c r="Q357" s="330" t="s">
        <v>1178</v>
      </c>
      <c r="R357" s="520">
        <f>IF(AND(核查SAE一致性YN=1,数据管理YN=1,项目参数!$E$35="编程"),1,0)</f>
        <v>1</v>
      </c>
      <c r="S357" s="524" t="str">
        <f>INDEX('Rate Card'!$D:$D,MATCH(服务费底表!$T357,'Rate Card'!F:F,0))</f>
        <v>数据管理</v>
      </c>
      <c r="T357" s="328" t="s">
        <v>631</v>
      </c>
      <c r="U357" s="522" t="str">
        <f>INDEX('Rate Card'!$E:$E,MATCH(服务费底表!$T357,'Rate Card'!$F:$F,0))</f>
        <v>数据管理专员</v>
      </c>
      <c r="V357" s="331">
        <f>INDEX('Rate Card'!$J:$J,MATCH($T357,'Rate Card'!$F:$F,0))</f>
        <v>200</v>
      </c>
      <c r="W357" s="523">
        <f t="shared" si="324"/>
        <v>200</v>
      </c>
      <c r="X357" s="523">
        <f t="shared" si="325"/>
        <v>1</v>
      </c>
      <c r="Y357" s="327" cm="1">
        <f t="array" ref="Y357">_xlfn.IFS(报价场景=服务费底表!$AJ$2,服务费底表!$AJ357,报价场景=服务费底表!$AP$2,服务费底表!$AP357,报价场景=服务费底表!$AK$2,服务费底表!$AK357,报价场景=服务费底表!$AL$2,服务费底表!$AL357,报价场景=服务费底表!$AM$2,服务费底表!$AM357,报价场景=服务费底表!$AN$2,服务费底表!$AN357,报价场景=服务费底表!$AQ$2,服务费底表!$AQ357,报价场景=服务费底表!$AO$2,服务费底表!$AO357)</f>
        <v>1</v>
      </c>
      <c r="Z357" s="327"/>
      <c r="AA357" s="332">
        <f t="shared" si="319"/>
        <v>1</v>
      </c>
      <c r="AB357" s="333">
        <f t="shared" si="315"/>
        <v>200</v>
      </c>
      <c r="AC357" s="328">
        <f t="shared" si="316"/>
        <v>5</v>
      </c>
      <c r="AD357" s="334">
        <f t="shared" si="317"/>
        <v>1000</v>
      </c>
      <c r="AE357" s="334">
        <f>$AB357*(1-INDEX(项目参数!$D$5:$D$14,MATCH(服务费底表!$S357,项目参数!$B$5:$B$14,0)))</f>
        <v>200</v>
      </c>
      <c r="AF357" s="334">
        <f>$AD357*INDEX(项目参数!$D$5:$D$14,MATCH(服务费底表!$S357,项目参数!$B$5:$B$14,0))</f>
        <v>0</v>
      </c>
      <c r="AG357" s="334">
        <f t="shared" si="320"/>
        <v>1000</v>
      </c>
      <c r="AH357" s="328"/>
      <c r="AI357" s="328" t="s">
        <v>631</v>
      </c>
      <c r="AJ357" s="327">
        <v>1</v>
      </c>
      <c r="AK357" s="327">
        <v>1</v>
      </c>
      <c r="AL357" s="327">
        <v>1</v>
      </c>
      <c r="AM357" s="327">
        <v>1</v>
      </c>
      <c r="AN357" s="327">
        <v>1</v>
      </c>
      <c r="AO357" s="327">
        <f t="shared" si="318"/>
        <v>1</v>
      </c>
      <c r="AP357" s="327">
        <v>1</v>
      </c>
      <c r="AQ357" s="327">
        <f t="shared" si="326"/>
        <v>1.5</v>
      </c>
      <c r="AR357" s="338"/>
      <c r="AS357" s="328">
        <f t="shared" si="328"/>
        <v>5</v>
      </c>
      <c r="AT357" s="328">
        <f t="shared" si="329"/>
        <v>5</v>
      </c>
      <c r="AU357" s="523">
        <v>1</v>
      </c>
      <c r="AV357" s="328"/>
      <c r="AW357" s="328"/>
      <c r="AX357" s="332">
        <v>1</v>
      </c>
      <c r="AY357" s="328" t="b">
        <f t="shared" si="327"/>
        <v>1</v>
      </c>
      <c r="AZ357" s="328" t="b">
        <f t="shared" si="312"/>
        <v>0</v>
      </c>
    </row>
    <row r="358" ht="27" customHeight="1" spans="1:52">
      <c r="A358" s="326" t="str">
        <f>INDEX('Rate Card'!$A:$A,MATCH(服务费底表!$T358,'Rate Card'!$F:$F,0))</f>
        <v>数统</v>
      </c>
      <c r="B358" s="327" t="str">
        <f>INDEX(二三级标准!$G:$G,MATCH(服务费底表!$K358,二三级标准!B:B,0))</f>
        <v>份</v>
      </c>
      <c r="C358" s="327">
        <f>INDEX(服务费明细!$E:$E,MATCH(服务费底表!$K358,服务费明细!$B:$B,0))</f>
        <v>14</v>
      </c>
      <c r="D358" s="327" t="str">
        <f t="shared" si="313"/>
        <v>A095DM</v>
      </c>
      <c r="E358" s="327" t="str">
        <f t="shared" si="314"/>
        <v>T0268DM</v>
      </c>
      <c r="F358" s="328"/>
      <c r="G358" s="328" t="s">
        <v>684</v>
      </c>
      <c r="H358" s="326" t="str">
        <f>INDEX('Rate Card'!$B:$B,MATCH(服务费底表!$T358,'Rate Card'!$F:$F,0))</f>
        <v>数据管理</v>
      </c>
      <c r="I358" s="328" t="s">
        <v>923</v>
      </c>
      <c r="J358" s="328" t="str">
        <f>INDEX(二三级标准!$Q:$Q,MATCH(服务费底表!I358,二三级标准!$O:$O,0))</f>
        <v>数据管理</v>
      </c>
      <c r="K358" s="328" t="s">
        <v>295</v>
      </c>
      <c r="L358" s="328" t="str">
        <f>INDEX(二三级标准!C:C,MATCH(服务费底表!K358,二三级标准!$B:$B,0))</f>
        <v>递交常规进度报告</v>
      </c>
      <c r="M358" s="328" t="s">
        <v>1423</v>
      </c>
      <c r="N358" s="328" t="str">
        <f>INDEX(二三级标准!$M:$M,MATCH(服务费底表!$M358,二三级标准!$L:$L,0))</f>
        <v>递交常规进度报告</v>
      </c>
      <c r="O358" s="328"/>
      <c r="P358" s="531">
        <f>IF(R358=1,INDEX(服务费明细!$E:$E,MATCH(服务费底表!$K358,服务费明细!$B:$B,0)),0)</f>
        <v>14</v>
      </c>
      <c r="Q358" s="328" t="s">
        <v>1176</v>
      </c>
      <c r="R358" s="520">
        <f>IF(AND(递交常规进度报告YN=1,数据管理YN=1),1,0)</f>
        <v>1</v>
      </c>
      <c r="S358" s="524" t="str">
        <f>INDEX('Rate Card'!$D:$D,MATCH(服务费底表!$T358,'Rate Card'!F:F,0))</f>
        <v>数据管理</v>
      </c>
      <c r="T358" s="328" t="s">
        <v>631</v>
      </c>
      <c r="U358" s="522" t="str">
        <f>INDEX('Rate Card'!$E:$E,MATCH(服务费底表!$T358,'Rate Card'!$F:$F,0))</f>
        <v>数据管理专员</v>
      </c>
      <c r="V358" s="331">
        <f>INDEX('Rate Card'!$J:$J,MATCH($T358,'Rate Card'!$F:$F,0))</f>
        <v>200</v>
      </c>
      <c r="W358" s="523">
        <f t="shared" si="324"/>
        <v>200</v>
      </c>
      <c r="X358" s="523">
        <f t="shared" si="325"/>
        <v>1</v>
      </c>
      <c r="Y358" s="327" cm="1">
        <f t="array" ref="Y358">_xlfn.IFS(报价场景=服务费底表!$AJ$2,服务费底表!$AJ358,报价场景=服务费底表!$AP$2,服务费底表!$AP358,报价场景=服务费底表!$AK$2,服务费底表!$AK358,报价场景=服务费底表!$AL$2,服务费底表!$AL358,报价场景=服务费底表!$AM$2,服务费底表!$AM358,报价场景=服务费底表!$AN$2,服务费底表!$AN358,报价场景=服务费底表!$AQ$2,服务费底表!$AQ358,报价场景=服务费底表!$AO$2,服务费底表!$AO358)</f>
        <v>1</v>
      </c>
      <c r="Z358" s="327"/>
      <c r="AA358" s="332">
        <f t="shared" ref="AA358:AA363" si="330">IF(ISBLANK($Z358),$Y358,$Z358)</f>
        <v>1</v>
      </c>
      <c r="AB358" s="333">
        <f t="shared" si="315"/>
        <v>200</v>
      </c>
      <c r="AC358" s="328">
        <f t="shared" si="316"/>
        <v>14</v>
      </c>
      <c r="AD358" s="334">
        <f t="shared" si="317"/>
        <v>2800</v>
      </c>
      <c r="AE358" s="334">
        <f>$AB358*(1-INDEX(项目参数!$D$5:$D$14,MATCH(服务费底表!$S358,项目参数!$B$5:$B$14,0)))</f>
        <v>200</v>
      </c>
      <c r="AF358" s="334">
        <f>$AD358*INDEX(项目参数!$D$5:$D$14,MATCH(服务费底表!$S358,项目参数!$B$5:$B$14,0))</f>
        <v>0</v>
      </c>
      <c r="AG358" s="334">
        <f t="shared" si="320"/>
        <v>2800</v>
      </c>
      <c r="AH358" s="328"/>
      <c r="AI358" s="328" t="s">
        <v>631</v>
      </c>
      <c r="AJ358" s="327">
        <v>1</v>
      </c>
      <c r="AK358" s="327">
        <v>1.5</v>
      </c>
      <c r="AL358" s="327">
        <v>1</v>
      </c>
      <c r="AM358" s="327">
        <v>1</v>
      </c>
      <c r="AN358" s="327">
        <v>1</v>
      </c>
      <c r="AO358" s="327">
        <f t="shared" si="318"/>
        <v>1</v>
      </c>
      <c r="AP358" s="327">
        <v>1</v>
      </c>
      <c r="AQ358" s="327">
        <f t="shared" si="326"/>
        <v>1.5</v>
      </c>
      <c r="AR358" s="338"/>
      <c r="AS358" s="328">
        <f t="shared" si="328"/>
        <v>14</v>
      </c>
      <c r="AT358" s="328">
        <f t="shared" si="329"/>
        <v>14</v>
      </c>
      <c r="AU358" s="523">
        <v>1</v>
      </c>
      <c r="AV358" s="328"/>
      <c r="AW358" s="328"/>
      <c r="AX358" s="332">
        <v>1</v>
      </c>
      <c r="AY358" s="328" t="b">
        <f t="shared" si="327"/>
        <v>1</v>
      </c>
      <c r="AZ358" s="328" t="b">
        <f t="shared" si="312"/>
        <v>1</v>
      </c>
    </row>
    <row r="359" ht="27" customHeight="1" spans="1:52">
      <c r="A359" s="326" t="str">
        <f>INDEX('Rate Card'!$A:$A,MATCH(服务费底表!$T359,'Rate Card'!$F:$F,0))</f>
        <v>数统</v>
      </c>
      <c r="B359" s="327" t="str">
        <f>INDEX(二三级标准!$G:$G,MATCH(服务费底表!$K359,二三级标准!B:B,0))</f>
        <v>份</v>
      </c>
      <c r="C359" s="327">
        <f>INDEX(服务费明细!$E:$E,MATCH(服务费底表!$K359,服务费明细!$B:$B,0))</f>
        <v>14</v>
      </c>
      <c r="D359" s="327" t="str">
        <f t="shared" si="313"/>
        <v>A095LDM</v>
      </c>
      <c r="E359" s="327" t="str">
        <f t="shared" si="314"/>
        <v>T0268LDM</v>
      </c>
      <c r="F359" s="328"/>
      <c r="G359" s="328" t="s">
        <v>684</v>
      </c>
      <c r="H359" s="326" t="str">
        <f>INDEX('Rate Card'!$B:$B,MATCH(服务费底表!$T359,'Rate Card'!$F:$F,0))</f>
        <v>数据管理</v>
      </c>
      <c r="I359" s="328" t="s">
        <v>923</v>
      </c>
      <c r="J359" s="328" t="str">
        <f>INDEX(二三级标准!$Q:$Q,MATCH(服务费底表!I359,二三级标准!$O:$O,0))</f>
        <v>数据管理</v>
      </c>
      <c r="K359" s="328" t="s">
        <v>295</v>
      </c>
      <c r="L359" s="328" t="str">
        <f>INDEX(二三级标准!C:C,MATCH(服务费底表!K359,二三级标准!$B:$B,0))</f>
        <v>递交常规进度报告</v>
      </c>
      <c r="M359" s="328" t="s">
        <v>1423</v>
      </c>
      <c r="N359" s="328" t="str">
        <f>INDEX(二三级标准!$M:$M,MATCH(服务费底表!$M359,二三级标准!$L:$L,0))</f>
        <v>递交常规进度报告</v>
      </c>
      <c r="O359" s="328"/>
      <c r="P359" s="531">
        <f>IF(R359=1,INDEX(服务费明细!$E:$E,MATCH(服务费底表!$K359,服务费明细!$B:$B,0)),0)</f>
        <v>14</v>
      </c>
      <c r="Q359" s="328" t="s">
        <v>1176</v>
      </c>
      <c r="R359" s="520">
        <f>IF(AND(递交常规进度报告YN=1,数据管理YN=1),1,0)</f>
        <v>1</v>
      </c>
      <c r="S359" s="524" t="str">
        <f>INDEX('Rate Card'!$D:$D,MATCH(服务费底表!$T359,'Rate Card'!F:F,0))</f>
        <v>数据管理</v>
      </c>
      <c r="T359" s="328" t="s">
        <v>633</v>
      </c>
      <c r="U359" s="522" t="str">
        <f>INDEX('Rate Card'!$E:$E,MATCH(服务费底表!$T359,'Rate Card'!$F:$F,0))</f>
        <v>数据管理经理</v>
      </c>
      <c r="V359" s="331">
        <f>INDEX('Rate Card'!$J:$J,MATCH($T359,'Rate Card'!$F:$F,0))</f>
        <v>360</v>
      </c>
      <c r="W359" s="523">
        <f t="shared" si="324"/>
        <v>360</v>
      </c>
      <c r="X359" s="523">
        <f t="shared" si="325"/>
        <v>0.1</v>
      </c>
      <c r="Y359" s="327" cm="1">
        <f t="array" ref="Y359">_xlfn.IFS(报价场景=服务费底表!$AJ$2,服务费底表!$AJ359,报价场景=服务费底表!$AP$2,服务费底表!$AP359,报价场景=服务费底表!$AK$2,服务费底表!$AK359,报价场景=服务费底表!$AL$2,服务费底表!$AL359,报价场景=服务费底表!$AM$2,服务费底表!$AM359,报价场景=服务费底表!$AN$2,服务费底表!$AN359,报价场景=服务费底表!$AQ$2,服务费底表!$AQ359,报价场景=服务费底表!$AO$2,服务费底表!$AO359)</f>
        <v>0.1</v>
      </c>
      <c r="Z359" s="327"/>
      <c r="AA359" s="332">
        <f t="shared" si="330"/>
        <v>0.1</v>
      </c>
      <c r="AB359" s="333">
        <f t="shared" si="315"/>
        <v>36</v>
      </c>
      <c r="AC359" s="328">
        <f t="shared" si="316"/>
        <v>1.4</v>
      </c>
      <c r="AD359" s="334">
        <f t="shared" si="317"/>
        <v>504</v>
      </c>
      <c r="AE359" s="334">
        <f>$AB359*(1-INDEX(项目参数!$D$5:$D$14,MATCH(服务费底表!$S359,项目参数!$B$5:$B$14,0)))</f>
        <v>36</v>
      </c>
      <c r="AF359" s="334">
        <f>$AD359*INDEX(项目参数!$D$5:$D$14,MATCH(服务费底表!$S359,项目参数!$B$5:$B$14,0))</f>
        <v>0</v>
      </c>
      <c r="AG359" s="334">
        <f t="shared" si="320"/>
        <v>504</v>
      </c>
      <c r="AH359" s="328"/>
      <c r="AI359" s="328" t="s">
        <v>633</v>
      </c>
      <c r="AJ359" s="327">
        <v>0.1</v>
      </c>
      <c r="AK359" s="327">
        <v>0.2</v>
      </c>
      <c r="AL359" s="327">
        <v>0.1</v>
      </c>
      <c r="AM359" s="327">
        <v>0.1</v>
      </c>
      <c r="AN359" s="327">
        <v>0.1</v>
      </c>
      <c r="AO359" s="327">
        <f t="shared" si="318"/>
        <v>0.1</v>
      </c>
      <c r="AP359" s="327">
        <v>0.1</v>
      </c>
      <c r="AQ359" s="327">
        <f t="shared" si="326"/>
        <v>0.15</v>
      </c>
      <c r="AR359" s="338"/>
      <c r="AS359" s="328">
        <f t="shared" si="328"/>
        <v>1.4</v>
      </c>
      <c r="AT359" s="328">
        <f t="shared" si="329"/>
        <v>1.4</v>
      </c>
      <c r="AU359" s="523">
        <v>0.1</v>
      </c>
      <c r="AV359" s="328"/>
      <c r="AW359" s="328"/>
      <c r="AX359" s="332">
        <v>0.1</v>
      </c>
      <c r="AY359" s="328" t="b">
        <f t="shared" si="327"/>
        <v>1</v>
      </c>
      <c r="AZ359" s="328" t="b">
        <f t="shared" si="312"/>
        <v>1</v>
      </c>
    </row>
    <row r="360" ht="27" customHeight="1" spans="1:52">
      <c r="A360" s="326" t="str">
        <f>INDEX('Rate Card'!$A:$A,MATCH(服务费底表!$T360,'Rate Card'!$F:$F,0))</f>
        <v>数统</v>
      </c>
      <c r="B360" s="327" t="str">
        <f>INDEX(二三级标准!$G:$G,MATCH(服务费底表!$K360,二三级标准!B:B,0))</f>
        <v>份</v>
      </c>
      <c r="C360" s="327">
        <f>INDEX(服务费明细!$E:$E,MATCH(服务费底表!$K360,服务费明细!$B:$B,0))</f>
        <v>14</v>
      </c>
      <c r="D360" s="327" t="str">
        <f t="shared" si="313"/>
        <v>A095SA</v>
      </c>
      <c r="E360" s="327" t="str">
        <f t="shared" si="314"/>
        <v>T0735SA</v>
      </c>
      <c r="F360" s="328"/>
      <c r="G360" s="328" t="s">
        <v>684</v>
      </c>
      <c r="H360" s="326" t="str">
        <f>INDEX('Rate Card'!$B:$B,MATCH(服务费底表!$T360,'Rate Card'!$F:$F,0))</f>
        <v>生物统计及分析</v>
      </c>
      <c r="I360" s="328" t="s">
        <v>923</v>
      </c>
      <c r="J360" s="328" t="str">
        <f>INDEX(二三级标准!$Q:$Q,MATCH(服务费底表!I360,二三级标准!$O:$O,0))</f>
        <v>数据管理</v>
      </c>
      <c r="K360" s="328" t="s">
        <v>295</v>
      </c>
      <c r="L360" s="328" t="str">
        <f>INDEX(二三级标准!C:C,MATCH(服务费底表!K360,二三级标准!$B:$B,0))</f>
        <v>递交常规进度报告</v>
      </c>
      <c r="M360" s="328" t="s">
        <v>1424</v>
      </c>
      <c r="N360" s="328" t="str">
        <f>INDEX(二三级标准!$M:$M,MATCH(服务费底表!$M360,二三级标准!$L:$L,0))</f>
        <v>递交常规进度报告（缺失页）</v>
      </c>
      <c r="O360" s="328"/>
      <c r="P360" s="531">
        <f>IF(R360=1,INDEX(服务费明细!$E:$E,MATCH(服务费底表!$K360,服务费明细!$B:$B,0)),0)</f>
        <v>14</v>
      </c>
      <c r="Q360" s="328" t="s">
        <v>1176</v>
      </c>
      <c r="R360" s="520">
        <f>IF(AND(递交常规进度报告YN=1,数据管理YN=1),1,0)</f>
        <v>1</v>
      </c>
      <c r="S360" s="524" t="str">
        <f>INDEX('Rate Card'!$D:$D,MATCH(服务费底表!$T360,'Rate Card'!F:F,0))</f>
        <v>统计分析</v>
      </c>
      <c r="T360" s="328" t="s">
        <v>635</v>
      </c>
      <c r="U360" s="522" t="str">
        <f>INDEX('Rate Card'!$E:$E,MATCH(服务费底表!$T360,'Rate Card'!$F:$F,0))</f>
        <v>统计分析师</v>
      </c>
      <c r="V360" s="331">
        <f>INDEX('Rate Card'!$J:$J,MATCH($T360,'Rate Card'!$F:$F,0))</f>
        <v>225</v>
      </c>
      <c r="W360" s="523">
        <f t="shared" si="324"/>
        <v>225</v>
      </c>
      <c r="X360" s="523">
        <f t="shared" si="325"/>
        <v>0.5</v>
      </c>
      <c r="Y360" s="327" cm="1">
        <f t="array" ref="Y360">_xlfn.IFS(报价场景=服务费底表!$AJ$2,服务费底表!$AJ360,报价场景=服务费底表!$AP$2,服务费底表!$AP360,报价场景=服务费底表!$AK$2,服务费底表!$AK360,报价场景=服务费底表!$AL$2,服务费底表!$AL360,报价场景=服务费底表!$AM$2,服务费底表!$AM360,报价场景=服务费底表!$AN$2,服务费底表!$AN360,报价场景=服务费底表!$AQ$2,服务费底表!$AQ360,报价场景=服务费底表!$AO$2,服务费底表!$AO360)</f>
        <v>0.5</v>
      </c>
      <c r="Z360" s="327"/>
      <c r="AA360" s="332">
        <f t="shared" si="330"/>
        <v>0.5</v>
      </c>
      <c r="AB360" s="333">
        <f t="shared" si="315"/>
        <v>112.5</v>
      </c>
      <c r="AC360" s="328">
        <f t="shared" si="316"/>
        <v>7</v>
      </c>
      <c r="AD360" s="334">
        <f t="shared" si="317"/>
        <v>1575</v>
      </c>
      <c r="AE360" s="334">
        <f>$AB360*(1-INDEX(项目参数!$D$5:$D$14,MATCH(服务费底表!$S360,项目参数!$B$5:$B$14,0)))</f>
        <v>112.5</v>
      </c>
      <c r="AF360" s="334">
        <f>$AD360*INDEX(项目参数!$D$5:$D$14,MATCH(服务费底表!$S360,项目参数!$B$5:$B$14,0))</f>
        <v>0</v>
      </c>
      <c r="AG360" s="334">
        <f t="shared" si="320"/>
        <v>1575</v>
      </c>
      <c r="AH360" s="328"/>
      <c r="AI360" s="328" t="s">
        <v>629</v>
      </c>
      <c r="AJ360" s="327">
        <v>0.5</v>
      </c>
      <c r="AK360" s="327">
        <v>0.4</v>
      </c>
      <c r="AL360" s="327">
        <v>0.2</v>
      </c>
      <c r="AM360" s="327">
        <v>0.4</v>
      </c>
      <c r="AN360" s="327">
        <v>0.4</v>
      </c>
      <c r="AO360" s="327">
        <f t="shared" si="318"/>
        <v>0.2</v>
      </c>
      <c r="AP360" s="327">
        <v>0.4</v>
      </c>
      <c r="AQ360" s="327">
        <f t="shared" si="326"/>
        <v>0.75</v>
      </c>
      <c r="AR360" s="338"/>
      <c r="AS360" s="328">
        <f t="shared" si="328"/>
        <v>7</v>
      </c>
      <c r="AT360" s="328">
        <f t="shared" si="329"/>
        <v>7</v>
      </c>
      <c r="AU360" s="523">
        <v>0.4</v>
      </c>
      <c r="AV360" s="328"/>
      <c r="AW360" s="328"/>
      <c r="AX360" s="332">
        <v>0.4</v>
      </c>
      <c r="AY360" s="328" t="b">
        <f t="shared" si="327"/>
        <v>0</v>
      </c>
      <c r="AZ360" s="328" t="b">
        <f t="shared" si="312"/>
        <v>1</v>
      </c>
    </row>
    <row r="361" ht="27" customHeight="1" spans="1:52">
      <c r="A361" s="326" t="str">
        <f>INDEX('Rate Card'!$A:$A,MATCH(服务费底表!$T361,'Rate Card'!$F:$F,0))</f>
        <v>数统</v>
      </c>
      <c r="B361" s="327" t="str">
        <f>INDEX(二三级标准!$G:$G,MATCH(服务费底表!$K361,二三级标准!B:B,0))</f>
        <v>个</v>
      </c>
      <c r="C361" s="327">
        <f>INDEX(服务费明细!$E:$E,MATCH(服务费底表!$K361,服务费明细!$B:$B,0))</f>
        <v>0</v>
      </c>
      <c r="D361" s="327" t="str">
        <f t="shared" ref="D361:D375" si="331">K361&amp;T361</f>
        <v>A096LDM</v>
      </c>
      <c r="E361" s="327" t="str">
        <f t="shared" ref="E361:E375" si="332">M361&amp;T361</f>
        <v>T0271aLDM</v>
      </c>
      <c r="F361" s="328"/>
      <c r="G361" s="328" t="s">
        <v>684</v>
      </c>
      <c r="H361" s="326" t="str">
        <f>INDEX('Rate Card'!$B:$B,MATCH(服务费底表!$T361,'Rate Card'!$F:$F,0))</f>
        <v>数据管理</v>
      </c>
      <c r="I361" s="328" t="s">
        <v>923</v>
      </c>
      <c r="J361" s="328" t="str">
        <f>INDEX(二三级标准!$Q:$Q,MATCH(服务费底表!I361,二三级标准!$O:$O,0))</f>
        <v>数据管理</v>
      </c>
      <c r="K361" s="328" t="s">
        <v>297</v>
      </c>
      <c r="L361" s="328" t="str">
        <f>INDEX(二三级标准!C:C,MATCH(服务费底表!K361,二三级标准!$B:$B,0))</f>
        <v>递交项目定制报告</v>
      </c>
      <c r="M361" s="328" t="s">
        <v>1425</v>
      </c>
      <c r="N361" s="328" t="str">
        <f>INDEX(二三级标准!$M:$M,MATCH(服务费底表!$M361,二三级标准!$L:$L,0))</f>
        <v>其他项目要求报告说明</v>
      </c>
      <c r="O361" s="328"/>
      <c r="P361" s="531">
        <f>IF(R361=1,INDEX(服务费明细!$E:$E,MATCH(服务费底表!$K361,服务费明细!$B:$B,0)),0)</f>
        <v>0</v>
      </c>
      <c r="Q361" s="328" t="s">
        <v>1281</v>
      </c>
      <c r="R361" s="520">
        <f>IF(AND(递交项目定制报告YN=1,数据管理YN=1),1,0)</f>
        <v>0</v>
      </c>
      <c r="S361" s="524" t="str">
        <f>INDEX('Rate Card'!$D:$D,MATCH(服务费底表!$T361,'Rate Card'!F:F,0))</f>
        <v>数据管理</v>
      </c>
      <c r="T361" s="328" t="s">
        <v>633</v>
      </c>
      <c r="U361" s="522" t="str">
        <f>INDEX('Rate Card'!$E:$E,MATCH(服务费底表!$T361,'Rate Card'!$F:$F,0))</f>
        <v>数据管理经理</v>
      </c>
      <c r="V361" s="331">
        <f>INDEX('Rate Card'!$J:$J,MATCH($T361,'Rate Card'!$F:$F,0))</f>
        <v>360</v>
      </c>
      <c r="W361" s="523">
        <f t="shared" si="324"/>
        <v>360</v>
      </c>
      <c r="X361" s="523">
        <f t="shared" si="325"/>
        <v>1.5</v>
      </c>
      <c r="Y361" s="327" cm="1">
        <f t="array" ref="Y361">_xlfn.IFS(报价场景=服务费底表!$AJ$2,服务费底表!$AJ361,报价场景=服务费底表!$AP$2,服务费底表!$AP361,报价场景=服务费底表!$AK$2,服务费底表!$AK361,报价场景=服务费底表!$AL$2,服务费底表!$AL361,报价场景=服务费底表!$AM$2,服务费底表!$AM361,报价场景=服务费底表!$AN$2,服务费底表!$AN361,报价场景=服务费底表!$AQ$2,服务费底表!$AQ361,报价场景=服务费底表!$AO$2,服务费底表!$AO361)</f>
        <v>1.5</v>
      </c>
      <c r="Z361" s="327"/>
      <c r="AA361" s="332">
        <f t="shared" si="330"/>
        <v>1.5</v>
      </c>
      <c r="AB361" s="333">
        <f t="shared" ref="AB361:AB375" si="333">IFERROR(AD361/P361,0)</f>
        <v>0</v>
      </c>
      <c r="AC361" s="328">
        <f t="shared" ref="AC361:AC375" si="334">AA361*P361*R361</f>
        <v>0</v>
      </c>
      <c r="AD361" s="334">
        <f t="shared" ref="AD361:AD375" si="335">AC361*V361</f>
        <v>0</v>
      </c>
      <c r="AE361" s="334">
        <f>$AB361*(1-INDEX(项目参数!$D$5:$D$14,MATCH(服务费底表!$S361,项目参数!$B$5:$B$14,0)))</f>
        <v>0</v>
      </c>
      <c r="AF361" s="334">
        <f>$AD361*INDEX(项目参数!$D$5:$D$14,MATCH(服务费底表!$S361,项目参数!$B$5:$B$14,0))</f>
        <v>0</v>
      </c>
      <c r="AG361" s="334">
        <f t="shared" ref="AG361:AG375" si="336">AD361-AF361</f>
        <v>0</v>
      </c>
      <c r="AH361" s="328"/>
      <c r="AI361" s="328" t="s">
        <v>633</v>
      </c>
      <c r="AJ361" s="327">
        <v>1.5</v>
      </c>
      <c r="AK361" s="327">
        <v>1.5</v>
      </c>
      <c r="AL361" s="327">
        <v>1.5</v>
      </c>
      <c r="AM361" s="327">
        <v>1.5</v>
      </c>
      <c r="AN361" s="327">
        <v>1.5</v>
      </c>
      <c r="AO361" s="327">
        <f t="shared" si="318"/>
        <v>1.5</v>
      </c>
      <c r="AP361" s="327">
        <v>1.5</v>
      </c>
      <c r="AQ361" s="327">
        <f t="shared" si="326"/>
        <v>2.25</v>
      </c>
      <c r="AR361" s="338"/>
      <c r="AS361" s="328">
        <f t="shared" si="328"/>
        <v>0</v>
      </c>
      <c r="AT361" s="328">
        <f t="shared" si="329"/>
        <v>0</v>
      </c>
      <c r="AU361" s="523">
        <v>1.5</v>
      </c>
      <c r="AV361" s="328"/>
      <c r="AW361" s="328"/>
      <c r="AX361" s="332">
        <v>1.5</v>
      </c>
      <c r="AY361" s="328" t="b">
        <f t="shared" si="327"/>
        <v>1</v>
      </c>
      <c r="AZ361" s="328" t="b">
        <f t="shared" si="312"/>
        <v>0</v>
      </c>
    </row>
    <row r="362" ht="27" customHeight="1" spans="1:52">
      <c r="A362" s="326" t="str">
        <f>INDEX('Rate Card'!$A:$A,MATCH(服务费底表!$T362,'Rate Card'!$F:$F,0))</f>
        <v>数统</v>
      </c>
      <c r="B362" s="327" t="str">
        <f>INDEX(二三级标准!$G:$G,MATCH(服务费底表!$K362,二三级标准!B:B,0))</f>
        <v>个</v>
      </c>
      <c r="C362" s="327">
        <f>INDEX(服务费明细!$E:$E,MATCH(服务费底表!$K362,服务费明细!$B:$B,0))</f>
        <v>0</v>
      </c>
      <c r="D362" s="327" t="str">
        <f t="shared" si="331"/>
        <v>A096DBP</v>
      </c>
      <c r="E362" s="327" t="str">
        <f t="shared" si="332"/>
        <v>T0269aDBP</v>
      </c>
      <c r="F362" s="328"/>
      <c r="G362" s="328" t="s">
        <v>684</v>
      </c>
      <c r="H362" s="326" t="str">
        <f>INDEX('Rate Card'!$B:$B,MATCH(服务费底表!$T362,'Rate Card'!$F:$F,0))</f>
        <v>数据管理</v>
      </c>
      <c r="I362" s="328" t="s">
        <v>923</v>
      </c>
      <c r="J362" s="328" t="str">
        <f>INDEX(二三级标准!$Q:$Q,MATCH(服务费底表!I362,二三级标准!$O:$O,0))</f>
        <v>数据管理</v>
      </c>
      <c r="K362" s="328" t="s">
        <v>297</v>
      </c>
      <c r="L362" s="328" t="str">
        <f>INDEX(二三级标准!C:C,MATCH(服务费底表!K362,二三级标准!$B:$B,0))</f>
        <v>递交项目定制报告</v>
      </c>
      <c r="M362" s="328" t="s">
        <v>1426</v>
      </c>
      <c r="N362" s="328" t="str">
        <f>INDEX(二三级标准!$M:$M,MATCH(服务费底表!$M362,二三级标准!$L:$L,0))</f>
        <v>其他项目要求报告编程</v>
      </c>
      <c r="O362" s="328"/>
      <c r="P362" s="531">
        <f>IF(R362=1,INDEX(服务费明细!$E:$E,MATCH(服务费底表!$K362,服务费明细!$B:$B,0)),0)</f>
        <v>0</v>
      </c>
      <c r="Q362" s="328" t="s">
        <v>1281</v>
      </c>
      <c r="R362" s="520">
        <f>IF(AND(递交项目定制报告YN=1,数据管理YN=1),1,0)</f>
        <v>0</v>
      </c>
      <c r="S362" s="524" t="str">
        <f>INDEX('Rate Card'!$D:$D,MATCH(服务费底表!$T362,'Rate Card'!F:F,0))</f>
        <v>数据管理</v>
      </c>
      <c r="T362" s="328" t="s">
        <v>629</v>
      </c>
      <c r="U362" s="522" t="str">
        <f>INDEX('Rate Card'!$E:$E,MATCH(服务费底表!$T362,'Rate Card'!$F:$F,0))</f>
        <v>数据库编程员</v>
      </c>
      <c r="V362" s="331">
        <f>INDEX('Rate Card'!$J:$J,MATCH($T362,'Rate Card'!$F:$F,0))</f>
        <v>300</v>
      </c>
      <c r="W362" s="523">
        <f t="shared" si="324"/>
        <v>300</v>
      </c>
      <c r="X362" s="523">
        <f t="shared" si="325"/>
        <v>6</v>
      </c>
      <c r="Y362" s="327" cm="1">
        <f t="array" ref="Y362">_xlfn.IFS(报价场景=服务费底表!$AJ$2,服务费底表!$AJ362,报价场景=服务费底表!$AP$2,服务费底表!$AP362,报价场景=服务费底表!$AK$2,服务费底表!$AK362,报价场景=服务费底表!$AL$2,服务费底表!$AL362,报价场景=服务费底表!$AM$2,服务费底表!$AM362,报价场景=服务费底表!$AN$2,服务费底表!$AN362,报价场景=服务费底表!$AQ$2,服务费底表!$AQ362,报价场景=服务费底表!$AO$2,服务费底表!$AO362)</f>
        <v>6</v>
      </c>
      <c r="Z362" s="327"/>
      <c r="AA362" s="332">
        <f t="shared" si="330"/>
        <v>6</v>
      </c>
      <c r="AB362" s="333">
        <f t="shared" si="333"/>
        <v>0</v>
      </c>
      <c r="AC362" s="328">
        <f t="shared" si="334"/>
        <v>0</v>
      </c>
      <c r="AD362" s="334">
        <f t="shared" si="335"/>
        <v>0</v>
      </c>
      <c r="AE362" s="334">
        <f>$AB362*(1-INDEX(项目参数!$D$5:$D$14,MATCH(服务费底表!$S362,项目参数!$B$5:$B$14,0)))</f>
        <v>0</v>
      </c>
      <c r="AF362" s="334">
        <f>$AD362*INDEX(项目参数!$D$5:$D$14,MATCH(服务费底表!$S362,项目参数!$B$5:$B$14,0))</f>
        <v>0</v>
      </c>
      <c r="AG362" s="334">
        <f t="shared" si="336"/>
        <v>0</v>
      </c>
      <c r="AH362" s="328"/>
      <c r="AI362" s="328" t="s">
        <v>629</v>
      </c>
      <c r="AJ362" s="327">
        <v>6</v>
      </c>
      <c r="AK362" s="327">
        <v>6</v>
      </c>
      <c r="AL362" s="327">
        <v>6</v>
      </c>
      <c r="AM362" s="327">
        <v>6</v>
      </c>
      <c r="AN362" s="327">
        <v>6</v>
      </c>
      <c r="AO362" s="327">
        <f t="shared" si="318"/>
        <v>6</v>
      </c>
      <c r="AP362" s="327">
        <v>6</v>
      </c>
      <c r="AQ362" s="327">
        <f t="shared" si="326"/>
        <v>9</v>
      </c>
      <c r="AR362" s="338"/>
      <c r="AS362" s="328">
        <f t="shared" si="328"/>
        <v>0</v>
      </c>
      <c r="AT362" s="328">
        <f t="shared" si="329"/>
        <v>0</v>
      </c>
      <c r="AU362" s="523">
        <v>6</v>
      </c>
      <c r="AV362" s="328"/>
      <c r="AW362" s="328"/>
      <c r="AX362" s="332">
        <v>6</v>
      </c>
      <c r="AY362" s="328" t="b">
        <f t="shared" si="327"/>
        <v>1</v>
      </c>
      <c r="AZ362" s="328" t="b">
        <f t="shared" si="312"/>
        <v>0</v>
      </c>
    </row>
    <row r="363" ht="27" customHeight="1" spans="1:52">
      <c r="A363" s="326" t="str">
        <f>INDEX('Rate Card'!$A:$A,MATCH(服务费底表!$T363,'Rate Card'!$F:$F,0))</f>
        <v>数统</v>
      </c>
      <c r="B363" s="327" t="str">
        <f>INDEX(二三级标准!$G:$G,MATCH(服务费底表!$K363,二三级标准!B:B,0))</f>
        <v>个</v>
      </c>
      <c r="C363" s="327">
        <f>INDEX(服务费明细!$E:$E,MATCH(服务费底表!$K363,服务费明细!$B:$B,0))</f>
        <v>0</v>
      </c>
      <c r="D363" s="327" t="str">
        <f t="shared" si="331"/>
        <v>A096DM</v>
      </c>
      <c r="E363" s="327" t="str">
        <f t="shared" si="332"/>
        <v>T0270aDM</v>
      </c>
      <c r="F363" s="328"/>
      <c r="G363" s="328" t="s">
        <v>684</v>
      </c>
      <c r="H363" s="326" t="str">
        <f>INDEX('Rate Card'!$B:$B,MATCH(服务费底表!$T363,'Rate Card'!$F:$F,0))</f>
        <v>数据管理</v>
      </c>
      <c r="I363" s="328" t="s">
        <v>923</v>
      </c>
      <c r="J363" s="328" t="str">
        <f>INDEX(二三级标准!$Q:$Q,MATCH(服务费底表!I363,二三级标准!$O:$O,0))</f>
        <v>数据管理</v>
      </c>
      <c r="K363" s="328" t="s">
        <v>297</v>
      </c>
      <c r="L363" s="328" t="str">
        <f>INDEX(二三级标准!C:C,MATCH(服务费底表!K363,二三级标准!$B:$B,0))</f>
        <v>递交项目定制报告</v>
      </c>
      <c r="M363" s="328" t="s">
        <v>1427</v>
      </c>
      <c r="N363" s="328" t="str">
        <f>INDEX(二三级标准!$M:$M,MATCH(服务费底表!$M363,二三级标准!$L:$L,0))</f>
        <v>其他项目要求报告测试</v>
      </c>
      <c r="O363" s="328"/>
      <c r="P363" s="531">
        <f>IF(R363=1,INDEX(服务费明细!$E:$E,MATCH(服务费底表!$K363,服务费明细!$B:$B,0)),0)</f>
        <v>0</v>
      </c>
      <c r="Q363" s="328" t="s">
        <v>1281</v>
      </c>
      <c r="R363" s="520">
        <f>IF(AND(递交项目定制报告YN=1,数据管理YN=1),1,0)</f>
        <v>0</v>
      </c>
      <c r="S363" s="524" t="str">
        <f>INDEX('Rate Card'!$D:$D,MATCH(服务费底表!$T363,'Rate Card'!F:F,0))</f>
        <v>数据管理</v>
      </c>
      <c r="T363" s="328" t="s">
        <v>631</v>
      </c>
      <c r="U363" s="522" t="str">
        <f>INDEX('Rate Card'!$E:$E,MATCH(服务费底表!$T363,'Rate Card'!$F:$F,0))</f>
        <v>数据管理专员</v>
      </c>
      <c r="V363" s="331">
        <f>INDEX('Rate Card'!$J:$J,MATCH($T363,'Rate Card'!$F:$F,0))</f>
        <v>200</v>
      </c>
      <c r="W363" s="523">
        <f t="shared" si="324"/>
        <v>200</v>
      </c>
      <c r="X363" s="523">
        <f t="shared" si="325"/>
        <v>1.5</v>
      </c>
      <c r="Y363" s="327" cm="1">
        <f t="array" ref="Y363">_xlfn.IFS(报价场景=服务费底表!$AJ$2,服务费底表!$AJ363,报价场景=服务费底表!$AP$2,服务费底表!$AP363,报价场景=服务费底表!$AK$2,服务费底表!$AK363,报价场景=服务费底表!$AL$2,服务费底表!$AL363,报价场景=服务费底表!$AM$2,服务费底表!$AM363,报价场景=服务费底表!$AN$2,服务费底表!$AN363,报价场景=服务费底表!$AQ$2,服务费底表!$AQ363,报价场景=服务费底表!$AO$2,服务费底表!$AO363)</f>
        <v>1.5</v>
      </c>
      <c r="Z363" s="327"/>
      <c r="AA363" s="332">
        <f t="shared" si="330"/>
        <v>1.5</v>
      </c>
      <c r="AB363" s="333">
        <f t="shared" si="333"/>
        <v>0</v>
      </c>
      <c r="AC363" s="328">
        <f t="shared" si="334"/>
        <v>0</v>
      </c>
      <c r="AD363" s="334">
        <f t="shared" si="335"/>
        <v>0</v>
      </c>
      <c r="AE363" s="334">
        <f>$AB363*(1-INDEX(项目参数!$D$5:$D$14,MATCH(服务费底表!$S363,项目参数!$B$5:$B$14,0)))</f>
        <v>0</v>
      </c>
      <c r="AF363" s="334">
        <f>$AD363*INDEX(项目参数!$D$5:$D$14,MATCH(服务费底表!$S363,项目参数!$B$5:$B$14,0))</f>
        <v>0</v>
      </c>
      <c r="AG363" s="334">
        <f t="shared" si="336"/>
        <v>0</v>
      </c>
      <c r="AH363" s="328"/>
      <c r="AI363" s="328" t="s">
        <v>631</v>
      </c>
      <c r="AJ363" s="327">
        <v>1.5</v>
      </c>
      <c r="AK363" s="327">
        <v>1.5</v>
      </c>
      <c r="AL363" s="327">
        <v>1.5</v>
      </c>
      <c r="AM363" s="327">
        <v>1.5</v>
      </c>
      <c r="AN363" s="327">
        <v>1.5</v>
      </c>
      <c r="AO363" s="327">
        <f t="shared" si="318"/>
        <v>1.5</v>
      </c>
      <c r="AP363" s="327">
        <v>1.5</v>
      </c>
      <c r="AQ363" s="327">
        <f t="shared" si="326"/>
        <v>2.25</v>
      </c>
      <c r="AR363" s="338"/>
      <c r="AS363" s="328">
        <f t="shared" si="328"/>
        <v>0</v>
      </c>
      <c r="AT363" s="328">
        <f t="shared" si="329"/>
        <v>0</v>
      </c>
      <c r="AU363" s="523">
        <v>1.5</v>
      </c>
      <c r="AV363" s="328"/>
      <c r="AW363" s="328"/>
      <c r="AX363" s="332">
        <v>1.5</v>
      </c>
      <c r="AY363" s="328" t="b">
        <f t="shared" si="327"/>
        <v>1</v>
      </c>
      <c r="AZ363" s="328" t="b">
        <f t="shared" si="312"/>
        <v>0</v>
      </c>
    </row>
    <row r="364" ht="27" customHeight="1" spans="1:52">
      <c r="A364" s="326" t="str">
        <f>INDEX('Rate Card'!$A:$A,MATCH(服务费底表!$T364,'Rate Card'!$F:$F,0))</f>
        <v>数统</v>
      </c>
      <c r="B364" s="327" t="str">
        <f>INDEX(二三级标准!$G:$G,MATCH(服务费底表!$K364,二三级标准!B:B,0))</f>
        <v>个</v>
      </c>
      <c r="C364" s="327">
        <f>INDEX(服务费明细!$E:$E,MATCH(服务费底表!$K364,服务费明细!$B:$B,0))</f>
        <v>0</v>
      </c>
      <c r="D364" s="327" t="str">
        <f t="shared" si="331"/>
        <v>A096DBP</v>
      </c>
      <c r="E364" s="327" t="str">
        <f t="shared" si="332"/>
        <v>T0272aDBP</v>
      </c>
      <c r="F364" s="328"/>
      <c r="G364" s="328" t="s">
        <v>684</v>
      </c>
      <c r="H364" s="326" t="str">
        <f>INDEX('Rate Card'!$B:$B,MATCH(服务费底表!$T364,'Rate Card'!$F:$F,0))</f>
        <v>数据管理</v>
      </c>
      <c r="I364" s="328" t="s">
        <v>923</v>
      </c>
      <c r="J364" s="328" t="str">
        <f>INDEX(二三级标准!$Q:$Q,MATCH(服务费底表!I364,二三级标准!$O:$O,0))</f>
        <v>数据管理</v>
      </c>
      <c r="K364" s="328" t="s">
        <v>297</v>
      </c>
      <c r="L364" s="328" t="str">
        <f>INDEX(二三级标准!C:C,MATCH(服务费底表!K364,二三级标准!$B:$B,0))</f>
        <v>递交项目定制报告</v>
      </c>
      <c r="M364" s="328" t="s">
        <v>1428</v>
      </c>
      <c r="N364" s="328" t="str">
        <f>INDEX(二三级标准!$M:$M,MATCH(服务费底表!$M364,二三级标准!$L:$L,0))</f>
        <v>其他项目要求报告抽取和提交</v>
      </c>
      <c r="O364" s="328"/>
      <c r="P364" s="531">
        <f>IF(R364=1,IFERROR(ROUND((入组月+治疗月+随访月+长随访月+锁库月),0),0),0)</f>
        <v>0</v>
      </c>
      <c r="Q364" s="330" t="s">
        <v>1178</v>
      </c>
      <c r="R364" s="520">
        <f>IF(AND(递交项目定制报告YN=1,数据管理YN=1),1,0)</f>
        <v>0</v>
      </c>
      <c r="S364" s="524" t="str">
        <f>INDEX('Rate Card'!$D:$D,MATCH(服务费底表!$T364,'Rate Card'!F:F,0))</f>
        <v>数据管理</v>
      </c>
      <c r="T364" s="328" t="s">
        <v>629</v>
      </c>
      <c r="U364" s="522" t="str">
        <f>INDEX('Rate Card'!$E:$E,MATCH(服务费底表!$T364,'Rate Card'!$F:$F,0))</f>
        <v>数据库编程员</v>
      </c>
      <c r="V364" s="331">
        <f>INDEX('Rate Card'!$J:$J,MATCH($T364,'Rate Card'!$F:$F,0))</f>
        <v>300</v>
      </c>
      <c r="W364" s="523">
        <f t="shared" si="324"/>
        <v>300</v>
      </c>
      <c r="X364" s="523">
        <f t="shared" si="325"/>
        <v>0.2</v>
      </c>
      <c r="Y364" s="327" cm="1">
        <f t="array" ref="Y364">_xlfn.IFS(报价场景=服务费底表!$AJ$2,服务费底表!$AJ364,报价场景=服务费底表!$AP$2,服务费底表!$AP364,报价场景=服务费底表!$AK$2,服务费底表!$AK364,报价场景=服务费底表!$AL$2,服务费底表!$AL364,报价场景=服务费底表!$AM$2,服务费底表!$AM364,报价场景=服务费底表!$AN$2,服务费底表!$AN364,报价场景=服务费底表!$AQ$2,服务费底表!$AQ364,报价场景=服务费底表!$AO$2,服务费底表!$AO364)</f>
        <v>0.2</v>
      </c>
      <c r="Z364" s="327"/>
      <c r="AA364" s="332">
        <f t="shared" ref="AA364:AA375" si="337">IF(ISBLANK($Z364),$Y364,$Z364)</f>
        <v>0.2</v>
      </c>
      <c r="AB364" s="333">
        <f t="shared" si="333"/>
        <v>0</v>
      </c>
      <c r="AC364" s="328">
        <f t="shared" si="334"/>
        <v>0</v>
      </c>
      <c r="AD364" s="334">
        <f t="shared" si="335"/>
        <v>0</v>
      </c>
      <c r="AE364" s="334">
        <f>$AB364*(1-INDEX(项目参数!$D$5:$D$14,MATCH(服务费底表!$S364,项目参数!$B$5:$B$14,0)))</f>
        <v>0</v>
      </c>
      <c r="AF364" s="334">
        <f>$AD364*INDEX(项目参数!$D$5:$D$14,MATCH(服务费底表!$S364,项目参数!$B$5:$B$14,0))</f>
        <v>0</v>
      </c>
      <c r="AG364" s="334">
        <f t="shared" si="336"/>
        <v>0</v>
      </c>
      <c r="AH364" s="328"/>
      <c r="AI364" s="328" t="s">
        <v>629</v>
      </c>
      <c r="AJ364" s="327">
        <v>0.2</v>
      </c>
      <c r="AK364" s="327">
        <v>0.2</v>
      </c>
      <c r="AL364" s="327">
        <v>0.2</v>
      </c>
      <c r="AM364" s="327">
        <v>0.2</v>
      </c>
      <c r="AN364" s="327">
        <v>0.2</v>
      </c>
      <c r="AO364" s="327">
        <f t="shared" si="318"/>
        <v>0.2</v>
      </c>
      <c r="AP364" s="327">
        <v>0.2</v>
      </c>
      <c r="AQ364" s="327">
        <f t="shared" si="326"/>
        <v>0.3</v>
      </c>
      <c r="AR364" s="338"/>
      <c r="AS364" s="328">
        <f t="shared" si="328"/>
        <v>0</v>
      </c>
      <c r="AT364" s="328">
        <f t="shared" si="329"/>
        <v>0</v>
      </c>
      <c r="AU364" s="523">
        <v>0.2</v>
      </c>
      <c r="AV364" s="328"/>
      <c r="AW364" s="328"/>
      <c r="AX364" s="332">
        <v>0.2</v>
      </c>
      <c r="AY364" s="328" t="b">
        <f t="shared" si="327"/>
        <v>1</v>
      </c>
      <c r="AZ364" s="328" t="b">
        <f t="shared" si="312"/>
        <v>0</v>
      </c>
    </row>
    <row r="365" ht="27" customHeight="1" spans="1:52">
      <c r="A365" s="326" t="str">
        <f>INDEX('Rate Card'!$A:$A,MATCH(服务费底表!$T365,'Rate Card'!$F:$F,0))</f>
        <v>数统</v>
      </c>
      <c r="B365" s="327" t="str">
        <f>INDEX(二三级标准!$G:$G,MATCH(服务费底表!$K365,二三级标准!B:B,0))</f>
        <v>条</v>
      </c>
      <c r="C365" s="327">
        <f>INDEX(服务费明细!$E:$E,MATCH(服务费底表!$K365,服务费明细!$B:$B,0))</f>
        <v>0</v>
      </c>
      <c r="D365" s="327" t="str">
        <f t="shared" si="331"/>
        <v>A255DM</v>
      </c>
      <c r="E365" s="327" t="str">
        <f t="shared" si="332"/>
        <v>T0736DM</v>
      </c>
      <c r="F365" s="328"/>
      <c r="G365" s="328" t="s">
        <v>684</v>
      </c>
      <c r="H365" s="326" t="str">
        <f>INDEX('Rate Card'!$B:$B,MATCH(服务费底表!$T365,'Rate Card'!$F:$F,0))</f>
        <v>数据管理</v>
      </c>
      <c r="I365" s="328" t="s">
        <v>923</v>
      </c>
      <c r="J365" s="328" t="str">
        <f>INDEX(二三级标准!$Q:$Q,MATCH(服务费底表!I365,二三级标准!$O:$O,0))</f>
        <v>数据管理</v>
      </c>
      <c r="K365" s="328" t="s">
        <v>1064</v>
      </c>
      <c r="L365" s="328" t="str">
        <f>INDEX(二三级标准!C:C,MATCH(服务费底表!K365,二三级标准!$B:$B,0))</f>
        <v>方案偏离列表编程</v>
      </c>
      <c r="M365" s="328" t="s">
        <v>1429</v>
      </c>
      <c r="N365" s="328" t="str">
        <f>INDEX(二三级标准!$M:$M,MATCH(服务费底表!$M365,二三级标准!$L:$L,0))</f>
        <v>方案偏离列表编程说明</v>
      </c>
      <c r="O365" s="328"/>
      <c r="P365" s="531">
        <f>IF(R365=1,INDEX(服务费明细!$E:$E,MATCH(服务费底表!$K365,服务费明细!$B:$B,0)),0)</f>
        <v>0</v>
      </c>
      <c r="Q365" s="328" t="s">
        <v>1380</v>
      </c>
      <c r="R365" s="520">
        <f>IF(AND(审核方案违背数据YN=1,数据管理YN=1,项目参数!$E$96="编程"),1,0)</f>
        <v>0</v>
      </c>
      <c r="S365" s="524" t="str">
        <f>INDEX('Rate Card'!$D:$D,MATCH(服务费底表!$T365,'Rate Card'!F:F,0))</f>
        <v>数据管理</v>
      </c>
      <c r="T365" s="328" t="s">
        <v>631</v>
      </c>
      <c r="U365" s="522" t="str">
        <f>INDEX('Rate Card'!$E:$E,MATCH(服务费底表!$T365,'Rate Card'!$F:$F,0))</f>
        <v>数据管理专员</v>
      </c>
      <c r="V365" s="331">
        <f>INDEX('Rate Card'!$J:$J,MATCH($T365,'Rate Card'!$F:$F,0))</f>
        <v>200</v>
      </c>
      <c r="W365" s="523">
        <f t="shared" si="324"/>
        <v>200</v>
      </c>
      <c r="X365" s="523">
        <f t="shared" si="325"/>
        <v>0.4</v>
      </c>
      <c r="Y365" s="327" cm="1">
        <f t="array" ref="Y365">_xlfn.IFS(报价场景=服务费底表!$AJ$2,服务费底表!$AJ365,报价场景=服务费底表!$AP$2,服务费底表!$AP365,报价场景=服务费底表!$AK$2,服务费底表!$AK365,报价场景=服务费底表!$AL$2,服务费底表!$AL365,报价场景=服务费底表!$AM$2,服务费底表!$AM365,报价场景=服务费底表!$AN$2,服务费底表!$AN365,报价场景=服务费底表!$AQ$2,服务费底表!$AQ365,报价场景=服务费底表!$AO$2,服务费底表!$AO365)</f>
        <v>0.4</v>
      </c>
      <c r="Z365" s="327"/>
      <c r="AA365" s="332">
        <f t="shared" si="337"/>
        <v>0.4</v>
      </c>
      <c r="AB365" s="333">
        <f t="shared" si="333"/>
        <v>0</v>
      </c>
      <c r="AC365" s="328">
        <f t="shared" si="334"/>
        <v>0</v>
      </c>
      <c r="AD365" s="334">
        <f t="shared" si="335"/>
        <v>0</v>
      </c>
      <c r="AE365" s="334">
        <f>$AB365*(1-INDEX(项目参数!$D$5:$D$14,MATCH(服务费底表!$S365,项目参数!$B$5:$B$14,0)))</f>
        <v>0</v>
      </c>
      <c r="AF365" s="334">
        <f>$AD365*INDEX(项目参数!$D$5:$D$14,MATCH(服务费底表!$S365,项目参数!$B$5:$B$14,0))</f>
        <v>0</v>
      </c>
      <c r="AG365" s="334">
        <f t="shared" si="336"/>
        <v>0</v>
      </c>
      <c r="AH365" s="328"/>
      <c r="AI365" s="328" t="s">
        <v>631</v>
      </c>
      <c r="AJ365" s="327">
        <v>0.4</v>
      </c>
      <c r="AK365" s="327">
        <v>0.4</v>
      </c>
      <c r="AL365" s="327">
        <v>0.4</v>
      </c>
      <c r="AM365" s="327">
        <v>0.4</v>
      </c>
      <c r="AN365" s="327">
        <v>0.4</v>
      </c>
      <c r="AO365" s="327">
        <f t="shared" si="318"/>
        <v>0.4</v>
      </c>
      <c r="AP365" s="327">
        <v>0.4</v>
      </c>
      <c r="AQ365" s="327">
        <f t="shared" si="326"/>
        <v>0.6</v>
      </c>
      <c r="AR365" s="338"/>
      <c r="AS365" s="328">
        <f t="shared" ref="AS365:AS378" si="338">AC365</f>
        <v>0</v>
      </c>
      <c r="AT365" s="328">
        <f t="shared" ref="AT365:AT378" si="339">Y365*P365</f>
        <v>0</v>
      </c>
      <c r="AU365" s="523">
        <v>0.4</v>
      </c>
      <c r="AV365" s="328"/>
      <c r="AW365" s="328"/>
      <c r="AX365" s="332">
        <v>0.4</v>
      </c>
      <c r="AY365" s="328" t="b">
        <f t="shared" ref="AY365:AY378" si="340">IF(AX365=AJ365,TRUE,FALSE)</f>
        <v>1</v>
      </c>
      <c r="AZ365" s="328" t="b">
        <f t="shared" si="312"/>
        <v>1</v>
      </c>
    </row>
    <row r="366" ht="27" customHeight="1" spans="1:52">
      <c r="A366" s="326" t="str">
        <f>INDEX('Rate Card'!$A:$A,MATCH(服务费底表!$T366,'Rate Card'!$F:$F,0))</f>
        <v>数统</v>
      </c>
      <c r="B366" s="327" t="str">
        <f>INDEX(二三级标准!$G:$G,MATCH(服务费底表!$K366,二三级标准!B:B,0))</f>
        <v>条</v>
      </c>
      <c r="C366" s="327">
        <f>INDEX(服务费明细!$E:$E,MATCH(服务费底表!$K366,服务费明细!$B:$B,0))</f>
        <v>0</v>
      </c>
      <c r="D366" s="327" t="str">
        <f t="shared" si="331"/>
        <v>A255DBP</v>
      </c>
      <c r="E366" s="327" t="str">
        <f t="shared" si="332"/>
        <v>T0737DBP</v>
      </c>
      <c r="F366" s="328"/>
      <c r="G366" s="328" t="s">
        <v>684</v>
      </c>
      <c r="H366" s="326" t="str">
        <f>INDEX('Rate Card'!$B:$B,MATCH(服务费底表!$T366,'Rate Card'!$F:$F,0))</f>
        <v>数据管理</v>
      </c>
      <c r="I366" s="328" t="s">
        <v>923</v>
      </c>
      <c r="J366" s="328" t="str">
        <f>INDEX(二三级标准!$Q:$Q,MATCH(服务费底表!I366,二三级标准!$O:$O,0))</f>
        <v>数据管理</v>
      </c>
      <c r="K366" s="328" t="s">
        <v>1064</v>
      </c>
      <c r="L366" s="328" t="str">
        <f>INDEX(二三级标准!C:C,MATCH(服务费底表!K366,二三级标准!$B:$B,0))</f>
        <v>方案偏离列表编程</v>
      </c>
      <c r="M366" s="328" t="s">
        <v>1430</v>
      </c>
      <c r="N366" s="328" t="str">
        <f>INDEX(二三级标准!$M:$M,MATCH(服务费底表!$M366,二三级标准!$L:$L,0))</f>
        <v>方案偏离列表编程(SAS)</v>
      </c>
      <c r="O366" s="328"/>
      <c r="P366" s="531">
        <f>IF(R366=1,INDEX(服务费明细!$E:$E,MATCH(服务费底表!$K366,服务费明细!$B:$B,0)),0)</f>
        <v>0</v>
      </c>
      <c r="Q366" s="328" t="s">
        <v>1380</v>
      </c>
      <c r="R366" s="520">
        <f>IF(AND(审核方案违背数据YN=1,数据管理YN=1,项目参数!$E$96="编程"),1,0)</f>
        <v>0</v>
      </c>
      <c r="S366" s="524" t="str">
        <f>INDEX('Rate Card'!$D:$D,MATCH(服务费底表!$T366,'Rate Card'!F:F,0))</f>
        <v>数据管理</v>
      </c>
      <c r="T366" s="328" t="s">
        <v>629</v>
      </c>
      <c r="U366" s="522" t="str">
        <f>INDEX('Rate Card'!$E:$E,MATCH(服务费底表!$T366,'Rate Card'!$F:$F,0))</f>
        <v>数据库编程员</v>
      </c>
      <c r="V366" s="331">
        <f>INDEX('Rate Card'!$J:$J,MATCH($T366,'Rate Card'!$F:$F,0))</f>
        <v>300</v>
      </c>
      <c r="W366" s="523">
        <f t="shared" si="324"/>
        <v>300</v>
      </c>
      <c r="X366" s="523">
        <f t="shared" si="325"/>
        <v>0.5</v>
      </c>
      <c r="Y366" s="327" cm="1">
        <f t="array" ref="Y366">_xlfn.IFS(报价场景=服务费底表!$AJ$2,服务费底表!$AJ366,报价场景=服务费底表!$AP$2,服务费底表!$AP366,报价场景=服务费底表!$AK$2,服务费底表!$AK366,报价场景=服务费底表!$AL$2,服务费底表!$AL366,报价场景=服务费底表!$AM$2,服务费底表!$AM366,报价场景=服务费底表!$AN$2,服务费底表!$AN366,报价场景=服务费底表!$AQ$2,服务费底表!$AQ366,报价场景=服务费底表!$AO$2,服务费底表!$AO366)</f>
        <v>0.5</v>
      </c>
      <c r="Z366" s="327"/>
      <c r="AA366" s="332">
        <f t="shared" si="337"/>
        <v>0.5</v>
      </c>
      <c r="AB366" s="333">
        <f t="shared" si="333"/>
        <v>0</v>
      </c>
      <c r="AC366" s="328">
        <f t="shared" si="334"/>
        <v>0</v>
      </c>
      <c r="AD366" s="334">
        <f t="shared" si="335"/>
        <v>0</v>
      </c>
      <c r="AE366" s="334">
        <f>$AB366*(1-INDEX(项目参数!$D$5:$D$14,MATCH(服务费底表!$S366,项目参数!$B$5:$B$14,0)))</f>
        <v>0</v>
      </c>
      <c r="AF366" s="334">
        <f>$AD366*INDEX(项目参数!$D$5:$D$14,MATCH(服务费底表!$S366,项目参数!$B$5:$B$14,0))</f>
        <v>0</v>
      </c>
      <c r="AG366" s="334">
        <f t="shared" si="336"/>
        <v>0</v>
      </c>
      <c r="AH366" s="328"/>
      <c r="AI366" s="328" t="s">
        <v>629</v>
      </c>
      <c r="AJ366" s="327">
        <v>0.5</v>
      </c>
      <c r="AK366" s="327">
        <v>0.5</v>
      </c>
      <c r="AL366" s="327">
        <v>0.5</v>
      </c>
      <c r="AM366" s="327">
        <v>0.5</v>
      </c>
      <c r="AN366" s="327">
        <v>0.5</v>
      </c>
      <c r="AO366" s="327">
        <f t="shared" si="318"/>
        <v>0.5</v>
      </c>
      <c r="AP366" s="327">
        <v>0.5</v>
      </c>
      <c r="AQ366" s="327">
        <f t="shared" si="326"/>
        <v>0.75</v>
      </c>
      <c r="AR366" s="338"/>
      <c r="AS366" s="328">
        <f t="shared" si="338"/>
        <v>0</v>
      </c>
      <c r="AT366" s="328">
        <f t="shared" si="339"/>
        <v>0</v>
      </c>
      <c r="AU366" s="523">
        <v>0.5</v>
      </c>
      <c r="AV366" s="328"/>
      <c r="AW366" s="328"/>
      <c r="AX366" s="332">
        <v>0.5</v>
      </c>
      <c r="AY366" s="328" t="b">
        <f t="shared" si="340"/>
        <v>1</v>
      </c>
      <c r="AZ366" s="328" t="b">
        <f t="shared" si="312"/>
        <v>1</v>
      </c>
    </row>
    <row r="367" ht="27" customHeight="1" spans="1:52">
      <c r="A367" s="326" t="str">
        <f>INDEX('Rate Card'!$A:$A,MATCH(服务费底表!$T367,'Rate Card'!$F:$F,0))</f>
        <v>数统</v>
      </c>
      <c r="B367" s="327" t="str">
        <f>INDEX(二三级标准!$G:$G,MATCH(服务费底表!$K367,二三级标准!B:B,0))</f>
        <v>条</v>
      </c>
      <c r="C367" s="327">
        <f>INDEX(服务费明细!$E:$E,MATCH(服务费底表!$K367,服务费明细!$B:$B,0))</f>
        <v>0</v>
      </c>
      <c r="D367" s="327" t="str">
        <f t="shared" si="331"/>
        <v>A255DM</v>
      </c>
      <c r="E367" s="327" t="str">
        <f t="shared" si="332"/>
        <v>T0738DM</v>
      </c>
      <c r="F367" s="328"/>
      <c r="G367" s="328" t="s">
        <v>684</v>
      </c>
      <c r="H367" s="326" t="str">
        <f>INDEX('Rate Card'!$B:$B,MATCH(服务费底表!$T367,'Rate Card'!$F:$F,0))</f>
        <v>数据管理</v>
      </c>
      <c r="I367" s="328" t="s">
        <v>923</v>
      </c>
      <c r="J367" s="328" t="str">
        <f>INDEX(二三级标准!$Q:$Q,MATCH(服务费底表!I367,二三级标准!$O:$O,0))</f>
        <v>数据管理</v>
      </c>
      <c r="K367" s="328" t="s">
        <v>1064</v>
      </c>
      <c r="L367" s="328" t="str">
        <f>INDEX(二三级标准!C:C,MATCH(服务费底表!K367,二三级标准!$B:$B,0))</f>
        <v>方案偏离列表编程</v>
      </c>
      <c r="M367" s="328" t="s">
        <v>1431</v>
      </c>
      <c r="N367" s="328" t="str">
        <f>INDEX(二三级标准!$M:$M,MATCH(服务费底表!$M367,二三级标准!$L:$L,0))</f>
        <v>方案偏离列表测试(SAS)</v>
      </c>
      <c r="O367" s="328"/>
      <c r="P367" s="531">
        <f>IF(R367=1,INDEX(服务费明细!$E:$E,MATCH(服务费底表!$K367,服务费明细!$B:$B,0)),0)</f>
        <v>0</v>
      </c>
      <c r="Q367" s="328" t="s">
        <v>1380</v>
      </c>
      <c r="R367" s="520">
        <f>IF(AND(审核方案违背数据YN=1,数据管理YN=1,项目参数!$E$96="编程"),1,0)</f>
        <v>0</v>
      </c>
      <c r="S367" s="524" t="str">
        <f>INDEX('Rate Card'!$D:$D,MATCH(服务费底表!$T367,'Rate Card'!F:F,0))</f>
        <v>数据管理</v>
      </c>
      <c r="T367" s="328" t="s">
        <v>631</v>
      </c>
      <c r="U367" s="522" t="str">
        <f>INDEX('Rate Card'!$E:$E,MATCH(服务费底表!$T367,'Rate Card'!$F:$F,0))</f>
        <v>数据管理专员</v>
      </c>
      <c r="V367" s="331">
        <f>INDEX('Rate Card'!$J:$J,MATCH($T367,'Rate Card'!$F:$F,0))</f>
        <v>200</v>
      </c>
      <c r="W367" s="523">
        <f t="shared" si="324"/>
        <v>200</v>
      </c>
      <c r="X367" s="523">
        <f t="shared" si="325"/>
        <v>0.5</v>
      </c>
      <c r="Y367" s="327" cm="1">
        <f t="array" ref="Y367">_xlfn.IFS(报价场景=服务费底表!$AJ$2,服务费底表!$AJ367,报价场景=服务费底表!$AP$2,服务费底表!$AP367,报价场景=服务费底表!$AK$2,服务费底表!$AK367,报价场景=服务费底表!$AL$2,服务费底表!$AL367,报价场景=服务费底表!$AM$2,服务费底表!$AM367,报价场景=服务费底表!$AN$2,服务费底表!$AN367,报价场景=服务费底表!$AQ$2,服务费底表!$AQ367,报价场景=服务费底表!$AO$2,服务费底表!$AO367)</f>
        <v>0.5</v>
      </c>
      <c r="Z367" s="327"/>
      <c r="AA367" s="332">
        <f t="shared" si="337"/>
        <v>0.5</v>
      </c>
      <c r="AB367" s="333">
        <f t="shared" si="333"/>
        <v>0</v>
      </c>
      <c r="AC367" s="328">
        <f t="shared" si="334"/>
        <v>0</v>
      </c>
      <c r="AD367" s="334">
        <f t="shared" si="335"/>
        <v>0</v>
      </c>
      <c r="AE367" s="334">
        <f>$AB367*(1-INDEX(项目参数!$D$5:$D$14,MATCH(服务费底表!$S367,项目参数!$B$5:$B$14,0)))</f>
        <v>0</v>
      </c>
      <c r="AF367" s="334">
        <f>$AD367*INDEX(项目参数!$D$5:$D$14,MATCH(服务费底表!$S367,项目参数!$B$5:$B$14,0))</f>
        <v>0</v>
      </c>
      <c r="AG367" s="334">
        <f t="shared" si="336"/>
        <v>0</v>
      </c>
      <c r="AH367" s="328"/>
      <c r="AI367" s="328" t="s">
        <v>631</v>
      </c>
      <c r="AJ367" s="327">
        <v>0.5</v>
      </c>
      <c r="AK367" s="327">
        <v>0.5</v>
      </c>
      <c r="AL367" s="327">
        <v>0.5</v>
      </c>
      <c r="AM367" s="327">
        <v>0.5</v>
      </c>
      <c r="AN367" s="327">
        <v>0.5</v>
      </c>
      <c r="AO367" s="327">
        <f t="shared" si="318"/>
        <v>0.5</v>
      </c>
      <c r="AP367" s="327">
        <v>0.5</v>
      </c>
      <c r="AQ367" s="327">
        <f t="shared" si="326"/>
        <v>0.75</v>
      </c>
      <c r="AR367" s="338"/>
      <c r="AS367" s="328">
        <f t="shared" si="338"/>
        <v>0</v>
      </c>
      <c r="AT367" s="328">
        <f t="shared" si="339"/>
        <v>0</v>
      </c>
      <c r="AU367" s="523">
        <v>0.5</v>
      </c>
      <c r="AV367" s="328"/>
      <c r="AW367" s="328"/>
      <c r="AX367" s="332">
        <v>0.5</v>
      </c>
      <c r="AY367" s="328" t="b">
        <f t="shared" si="340"/>
        <v>1</v>
      </c>
      <c r="AZ367" s="328" t="b">
        <f t="shared" si="312"/>
        <v>1</v>
      </c>
    </row>
    <row r="368" ht="27" customHeight="1" spans="1:52">
      <c r="A368" s="326" t="str">
        <f>INDEX('Rate Card'!$A:$A,MATCH(服务费底表!$T368,'Rate Card'!$F:$F,0))</f>
        <v>数统</v>
      </c>
      <c r="B368" s="327" t="str">
        <f>INDEX(二三级标准!$G:$G,MATCH(服务费底表!$K368,二三级标准!B:B,0))</f>
        <v>次</v>
      </c>
      <c r="C368" s="327">
        <f>INDEX(服务费明细!$E:$E,MATCH(服务费底表!$K368,服务费明细!$B:$B,0))</f>
        <v>0</v>
      </c>
      <c r="D368" s="327" t="str">
        <f t="shared" si="331"/>
        <v>A256DBP</v>
      </c>
      <c r="E368" s="327" t="str">
        <f t="shared" si="332"/>
        <v>T0739DBP</v>
      </c>
      <c r="F368" s="328"/>
      <c r="G368" s="328" t="s">
        <v>684</v>
      </c>
      <c r="H368" s="326" t="str">
        <f>INDEX('Rate Card'!$B:$B,MATCH(服务费底表!$T368,'Rate Card'!$F:$F,0))</f>
        <v>数据管理</v>
      </c>
      <c r="I368" s="328" t="s">
        <v>923</v>
      </c>
      <c r="J368" s="328" t="str">
        <f>INDEX(二三级标准!$Q:$Q,MATCH(服务费底表!I368,二三级标准!$O:$O,0))</f>
        <v>数据管理</v>
      </c>
      <c r="K368" s="328" t="s">
        <v>1065</v>
      </c>
      <c r="L368" s="328" t="str">
        <f>INDEX(二三级标准!C:C,MATCH(服务费底表!K368,二三级标准!$B:$B,0))</f>
        <v>审核方案偏离数据</v>
      </c>
      <c r="M368" s="328" t="s">
        <v>1432</v>
      </c>
      <c r="N368" s="328" t="str">
        <f>INDEX(二三级标准!$M:$M,MATCH(服务费底表!$M368,二三级标准!$L:$L,0))</f>
        <v>方案偏离列表运行(SAS)</v>
      </c>
      <c r="O368" s="328"/>
      <c r="P368" s="531">
        <f>IF(R368=1,INDEX(服务费明细!$E:$E,MATCH(服务费底表!$K368,服务费明细!$B:$B,0)),0)</f>
        <v>0</v>
      </c>
      <c r="Q368" s="328" t="s">
        <v>1178</v>
      </c>
      <c r="R368" s="520">
        <v>0</v>
      </c>
      <c r="S368" s="524" t="str">
        <f>INDEX('Rate Card'!$D:$D,MATCH(服务费底表!$T368,'Rate Card'!F:F,0))</f>
        <v>数据管理</v>
      </c>
      <c r="T368" s="328" t="s">
        <v>629</v>
      </c>
      <c r="U368" s="522" t="str">
        <f>INDEX('Rate Card'!$E:$E,MATCH(服务费底表!$T368,'Rate Card'!$F:$F,0))</f>
        <v>数据库编程员</v>
      </c>
      <c r="V368" s="331">
        <f>INDEX('Rate Card'!$J:$J,MATCH($T368,'Rate Card'!$F:$F,0))</f>
        <v>300</v>
      </c>
      <c r="W368" s="523">
        <f t="shared" si="324"/>
        <v>300</v>
      </c>
      <c r="X368" s="523">
        <f t="shared" si="325"/>
        <v>0.5</v>
      </c>
      <c r="Y368" s="327" cm="1">
        <f t="array" ref="Y368">_xlfn.IFS(报价场景=服务费底表!$AJ$2,服务费底表!$AJ368,报价场景=服务费底表!$AP$2,服务费底表!$AP368,报价场景=服务费底表!$AK$2,服务费底表!$AK368,报价场景=服务费底表!$AL$2,服务费底表!$AL368,报价场景=服务费底表!$AM$2,服务费底表!$AM368,报价场景=服务费底表!$AN$2,服务费底表!$AN368,报价场景=服务费底表!$AQ$2,服务费底表!$AQ368,报价场景=服务费底表!$AO$2,服务费底表!$AO368)</f>
        <v>0.5</v>
      </c>
      <c r="Z368" s="327"/>
      <c r="AA368" s="332">
        <f t="shared" si="337"/>
        <v>0.5</v>
      </c>
      <c r="AB368" s="333">
        <f t="shared" si="333"/>
        <v>0</v>
      </c>
      <c r="AC368" s="328">
        <f t="shared" si="334"/>
        <v>0</v>
      </c>
      <c r="AD368" s="334">
        <f t="shared" si="335"/>
        <v>0</v>
      </c>
      <c r="AE368" s="334">
        <f>$AB368*(1-INDEX(项目参数!$D$5:$D$14,MATCH(服务费底表!$S368,项目参数!$B$5:$B$14,0)))</f>
        <v>0</v>
      </c>
      <c r="AF368" s="334">
        <f>$AD368*INDEX(项目参数!$D$5:$D$14,MATCH(服务费底表!$S368,项目参数!$B$5:$B$14,0))</f>
        <v>0</v>
      </c>
      <c r="AG368" s="334">
        <f t="shared" si="336"/>
        <v>0</v>
      </c>
      <c r="AH368" s="328"/>
      <c r="AI368" s="328" t="s">
        <v>629</v>
      </c>
      <c r="AJ368" s="327">
        <v>0.5</v>
      </c>
      <c r="AK368" s="327">
        <v>0.5</v>
      </c>
      <c r="AL368" s="327">
        <v>0.2</v>
      </c>
      <c r="AM368" s="327">
        <v>0.5</v>
      </c>
      <c r="AN368" s="327">
        <v>0.5</v>
      </c>
      <c r="AO368" s="327">
        <f t="shared" si="318"/>
        <v>0.2</v>
      </c>
      <c r="AP368" s="327">
        <v>0.5</v>
      </c>
      <c r="AQ368" s="327">
        <f t="shared" si="326"/>
        <v>0.75</v>
      </c>
      <c r="AR368" s="338"/>
      <c r="AS368" s="328">
        <f t="shared" si="338"/>
        <v>0</v>
      </c>
      <c r="AT368" s="328">
        <f t="shared" si="339"/>
        <v>0</v>
      </c>
      <c r="AU368" s="523">
        <v>0.5</v>
      </c>
      <c r="AV368" s="328"/>
      <c r="AW368" s="328"/>
      <c r="AX368" s="332">
        <v>0.5</v>
      </c>
      <c r="AY368" s="328" t="b">
        <f t="shared" si="340"/>
        <v>1</v>
      </c>
      <c r="AZ368" s="328" t="b">
        <f t="shared" si="312"/>
        <v>0</v>
      </c>
    </row>
    <row r="369" ht="27" customHeight="1" spans="1:52">
      <c r="A369" s="326" t="str">
        <f>INDEX('Rate Card'!$A:$A,MATCH(服务费底表!$T369,'Rate Card'!$F:$F,0))</f>
        <v>数统</v>
      </c>
      <c r="B369" s="327" t="str">
        <f>INDEX(二三级标准!$G:$G,MATCH(服务费底表!$K369,二三级标准!B:B,0))</f>
        <v>次</v>
      </c>
      <c r="C369" s="327">
        <f>INDEX(服务费明细!$E:$E,MATCH(服务费底表!$K369,服务费明细!$B:$B,0))</f>
        <v>0</v>
      </c>
      <c r="D369" s="327" t="str">
        <f t="shared" si="331"/>
        <v>A256DM</v>
      </c>
      <c r="E369" s="327" t="str">
        <f t="shared" si="332"/>
        <v>T0740DM</v>
      </c>
      <c r="F369" s="328"/>
      <c r="G369" s="328" t="s">
        <v>684</v>
      </c>
      <c r="H369" s="326" t="str">
        <f>INDEX('Rate Card'!$B:$B,MATCH(服务费底表!$T369,'Rate Card'!$F:$F,0))</f>
        <v>数据管理</v>
      </c>
      <c r="I369" s="328" t="s">
        <v>923</v>
      </c>
      <c r="J369" s="328" t="str">
        <f>INDEX(二三级标准!$Q:$Q,MATCH(服务费底表!I369,二三级标准!$O:$O,0))</f>
        <v>数据管理</v>
      </c>
      <c r="K369" s="328" t="s">
        <v>1065</v>
      </c>
      <c r="L369" s="328" t="str">
        <f>INDEX(二三级标准!C:C,MATCH(服务费底表!K369,二三级标准!$B:$B,0))</f>
        <v>审核方案偏离数据</v>
      </c>
      <c r="M369" s="328" t="s">
        <v>1433</v>
      </c>
      <c r="N369" s="328" t="str">
        <f>INDEX(二三级标准!$M:$M,MATCH(服务费底表!$M369,二三级标准!$L:$L,0))</f>
        <v>方案偏离列表核查</v>
      </c>
      <c r="O369" s="328"/>
      <c r="P369" s="531">
        <f>IF(R369=1,INDEX(服务费明细!$E:$E,MATCH(服务费底表!$K369,服务费明细!$B:$B,0)),0)</f>
        <v>0</v>
      </c>
      <c r="Q369" s="328" t="s">
        <v>1178</v>
      </c>
      <c r="R369" s="520">
        <f>IF(AND(审核方案偏离数据YN=1,数据管理YN=1),1,0)</f>
        <v>0</v>
      </c>
      <c r="S369" s="524" t="str">
        <f>INDEX('Rate Card'!$D:$D,MATCH(服务费底表!$T369,'Rate Card'!F:F,0))</f>
        <v>数据管理</v>
      </c>
      <c r="T369" s="328" t="s">
        <v>631</v>
      </c>
      <c r="U369" s="522" t="str">
        <f>INDEX('Rate Card'!$E:$E,MATCH(服务费底表!$T369,'Rate Card'!$F:$F,0))</f>
        <v>数据管理专员</v>
      </c>
      <c r="V369" s="331">
        <f>INDEX('Rate Card'!$J:$J,MATCH($T369,'Rate Card'!$F:$F,0))</f>
        <v>200</v>
      </c>
      <c r="W369" s="523">
        <f t="shared" si="324"/>
        <v>200</v>
      </c>
      <c r="X369" s="523">
        <f t="shared" si="325"/>
        <v>4</v>
      </c>
      <c r="Y369" s="327" cm="1">
        <f t="array" ref="Y369">_xlfn.IFS(报价场景=服务费底表!$AJ$2,服务费底表!$AJ369,报价场景=服务费底表!$AP$2,服务费底表!$AP369,报价场景=服务费底表!$AK$2,服务费底表!$AK369,报价场景=服务费底表!$AL$2,服务费底表!$AL369,报价场景=服务费底表!$AM$2,服务费底表!$AM369,报价场景=服务费底表!$AN$2,服务费底表!$AN369,报价场景=服务费底表!$AQ$2,服务费底表!$AQ369,报价场景=服务费底表!$AO$2,服务费底表!$AO369)</f>
        <v>4</v>
      </c>
      <c r="Z369" s="327"/>
      <c r="AA369" s="332">
        <f t="shared" si="337"/>
        <v>4</v>
      </c>
      <c r="AB369" s="333">
        <f t="shared" si="333"/>
        <v>0</v>
      </c>
      <c r="AC369" s="328">
        <f t="shared" si="334"/>
        <v>0</v>
      </c>
      <c r="AD369" s="334">
        <f t="shared" si="335"/>
        <v>0</v>
      </c>
      <c r="AE369" s="334">
        <f>$AB369*(1-INDEX(项目参数!$D$5:$D$14,MATCH(服务费底表!$S369,项目参数!$B$5:$B$14,0)))</f>
        <v>0</v>
      </c>
      <c r="AF369" s="334">
        <f>$AD369*INDEX(项目参数!$D$5:$D$14,MATCH(服务费底表!$S369,项目参数!$B$5:$B$14,0))</f>
        <v>0</v>
      </c>
      <c r="AG369" s="334">
        <f t="shared" si="336"/>
        <v>0</v>
      </c>
      <c r="AH369" s="328"/>
      <c r="AI369" s="328" t="s">
        <v>631</v>
      </c>
      <c r="AJ369" s="327">
        <v>4</v>
      </c>
      <c r="AK369" s="327">
        <v>8</v>
      </c>
      <c r="AL369" s="327">
        <v>4</v>
      </c>
      <c r="AM369" s="327">
        <v>4</v>
      </c>
      <c r="AN369" s="327">
        <v>4</v>
      </c>
      <c r="AO369" s="327">
        <f t="shared" si="318"/>
        <v>4</v>
      </c>
      <c r="AP369" s="327">
        <v>4</v>
      </c>
      <c r="AQ369" s="327">
        <f t="shared" si="326"/>
        <v>6</v>
      </c>
      <c r="AR369" s="338"/>
      <c r="AS369" s="328">
        <f t="shared" si="338"/>
        <v>0</v>
      </c>
      <c r="AT369" s="328">
        <f t="shared" si="339"/>
        <v>0</v>
      </c>
      <c r="AU369" s="523">
        <v>4</v>
      </c>
      <c r="AV369" s="328"/>
      <c r="AW369" s="328"/>
      <c r="AX369" s="332">
        <v>4</v>
      </c>
      <c r="AY369" s="328" t="b">
        <f t="shared" si="340"/>
        <v>1</v>
      </c>
      <c r="AZ369" s="328" t="b">
        <f t="shared" si="312"/>
        <v>0</v>
      </c>
    </row>
    <row r="370" ht="27" customHeight="1" spans="1:52">
      <c r="A370" s="326" t="str">
        <f>INDEX('Rate Card'!$A:$A,MATCH(服务费底表!$T370,'Rate Card'!$F:$F,0))</f>
        <v>数统</v>
      </c>
      <c r="B370" s="327" t="str">
        <f>INDEX(二三级标准!$G:$G,MATCH(服务费底表!$K370,二三级标准!B:B,0))</f>
        <v>中心</v>
      </c>
      <c r="C370" s="327">
        <f>INDEX(服务费明细!$E:$E,MATCH(服务费底表!$K370,服务费明细!$B:$B,0))</f>
        <v>4</v>
      </c>
      <c r="D370" s="327" t="str">
        <f t="shared" si="331"/>
        <v>A275DM</v>
      </c>
      <c r="E370" s="327" t="str">
        <f t="shared" si="332"/>
        <v>T0741DM</v>
      </c>
      <c r="F370" s="328"/>
      <c r="G370" s="328" t="s">
        <v>684</v>
      </c>
      <c r="H370" s="326" t="str">
        <f>INDEX('Rate Card'!$B:$B,MATCH(服务费底表!$T370,'Rate Card'!$F:$F,0))</f>
        <v>数据管理</v>
      </c>
      <c r="I370" s="328" t="s">
        <v>923</v>
      </c>
      <c r="J370" s="328" t="str">
        <f>INDEX(二三级标准!$Q:$Q,MATCH(服务费底表!I370,二三级标准!$O:$O,0))</f>
        <v>数据管理</v>
      </c>
      <c r="K370" s="328" t="s">
        <v>1066</v>
      </c>
      <c r="L370" s="328" t="str">
        <f>INDEX(二三级标准!C:C,MATCH(服务费底表!K370,二三级标准!$B:$B,0))</f>
        <v>EDC实验室范围值录入和管理</v>
      </c>
      <c r="M370" s="328" t="s">
        <v>1434</v>
      </c>
      <c r="N370" s="328" t="str">
        <f>INDEX(二三级标准!$M:$M,MATCH(服务费底表!$M370,二三级标准!$L:$L,0))</f>
        <v>EDC实验室范围值录入和管理</v>
      </c>
      <c r="O370" s="338"/>
      <c r="P370" s="531">
        <f>IF(R370=1,INDEX(服务费明细!$E:$E,MATCH(服务费底表!$K370,服务费明细!$B:$B,0)),0)</f>
        <v>4</v>
      </c>
      <c r="Q370" s="328" t="s">
        <v>1201</v>
      </c>
      <c r="R370" s="520">
        <f>IF(AND(EDC实验室范围YN=1,数据管理YN=1),1,0)</f>
        <v>1</v>
      </c>
      <c r="S370" s="524" t="str">
        <f>INDEX('Rate Card'!$D:$D,MATCH(服务费底表!$T370,'Rate Card'!F:F,0))</f>
        <v>数据管理</v>
      </c>
      <c r="T370" s="328" t="s">
        <v>631</v>
      </c>
      <c r="U370" s="522" t="str">
        <f>INDEX('Rate Card'!$E:$E,MATCH(服务费底表!$T370,'Rate Card'!$F:$F,0))</f>
        <v>数据管理专员</v>
      </c>
      <c r="V370" s="331">
        <f>INDEX('Rate Card'!$J:$J,MATCH($T370,'Rate Card'!$F:$F,0))</f>
        <v>200</v>
      </c>
      <c r="W370" s="523">
        <f t="shared" si="324"/>
        <v>200</v>
      </c>
      <c r="X370" s="523">
        <f t="shared" si="325"/>
        <v>2</v>
      </c>
      <c r="Y370" s="327" cm="1">
        <f t="array" ref="Y370">_xlfn.IFS(报价场景=服务费底表!$AJ$2,服务费底表!$AJ370,报价场景=服务费底表!$AP$2,服务费底表!$AP370,报价场景=服务费底表!$AK$2,服务费底表!$AK370,报价场景=服务费底表!$AL$2,服务费底表!$AL370,报价场景=服务费底表!$AM$2,服务费底表!$AM370,报价场景=服务费底表!$AN$2,服务费底表!$AN370,报价场景=服务费底表!$AQ$2,服务费底表!$AQ370,报价场景=服务费底表!$AO$2,服务费底表!$AO370)</f>
        <v>2</v>
      </c>
      <c r="Z370" s="327"/>
      <c r="AA370" s="332">
        <f t="shared" si="337"/>
        <v>2</v>
      </c>
      <c r="AB370" s="333">
        <f t="shared" si="333"/>
        <v>400</v>
      </c>
      <c r="AC370" s="328">
        <f t="shared" si="334"/>
        <v>8</v>
      </c>
      <c r="AD370" s="334">
        <f t="shared" si="335"/>
        <v>1600</v>
      </c>
      <c r="AE370" s="334">
        <f>$AB370*(1-INDEX(项目参数!$D$5:$D$14,MATCH(服务费底表!$S370,项目参数!$B$5:$B$14,0)))</f>
        <v>400</v>
      </c>
      <c r="AF370" s="334">
        <f>$AD370*INDEX(项目参数!$D$5:$D$14,MATCH(服务费底表!$S370,项目参数!$B$5:$B$14,0))</f>
        <v>0</v>
      </c>
      <c r="AG370" s="334">
        <f t="shared" si="336"/>
        <v>1600</v>
      </c>
      <c r="AH370" s="328"/>
      <c r="AI370" s="328" t="s">
        <v>631</v>
      </c>
      <c r="AJ370" s="327">
        <v>2</v>
      </c>
      <c r="AK370" s="327">
        <v>2</v>
      </c>
      <c r="AL370" s="327">
        <v>2</v>
      </c>
      <c r="AM370" s="327">
        <v>2</v>
      </c>
      <c r="AN370" s="327">
        <v>2</v>
      </c>
      <c r="AO370" s="327">
        <f t="shared" si="318"/>
        <v>2</v>
      </c>
      <c r="AP370" s="327">
        <v>2</v>
      </c>
      <c r="AQ370" s="327">
        <f t="shared" si="326"/>
        <v>3</v>
      </c>
      <c r="AR370" s="338"/>
      <c r="AS370" s="328">
        <f t="shared" si="338"/>
        <v>8</v>
      </c>
      <c r="AT370" s="328">
        <f t="shared" si="339"/>
        <v>8</v>
      </c>
      <c r="AU370" s="523">
        <v>2</v>
      </c>
      <c r="AV370" s="328"/>
      <c r="AW370" s="328"/>
      <c r="AX370" s="332">
        <v>2</v>
      </c>
      <c r="AY370" s="328" t="b">
        <f t="shared" si="340"/>
        <v>1</v>
      </c>
      <c r="AZ370" s="328" t="b">
        <f t="shared" si="312"/>
        <v>1</v>
      </c>
    </row>
    <row r="371" ht="27" customHeight="1" spans="1:52">
      <c r="A371" s="326" t="str">
        <f>INDEX('Rate Card'!$A:$A,MATCH(服务费底表!$T371,'Rate Card'!$F:$F,0))</f>
        <v>数统</v>
      </c>
      <c r="B371" s="327" t="str">
        <f>INDEX(二三级标准!$G:$G,MATCH(服务费底表!$K371,二三级标准!B:B,0))</f>
        <v>月</v>
      </c>
      <c r="C371" s="327">
        <f>INDEX(服务费明细!$E:$E,MATCH(服务费底表!$K371,服务费明细!$B:$B,0))</f>
        <v>14</v>
      </c>
      <c r="D371" s="327" t="str">
        <f t="shared" si="331"/>
        <v>A266DBP</v>
      </c>
      <c r="E371" s="327" t="str">
        <f t="shared" si="332"/>
        <v>T0281aDBP</v>
      </c>
      <c r="F371" s="328"/>
      <c r="G371" s="328" t="s">
        <v>684</v>
      </c>
      <c r="H371" s="326" t="str">
        <f>INDEX('Rate Card'!$B:$B,MATCH(服务费底表!$T371,'Rate Card'!$F:$F,0))</f>
        <v>数据管理</v>
      </c>
      <c r="I371" s="328" t="s">
        <v>923</v>
      </c>
      <c r="J371" s="328" t="str">
        <f>INDEX(二三级标准!$Q:$Q,MATCH(服务费底表!I371,二三级标准!$O:$O,0))</f>
        <v>数据管理</v>
      </c>
      <c r="K371" s="328" t="s">
        <v>1067</v>
      </c>
      <c r="L371" s="328" t="str">
        <f>INDEX(二三级标准!C:C,MATCH(服务费底表!K371,二三级标准!$B:$B,0))</f>
        <v>实施EDC数据库维护</v>
      </c>
      <c r="M371" s="328" t="s">
        <v>1435</v>
      </c>
      <c r="N371" s="328" t="str">
        <f>INDEX(二三级标准!$M:$M,MATCH(服务费底表!$M371,二三级标准!$L:$L,0))</f>
        <v>EDC运维和账号管理</v>
      </c>
      <c r="O371" s="328"/>
      <c r="P371" s="531">
        <f>IF(R371=1,INDEX(服务费明细!$E:$E,MATCH($K371,服务费明细!$B:$B,0)),0)</f>
        <v>14</v>
      </c>
      <c r="Q371" s="328" t="s">
        <v>1220</v>
      </c>
      <c r="R371" s="520">
        <f>IF(AND(实施日常数据库维护YN=1,数据管理YN=1),1,0)</f>
        <v>1</v>
      </c>
      <c r="S371" s="524" t="str">
        <f>INDEX('Rate Card'!$D:$D,MATCH(服务费底表!$T371,'Rate Card'!F:F,0))</f>
        <v>数据管理</v>
      </c>
      <c r="T371" s="328" t="s">
        <v>629</v>
      </c>
      <c r="U371" s="522" t="str">
        <f>INDEX('Rate Card'!$E:$E,MATCH(服务费底表!$T371,'Rate Card'!$F:$F,0))</f>
        <v>数据库编程员</v>
      </c>
      <c r="V371" s="331">
        <f>INDEX('Rate Card'!$J:$J,MATCH($T371,'Rate Card'!$F:$F,0))</f>
        <v>300</v>
      </c>
      <c r="W371" s="523">
        <f t="shared" si="324"/>
        <v>300</v>
      </c>
      <c r="X371" s="523">
        <f t="shared" si="325"/>
        <v>1</v>
      </c>
      <c r="Y371" s="327" cm="1">
        <f t="array" ref="Y371">_xlfn.IFS(报价场景=服务费底表!$AJ$2,服务费底表!$AJ371,报价场景=服务费底表!$AP$2,服务费底表!$AP371,报价场景=服务费底表!$AK$2,服务费底表!$AK371,报价场景=服务费底表!$AL$2,服务费底表!$AL371,报价场景=服务费底表!$AM$2,服务费底表!$AM371,报价场景=服务费底表!$AN$2,服务费底表!$AN371,报价场景=服务费底表!$AQ$2,服务费底表!$AQ371,报价场景=服务费底表!$AO$2,服务费底表!$AO371)</f>
        <v>1</v>
      </c>
      <c r="Z371" s="327"/>
      <c r="AA371" s="332">
        <f t="shared" si="337"/>
        <v>1</v>
      </c>
      <c r="AB371" s="333">
        <f t="shared" si="333"/>
        <v>300</v>
      </c>
      <c r="AC371" s="328">
        <f t="shared" si="334"/>
        <v>14</v>
      </c>
      <c r="AD371" s="334">
        <f t="shared" si="335"/>
        <v>4200</v>
      </c>
      <c r="AE371" s="334">
        <f>$AB371*(1-INDEX(项目参数!$D$5:$D$14,MATCH(服务费底表!$S371,项目参数!$B$5:$B$14,0)))</f>
        <v>300</v>
      </c>
      <c r="AF371" s="334">
        <f>$AD371*INDEX(项目参数!$D$5:$D$14,MATCH(服务费底表!$S371,项目参数!$B$5:$B$14,0))</f>
        <v>0</v>
      </c>
      <c r="AG371" s="334">
        <f t="shared" si="336"/>
        <v>4200</v>
      </c>
      <c r="AH371" s="328"/>
      <c r="AI371" s="328" t="s">
        <v>629</v>
      </c>
      <c r="AJ371" s="327">
        <v>1</v>
      </c>
      <c r="AK371" s="327">
        <v>1</v>
      </c>
      <c r="AL371" s="327">
        <v>1</v>
      </c>
      <c r="AM371" s="327">
        <v>1</v>
      </c>
      <c r="AN371" s="327">
        <v>1</v>
      </c>
      <c r="AO371" s="327">
        <f t="shared" si="318"/>
        <v>1</v>
      </c>
      <c r="AP371" s="327">
        <v>1</v>
      </c>
      <c r="AQ371" s="327">
        <f t="shared" si="326"/>
        <v>1.5</v>
      </c>
      <c r="AR371" s="338"/>
      <c r="AS371" s="328">
        <f t="shared" si="338"/>
        <v>14</v>
      </c>
      <c r="AT371" s="328">
        <f t="shared" si="339"/>
        <v>14</v>
      </c>
      <c r="AU371" s="523">
        <v>1</v>
      </c>
      <c r="AV371" s="328"/>
      <c r="AW371" s="328"/>
      <c r="AX371" s="332">
        <v>1</v>
      </c>
      <c r="AY371" s="328" t="b">
        <f t="shared" si="340"/>
        <v>1</v>
      </c>
      <c r="AZ371" s="328" t="b">
        <f t="shared" si="312"/>
        <v>0</v>
      </c>
    </row>
    <row r="372" ht="27" customHeight="1" spans="1:52">
      <c r="A372" s="326" t="str">
        <f>INDEX('Rate Card'!$A:$A,MATCH(服务费底表!$T372,'Rate Card'!$F:$F,0))</f>
        <v>数统</v>
      </c>
      <c r="B372" s="327" t="str">
        <f>INDEX(二三级标准!$G:$G,MATCH(服务费底表!$K372,二三级标准!B:B,0))</f>
        <v>月</v>
      </c>
      <c r="C372" s="327">
        <f>INDEX(服务费明细!$E:$E,MATCH(服务费底表!$K372,服务费明细!$B:$B,0))</f>
        <v>0</v>
      </c>
      <c r="D372" s="327" t="str">
        <f t="shared" si="331"/>
        <v>A257DBP</v>
      </c>
      <c r="E372" s="327" t="str">
        <f t="shared" si="332"/>
        <v>T0742DBP</v>
      </c>
      <c r="F372" s="328"/>
      <c r="G372" s="328" t="s">
        <v>684</v>
      </c>
      <c r="H372" s="326" t="str">
        <f>INDEX('Rate Card'!$B:$B,MATCH(服务费底表!$T372,'Rate Card'!$F:$F,0))</f>
        <v>数据管理</v>
      </c>
      <c r="I372" s="328" t="s">
        <v>923</v>
      </c>
      <c r="J372" s="328" t="str">
        <f>INDEX(二三级标准!$Q:$Q,MATCH(服务费底表!I372,二三级标准!$O:$O,0))</f>
        <v>数据管理</v>
      </c>
      <c r="K372" s="328" t="s">
        <v>1068</v>
      </c>
      <c r="L372" s="328" t="str">
        <f>INDEX(二三级标准!C:C,MATCH(服务费底表!K372,二三级标准!$B:$B,0))</f>
        <v>实施随机发药系统数据库维护</v>
      </c>
      <c r="M372" s="328" t="s">
        <v>1436</v>
      </c>
      <c r="N372" s="328" t="str">
        <f>INDEX(二三级标准!$M:$M,MATCH(服务费底表!$M372,二三级标准!$L:$L,0))</f>
        <v>RTSM系统运维和账号管理</v>
      </c>
      <c r="O372" s="328"/>
      <c r="P372" s="531">
        <f>IF(R372=1,INDEX(服务费明细!$E:$E,MATCH(服务费底表!$K372,服务费明细!$B:$B,0)),0)</f>
        <v>0</v>
      </c>
      <c r="Q372" s="328" t="s">
        <v>1220</v>
      </c>
      <c r="R372" s="520">
        <f>IF(AND(实施随机发药系统数据库维护YN=1,数据管理YN=1),1,0)</f>
        <v>0</v>
      </c>
      <c r="S372" s="524" t="s">
        <v>573</v>
      </c>
      <c r="T372" s="328" t="s">
        <v>629</v>
      </c>
      <c r="U372" s="522" t="str">
        <f>INDEX('Rate Card'!$E:$E,MATCH(服务费底表!$T372,'Rate Card'!$F:$F,0))</f>
        <v>数据库编程员</v>
      </c>
      <c r="V372" s="331">
        <f>INDEX('Rate Card'!$J:$J,MATCH($T372,'Rate Card'!$F:$F,0))</f>
        <v>300</v>
      </c>
      <c r="W372" s="523">
        <f t="shared" si="324"/>
        <v>300</v>
      </c>
      <c r="X372" s="523">
        <f t="shared" si="325"/>
        <v>2</v>
      </c>
      <c r="Y372" s="327" cm="1">
        <f t="array" ref="Y372">_xlfn.IFS(报价场景=服务费底表!$AJ$2,服务费底表!$AJ372,报价场景=服务费底表!$AP$2,服务费底表!$AP372,报价场景=服务费底表!$AK$2,服务费底表!$AK372,报价场景=服务费底表!$AL$2,服务费底表!$AL372,报价场景=服务费底表!$AM$2,服务费底表!$AM372,报价场景=服务费底表!$AN$2,服务费底表!$AN372,报价场景=服务费底表!$AQ$2,服务费底表!$AQ372,报价场景=服务费底表!$AO$2,服务费底表!$AO372)</f>
        <v>2</v>
      </c>
      <c r="Z372" s="327"/>
      <c r="AA372" s="332">
        <f t="shared" si="337"/>
        <v>2</v>
      </c>
      <c r="AB372" s="333">
        <f t="shared" si="333"/>
        <v>0</v>
      </c>
      <c r="AC372" s="328">
        <f t="shared" si="334"/>
        <v>0</v>
      </c>
      <c r="AD372" s="334">
        <f t="shared" si="335"/>
        <v>0</v>
      </c>
      <c r="AE372" s="334">
        <f>$AB372*(1-INDEX(项目参数!$D$5:$D$14,MATCH(服务费底表!$S372,项目参数!$B$5:$B$14,0)))</f>
        <v>0</v>
      </c>
      <c r="AF372" s="334">
        <f>$AD372*INDEX(项目参数!$D$5:$D$14,MATCH(服务费底表!$S372,项目参数!$B$5:$B$14,0))</f>
        <v>0</v>
      </c>
      <c r="AG372" s="334">
        <f t="shared" si="336"/>
        <v>0</v>
      </c>
      <c r="AH372" s="328"/>
      <c r="AI372" s="328" t="s">
        <v>629</v>
      </c>
      <c r="AJ372" s="327">
        <v>2</v>
      </c>
      <c r="AK372" s="327">
        <v>2</v>
      </c>
      <c r="AL372" s="327">
        <v>1</v>
      </c>
      <c r="AM372" s="327">
        <v>2</v>
      </c>
      <c r="AN372" s="327">
        <v>1</v>
      </c>
      <c r="AO372" s="327">
        <f t="shared" si="318"/>
        <v>1</v>
      </c>
      <c r="AP372" s="327">
        <v>2</v>
      </c>
      <c r="AQ372" s="327">
        <f t="shared" si="326"/>
        <v>3</v>
      </c>
      <c r="AR372" s="338"/>
      <c r="AS372" s="328">
        <f t="shared" si="338"/>
        <v>0</v>
      </c>
      <c r="AT372" s="328">
        <f t="shared" si="339"/>
        <v>0</v>
      </c>
      <c r="AU372" s="523">
        <v>2</v>
      </c>
      <c r="AV372" s="328"/>
      <c r="AW372" s="328"/>
      <c r="AX372" s="332">
        <v>2</v>
      </c>
      <c r="AY372" s="328" t="b">
        <f t="shared" si="340"/>
        <v>1</v>
      </c>
      <c r="AZ372" s="328" t="b">
        <f t="shared" si="312"/>
        <v>1</v>
      </c>
    </row>
    <row r="373" ht="27" customHeight="1" spans="1:52">
      <c r="A373" s="326" t="str">
        <f>INDEX('Rate Card'!$A:$A,MATCH(服务费底表!$T373,'Rate Card'!$F:$F,0))</f>
        <v>数统</v>
      </c>
      <c r="B373" s="327" t="str">
        <f>INDEX(二三级标准!$G:$G,MATCH(服务费底表!$K373,二三级标准!B:B,0))</f>
        <v>月</v>
      </c>
      <c r="C373" s="327">
        <f>INDEX(服务费明细!$E:$E,MATCH(服务费底表!$K373,服务费明细!$B:$B,0))</f>
        <v>0</v>
      </c>
      <c r="D373" s="327" t="str">
        <f t="shared" si="331"/>
        <v>A257ST</v>
      </c>
      <c r="E373" s="327" t="str">
        <f t="shared" si="332"/>
        <v>T0743ST</v>
      </c>
      <c r="F373" s="328"/>
      <c r="G373" s="328" t="s">
        <v>684</v>
      </c>
      <c r="H373" s="326" t="str">
        <f>INDEX('Rate Card'!$B:$B,MATCH(服务费底表!$T373,'Rate Card'!$F:$F,0))</f>
        <v>生物统计及分析</v>
      </c>
      <c r="I373" s="328" t="s">
        <v>923</v>
      </c>
      <c r="J373" s="328" t="str">
        <f>INDEX(二三级标准!$Q:$Q,MATCH(服务费底表!I373,二三级标准!$O:$O,0))</f>
        <v>数据管理</v>
      </c>
      <c r="K373" s="328" t="s">
        <v>1068</v>
      </c>
      <c r="L373" s="328" t="str">
        <f>INDEX(二三级标准!C:C,MATCH(服务费底表!K373,二三级标准!$B:$B,0))</f>
        <v>实施随机发药系统数据库维护</v>
      </c>
      <c r="M373" s="328" t="s">
        <v>1437</v>
      </c>
      <c r="N373" s="328" t="str">
        <f>INDEX(二三级标准!$M:$M,MATCH(服务费底表!$M373,二三级标准!$L:$L,0))</f>
        <v>RTSM供应消耗模拟与计算（发药系统）</v>
      </c>
      <c r="O373" s="328"/>
      <c r="P373" s="531">
        <f>IF(R373=1,INDEX(服务费明细!$E:$E,MATCH(服务费底表!$K373,服务费明细!$B:$B,0)),0)</f>
        <v>0</v>
      </c>
      <c r="Q373" s="328" t="s">
        <v>1220</v>
      </c>
      <c r="R373" s="520">
        <f>IF(AND(实施随机发药系统数据库维护YN=1,生物统计YN=1),1,0)</f>
        <v>0</v>
      </c>
      <c r="S373" s="524" t="str">
        <f>INDEX('Rate Card'!$D:$D,MATCH(服务费底表!$T373,'Rate Card'!F:F,0))</f>
        <v>生物统计</v>
      </c>
      <c r="T373" s="328" t="s">
        <v>639</v>
      </c>
      <c r="U373" s="522" t="str">
        <f>INDEX('Rate Card'!$E:$E,MATCH(服务费底表!$T373,'Rate Card'!$F:$F,0))</f>
        <v>生物统计师</v>
      </c>
      <c r="V373" s="331">
        <f>INDEX('Rate Card'!$J:$J,MATCH($T373,'Rate Card'!$F:$F,0))</f>
        <v>400</v>
      </c>
      <c r="W373" s="523">
        <f t="shared" si="324"/>
        <v>400</v>
      </c>
      <c r="X373" s="523">
        <f t="shared" si="325"/>
        <v>3</v>
      </c>
      <c r="Y373" s="327" cm="1">
        <f t="array" ref="Y373">_xlfn.IFS(报价场景=服务费底表!$AJ$2,服务费底表!$AJ373,报价场景=服务费底表!$AP$2,服务费底表!$AP373,报价场景=服务费底表!$AK$2,服务费底表!$AK373,报价场景=服务费底表!$AL$2,服务费底表!$AL373,报价场景=服务费底表!$AM$2,服务费底表!$AM373,报价场景=服务费底表!$AN$2,服务费底表!$AN373,报价场景=服务费底表!$AQ$2,服务费底表!$AQ373,报价场景=服务费底表!$AO$2,服务费底表!$AO373)</f>
        <v>3</v>
      </c>
      <c r="Z373" s="327"/>
      <c r="AA373" s="332">
        <f t="shared" si="337"/>
        <v>3</v>
      </c>
      <c r="AB373" s="333">
        <f t="shared" si="333"/>
        <v>0</v>
      </c>
      <c r="AC373" s="328">
        <f t="shared" si="334"/>
        <v>0</v>
      </c>
      <c r="AD373" s="334">
        <f t="shared" si="335"/>
        <v>0</v>
      </c>
      <c r="AE373" s="334">
        <f>$AB373*(1-INDEX(项目参数!$D$5:$D$14,MATCH(服务费底表!$S373,项目参数!$B$5:$B$14,0)))</f>
        <v>0</v>
      </c>
      <c r="AF373" s="334">
        <f>$AD373*INDEX(项目参数!$D$5:$D$14,MATCH(服务费底表!$S373,项目参数!$B$5:$B$14,0))</f>
        <v>0</v>
      </c>
      <c r="AG373" s="334">
        <f t="shared" si="336"/>
        <v>0</v>
      </c>
      <c r="AH373" s="328"/>
      <c r="AI373" s="328" t="s">
        <v>639</v>
      </c>
      <c r="AJ373" s="327">
        <v>3</v>
      </c>
      <c r="AK373" s="327">
        <v>3</v>
      </c>
      <c r="AL373" s="327">
        <v>2</v>
      </c>
      <c r="AM373" s="327">
        <v>3</v>
      </c>
      <c r="AN373" s="327">
        <v>2</v>
      </c>
      <c r="AO373" s="327">
        <f t="shared" si="318"/>
        <v>2</v>
      </c>
      <c r="AP373" s="327">
        <v>3</v>
      </c>
      <c r="AQ373" s="327">
        <f t="shared" si="326"/>
        <v>4.5</v>
      </c>
      <c r="AR373" s="338"/>
      <c r="AS373" s="328">
        <f t="shared" si="338"/>
        <v>0</v>
      </c>
      <c r="AT373" s="328">
        <f t="shared" si="339"/>
        <v>0</v>
      </c>
      <c r="AU373" s="523">
        <v>3</v>
      </c>
      <c r="AV373" s="328"/>
      <c r="AW373" s="328"/>
      <c r="AX373" s="332">
        <v>3</v>
      </c>
      <c r="AY373" s="328" t="b">
        <f t="shared" si="340"/>
        <v>1</v>
      </c>
      <c r="AZ373" s="328" t="b">
        <f t="shared" si="312"/>
        <v>1</v>
      </c>
    </row>
    <row r="374" ht="27" customHeight="1" spans="1:52">
      <c r="A374" s="326" t="str">
        <f>INDEX('Rate Card'!$A:$A,MATCH(服务费底表!$T374,'Rate Card'!$F:$F,0))</f>
        <v>数统</v>
      </c>
      <c r="B374" s="327" t="str">
        <f>INDEX(二三级标准!$G:$G,MATCH(服务费底表!$K374,二三级标准!B:B,0))</f>
        <v>月</v>
      </c>
      <c r="C374" s="327">
        <f>INDEX(服务费明细!$E:$E,MATCH(服务费底表!$K374,服务费明细!$B:$B,0))</f>
        <v>0</v>
      </c>
      <c r="D374" s="327" t="str">
        <f t="shared" si="331"/>
        <v>A257DBP</v>
      </c>
      <c r="E374" s="327" t="str">
        <f t="shared" si="332"/>
        <v>T0744DBP</v>
      </c>
      <c r="F374" s="328"/>
      <c r="G374" s="328" t="s">
        <v>684</v>
      </c>
      <c r="H374" s="326" t="str">
        <f>INDEX('Rate Card'!$B:$B,MATCH(服务费底表!$T374,'Rate Card'!$F:$F,0))</f>
        <v>数据管理</v>
      </c>
      <c r="I374" s="328" t="s">
        <v>923</v>
      </c>
      <c r="J374" s="328" t="str">
        <f>INDEX(二三级标准!$Q:$Q,MATCH(服务费底表!I374,二三级标准!$O:$O,0))</f>
        <v>数据管理</v>
      </c>
      <c r="K374" s="328" t="s">
        <v>1068</v>
      </c>
      <c r="L374" s="328" t="str">
        <f>INDEX(二三级标准!C:C,MATCH(服务费底表!K374,二三级标准!$B:$B,0))</f>
        <v>实施随机发药系统数据库维护</v>
      </c>
      <c r="M374" s="328" t="s">
        <v>1438</v>
      </c>
      <c r="N374" s="328" t="str">
        <f>INDEX(二三级标准!$M:$M,MATCH(服务费底表!$M374,二三级标准!$L:$L,0))</f>
        <v>RTSM系统供应参数调整（发药系统）</v>
      </c>
      <c r="O374" s="328"/>
      <c r="P374" s="531">
        <f>IF(R374=1,INDEX(服务费明细!$E:$E,MATCH(服务费底表!$K374,服务费明细!$B:$B,0)),0)</f>
        <v>0</v>
      </c>
      <c r="Q374" s="328" t="s">
        <v>1220</v>
      </c>
      <c r="R374" s="520">
        <f>IF(AND(实施随机发药系统数据库维护YN=1,数据管理YN=1),1,0)</f>
        <v>0</v>
      </c>
      <c r="S374" s="524" t="s">
        <v>573</v>
      </c>
      <c r="T374" s="328" t="s">
        <v>629</v>
      </c>
      <c r="U374" s="522" t="str">
        <f>INDEX('Rate Card'!$E:$E,MATCH(服务费底表!$T374,'Rate Card'!$F:$F,0))</f>
        <v>数据库编程员</v>
      </c>
      <c r="V374" s="331">
        <f>INDEX('Rate Card'!$J:$J,MATCH($T374,'Rate Card'!$F:$F,0))</f>
        <v>300</v>
      </c>
      <c r="W374" s="523">
        <f t="shared" si="324"/>
        <v>300</v>
      </c>
      <c r="X374" s="523">
        <f t="shared" si="325"/>
        <v>3</v>
      </c>
      <c r="Y374" s="327" cm="1">
        <f t="array" ref="Y374">_xlfn.IFS(报价场景=服务费底表!$AJ$2,服务费底表!$AJ374,报价场景=服务费底表!$AP$2,服务费底表!$AP374,报价场景=服务费底表!$AK$2,服务费底表!$AK374,报价场景=服务费底表!$AL$2,服务费底表!$AL374,报价场景=服务费底表!$AM$2,服务费底表!$AM374,报价场景=服务费底表!$AN$2,服务费底表!$AN374,报价场景=服务费底表!$AQ$2,服务费底表!$AQ374,报价场景=服务费底表!$AO$2,服务费底表!$AO374)</f>
        <v>3</v>
      </c>
      <c r="Z374" s="327"/>
      <c r="AA374" s="332">
        <f t="shared" si="337"/>
        <v>3</v>
      </c>
      <c r="AB374" s="333">
        <f t="shared" si="333"/>
        <v>0</v>
      </c>
      <c r="AC374" s="328">
        <f t="shared" si="334"/>
        <v>0</v>
      </c>
      <c r="AD374" s="334">
        <f t="shared" si="335"/>
        <v>0</v>
      </c>
      <c r="AE374" s="334">
        <f>$AB374*(1-INDEX(项目参数!$D$5:$D$14,MATCH(服务费底表!$S374,项目参数!$B$5:$B$14,0)))</f>
        <v>0</v>
      </c>
      <c r="AF374" s="334">
        <f>$AD374*INDEX(项目参数!$D$5:$D$14,MATCH(服务费底表!$S374,项目参数!$B$5:$B$14,0))</f>
        <v>0</v>
      </c>
      <c r="AG374" s="334">
        <f t="shared" si="336"/>
        <v>0</v>
      </c>
      <c r="AH374" s="328"/>
      <c r="AI374" s="328" t="s">
        <v>629</v>
      </c>
      <c r="AJ374" s="327">
        <v>3</v>
      </c>
      <c r="AK374" s="327">
        <v>3</v>
      </c>
      <c r="AL374" s="327">
        <v>2</v>
      </c>
      <c r="AM374" s="327">
        <v>3</v>
      </c>
      <c r="AN374" s="327">
        <v>2</v>
      </c>
      <c r="AO374" s="327">
        <f t="shared" si="318"/>
        <v>2</v>
      </c>
      <c r="AP374" s="327">
        <v>3</v>
      </c>
      <c r="AQ374" s="327">
        <f t="shared" si="326"/>
        <v>4.5</v>
      </c>
      <c r="AR374" s="338"/>
      <c r="AS374" s="328">
        <f t="shared" si="338"/>
        <v>0</v>
      </c>
      <c r="AT374" s="328">
        <f t="shared" si="339"/>
        <v>0</v>
      </c>
      <c r="AU374" s="523">
        <v>3</v>
      </c>
      <c r="AV374" s="328"/>
      <c r="AW374" s="328"/>
      <c r="AX374" s="332">
        <v>3</v>
      </c>
      <c r="AY374" s="328" t="b">
        <f t="shared" si="340"/>
        <v>1</v>
      </c>
      <c r="AZ374" s="328" t="b">
        <f t="shared" si="312"/>
        <v>1</v>
      </c>
    </row>
    <row r="375" ht="27" customHeight="1" spans="1:52">
      <c r="A375" s="326" t="str">
        <f>INDEX('Rate Card'!$A:$A,MATCH(服务费底表!$T375,'Rate Card'!$F:$F,0))</f>
        <v>数统</v>
      </c>
      <c r="B375" s="327" t="str">
        <f>INDEX(二三级标准!$G:$G,MATCH(服务费底表!$K375,二三级标准!B:B,0))</f>
        <v>次</v>
      </c>
      <c r="C375" s="327">
        <f>INDEX(服务费明细!$E:$E,MATCH(服务费底表!$K375,服务费明细!$B:$B,0))</f>
        <v>1</v>
      </c>
      <c r="D375" s="327" t="str">
        <f t="shared" ref="D375:D389" si="341">K375&amp;T375</f>
        <v>A099LDM</v>
      </c>
      <c r="E375" s="327" t="str">
        <f t="shared" ref="E375:E389" si="342">M375&amp;T375</f>
        <v>T0284LDM</v>
      </c>
      <c r="F375" s="328"/>
      <c r="G375" s="328" t="s">
        <v>684</v>
      </c>
      <c r="H375" s="326" t="str">
        <f>INDEX('Rate Card'!$B:$B,MATCH(服务费底表!$T375,'Rate Card'!$F:$F,0))</f>
        <v>数据管理</v>
      </c>
      <c r="I375" s="328" t="s">
        <v>923</v>
      </c>
      <c r="J375" s="328" t="str">
        <f>INDEX(二三级标准!$Q:$Q,MATCH(服务费底表!I375,二三级标准!$O:$O,0))</f>
        <v>数据管理</v>
      </c>
      <c r="K375" s="328" t="s">
        <v>303</v>
      </c>
      <c r="L375" s="328" t="str">
        <f>INDEX(二三级标准!C:C,MATCH(服务费底表!K375,二三级标准!$B:$B,0))</f>
        <v>召开数据审核会</v>
      </c>
      <c r="M375" s="328" t="s">
        <v>1439</v>
      </c>
      <c r="N375" s="328" t="str">
        <f>INDEX(二三级标准!$M:$M,MATCH(服务费底表!$M375,二三级标准!$L:$L,0))</f>
        <v>准备数据审核会</v>
      </c>
      <c r="O375" s="328"/>
      <c r="P375" s="531">
        <f>IF(R375=1,INDEX(服务费明细!$E:$E,MATCH(服务费底表!$K375,服务费明细!$B:$B,0)),0)</f>
        <v>1</v>
      </c>
      <c r="Q375" s="328" t="s">
        <v>1178</v>
      </c>
      <c r="R375" s="520">
        <f>IF(AND(召开数据审核会YN=1,数据管理YN=1),1,0)</f>
        <v>1</v>
      </c>
      <c r="S375" s="524" t="str">
        <f>INDEX('Rate Card'!$D:$D,MATCH(服务费底表!$T375,'Rate Card'!F:F,0))</f>
        <v>数据管理</v>
      </c>
      <c r="T375" s="328" t="s">
        <v>633</v>
      </c>
      <c r="U375" s="522" t="str">
        <f>INDEX('Rate Card'!$E:$E,MATCH(服务费底表!$T375,'Rate Card'!$F:$F,0))</f>
        <v>数据管理经理</v>
      </c>
      <c r="V375" s="331">
        <f>INDEX('Rate Card'!$J:$J,MATCH($T375,'Rate Card'!$F:$F,0))</f>
        <v>360</v>
      </c>
      <c r="W375" s="523">
        <f t="shared" si="324"/>
        <v>360</v>
      </c>
      <c r="X375" s="523">
        <f t="shared" si="325"/>
        <v>8</v>
      </c>
      <c r="Y375" s="327" cm="1">
        <f t="array" ref="Y375">_xlfn.IFS(报价场景=服务费底表!$AJ$2,服务费底表!$AJ375,报价场景=服务费底表!$AP$2,服务费底表!$AP375,报价场景=服务费底表!$AK$2,服务费底表!$AK375,报价场景=服务费底表!$AL$2,服务费底表!$AL375,报价场景=服务费底表!$AM$2,服务费底表!$AM375,报价场景=服务费底表!$AN$2,服务费底表!$AN375,报价场景=服务费底表!$AQ$2,服务费底表!$AQ375,报价场景=服务费底表!$AO$2,服务费底表!$AO375)</f>
        <v>8</v>
      </c>
      <c r="Z375" s="327"/>
      <c r="AA375" s="332">
        <f t="shared" ref="AA375:AA389" si="343">IF(ISBLANK($Z375),$Y375,$Z375)</f>
        <v>8</v>
      </c>
      <c r="AB375" s="333">
        <f t="shared" ref="AB375:AB389" si="344">IFERROR(AD375/P375,0)</f>
        <v>2880</v>
      </c>
      <c r="AC375" s="328">
        <f t="shared" ref="AC375:AC389" si="345">AA375*P375*R375</f>
        <v>8</v>
      </c>
      <c r="AD375" s="334">
        <f t="shared" ref="AD375:AD382" si="346">AC375*V375</f>
        <v>2880</v>
      </c>
      <c r="AE375" s="334">
        <f>$AB375*(1-INDEX(项目参数!$D$5:$D$14,MATCH(服务费底表!$S375,项目参数!$B$5:$B$14,0)))</f>
        <v>2880</v>
      </c>
      <c r="AF375" s="334">
        <f>$AD375*INDEX(项目参数!$D$5:$D$14,MATCH(服务费底表!$S375,项目参数!$B$5:$B$14,0))</f>
        <v>0</v>
      </c>
      <c r="AG375" s="334">
        <f t="shared" ref="AG375:AG382" si="347">AD375-AF375</f>
        <v>2880</v>
      </c>
      <c r="AH375" s="328"/>
      <c r="AI375" s="328" t="s">
        <v>633</v>
      </c>
      <c r="AJ375" s="327">
        <v>8</v>
      </c>
      <c r="AK375" s="327">
        <v>12</v>
      </c>
      <c r="AL375" s="327">
        <v>4</v>
      </c>
      <c r="AM375" s="327">
        <v>8</v>
      </c>
      <c r="AN375" s="327">
        <v>4</v>
      </c>
      <c r="AO375" s="327">
        <f t="shared" si="318"/>
        <v>4</v>
      </c>
      <c r="AP375" s="327">
        <v>8</v>
      </c>
      <c r="AQ375" s="327">
        <f t="shared" si="326"/>
        <v>12</v>
      </c>
      <c r="AR375" s="338"/>
      <c r="AS375" s="328">
        <f t="shared" si="338"/>
        <v>8</v>
      </c>
      <c r="AT375" s="328">
        <f t="shared" si="339"/>
        <v>8</v>
      </c>
      <c r="AU375" s="523">
        <v>8</v>
      </c>
      <c r="AV375" s="328"/>
      <c r="AW375" s="328"/>
      <c r="AX375" s="332">
        <v>8</v>
      </c>
      <c r="AY375" s="328" t="b">
        <f t="shared" si="340"/>
        <v>1</v>
      </c>
      <c r="AZ375" s="328" t="b">
        <f t="shared" si="312"/>
        <v>0</v>
      </c>
    </row>
    <row r="376" ht="27" customHeight="1" spans="1:52">
      <c r="A376" s="326" t="str">
        <f>INDEX('Rate Card'!$A:$A,MATCH(服务费底表!$T376,'Rate Card'!$F:$F,0))</f>
        <v>医学</v>
      </c>
      <c r="B376" s="327" t="str">
        <f>INDEX(二三级标准!$G:$G,MATCH(服务费底表!$K376,二三级标准!B:B,0))</f>
        <v>次</v>
      </c>
      <c r="C376" s="327">
        <f>INDEX(服务费明细!$E:$E,MATCH(服务费底表!$K376,服务费明细!$B:$B,0))</f>
        <v>1</v>
      </c>
      <c r="D376" s="327" t="str">
        <f t="shared" si="341"/>
        <v>A099MM</v>
      </c>
      <c r="E376" s="327" t="str">
        <f t="shared" si="342"/>
        <v>T0284MM</v>
      </c>
      <c r="F376" s="328"/>
      <c r="G376" s="328" t="s">
        <v>684</v>
      </c>
      <c r="H376" s="326" t="str">
        <f>INDEX('Rate Card'!$B:$B,MATCH(服务费底表!$T376,'Rate Card'!$F:$F,0))</f>
        <v>医学</v>
      </c>
      <c r="I376" s="328" t="s">
        <v>923</v>
      </c>
      <c r="J376" s="328" t="str">
        <f>INDEX(二三级标准!$Q:$Q,MATCH(服务费底表!I376,二三级标准!$O:$O,0))</f>
        <v>数据管理</v>
      </c>
      <c r="K376" s="328" t="s">
        <v>303</v>
      </c>
      <c r="L376" s="328" t="str">
        <f>INDEX(二三级标准!C:C,MATCH(服务费底表!K376,二三级标准!$B:$B,0))</f>
        <v>召开数据审核会</v>
      </c>
      <c r="M376" s="328" t="s">
        <v>1439</v>
      </c>
      <c r="N376" s="328" t="str">
        <f>INDEX(二三级标准!$M:$M,MATCH(服务费底表!$M376,二三级标准!$L:$L,0))</f>
        <v>准备数据审核会</v>
      </c>
      <c r="O376" s="328"/>
      <c r="P376" s="531">
        <f>IF(R376=1,INDEX(服务费明细!$E:$E,MATCH(服务费底表!$K376,服务费明细!$B:$B,0)),0)</f>
        <v>1</v>
      </c>
      <c r="Q376" s="328" t="s">
        <v>1178</v>
      </c>
      <c r="R376" s="520">
        <f>IF(AND(召开数据审核会YN=1,医学监查YN=1),1,0)</f>
        <v>1</v>
      </c>
      <c r="S376" s="521" t="str">
        <f>IF(AND(H376="医学",OR(I376=二三级标准!$A$4,I376=二三级标准!$A$153)),"医学撰写","医学监查")</f>
        <v>医学监查</v>
      </c>
      <c r="T376" s="328" t="s">
        <v>615</v>
      </c>
      <c r="U376" s="522" t="str">
        <f>INDEX('Rate Card'!$E:$E,MATCH(服务费底表!$T376,'Rate Card'!$F:$F,0))</f>
        <v>医学经理</v>
      </c>
      <c r="V376" s="331">
        <f>INDEX('Rate Card'!$J:$J,MATCH($T376,'Rate Card'!$F:$F,0))</f>
        <v>650</v>
      </c>
      <c r="W376" s="523">
        <f t="shared" si="324"/>
        <v>650</v>
      </c>
      <c r="X376" s="523">
        <f t="shared" si="325"/>
        <v>4</v>
      </c>
      <c r="Y376" s="327" cm="1">
        <f t="array" ref="Y376">_xlfn.IFS(报价场景=服务费底表!$AJ$2,服务费底表!$AJ376,报价场景=服务费底表!$AP$2,服务费底表!$AP376,报价场景=服务费底表!$AK$2,服务费底表!$AK376,报价场景=服务费底表!$AL$2,服务费底表!$AL376,报价场景=服务费底表!$AM$2,服务费底表!$AM376,报价场景=服务费底表!$AN$2,服务费底表!$AN376,报价场景=服务费底表!$AQ$2,服务费底表!$AQ376,报价场景=服务费底表!$AO$2,服务费底表!$AO376)</f>
        <v>4</v>
      </c>
      <c r="Z376" s="327"/>
      <c r="AA376" s="332">
        <f t="shared" si="343"/>
        <v>4</v>
      </c>
      <c r="AB376" s="333">
        <f t="shared" si="344"/>
        <v>2600</v>
      </c>
      <c r="AC376" s="328">
        <f t="shared" si="345"/>
        <v>4</v>
      </c>
      <c r="AD376" s="334">
        <f t="shared" si="346"/>
        <v>2600</v>
      </c>
      <c r="AE376" s="334">
        <f>$AB376*(1-INDEX(项目参数!$D$5:$D$14,MATCH(服务费底表!$S376,项目参数!$B$5:$B$14,0)))</f>
        <v>2600</v>
      </c>
      <c r="AF376" s="334">
        <f>$AD376*INDEX(项目参数!$D$5:$D$14,MATCH(服务费底表!$S376,项目参数!$B$5:$B$14,0))</f>
        <v>0</v>
      </c>
      <c r="AG376" s="334">
        <f t="shared" si="347"/>
        <v>2600</v>
      </c>
      <c r="AH376" s="328"/>
      <c r="AI376" s="328" t="s">
        <v>615</v>
      </c>
      <c r="AJ376" s="327">
        <v>4</v>
      </c>
      <c r="AK376" s="327">
        <f>AJ376*1.5</f>
        <v>6</v>
      </c>
      <c r="AL376" s="336">
        <f>AM376</f>
        <v>2.5</v>
      </c>
      <c r="AM376" s="327">
        <v>2.5</v>
      </c>
      <c r="AN376" s="327">
        <f>AL376</f>
        <v>2.5</v>
      </c>
      <c r="AO376" s="327">
        <f t="shared" si="318"/>
        <v>2.5</v>
      </c>
      <c r="AP376" s="327">
        <v>4</v>
      </c>
      <c r="AQ376" s="327">
        <f t="shared" si="326"/>
        <v>6</v>
      </c>
      <c r="AR376" s="338"/>
      <c r="AS376" s="328">
        <f t="shared" si="338"/>
        <v>4</v>
      </c>
      <c r="AT376" s="328">
        <f t="shared" si="339"/>
        <v>4</v>
      </c>
      <c r="AU376" s="523">
        <v>4</v>
      </c>
      <c r="AV376" s="328"/>
      <c r="AW376" s="328"/>
      <c r="AX376" s="332">
        <v>4</v>
      </c>
      <c r="AY376" s="328" t="b">
        <f t="shared" si="340"/>
        <v>1</v>
      </c>
      <c r="AZ376" s="328" t="b">
        <f t="shared" si="312"/>
        <v>0</v>
      </c>
    </row>
    <row r="377" ht="27" customHeight="1" spans="1:52">
      <c r="A377" s="326" t="str">
        <f>INDEX('Rate Card'!$A:$A,MATCH(服务费底表!$T377,'Rate Card'!$F:$F,0))</f>
        <v>数统</v>
      </c>
      <c r="B377" s="327" t="str">
        <f>INDEX(二三级标准!$G:$G,MATCH(服务费底表!$K377,二三级标准!B:B,0))</f>
        <v>次</v>
      </c>
      <c r="C377" s="327">
        <f>INDEX(服务费明细!$E:$E,MATCH(服务费底表!$K377,服务费明细!$B:$B,0))</f>
        <v>1</v>
      </c>
      <c r="D377" s="327" t="str">
        <f t="shared" si="341"/>
        <v>A099ST</v>
      </c>
      <c r="E377" s="327" t="str">
        <f t="shared" si="342"/>
        <v>T0284ST</v>
      </c>
      <c r="F377" s="328"/>
      <c r="G377" s="328" t="s">
        <v>684</v>
      </c>
      <c r="H377" s="326" t="str">
        <f>INDEX('Rate Card'!$B:$B,MATCH(服务费底表!$T377,'Rate Card'!$F:$F,0))</f>
        <v>生物统计及分析</v>
      </c>
      <c r="I377" s="328" t="s">
        <v>923</v>
      </c>
      <c r="J377" s="328" t="str">
        <f>INDEX(二三级标准!$Q:$Q,MATCH(服务费底表!I377,二三级标准!$O:$O,0))</f>
        <v>数据管理</v>
      </c>
      <c r="K377" s="328" t="s">
        <v>303</v>
      </c>
      <c r="L377" s="328" t="str">
        <f>INDEX(二三级标准!C:C,MATCH(服务费底表!K377,二三级标准!$B:$B,0))</f>
        <v>召开数据审核会</v>
      </c>
      <c r="M377" s="328" t="s">
        <v>1439</v>
      </c>
      <c r="N377" s="328" t="str">
        <f>INDEX(二三级标准!$M:$M,MATCH(服务费底表!$M377,二三级标准!$L:$L,0))</f>
        <v>准备数据审核会</v>
      </c>
      <c r="O377" s="328"/>
      <c r="P377" s="531">
        <f>IF(R377=1,INDEX(服务费明细!$E:$E,MATCH(服务费底表!$K377,服务费明细!$B:$B,0)),0)</f>
        <v>1</v>
      </c>
      <c r="Q377" s="328" t="s">
        <v>1178</v>
      </c>
      <c r="R377" s="520">
        <f>IF(AND(召开数据审核会YN=1,生物统计YN=1),1,0)</f>
        <v>1</v>
      </c>
      <c r="S377" s="524" t="str">
        <f>INDEX('Rate Card'!$D:$D,MATCH(服务费底表!$T377,'Rate Card'!F:F,0))</f>
        <v>生物统计</v>
      </c>
      <c r="T377" s="328" t="s">
        <v>639</v>
      </c>
      <c r="U377" s="522" t="str">
        <f>INDEX('Rate Card'!$E:$E,MATCH(服务费底表!$T377,'Rate Card'!$F:$F,0))</f>
        <v>生物统计师</v>
      </c>
      <c r="V377" s="331">
        <f>INDEX('Rate Card'!$J:$J,MATCH($T377,'Rate Card'!$F:$F,0))</f>
        <v>400</v>
      </c>
      <c r="W377" s="523">
        <f t="shared" si="324"/>
        <v>400</v>
      </c>
      <c r="X377" s="523">
        <f t="shared" si="325"/>
        <v>8</v>
      </c>
      <c r="Y377" s="327" cm="1">
        <f t="array" ref="Y377">_xlfn.IFS(报价场景=服务费底表!$AJ$2,服务费底表!$AJ377,报价场景=服务费底表!$AP$2,服务费底表!$AP377,报价场景=服务费底表!$AK$2,服务费底表!$AK377,报价场景=服务费底表!$AL$2,服务费底表!$AL377,报价场景=服务费底表!$AM$2,服务费底表!$AM377,报价场景=服务费底表!$AN$2,服务费底表!$AN377,报价场景=服务费底表!$AQ$2,服务费底表!$AQ377,报价场景=服务费底表!$AO$2,服务费底表!$AO377)</f>
        <v>8</v>
      </c>
      <c r="Z377" s="327"/>
      <c r="AA377" s="332">
        <f t="shared" si="343"/>
        <v>8</v>
      </c>
      <c r="AB377" s="333">
        <f t="shared" si="344"/>
        <v>3200</v>
      </c>
      <c r="AC377" s="328">
        <f t="shared" si="345"/>
        <v>8</v>
      </c>
      <c r="AD377" s="334">
        <f t="shared" si="346"/>
        <v>3200</v>
      </c>
      <c r="AE377" s="334">
        <f>$AB377*(1-INDEX(项目参数!$D$5:$D$14,MATCH(服务费底表!$S377,项目参数!$B$5:$B$14,0)))</f>
        <v>3200</v>
      </c>
      <c r="AF377" s="334">
        <f>$AD377*INDEX(项目参数!$D$5:$D$14,MATCH(服务费底表!$S377,项目参数!$B$5:$B$14,0))</f>
        <v>0</v>
      </c>
      <c r="AG377" s="334">
        <f t="shared" si="347"/>
        <v>3200</v>
      </c>
      <c r="AH377" s="328"/>
      <c r="AI377" s="328" t="s">
        <v>639</v>
      </c>
      <c r="AJ377" s="327">
        <v>8</v>
      </c>
      <c r="AK377" s="327">
        <v>12</v>
      </c>
      <c r="AL377" s="327">
        <v>4</v>
      </c>
      <c r="AM377" s="327">
        <v>8</v>
      </c>
      <c r="AN377" s="327">
        <v>4</v>
      </c>
      <c r="AO377" s="327">
        <f t="shared" si="318"/>
        <v>4</v>
      </c>
      <c r="AP377" s="327">
        <v>8</v>
      </c>
      <c r="AQ377" s="327">
        <f t="shared" si="326"/>
        <v>12</v>
      </c>
      <c r="AR377" s="338"/>
      <c r="AS377" s="328">
        <f t="shared" si="338"/>
        <v>8</v>
      </c>
      <c r="AT377" s="328">
        <f t="shared" si="339"/>
        <v>8</v>
      </c>
      <c r="AU377" s="523">
        <v>8</v>
      </c>
      <c r="AV377" s="328"/>
      <c r="AW377" s="328"/>
      <c r="AX377" s="332">
        <v>8</v>
      </c>
      <c r="AY377" s="328" t="b">
        <f t="shared" si="340"/>
        <v>1</v>
      </c>
      <c r="AZ377" s="328" t="b">
        <f t="shared" si="312"/>
        <v>0</v>
      </c>
    </row>
    <row r="378" ht="27" customHeight="1" spans="1:52">
      <c r="A378" s="326" t="str">
        <f>INDEX('Rate Card'!$A:$A,MATCH(服务费底表!$T378,'Rate Card'!$F:$F,0))</f>
        <v>临床药理</v>
      </c>
      <c r="B378" s="327" t="str">
        <f>INDEX(二三级标准!$G:$G,MATCH(服务费底表!$K378,二三级标准!B:B,0))</f>
        <v>次</v>
      </c>
      <c r="C378" s="327">
        <f>INDEX(服务费明细!$E:$E,MATCH(服务费底表!$K378,服务费明细!$B:$B,0))</f>
        <v>1</v>
      </c>
      <c r="D378" s="327" t="str">
        <f t="shared" si="341"/>
        <v>A099CPS</v>
      </c>
      <c r="E378" s="327" t="str">
        <f t="shared" si="342"/>
        <v>T0284CPS</v>
      </c>
      <c r="F378" s="328"/>
      <c r="G378" s="328" t="s">
        <v>684</v>
      </c>
      <c r="H378" s="326" t="str">
        <f>INDEX('Rate Card'!$B:$B,MATCH(服务费底表!$T378,'Rate Card'!$F:$F,0))</f>
        <v>临床药理</v>
      </c>
      <c r="I378" s="328" t="s">
        <v>923</v>
      </c>
      <c r="J378" s="328" t="str">
        <f>INDEX(二三级标准!$Q:$Q,MATCH(服务费底表!I378,二三级标准!$O:$O,0))</f>
        <v>数据管理</v>
      </c>
      <c r="K378" s="328" t="s">
        <v>303</v>
      </c>
      <c r="L378" s="328" t="str">
        <f>INDEX(二三级标准!C:C,MATCH(服务费底表!K378,二三级标准!$B:$B,0))</f>
        <v>召开数据审核会</v>
      </c>
      <c r="M378" s="328" t="s">
        <v>1439</v>
      </c>
      <c r="N378" s="328" t="str">
        <f>INDEX(二三级标准!$M:$M,MATCH(服务费底表!$M378,二三级标准!$L:$L,0))</f>
        <v>准备数据审核会</v>
      </c>
      <c r="O378" s="328"/>
      <c r="P378" s="531">
        <f>IF(R378=1,INDEX(服务费明细!$E:$E,MATCH(服务费底表!$K378,服务费明细!$B:$B,0)),0)</f>
        <v>1</v>
      </c>
      <c r="Q378" s="328" t="s">
        <v>1178</v>
      </c>
      <c r="R378" s="520">
        <f>IF(AND(召开数据审核会YN=1,临床药理YN=1,撰写PK_SAP=1),1,0)</f>
        <v>1</v>
      </c>
      <c r="S378" s="328" t="str">
        <f>INDEX('Rate Card'!$D:$D,MATCH(服务费底表!$T378,'Rate Card'!F:F,0))</f>
        <v>临床药理</v>
      </c>
      <c r="T378" s="328" t="s">
        <v>652</v>
      </c>
      <c r="U378" s="522" t="str">
        <f>INDEX('Rate Card'!$E:$E,MATCH(服务费底表!$T378,'Rate Card'!$F:$F,0))</f>
        <v>临床药理专员</v>
      </c>
      <c r="V378" s="331">
        <f>INDEX('Rate Card'!$J:$J,MATCH($T378,'Rate Card'!$F:$F,0))</f>
        <v>580</v>
      </c>
      <c r="W378" s="523">
        <f t="shared" si="324"/>
        <v>580</v>
      </c>
      <c r="X378" s="523">
        <f t="shared" si="325"/>
        <v>4</v>
      </c>
      <c r="Y378" s="327" cm="1">
        <f t="array" ref="Y378">_xlfn.IFS(报价场景=服务费底表!$AJ$2,服务费底表!$AJ378,报价场景=服务费底表!$AP$2,服务费底表!$AP378,报价场景=服务费底表!$AK$2,服务费底表!$AK378,报价场景=服务费底表!$AL$2,服务费底表!$AL378,报价场景=服务费底表!$AM$2,服务费底表!$AM378,报价场景=服务费底表!$AN$2,服务费底表!$AN378,报价场景=服务费底表!$AQ$2,服务费底表!$AQ378,报价场景=服务费底表!$AO$2,服务费底表!$AO378)</f>
        <v>4</v>
      </c>
      <c r="Z378" s="327"/>
      <c r="AA378" s="332">
        <f t="shared" si="343"/>
        <v>4</v>
      </c>
      <c r="AB378" s="333">
        <f t="shared" si="344"/>
        <v>2320</v>
      </c>
      <c r="AC378" s="328">
        <f t="shared" si="345"/>
        <v>4</v>
      </c>
      <c r="AD378" s="334">
        <f t="shared" si="346"/>
        <v>2320</v>
      </c>
      <c r="AE378" s="334">
        <f>$AB378*(1-INDEX(项目参数!$D$5:$D$14,MATCH(服务费底表!$S378,项目参数!$B$5:$B$14,0)))</f>
        <v>2320</v>
      </c>
      <c r="AF378" s="334">
        <f>$AD378*INDEX(项目参数!$D$5:$D$14,MATCH(服务费底表!$S378,项目参数!$B$5:$B$14,0))</f>
        <v>0</v>
      </c>
      <c r="AG378" s="334">
        <f t="shared" si="347"/>
        <v>2320</v>
      </c>
      <c r="AH378" s="328"/>
      <c r="AI378" s="328" t="s">
        <v>652</v>
      </c>
      <c r="AJ378" s="327">
        <v>4</v>
      </c>
      <c r="AK378" s="327">
        <v>4</v>
      </c>
      <c r="AL378" s="327">
        <v>4</v>
      </c>
      <c r="AM378" s="327">
        <v>4</v>
      </c>
      <c r="AN378" s="327">
        <v>4</v>
      </c>
      <c r="AO378" s="327">
        <f t="shared" si="318"/>
        <v>4</v>
      </c>
      <c r="AP378" s="327">
        <v>4</v>
      </c>
      <c r="AQ378" s="327">
        <f t="shared" si="326"/>
        <v>6</v>
      </c>
      <c r="AR378" s="338"/>
      <c r="AS378" s="328">
        <f t="shared" si="338"/>
        <v>4</v>
      </c>
      <c r="AT378" s="328">
        <f t="shared" si="339"/>
        <v>4</v>
      </c>
      <c r="AU378" s="523">
        <v>4</v>
      </c>
      <c r="AV378" s="328"/>
      <c r="AW378" s="328"/>
      <c r="AX378" s="332">
        <v>4</v>
      </c>
      <c r="AY378" s="328" t="b">
        <f t="shared" si="340"/>
        <v>1</v>
      </c>
      <c r="AZ378" s="328" t="b">
        <f t="shared" si="312"/>
        <v>0</v>
      </c>
    </row>
    <row r="379" ht="27" customHeight="1" spans="1:52">
      <c r="A379" s="326" t="str">
        <f>INDEX('Rate Card'!$A:$A,MATCH(服务费底表!$T379,'Rate Card'!$F:$F,0))</f>
        <v>数统</v>
      </c>
      <c r="B379" s="327" t="str">
        <f>INDEX(二三级标准!$G:$G,MATCH(服务费底表!$K379,二三级标准!B:B,0))</f>
        <v>次</v>
      </c>
      <c r="C379" s="327">
        <f>INDEX(服务费明细!$E:$E,MATCH(服务费底表!$K379,服务费明细!$B:$B,0))</f>
        <v>1</v>
      </c>
      <c r="D379" s="327" t="str">
        <f t="shared" si="341"/>
        <v>A099SA</v>
      </c>
      <c r="E379" s="327" t="str">
        <f t="shared" si="342"/>
        <v>T0285aSA</v>
      </c>
      <c r="F379" s="328"/>
      <c r="G379" s="328" t="s">
        <v>684</v>
      </c>
      <c r="H379" s="326" t="str">
        <f>INDEX('Rate Card'!$B:$B,MATCH(服务费底表!$T379,'Rate Card'!$F:$F,0))</f>
        <v>生物统计及分析</v>
      </c>
      <c r="I379" s="328" t="s">
        <v>923</v>
      </c>
      <c r="J379" s="328" t="str">
        <f>INDEX(二三级标准!$Q:$Q,MATCH(服务费底表!I379,二三级标准!$O:$O,0))</f>
        <v>数据管理</v>
      </c>
      <c r="K379" s="328" t="s">
        <v>303</v>
      </c>
      <c r="L379" s="328" t="str">
        <f>INDEX(二三级标准!C:C,MATCH(服务费底表!K379,二三级标准!$B:$B,0))</f>
        <v>召开数据审核会</v>
      </c>
      <c r="M379" s="328" t="s">
        <v>1440</v>
      </c>
      <c r="N379" s="328" t="str">
        <f>INDEX(二三级标准!$M:$M,MATCH(服务费底表!$M379,二三级标准!$L:$L,0))</f>
        <v>产生数据审核会统计TFLs</v>
      </c>
      <c r="O379" s="533"/>
      <c r="P379" s="531">
        <f>IF(R379=1,INDEX(服务费明细!$E:$E,MATCH(服务费底表!$K379,服务费明细!$B:$B,0)),0)</f>
        <v>1</v>
      </c>
      <c r="Q379" s="328" t="s">
        <v>1178</v>
      </c>
      <c r="R379" s="520">
        <f>IF(AND(召开数据审核会YN=1,统计分析YN=1),1,0)</f>
        <v>1</v>
      </c>
      <c r="S379" s="524" t="s">
        <v>575</v>
      </c>
      <c r="T379" s="328" t="s">
        <v>635</v>
      </c>
      <c r="U379" s="522" t="str">
        <f>INDEX('Rate Card'!$E:$E,MATCH(服务费底表!$T379,'Rate Card'!$F:$F,0))</f>
        <v>统计分析师</v>
      </c>
      <c r="V379" s="331">
        <f>INDEX('Rate Card'!$J:$J,MATCH($T379,'Rate Card'!$F:$F,0))</f>
        <v>225</v>
      </c>
      <c r="W379" s="523">
        <f t="shared" si="324"/>
        <v>225</v>
      </c>
      <c r="X379" s="523">
        <f t="shared" si="325"/>
        <v>16</v>
      </c>
      <c r="Y379" s="327" cm="1">
        <f t="array" ref="Y379">_xlfn.IFS(报价场景=服务费底表!$AJ$2,服务费底表!$AJ379,报价场景=服务费底表!$AP$2,服务费底表!$AP379,报价场景=服务费底表!$AK$2,服务费底表!$AK379,报价场景=服务费底表!$AL$2,服务费底表!$AL379,报价场景=服务费底表!$AM$2,服务费底表!$AM379,报价场景=服务费底表!$AN$2,服务费底表!$AN379,报价场景=服务费底表!$AQ$2,服务费底表!$AQ379,报价场景=服务费底表!$AO$2,服务费底表!$AO379)</f>
        <v>16</v>
      </c>
      <c r="Z379" s="327"/>
      <c r="AA379" s="332">
        <f t="shared" si="343"/>
        <v>16</v>
      </c>
      <c r="AB379" s="333">
        <f t="shared" si="344"/>
        <v>3600</v>
      </c>
      <c r="AC379" s="328">
        <f t="shared" si="345"/>
        <v>16</v>
      </c>
      <c r="AD379" s="334">
        <f t="shared" si="346"/>
        <v>3600</v>
      </c>
      <c r="AE379" s="334">
        <f>$AB379*(1-INDEX(项目参数!$D$5:$D$14,MATCH(服务费底表!$S379,项目参数!$B$5:$B$14,0)))</f>
        <v>3600</v>
      </c>
      <c r="AF379" s="334">
        <f>$AD379*INDEX(项目参数!$D$5:$D$14,MATCH(服务费底表!$S379,项目参数!$B$5:$B$14,0))</f>
        <v>0</v>
      </c>
      <c r="AG379" s="334">
        <f t="shared" si="347"/>
        <v>3600</v>
      </c>
      <c r="AH379" s="328"/>
      <c r="AI379" s="328" t="s">
        <v>635</v>
      </c>
      <c r="AJ379" s="327">
        <v>16</v>
      </c>
      <c r="AK379" s="327">
        <v>24</v>
      </c>
      <c r="AL379" s="327">
        <v>8</v>
      </c>
      <c r="AM379" s="327">
        <v>16</v>
      </c>
      <c r="AN379" s="327">
        <v>8</v>
      </c>
      <c r="AO379" s="327">
        <f t="shared" si="318"/>
        <v>8</v>
      </c>
      <c r="AP379" s="327">
        <v>16</v>
      </c>
      <c r="AQ379" s="327">
        <f t="shared" si="326"/>
        <v>24</v>
      </c>
      <c r="AR379" s="338"/>
      <c r="AS379" s="328"/>
      <c r="AT379" s="328"/>
      <c r="AU379" s="523">
        <v>16</v>
      </c>
      <c r="AV379" s="328"/>
      <c r="AW379" s="328"/>
      <c r="AX379" s="332">
        <v>16</v>
      </c>
      <c r="AY379" s="328"/>
      <c r="AZ379" s="328" t="b">
        <f t="shared" si="312"/>
        <v>0</v>
      </c>
    </row>
    <row r="380" ht="27" customHeight="1" spans="1:52">
      <c r="A380" s="326" t="str">
        <f>INDEX('Rate Card'!$A:$A,MATCH(服务费底表!$T380,'Rate Card'!$F:$F,0))</f>
        <v>数统</v>
      </c>
      <c r="B380" s="327" t="str">
        <f>INDEX(二三级标准!$G:$G,MATCH(服务费底表!$K380,二三级标准!B:B,0))</f>
        <v>次</v>
      </c>
      <c r="C380" s="327">
        <f>INDEX(服务费明细!$E:$E,MATCH(服务费底表!$K380,服务费明细!$B:$B,0))</f>
        <v>1</v>
      </c>
      <c r="D380" s="327" t="str">
        <f t="shared" si="341"/>
        <v>A099LDM</v>
      </c>
      <c r="E380" s="327" t="str">
        <f t="shared" si="342"/>
        <v>T0287LDM</v>
      </c>
      <c r="F380" s="328"/>
      <c r="G380" s="328" t="s">
        <v>684</v>
      </c>
      <c r="H380" s="326" t="str">
        <f>INDEX('Rate Card'!$B:$B,MATCH(服务费底表!$T380,'Rate Card'!$F:$F,0))</f>
        <v>数据管理</v>
      </c>
      <c r="I380" s="328" t="s">
        <v>923</v>
      </c>
      <c r="J380" s="328" t="str">
        <f>INDEX(二三级标准!$Q:$Q,MATCH(服务费底表!I380,二三级标准!$O:$O,0))</f>
        <v>数据管理</v>
      </c>
      <c r="K380" s="328" t="s">
        <v>303</v>
      </c>
      <c r="L380" s="328" t="str">
        <f>INDEX(二三级标准!C:C,MATCH(服务费底表!K380,二三级标准!$B:$B,0))</f>
        <v>召开数据审核会</v>
      </c>
      <c r="M380" s="328" t="s">
        <v>1441</v>
      </c>
      <c r="N380" s="328" t="str">
        <f>INDEX(二三级标准!$M:$M,MATCH(服务费底表!$M380,二三级标准!$L:$L,0))</f>
        <v>参加数据审核会</v>
      </c>
      <c r="O380" s="328"/>
      <c r="P380" s="531">
        <f>IF(R380=1,INDEX(服务费明细!$E:$E,MATCH(服务费底表!$K380,服务费明细!$B:$B,0)),0)</f>
        <v>1</v>
      </c>
      <c r="Q380" s="328" t="s">
        <v>1178</v>
      </c>
      <c r="R380" s="520">
        <f>IF(AND(召开数据审核会YN=1,数据管理YN=1),1,0)</f>
        <v>1</v>
      </c>
      <c r="S380" s="524" t="str">
        <f>INDEX('Rate Card'!$D:$D,MATCH(服务费底表!$T380,'Rate Card'!F:F,0))</f>
        <v>数据管理</v>
      </c>
      <c r="T380" s="328" t="s">
        <v>633</v>
      </c>
      <c r="U380" s="522" t="str">
        <f>INDEX('Rate Card'!$E:$E,MATCH(服务费底表!$T380,'Rate Card'!$F:$F,0))</f>
        <v>数据管理经理</v>
      </c>
      <c r="V380" s="331">
        <f>INDEX('Rate Card'!$J:$J,MATCH($T380,'Rate Card'!$F:$F,0))</f>
        <v>360</v>
      </c>
      <c r="W380" s="523">
        <f t="shared" si="324"/>
        <v>360</v>
      </c>
      <c r="X380" s="523">
        <f t="shared" si="325"/>
        <v>1</v>
      </c>
      <c r="Y380" s="327" cm="1">
        <f t="array" ref="Y380">_xlfn.IFS(报价场景=服务费底表!$AJ$2,服务费底表!$AJ380,报价场景=服务费底表!$AP$2,服务费底表!$AP380,报价场景=服务费底表!$AK$2,服务费底表!$AK380,报价场景=服务费底表!$AL$2,服务费底表!$AL380,报价场景=服务费底表!$AM$2,服务费底表!$AM380,报价场景=服务费底表!$AN$2,服务费底表!$AN380,报价场景=服务费底表!$AQ$2,服务费底表!$AQ380,报价场景=服务费底表!$AO$2,服务费底表!$AO380)</f>
        <v>1</v>
      </c>
      <c r="Z380" s="327"/>
      <c r="AA380" s="332">
        <f t="shared" si="343"/>
        <v>1</v>
      </c>
      <c r="AB380" s="333">
        <f t="shared" si="344"/>
        <v>360</v>
      </c>
      <c r="AC380" s="328">
        <f t="shared" si="345"/>
        <v>1</v>
      </c>
      <c r="AD380" s="334">
        <f t="shared" ref="AD380:AD389" si="348">AC380*V380</f>
        <v>360</v>
      </c>
      <c r="AE380" s="334">
        <f>$AB380*(1-INDEX(项目参数!$D$5:$D$14,MATCH(服务费底表!$S380,项目参数!$B$5:$B$14,0)))</f>
        <v>360</v>
      </c>
      <c r="AF380" s="334">
        <f>$AD380*INDEX(项目参数!$D$5:$D$14,MATCH(服务费底表!$S380,项目参数!$B$5:$B$14,0))</f>
        <v>0</v>
      </c>
      <c r="AG380" s="334">
        <f t="shared" ref="AG380:AG387" si="349">AD380-AF380</f>
        <v>360</v>
      </c>
      <c r="AH380" s="328"/>
      <c r="AI380" s="328" t="s">
        <v>633</v>
      </c>
      <c r="AJ380" s="327">
        <v>1</v>
      </c>
      <c r="AK380" s="327">
        <v>1</v>
      </c>
      <c r="AL380" s="327">
        <v>1</v>
      </c>
      <c r="AM380" s="327">
        <v>1</v>
      </c>
      <c r="AN380" s="327">
        <v>1</v>
      </c>
      <c r="AO380" s="327">
        <f t="shared" si="318"/>
        <v>1</v>
      </c>
      <c r="AP380" s="327">
        <v>1</v>
      </c>
      <c r="AQ380" s="327">
        <f t="shared" si="326"/>
        <v>1.5</v>
      </c>
      <c r="AR380" s="338"/>
      <c r="AS380" s="328">
        <f t="shared" ref="AS380:AS389" si="350">AC380</f>
        <v>1</v>
      </c>
      <c r="AT380" s="328">
        <f t="shared" ref="AT380:AT389" si="351">Y380*P380</f>
        <v>1</v>
      </c>
      <c r="AU380" s="523">
        <v>1</v>
      </c>
      <c r="AV380" s="328"/>
      <c r="AW380" s="328"/>
      <c r="AX380" s="332">
        <v>1</v>
      </c>
      <c r="AY380" s="328" t="b">
        <f t="shared" ref="AY380:AY389" si="352">IF(AX380=AJ380,TRUE,FALSE)</f>
        <v>1</v>
      </c>
      <c r="AZ380" s="328" t="b">
        <f t="shared" si="312"/>
        <v>0</v>
      </c>
    </row>
    <row r="381" ht="27" customHeight="1" spans="1:52">
      <c r="A381" s="326" t="str">
        <f>INDEX('Rate Card'!$A:$A,MATCH(服务费底表!$T381,'Rate Card'!$F:$F,0))</f>
        <v>数统</v>
      </c>
      <c r="B381" s="327" t="str">
        <f>INDEX(二三级标准!$G:$G,MATCH(服务费底表!$K381,二三级标准!B:B,0))</f>
        <v>次</v>
      </c>
      <c r="C381" s="327">
        <f>INDEX(服务费明细!$E:$E,MATCH(服务费底表!$K381,服务费明细!$B:$B,0))</f>
        <v>1</v>
      </c>
      <c r="D381" s="327" t="str">
        <f t="shared" si="341"/>
        <v>A099ST</v>
      </c>
      <c r="E381" s="327" t="str">
        <f t="shared" si="342"/>
        <v>T0287ST</v>
      </c>
      <c r="F381" s="328"/>
      <c r="G381" s="328" t="s">
        <v>684</v>
      </c>
      <c r="H381" s="326" t="str">
        <f>INDEX('Rate Card'!$B:$B,MATCH(服务费底表!$T381,'Rate Card'!$F:$F,0))</f>
        <v>生物统计及分析</v>
      </c>
      <c r="I381" s="328" t="s">
        <v>923</v>
      </c>
      <c r="J381" s="328" t="str">
        <f>INDEX(二三级标准!$Q:$Q,MATCH(服务费底表!I381,二三级标准!$O:$O,0))</f>
        <v>数据管理</v>
      </c>
      <c r="K381" s="328" t="s">
        <v>303</v>
      </c>
      <c r="L381" s="328" t="str">
        <f>INDEX(二三级标准!C:C,MATCH(服务费底表!K381,二三级标准!$B:$B,0))</f>
        <v>召开数据审核会</v>
      </c>
      <c r="M381" s="328" t="s">
        <v>1441</v>
      </c>
      <c r="N381" s="328" t="str">
        <f>INDEX(二三级标准!$M:$M,MATCH(服务费底表!$M381,二三级标准!$L:$L,0))</f>
        <v>参加数据审核会</v>
      </c>
      <c r="O381" s="328"/>
      <c r="P381" s="531">
        <f>IF(R381=1,INDEX(服务费明细!$E:$E,MATCH(服务费底表!$K381,服务费明细!$B:$B,0)),0)</f>
        <v>1</v>
      </c>
      <c r="Q381" s="328" t="s">
        <v>1178</v>
      </c>
      <c r="R381" s="520">
        <f>IF(AND(召开数据审核会YN=1,生物统计YN=1),1,0)</f>
        <v>1</v>
      </c>
      <c r="S381" s="524" t="str">
        <f>INDEX('Rate Card'!$D:$D,MATCH(服务费底表!$T381,'Rate Card'!F:F,0))</f>
        <v>生物统计</v>
      </c>
      <c r="T381" s="328" t="s">
        <v>639</v>
      </c>
      <c r="U381" s="522" t="str">
        <f>INDEX('Rate Card'!$E:$E,MATCH(服务费底表!$T381,'Rate Card'!$F:$F,0))</f>
        <v>生物统计师</v>
      </c>
      <c r="V381" s="331">
        <f>INDEX('Rate Card'!$J:$J,MATCH($T381,'Rate Card'!$F:$F,0))</f>
        <v>400</v>
      </c>
      <c r="W381" s="523">
        <f t="shared" si="324"/>
        <v>400</v>
      </c>
      <c r="X381" s="523">
        <f t="shared" si="325"/>
        <v>1</v>
      </c>
      <c r="Y381" s="327" cm="1">
        <f t="array" ref="Y381">_xlfn.IFS(报价场景=服务费底表!$AJ$2,服务费底表!$AJ381,报价场景=服务费底表!$AP$2,服务费底表!$AP381,报价场景=服务费底表!$AK$2,服务费底表!$AK381,报价场景=服务费底表!$AL$2,服务费底表!$AL381,报价场景=服务费底表!$AM$2,服务费底表!$AM381,报价场景=服务费底表!$AN$2,服务费底表!$AN381,报价场景=服务费底表!$AQ$2,服务费底表!$AQ381,报价场景=服务费底表!$AO$2,服务费底表!$AO381)</f>
        <v>1</v>
      </c>
      <c r="Z381" s="327"/>
      <c r="AA381" s="332">
        <f t="shared" si="343"/>
        <v>1</v>
      </c>
      <c r="AB381" s="333">
        <f t="shared" si="344"/>
        <v>400</v>
      </c>
      <c r="AC381" s="328">
        <f t="shared" si="345"/>
        <v>1</v>
      </c>
      <c r="AD381" s="334">
        <f t="shared" si="348"/>
        <v>400</v>
      </c>
      <c r="AE381" s="334">
        <f>$AB381*(1-INDEX(项目参数!$D$5:$D$14,MATCH(服务费底表!$S381,项目参数!$B$5:$B$14,0)))</f>
        <v>400</v>
      </c>
      <c r="AF381" s="334">
        <f>$AD381*INDEX(项目参数!$D$5:$D$14,MATCH(服务费底表!$S381,项目参数!$B$5:$B$14,0))</f>
        <v>0</v>
      </c>
      <c r="AG381" s="334">
        <f t="shared" si="349"/>
        <v>400</v>
      </c>
      <c r="AH381" s="328"/>
      <c r="AI381" s="328" t="s">
        <v>639</v>
      </c>
      <c r="AJ381" s="327">
        <v>1</v>
      </c>
      <c r="AK381" s="327">
        <v>1</v>
      </c>
      <c r="AL381" s="327">
        <v>1</v>
      </c>
      <c r="AM381" s="327">
        <v>1</v>
      </c>
      <c r="AN381" s="327">
        <v>1</v>
      </c>
      <c r="AO381" s="327">
        <f t="shared" si="318"/>
        <v>1</v>
      </c>
      <c r="AP381" s="327">
        <v>1</v>
      </c>
      <c r="AQ381" s="327">
        <f t="shared" si="326"/>
        <v>1.5</v>
      </c>
      <c r="AR381" s="338"/>
      <c r="AS381" s="328">
        <f t="shared" si="350"/>
        <v>1</v>
      </c>
      <c r="AT381" s="328">
        <f t="shared" si="351"/>
        <v>1</v>
      </c>
      <c r="AU381" s="523">
        <v>1</v>
      </c>
      <c r="AV381" s="328"/>
      <c r="AW381" s="328"/>
      <c r="AX381" s="332">
        <v>1</v>
      </c>
      <c r="AY381" s="328" t="b">
        <f t="shared" si="352"/>
        <v>1</v>
      </c>
      <c r="AZ381" s="328" t="b">
        <f t="shared" si="312"/>
        <v>0</v>
      </c>
    </row>
    <row r="382" ht="27" customHeight="1" spans="1:52">
      <c r="A382" s="326" t="str">
        <f>INDEX('Rate Card'!$A:$A,MATCH(服务费底表!$T382,'Rate Card'!$F:$F,0))</f>
        <v>数统</v>
      </c>
      <c r="B382" s="327" t="str">
        <f>INDEX(二三级标准!$G:$G,MATCH(服务费底表!$K382,二三级标准!B:B,0))</f>
        <v>次</v>
      </c>
      <c r="C382" s="327">
        <f>INDEX(服务费明细!$E:$E,MATCH(服务费底表!$K382,服务费明细!$B:$B,0))</f>
        <v>1</v>
      </c>
      <c r="D382" s="327" t="str">
        <f t="shared" si="341"/>
        <v>A099SAM</v>
      </c>
      <c r="E382" s="327" t="str">
        <f t="shared" si="342"/>
        <v>T0287SAM</v>
      </c>
      <c r="F382" s="328"/>
      <c r="G382" s="328" t="s">
        <v>684</v>
      </c>
      <c r="H382" s="326" t="str">
        <f>INDEX('Rate Card'!$B:$B,MATCH(服务费底表!$T382,'Rate Card'!$F:$F,0))</f>
        <v>生物统计及分析</v>
      </c>
      <c r="I382" s="328" t="s">
        <v>923</v>
      </c>
      <c r="J382" s="328" t="str">
        <f>INDEX(二三级标准!$Q:$Q,MATCH(服务费底表!I382,二三级标准!$O:$O,0))</f>
        <v>数据管理</v>
      </c>
      <c r="K382" s="328" t="s">
        <v>303</v>
      </c>
      <c r="L382" s="328" t="str">
        <f>INDEX(二三级标准!C:C,MATCH(服务费底表!K382,二三级标准!$B:$B,0))</f>
        <v>召开数据审核会</v>
      </c>
      <c r="M382" s="328" t="s">
        <v>1441</v>
      </c>
      <c r="N382" s="328" t="str">
        <f>INDEX(二三级标准!$M:$M,MATCH(服务费底表!$M382,二三级标准!$L:$L,0))</f>
        <v>参加数据审核会</v>
      </c>
      <c r="O382" s="328"/>
      <c r="P382" s="531">
        <f>IF(R382=1,INDEX(服务费明细!$E:$E,MATCH(服务费底表!$K382,服务费明细!$B:$B,0)),0)</f>
        <v>1</v>
      </c>
      <c r="Q382" s="328" t="s">
        <v>1178</v>
      </c>
      <c r="R382" s="520">
        <f>IF(AND(召开数据审核会YN=1,统计分析YN=1),1,0)</f>
        <v>1</v>
      </c>
      <c r="S382" s="524" t="str">
        <f>INDEX('Rate Card'!$D:$D,MATCH(服务费底表!$T382,'Rate Card'!F:F,0))</f>
        <v>统计分析</v>
      </c>
      <c r="T382" s="328" t="s">
        <v>638</v>
      </c>
      <c r="U382" s="522" t="str">
        <f>INDEX('Rate Card'!$E:$E,MATCH(服务费底表!$T382,'Rate Card'!$F:$F,0))</f>
        <v>统计分析经理</v>
      </c>
      <c r="V382" s="331">
        <f>INDEX('Rate Card'!$J:$J,MATCH($T382,'Rate Card'!$F:$F,0))</f>
        <v>450</v>
      </c>
      <c r="W382" s="523">
        <f t="shared" si="324"/>
        <v>450</v>
      </c>
      <c r="X382" s="523">
        <f t="shared" si="325"/>
        <v>1</v>
      </c>
      <c r="Y382" s="327" cm="1">
        <f t="array" ref="Y382">_xlfn.IFS(报价场景=服务费底表!$AJ$2,服务费底表!$AJ382,报价场景=服务费底表!$AP$2,服务费底表!$AP382,报价场景=服务费底表!$AK$2,服务费底表!$AK382,报价场景=服务费底表!$AL$2,服务费底表!$AL382,报价场景=服务费底表!$AM$2,服务费底表!$AM382,报价场景=服务费底表!$AN$2,服务费底表!$AN382,报价场景=服务费底表!$AQ$2,服务费底表!$AQ382,报价场景=服务费底表!$AO$2,服务费底表!$AO382)</f>
        <v>1</v>
      </c>
      <c r="Z382" s="327"/>
      <c r="AA382" s="332">
        <f t="shared" si="343"/>
        <v>1</v>
      </c>
      <c r="AB382" s="333">
        <f t="shared" si="344"/>
        <v>450</v>
      </c>
      <c r="AC382" s="328">
        <f t="shared" si="345"/>
        <v>1</v>
      </c>
      <c r="AD382" s="334">
        <f t="shared" si="348"/>
        <v>450</v>
      </c>
      <c r="AE382" s="334">
        <f>$AB382*(1-INDEX(项目参数!$D$5:$D$14,MATCH(服务费底表!$S382,项目参数!$B$5:$B$14,0)))</f>
        <v>450</v>
      </c>
      <c r="AF382" s="334">
        <f>$AD382*INDEX(项目参数!$D$5:$D$14,MATCH(服务费底表!$S382,项目参数!$B$5:$B$14,0))</f>
        <v>0</v>
      </c>
      <c r="AG382" s="334">
        <f t="shared" si="349"/>
        <v>450</v>
      </c>
      <c r="AH382" s="328"/>
      <c r="AI382" s="328" t="s">
        <v>638</v>
      </c>
      <c r="AJ382" s="327">
        <v>1</v>
      </c>
      <c r="AK382" s="327">
        <v>1</v>
      </c>
      <c r="AL382" s="327">
        <v>1</v>
      </c>
      <c r="AM382" s="327">
        <v>1</v>
      </c>
      <c r="AN382" s="327">
        <v>1</v>
      </c>
      <c r="AO382" s="327">
        <f t="shared" si="318"/>
        <v>1</v>
      </c>
      <c r="AP382" s="327">
        <v>1</v>
      </c>
      <c r="AQ382" s="327">
        <f t="shared" si="326"/>
        <v>1.5</v>
      </c>
      <c r="AR382" s="338"/>
      <c r="AS382" s="328">
        <f t="shared" si="350"/>
        <v>1</v>
      </c>
      <c r="AT382" s="328">
        <f t="shared" si="351"/>
        <v>1</v>
      </c>
      <c r="AU382" s="523">
        <v>1</v>
      </c>
      <c r="AV382" s="328"/>
      <c r="AW382" s="328"/>
      <c r="AX382" s="332">
        <v>1</v>
      </c>
      <c r="AY382" s="328" t="b">
        <f t="shared" si="352"/>
        <v>1</v>
      </c>
      <c r="AZ382" s="328" t="b">
        <f t="shared" si="312"/>
        <v>0</v>
      </c>
    </row>
    <row r="383" ht="27" customHeight="1" spans="1:52">
      <c r="A383" s="326" t="str">
        <f>INDEX('Rate Card'!$A:$A,MATCH(服务费底表!$T383,'Rate Card'!$F:$F,0))</f>
        <v>医学</v>
      </c>
      <c r="B383" s="327" t="str">
        <f>INDEX(二三级标准!$G:$G,MATCH(服务费底表!$K383,二三级标准!B:B,0))</f>
        <v>次</v>
      </c>
      <c r="C383" s="327">
        <f>INDEX(服务费明细!$E:$E,MATCH(服务费底表!$K383,服务费明细!$B:$B,0))</f>
        <v>1</v>
      </c>
      <c r="D383" s="327" t="str">
        <f t="shared" si="341"/>
        <v>A099MM</v>
      </c>
      <c r="E383" s="327" t="str">
        <f t="shared" si="342"/>
        <v>T0287MM</v>
      </c>
      <c r="F383" s="328"/>
      <c r="G383" s="328" t="s">
        <v>684</v>
      </c>
      <c r="H383" s="326" t="str">
        <f>INDEX('Rate Card'!$B:$B,MATCH(服务费底表!$T383,'Rate Card'!$F:$F,0))</f>
        <v>医学</v>
      </c>
      <c r="I383" s="328" t="s">
        <v>923</v>
      </c>
      <c r="J383" s="328" t="str">
        <f>INDEX(二三级标准!$Q:$Q,MATCH(服务费底表!I383,二三级标准!$O:$O,0))</f>
        <v>数据管理</v>
      </c>
      <c r="K383" s="328" t="s">
        <v>303</v>
      </c>
      <c r="L383" s="328" t="str">
        <f>INDEX(二三级标准!C:C,MATCH(服务费底表!K383,二三级标准!$B:$B,0))</f>
        <v>召开数据审核会</v>
      </c>
      <c r="M383" s="328" t="s">
        <v>1441</v>
      </c>
      <c r="N383" s="328" t="str">
        <f>INDEX(二三级标准!$M:$M,MATCH(服务费底表!$M383,二三级标准!$L:$L,0))</f>
        <v>参加数据审核会</v>
      </c>
      <c r="O383" s="328"/>
      <c r="P383" s="531">
        <f>IF(R383=1,INDEX(服务费明细!$E:$E,MATCH(服务费底表!$K383,服务费明细!$B:$B,0)),0)</f>
        <v>1</v>
      </c>
      <c r="Q383" s="328" t="s">
        <v>1178</v>
      </c>
      <c r="R383" s="520">
        <f>IF(AND(召开数据审核会YN=1,医学监查YN=1),1,0)</f>
        <v>1</v>
      </c>
      <c r="S383" s="521" t="str">
        <f>IF(AND(H383="医学",OR(I383=二三级标准!$A$4,I383=二三级标准!$A$153)),"医学撰写","医学监查")</f>
        <v>医学监查</v>
      </c>
      <c r="T383" s="328" t="s">
        <v>615</v>
      </c>
      <c r="U383" s="522" t="str">
        <f>INDEX('Rate Card'!$E:$E,MATCH(服务费底表!$T383,'Rate Card'!$F:$F,0))</f>
        <v>医学经理</v>
      </c>
      <c r="V383" s="331">
        <f>INDEX('Rate Card'!$J:$J,MATCH($T383,'Rate Card'!$F:$F,0))</f>
        <v>650</v>
      </c>
      <c r="W383" s="523">
        <f t="shared" si="324"/>
        <v>650</v>
      </c>
      <c r="X383" s="523">
        <f t="shared" si="325"/>
        <v>1</v>
      </c>
      <c r="Y383" s="327" cm="1">
        <f t="array" ref="Y383">_xlfn.IFS(报价场景=服务费底表!$AJ$2,服务费底表!$AJ383,报价场景=服务费底表!$AP$2,服务费底表!$AP383,报价场景=服务费底表!$AK$2,服务费底表!$AK383,报价场景=服务费底表!$AL$2,服务费底表!$AL383,报价场景=服务费底表!$AM$2,服务费底表!$AM383,报价场景=服务费底表!$AN$2,服务费底表!$AN383,报价场景=服务费底表!$AQ$2,服务费底表!$AQ383,报价场景=服务费底表!$AO$2,服务费底表!$AO383)</f>
        <v>1</v>
      </c>
      <c r="Z383" s="327"/>
      <c r="AA383" s="332">
        <f t="shared" si="343"/>
        <v>1</v>
      </c>
      <c r="AB383" s="333">
        <f t="shared" si="344"/>
        <v>650</v>
      </c>
      <c r="AC383" s="328">
        <f t="shared" si="345"/>
        <v>1</v>
      </c>
      <c r="AD383" s="334">
        <f t="shared" si="348"/>
        <v>650</v>
      </c>
      <c r="AE383" s="334">
        <f>$AB383*(1-INDEX(项目参数!$D$5:$D$14,MATCH(服务费底表!$S383,项目参数!$B$5:$B$14,0)))</f>
        <v>650</v>
      </c>
      <c r="AF383" s="334">
        <f>$AD383*INDEX(项目参数!$D$5:$D$14,MATCH(服务费底表!$S383,项目参数!$B$5:$B$14,0))</f>
        <v>0</v>
      </c>
      <c r="AG383" s="334">
        <f t="shared" si="349"/>
        <v>650</v>
      </c>
      <c r="AH383" s="328"/>
      <c r="AI383" s="328" t="s">
        <v>615</v>
      </c>
      <c r="AJ383" s="327">
        <v>1</v>
      </c>
      <c r="AK383" s="327">
        <v>1</v>
      </c>
      <c r="AL383" s="327">
        <v>1</v>
      </c>
      <c r="AM383" s="327">
        <v>1</v>
      </c>
      <c r="AN383" s="327">
        <v>1</v>
      </c>
      <c r="AO383" s="327">
        <f t="shared" si="318"/>
        <v>1</v>
      </c>
      <c r="AP383" s="327">
        <v>1</v>
      </c>
      <c r="AQ383" s="327">
        <f t="shared" si="326"/>
        <v>1.5</v>
      </c>
      <c r="AR383" s="338"/>
      <c r="AS383" s="328">
        <f t="shared" si="350"/>
        <v>1</v>
      </c>
      <c r="AT383" s="328">
        <f t="shared" si="351"/>
        <v>1</v>
      </c>
      <c r="AU383" s="523">
        <v>1</v>
      </c>
      <c r="AV383" s="328"/>
      <c r="AW383" s="328"/>
      <c r="AX383" s="332">
        <v>1</v>
      </c>
      <c r="AY383" s="328" t="b">
        <f t="shared" si="352"/>
        <v>1</v>
      </c>
      <c r="AZ383" s="328" t="b">
        <f t="shared" si="312"/>
        <v>0</v>
      </c>
    </row>
    <row r="384" ht="27" customHeight="1" spans="1:52">
      <c r="A384" s="326" t="str">
        <f>INDEX('Rate Card'!$A:$A,MATCH(服务费底表!$T384,'Rate Card'!$F:$F,0))</f>
        <v>临床运营</v>
      </c>
      <c r="B384" s="327" t="str">
        <f>INDEX(二三级标准!$G:$G,MATCH(服务费底表!$K384,二三级标准!B:B,0))</f>
        <v>次</v>
      </c>
      <c r="C384" s="327">
        <f>INDEX(服务费明细!$E:$E,MATCH(服务费底表!$K384,服务费明细!$B:$B,0))</f>
        <v>1</v>
      </c>
      <c r="D384" s="327" t="str">
        <f t="shared" si="341"/>
        <v>A099PM</v>
      </c>
      <c r="E384" s="327" t="str">
        <f t="shared" si="342"/>
        <v>T0287PM</v>
      </c>
      <c r="F384" s="328"/>
      <c r="G384" s="328" t="s">
        <v>684</v>
      </c>
      <c r="H384" s="326" t="str">
        <f>INDEX('Rate Card'!$B:$B,MATCH(服务费底表!$T384,'Rate Card'!$F:$F,0))</f>
        <v>临床运营</v>
      </c>
      <c r="I384" s="328" t="s">
        <v>923</v>
      </c>
      <c r="J384" s="328" t="str">
        <f>INDEX(二三级标准!$Q:$Q,MATCH(服务费底表!I384,二三级标准!$O:$O,0))</f>
        <v>数据管理</v>
      </c>
      <c r="K384" s="328" t="s">
        <v>303</v>
      </c>
      <c r="L384" s="328" t="str">
        <f>INDEX(二三级标准!C:C,MATCH(服务费底表!K384,二三级标准!$B:$B,0))</f>
        <v>召开数据审核会</v>
      </c>
      <c r="M384" s="328" t="s">
        <v>1441</v>
      </c>
      <c r="N384" s="328" t="str">
        <f>INDEX(二三级标准!$M:$M,MATCH(服务费底表!$M384,二三级标准!$L:$L,0))</f>
        <v>参加数据审核会</v>
      </c>
      <c r="O384" s="328"/>
      <c r="P384" s="531">
        <f>IF(R384=1,INDEX(服务费明细!$E:$E,MATCH(服务费底表!$K384,服务费明细!$B:$B,0)),0)</f>
        <v>1</v>
      </c>
      <c r="Q384" s="328" t="s">
        <v>1178</v>
      </c>
      <c r="R384" s="520">
        <f>IF(AND(召开数据审核会YN=1,项目管理YN=1),1,0)</f>
        <v>1</v>
      </c>
      <c r="S384" s="525" t="str">
        <f>INDEX('Rate Card'!$D:$D,MATCH(服务费底表!$T384,'Rate Card'!F:F,0))</f>
        <v>项目管理</v>
      </c>
      <c r="T384" s="328" t="s">
        <v>599</v>
      </c>
      <c r="U384" s="522" t="str">
        <f>INDEX('Rate Card'!$E:$E,MATCH(服务费底表!$T384,'Rate Card'!$F:$F,0))</f>
        <v>临床项目经理</v>
      </c>
      <c r="V384" s="331">
        <f>INDEX('Rate Card'!$J:$J,MATCH($T384,'Rate Card'!$F:$F,0))</f>
        <v>650</v>
      </c>
      <c r="W384" s="523">
        <f t="shared" si="324"/>
        <v>650</v>
      </c>
      <c r="X384" s="523">
        <f t="shared" si="325"/>
        <v>1</v>
      </c>
      <c r="Y384" s="327" cm="1">
        <f t="array" ref="Y384">_xlfn.IFS(报价场景=服务费底表!$AJ$2,服务费底表!$AJ384,报价场景=服务费底表!$AP$2,服务费底表!$AP384,报价场景=服务费底表!$AK$2,服务费底表!$AK384,报价场景=服务费底表!$AL$2,服务费底表!$AL384,报价场景=服务费底表!$AM$2,服务费底表!$AM384,报价场景=服务费底表!$AN$2,服务费底表!$AN384,报价场景=服务费底表!$AQ$2,服务费底表!$AQ384,报价场景=服务费底表!$AO$2,服务费底表!$AO384)</f>
        <v>1</v>
      </c>
      <c r="Z384" s="327"/>
      <c r="AA384" s="332">
        <f t="shared" si="343"/>
        <v>1</v>
      </c>
      <c r="AB384" s="333">
        <f t="shared" si="344"/>
        <v>650</v>
      </c>
      <c r="AC384" s="328">
        <f t="shared" si="345"/>
        <v>1</v>
      </c>
      <c r="AD384" s="334">
        <f t="shared" si="348"/>
        <v>650</v>
      </c>
      <c r="AE384" s="334">
        <f>$AB384*(1-INDEX(项目参数!$D$5:$D$14,MATCH(服务费底表!$S384,项目参数!$B$5:$B$14,0)))</f>
        <v>650</v>
      </c>
      <c r="AF384" s="334">
        <f>$AD384*INDEX(项目参数!$D$5:$D$14,MATCH(服务费底表!$S384,项目参数!$B$5:$B$14,0))</f>
        <v>0</v>
      </c>
      <c r="AG384" s="334">
        <f t="shared" si="349"/>
        <v>650</v>
      </c>
      <c r="AH384" s="328"/>
      <c r="AI384" s="328" t="s">
        <v>599</v>
      </c>
      <c r="AJ384" s="327">
        <v>1</v>
      </c>
      <c r="AK384" s="327">
        <v>1</v>
      </c>
      <c r="AL384" s="327">
        <v>1</v>
      </c>
      <c r="AM384" s="327">
        <v>1</v>
      </c>
      <c r="AN384" s="327">
        <v>1</v>
      </c>
      <c r="AO384" s="327">
        <f t="shared" si="318"/>
        <v>1</v>
      </c>
      <c r="AP384" s="327">
        <v>1</v>
      </c>
      <c r="AQ384" s="327">
        <f t="shared" si="326"/>
        <v>1.5</v>
      </c>
      <c r="AR384" s="338"/>
      <c r="AS384" s="328">
        <f t="shared" si="350"/>
        <v>1</v>
      </c>
      <c r="AT384" s="328">
        <f t="shared" si="351"/>
        <v>1</v>
      </c>
      <c r="AU384" s="523">
        <v>1</v>
      </c>
      <c r="AV384" s="328"/>
      <c r="AW384" s="328"/>
      <c r="AX384" s="332">
        <v>1</v>
      </c>
      <c r="AY384" s="328" t="b">
        <f t="shared" si="352"/>
        <v>1</v>
      </c>
      <c r="AZ384" s="328" t="b">
        <f t="shared" si="312"/>
        <v>0</v>
      </c>
    </row>
    <row r="385" ht="27" customHeight="1" spans="1:52">
      <c r="A385" s="326" t="str">
        <f>INDEX('Rate Card'!$A:$A,MATCH(服务费底表!$T385,'Rate Card'!$F:$F,0))</f>
        <v>临床药理</v>
      </c>
      <c r="B385" s="327" t="str">
        <f>INDEX(二三级标准!$G:$G,MATCH(服务费底表!$K385,二三级标准!B:B,0))</f>
        <v>次</v>
      </c>
      <c r="C385" s="327">
        <f>INDEX(服务费明细!$E:$E,MATCH(服务费底表!$K385,服务费明细!$B:$B,0))</f>
        <v>1</v>
      </c>
      <c r="D385" s="327" t="str">
        <f t="shared" si="341"/>
        <v>A099CPS</v>
      </c>
      <c r="E385" s="327" t="str">
        <f t="shared" si="342"/>
        <v>T0287CPS</v>
      </c>
      <c r="F385" s="328"/>
      <c r="G385" s="328" t="s">
        <v>684</v>
      </c>
      <c r="H385" s="326" t="str">
        <f>INDEX('Rate Card'!$B:$B,MATCH(服务费底表!$T385,'Rate Card'!$F:$F,0))</f>
        <v>临床药理</v>
      </c>
      <c r="I385" s="328" t="s">
        <v>923</v>
      </c>
      <c r="J385" s="328" t="str">
        <f>INDEX(二三级标准!$Q:$Q,MATCH(服务费底表!I385,二三级标准!$O:$O,0))</f>
        <v>数据管理</v>
      </c>
      <c r="K385" s="328" t="s">
        <v>303</v>
      </c>
      <c r="L385" s="328" t="str">
        <f>INDEX(二三级标准!C:C,MATCH(服务费底表!K385,二三级标准!$B:$B,0))</f>
        <v>召开数据审核会</v>
      </c>
      <c r="M385" s="328" t="s">
        <v>1441</v>
      </c>
      <c r="N385" s="328" t="str">
        <f>INDEX(二三级标准!$M:$M,MATCH(服务费底表!$M385,二三级标准!$L:$L,0))</f>
        <v>参加数据审核会</v>
      </c>
      <c r="O385" s="328"/>
      <c r="P385" s="531">
        <f>IF(R385=1,INDEX(服务费明细!$E:$E,MATCH(服务费底表!$K385,服务费明细!$B:$B,0)),0)</f>
        <v>1</v>
      </c>
      <c r="Q385" s="328" t="s">
        <v>1178</v>
      </c>
      <c r="R385" s="520">
        <f>IF(AND(召开数据审核会YN=1,临床药理YN=1,撰写PK_SAP=1),1,0)</f>
        <v>1</v>
      </c>
      <c r="S385" s="328" t="str">
        <f>INDEX('Rate Card'!$D:$D,MATCH(服务费底表!$T385,'Rate Card'!F:F,0))</f>
        <v>临床药理</v>
      </c>
      <c r="T385" s="328" t="s">
        <v>652</v>
      </c>
      <c r="U385" s="522" t="str">
        <f>INDEX('Rate Card'!$E:$E,MATCH(服务费底表!$T385,'Rate Card'!$F:$F,0))</f>
        <v>临床药理专员</v>
      </c>
      <c r="V385" s="331">
        <f>INDEX('Rate Card'!$J:$J,MATCH($T385,'Rate Card'!$F:$F,0))</f>
        <v>580</v>
      </c>
      <c r="W385" s="523">
        <f t="shared" si="324"/>
        <v>580</v>
      </c>
      <c r="X385" s="523">
        <f t="shared" si="325"/>
        <v>1</v>
      </c>
      <c r="Y385" s="327" cm="1">
        <f t="array" ref="Y385">_xlfn.IFS(报价场景=服务费底表!$AJ$2,服务费底表!$AJ385,报价场景=服务费底表!$AP$2,服务费底表!$AP385,报价场景=服务费底表!$AK$2,服务费底表!$AK385,报价场景=服务费底表!$AL$2,服务费底表!$AL385,报价场景=服务费底表!$AM$2,服务费底表!$AM385,报价场景=服务费底表!$AN$2,服务费底表!$AN385,报价场景=服务费底表!$AQ$2,服务费底表!$AQ385,报价场景=服务费底表!$AO$2,服务费底表!$AO385)</f>
        <v>1</v>
      </c>
      <c r="Z385" s="327"/>
      <c r="AA385" s="332">
        <f t="shared" si="343"/>
        <v>1</v>
      </c>
      <c r="AB385" s="333">
        <f t="shared" si="344"/>
        <v>580</v>
      </c>
      <c r="AC385" s="328">
        <f t="shared" si="345"/>
        <v>1</v>
      </c>
      <c r="AD385" s="334">
        <f t="shared" si="348"/>
        <v>580</v>
      </c>
      <c r="AE385" s="334">
        <f>$AB385*(1-INDEX(项目参数!$D$5:$D$14,MATCH(服务费底表!$S385,项目参数!$B$5:$B$14,0)))</f>
        <v>580</v>
      </c>
      <c r="AF385" s="334">
        <f>$AD385*INDEX(项目参数!$D$5:$D$14,MATCH(服务费底表!$S385,项目参数!$B$5:$B$14,0))</f>
        <v>0</v>
      </c>
      <c r="AG385" s="334">
        <f t="shared" si="349"/>
        <v>580</v>
      </c>
      <c r="AH385" s="328"/>
      <c r="AI385" s="328" t="s">
        <v>652</v>
      </c>
      <c r="AJ385" s="327">
        <v>1</v>
      </c>
      <c r="AK385" s="327">
        <v>1</v>
      </c>
      <c r="AL385" s="327">
        <v>1</v>
      </c>
      <c r="AM385" s="327">
        <v>1</v>
      </c>
      <c r="AN385" s="327">
        <v>1</v>
      </c>
      <c r="AO385" s="327">
        <f t="shared" si="318"/>
        <v>1</v>
      </c>
      <c r="AP385" s="327">
        <v>1</v>
      </c>
      <c r="AQ385" s="327">
        <f t="shared" si="326"/>
        <v>1.5</v>
      </c>
      <c r="AR385" s="338"/>
      <c r="AS385" s="328">
        <f t="shared" si="350"/>
        <v>1</v>
      </c>
      <c r="AT385" s="328">
        <f t="shared" si="351"/>
        <v>1</v>
      </c>
      <c r="AU385" s="523">
        <v>1</v>
      </c>
      <c r="AV385" s="328"/>
      <c r="AW385" s="328"/>
      <c r="AX385" s="332">
        <v>1</v>
      </c>
      <c r="AY385" s="328" t="b">
        <f t="shared" si="352"/>
        <v>1</v>
      </c>
      <c r="AZ385" s="328" t="b">
        <f t="shared" si="312"/>
        <v>0</v>
      </c>
    </row>
    <row r="386" ht="27" customHeight="1" spans="1:52">
      <c r="A386" s="326" t="str">
        <f>INDEX('Rate Card'!$A:$A,MATCH(服务费底表!$T386,'Rate Card'!$F:$F,0))</f>
        <v>数统</v>
      </c>
      <c r="B386" s="327" t="str">
        <f>INDEX(二三级标准!$G:$G,MATCH(服务费底表!$K386,二三级标准!B:B,0))</f>
        <v>次</v>
      </c>
      <c r="C386" s="327">
        <f>INDEX(服务费明细!$E:$E,MATCH(服务费底表!$K386,服务费明细!$B:$B,0))</f>
        <v>1</v>
      </c>
      <c r="D386" s="327" t="str">
        <f t="shared" si="341"/>
        <v>A099LDM</v>
      </c>
      <c r="E386" s="327" t="str">
        <f t="shared" si="342"/>
        <v>T0288LDM</v>
      </c>
      <c r="F386" s="328"/>
      <c r="G386" s="328" t="s">
        <v>684</v>
      </c>
      <c r="H386" s="326" t="str">
        <f>INDEX('Rate Card'!$B:$B,MATCH(服务费底表!$T386,'Rate Card'!$F:$F,0))</f>
        <v>数据管理</v>
      </c>
      <c r="I386" s="328" t="s">
        <v>923</v>
      </c>
      <c r="J386" s="328" t="str">
        <f>INDEX(二三级标准!$Q:$Q,MATCH(服务费底表!I386,二三级标准!$O:$O,0))</f>
        <v>数据管理</v>
      </c>
      <c r="K386" s="328" t="s">
        <v>303</v>
      </c>
      <c r="L386" s="328" t="str">
        <f>INDEX(二三级标准!C:C,MATCH(服务费底表!K386,二三级标准!$B:$B,0))</f>
        <v>召开数据审核会</v>
      </c>
      <c r="M386" s="328" t="s">
        <v>1442</v>
      </c>
      <c r="N386" s="328" t="str">
        <f>INDEX(二三级标准!$M:$M,MATCH(服务费底表!$M386,二三级标准!$L:$L,0))</f>
        <v>数据审核会后跟进</v>
      </c>
      <c r="O386" s="328"/>
      <c r="P386" s="531">
        <f>IF(R386=1,INDEX(服务费明细!$E:$E,MATCH(服务费底表!$K386,服务费明细!$B:$B,0)),0)</f>
        <v>1</v>
      </c>
      <c r="Q386" s="328" t="s">
        <v>1178</v>
      </c>
      <c r="R386" s="520">
        <f>IF(AND(召开数据审核会YN=1,数据管理YN=1),1,0)</f>
        <v>1</v>
      </c>
      <c r="S386" s="524" t="str">
        <f>INDEX('Rate Card'!$D:$D,MATCH(服务费底表!$T386,'Rate Card'!F:F,0))</f>
        <v>数据管理</v>
      </c>
      <c r="T386" s="328" t="s">
        <v>633</v>
      </c>
      <c r="U386" s="522" t="str">
        <f>INDEX('Rate Card'!$E:$E,MATCH(服务费底表!$T386,'Rate Card'!$F:$F,0))</f>
        <v>数据管理经理</v>
      </c>
      <c r="V386" s="331">
        <f>INDEX('Rate Card'!$J:$J,MATCH($T386,'Rate Card'!$F:$F,0))</f>
        <v>360</v>
      </c>
      <c r="W386" s="523">
        <f t="shared" si="324"/>
        <v>360</v>
      </c>
      <c r="X386" s="523">
        <f t="shared" si="325"/>
        <v>4</v>
      </c>
      <c r="Y386" s="327" cm="1">
        <f t="array" ref="Y386">_xlfn.IFS(报价场景=服务费底表!$AJ$2,服务费底表!$AJ386,报价场景=服务费底表!$AP$2,服务费底表!$AP386,报价场景=服务费底表!$AK$2,服务费底表!$AK386,报价场景=服务费底表!$AL$2,服务费底表!$AL386,报价场景=服务费底表!$AM$2,服务费底表!$AM386,报价场景=服务费底表!$AN$2,服务费底表!$AN386,报价场景=服务费底表!$AQ$2,服务费底表!$AQ386,报价场景=服务费底表!$AO$2,服务费底表!$AO386)</f>
        <v>4</v>
      </c>
      <c r="Z386" s="327"/>
      <c r="AA386" s="332">
        <f t="shared" si="343"/>
        <v>4</v>
      </c>
      <c r="AB386" s="333">
        <f t="shared" si="344"/>
        <v>1440</v>
      </c>
      <c r="AC386" s="328">
        <f t="shared" si="345"/>
        <v>4</v>
      </c>
      <c r="AD386" s="334">
        <f t="shared" si="348"/>
        <v>1440</v>
      </c>
      <c r="AE386" s="334">
        <f>$AB386*(1-INDEX(项目参数!$D$5:$D$14,MATCH(服务费底表!$S386,项目参数!$B$5:$B$14,0)))</f>
        <v>1440</v>
      </c>
      <c r="AF386" s="334">
        <f>$AD386*INDEX(项目参数!$D$5:$D$14,MATCH(服务费底表!$S386,项目参数!$B$5:$B$14,0))</f>
        <v>0</v>
      </c>
      <c r="AG386" s="334">
        <f t="shared" si="349"/>
        <v>1440</v>
      </c>
      <c r="AH386" s="328"/>
      <c r="AI386" s="328" t="s">
        <v>633</v>
      </c>
      <c r="AJ386" s="327">
        <v>4</v>
      </c>
      <c r="AK386" s="327">
        <v>6</v>
      </c>
      <c r="AL386" s="327">
        <v>2</v>
      </c>
      <c r="AM386" s="327">
        <v>4</v>
      </c>
      <c r="AN386" s="327">
        <v>2</v>
      </c>
      <c r="AO386" s="327">
        <f t="shared" si="318"/>
        <v>2</v>
      </c>
      <c r="AP386" s="327">
        <v>4</v>
      </c>
      <c r="AQ386" s="327">
        <f t="shared" si="326"/>
        <v>6</v>
      </c>
      <c r="AR386" s="338"/>
      <c r="AS386" s="328">
        <f t="shared" si="350"/>
        <v>4</v>
      </c>
      <c r="AT386" s="328">
        <f t="shared" si="351"/>
        <v>4</v>
      </c>
      <c r="AU386" s="523">
        <v>4</v>
      </c>
      <c r="AV386" s="328"/>
      <c r="AW386" s="328"/>
      <c r="AX386" s="332">
        <v>4</v>
      </c>
      <c r="AY386" s="328" t="b">
        <f t="shared" si="352"/>
        <v>1</v>
      </c>
      <c r="AZ386" s="328" t="b">
        <f t="shared" si="312"/>
        <v>0</v>
      </c>
    </row>
    <row r="387" ht="27" customHeight="1" spans="1:52">
      <c r="A387" s="326" t="str">
        <f>INDEX('Rate Card'!$A:$A,MATCH(服务费底表!$T387,'Rate Card'!$F:$F,0))</f>
        <v>数统</v>
      </c>
      <c r="B387" s="327" t="str">
        <f>INDEX(二三级标准!$G:$G,MATCH(服务费底表!$K387,二三级标准!B:B,0))</f>
        <v>次</v>
      </c>
      <c r="C387" s="327">
        <f>INDEX(服务费明细!$E:$E,MATCH(服务费底表!$K387,服务费明细!$B:$B,0))</f>
        <v>1</v>
      </c>
      <c r="D387" s="327" t="str">
        <f t="shared" si="341"/>
        <v>A099ST</v>
      </c>
      <c r="E387" s="327" t="str">
        <f t="shared" si="342"/>
        <v>T0288ST</v>
      </c>
      <c r="F387" s="328"/>
      <c r="G387" s="328" t="s">
        <v>684</v>
      </c>
      <c r="H387" s="326" t="str">
        <f>INDEX('Rate Card'!$B:$B,MATCH(服务费底表!$T387,'Rate Card'!$F:$F,0))</f>
        <v>生物统计及分析</v>
      </c>
      <c r="I387" s="328" t="s">
        <v>923</v>
      </c>
      <c r="J387" s="328" t="str">
        <f>INDEX(二三级标准!$Q:$Q,MATCH(服务费底表!I387,二三级标准!$O:$O,0))</f>
        <v>数据管理</v>
      </c>
      <c r="K387" s="328" t="s">
        <v>303</v>
      </c>
      <c r="L387" s="328" t="str">
        <f>INDEX(二三级标准!C:C,MATCH(服务费底表!K387,二三级标准!$B:$B,0))</f>
        <v>召开数据审核会</v>
      </c>
      <c r="M387" s="328" t="s">
        <v>1442</v>
      </c>
      <c r="N387" s="328" t="str">
        <f>INDEX(二三级标准!$M:$M,MATCH(服务费底表!$M387,二三级标准!$L:$L,0))</f>
        <v>数据审核会后跟进</v>
      </c>
      <c r="O387" s="328"/>
      <c r="P387" s="531">
        <f>IF(R387=1,INDEX(服务费明细!$E:$E,MATCH(服务费底表!$K387,服务费明细!$B:$B,0)),0)</f>
        <v>1</v>
      </c>
      <c r="Q387" s="328" t="s">
        <v>1178</v>
      </c>
      <c r="R387" s="520">
        <f>IF(AND(召开数据审核会YN=1,生物统计YN=1),1,0)</f>
        <v>1</v>
      </c>
      <c r="S387" s="524" t="str">
        <f>INDEX('Rate Card'!$D:$D,MATCH(服务费底表!$T387,'Rate Card'!F:F,0))</f>
        <v>生物统计</v>
      </c>
      <c r="T387" s="328" t="s">
        <v>639</v>
      </c>
      <c r="U387" s="522" t="str">
        <f>INDEX('Rate Card'!$E:$E,MATCH(服务费底表!$T387,'Rate Card'!$F:$F,0))</f>
        <v>生物统计师</v>
      </c>
      <c r="V387" s="331">
        <f>INDEX('Rate Card'!$J:$J,MATCH($T387,'Rate Card'!$F:$F,0))</f>
        <v>400</v>
      </c>
      <c r="W387" s="523">
        <f t="shared" si="324"/>
        <v>400</v>
      </c>
      <c r="X387" s="523">
        <f t="shared" si="325"/>
        <v>2</v>
      </c>
      <c r="Y387" s="327" cm="1">
        <f t="array" ref="Y387">_xlfn.IFS(报价场景=服务费底表!$AJ$2,服务费底表!$AJ387,报价场景=服务费底表!$AP$2,服务费底表!$AP387,报价场景=服务费底表!$AK$2,服务费底表!$AK387,报价场景=服务费底表!$AL$2,服务费底表!$AL387,报价场景=服务费底表!$AM$2,服务费底表!$AM387,报价场景=服务费底表!$AN$2,服务费底表!$AN387,报价场景=服务费底表!$AQ$2,服务费底表!$AQ387,报价场景=服务费底表!$AO$2,服务费底表!$AO387)</f>
        <v>2</v>
      </c>
      <c r="Z387" s="327"/>
      <c r="AA387" s="332">
        <f t="shared" si="343"/>
        <v>2</v>
      </c>
      <c r="AB387" s="333">
        <f t="shared" si="344"/>
        <v>800</v>
      </c>
      <c r="AC387" s="328">
        <f t="shared" si="345"/>
        <v>2</v>
      </c>
      <c r="AD387" s="334">
        <f t="shared" si="348"/>
        <v>800</v>
      </c>
      <c r="AE387" s="334">
        <f>$AB387*(1-INDEX(项目参数!$D$5:$D$14,MATCH(服务费底表!$S387,项目参数!$B$5:$B$14,0)))</f>
        <v>800</v>
      </c>
      <c r="AF387" s="334">
        <f>$AD387*INDEX(项目参数!$D$5:$D$14,MATCH(服务费底表!$S387,项目参数!$B$5:$B$14,0))</f>
        <v>0</v>
      </c>
      <c r="AG387" s="334">
        <f t="shared" si="349"/>
        <v>800</v>
      </c>
      <c r="AH387" s="328"/>
      <c r="AI387" s="328" t="s">
        <v>639</v>
      </c>
      <c r="AJ387" s="327">
        <v>2</v>
      </c>
      <c r="AK387" s="327">
        <v>4</v>
      </c>
      <c r="AL387" s="327">
        <v>1</v>
      </c>
      <c r="AM387" s="327">
        <v>2</v>
      </c>
      <c r="AN387" s="327">
        <v>1</v>
      </c>
      <c r="AO387" s="327">
        <f t="shared" si="318"/>
        <v>1</v>
      </c>
      <c r="AP387" s="327">
        <v>2</v>
      </c>
      <c r="AQ387" s="327">
        <f t="shared" si="326"/>
        <v>3</v>
      </c>
      <c r="AR387" s="338"/>
      <c r="AS387" s="328">
        <f t="shared" si="350"/>
        <v>2</v>
      </c>
      <c r="AT387" s="328">
        <f t="shared" si="351"/>
        <v>2</v>
      </c>
      <c r="AU387" s="523">
        <v>2</v>
      </c>
      <c r="AV387" s="328"/>
      <c r="AW387" s="328"/>
      <c r="AX387" s="332">
        <v>2</v>
      </c>
      <c r="AY387" s="328" t="b">
        <f t="shared" si="352"/>
        <v>1</v>
      </c>
      <c r="AZ387" s="328" t="b">
        <f t="shared" si="312"/>
        <v>0</v>
      </c>
    </row>
    <row r="388" ht="27" customHeight="1" spans="1:52">
      <c r="A388" s="326" t="str">
        <f>INDEX('Rate Card'!$A:$A,MATCH(服务费底表!$T388,'Rate Card'!$F:$F,0))</f>
        <v>数统</v>
      </c>
      <c r="B388" s="327" t="str">
        <f>INDEX(二三级标准!$G:$G,MATCH(服务费底表!$K388,二三级标准!B:B,0))</f>
        <v>项目</v>
      </c>
      <c r="C388" s="327">
        <f>INDEX(服务费明细!$E:$E,MATCH(服务费底表!$K388,服务费明细!$B:$B,0))</f>
        <v>1</v>
      </c>
      <c r="D388" s="327" t="str">
        <f t="shared" si="341"/>
        <v>A100DM</v>
      </c>
      <c r="E388" s="327" t="str">
        <f t="shared" si="342"/>
        <v>T0620DM</v>
      </c>
      <c r="F388" s="328"/>
      <c r="G388" s="328" t="s">
        <v>684</v>
      </c>
      <c r="H388" s="326" t="str">
        <f>INDEX('Rate Card'!$B:$B,MATCH(服务费底表!$T388,'Rate Card'!$F:$F,0))</f>
        <v>数据管理</v>
      </c>
      <c r="I388" s="328" t="s">
        <v>923</v>
      </c>
      <c r="J388" s="328" t="str">
        <f>INDEX(二三级标准!$Q:$Q,MATCH(服务费底表!I388,二三级标准!$O:$O,0))</f>
        <v>数据管理</v>
      </c>
      <c r="K388" s="328" t="s">
        <v>305</v>
      </c>
      <c r="L388" s="328" t="str">
        <f>INDEX(二三级标准!C:C,MATCH(服务费底表!K388,二三级标准!$B:$B,0))</f>
        <v>数据库锁定</v>
      </c>
      <c r="M388" s="328" t="s">
        <v>1443</v>
      </c>
      <c r="N388" s="328" t="str">
        <f>INDEX(二三级标准!$M:$M,MATCH(服务费底表!$M388,二三级标准!$L:$L,0))</f>
        <v>数据库锁定清理准备</v>
      </c>
      <c r="O388" s="328"/>
      <c r="P388" s="531">
        <f>IF(R388=1,2,0)</f>
        <v>2</v>
      </c>
      <c r="Q388" s="328" t="s">
        <v>1178</v>
      </c>
      <c r="R388" s="520">
        <f>IF(AND(数据库锁定YN=1,数据管理YN=1),1,0)</f>
        <v>1</v>
      </c>
      <c r="S388" s="524" t="str">
        <f>INDEX('Rate Card'!$D:$D,MATCH(服务费底表!$T388,'Rate Card'!F:F,0))</f>
        <v>数据管理</v>
      </c>
      <c r="T388" s="328" t="s">
        <v>631</v>
      </c>
      <c r="U388" s="522" t="str">
        <f>INDEX('Rate Card'!$E:$E,MATCH(服务费底表!$T388,'Rate Card'!$F:$F,0))</f>
        <v>数据管理专员</v>
      </c>
      <c r="V388" s="331">
        <f>INDEX('Rate Card'!$J:$J,MATCH($T388,'Rate Card'!$F:$F,0))</f>
        <v>200</v>
      </c>
      <c r="W388" s="523">
        <f t="shared" si="324"/>
        <v>200</v>
      </c>
      <c r="X388" s="523">
        <f t="shared" si="325"/>
        <v>16</v>
      </c>
      <c r="Y388" s="327" cm="1">
        <f t="array" ref="Y388">_xlfn.IFS(报价场景=服务费底表!$AJ$2,服务费底表!$AJ388,报价场景=服务费底表!$AP$2,服务费底表!$AP388,报价场景=服务费底表!$AK$2,服务费底表!$AK388,报价场景=服务费底表!$AL$2,服务费底表!$AL388,报价场景=服务费底表!$AM$2,服务费底表!$AM388,报价场景=服务费底表!$AN$2,服务费底表!$AN388,报价场景=服务费底表!$AQ$2,服务费底表!$AQ388,报价场景=服务费底表!$AO$2,服务费底表!$AO388)</f>
        <v>16</v>
      </c>
      <c r="Z388" s="327"/>
      <c r="AA388" s="332">
        <f t="shared" si="343"/>
        <v>16</v>
      </c>
      <c r="AB388" s="333">
        <f t="shared" si="344"/>
        <v>3200</v>
      </c>
      <c r="AC388" s="328">
        <f t="shared" si="345"/>
        <v>32</v>
      </c>
      <c r="AD388" s="334">
        <f t="shared" si="348"/>
        <v>6400</v>
      </c>
      <c r="AE388" s="334">
        <f>$AB388*(1-INDEX(项目参数!$D$5:$D$14,MATCH(服务费底表!$S388,项目参数!$B$5:$B$14,0)))</f>
        <v>3200</v>
      </c>
      <c r="AF388" s="334">
        <f>$AD388*INDEX(项目参数!$D$5:$D$14,MATCH(服务费底表!$S388,项目参数!$B$5:$B$14,0))</f>
        <v>0</v>
      </c>
      <c r="AG388" s="334">
        <f t="shared" ref="AG388:AG389" si="353">AD388-AF388</f>
        <v>6400</v>
      </c>
      <c r="AH388" s="328"/>
      <c r="AI388" s="328" t="s">
        <v>631</v>
      </c>
      <c r="AJ388" s="327">
        <v>16</v>
      </c>
      <c r="AK388" s="327">
        <v>40</v>
      </c>
      <c r="AL388" s="327">
        <v>8</v>
      </c>
      <c r="AM388" s="327">
        <v>32</v>
      </c>
      <c r="AN388" s="327">
        <v>8</v>
      </c>
      <c r="AO388" s="327">
        <f t="shared" si="318"/>
        <v>8</v>
      </c>
      <c r="AP388" s="327">
        <v>16</v>
      </c>
      <c r="AQ388" s="327">
        <f t="shared" si="326"/>
        <v>24</v>
      </c>
      <c r="AR388" s="338"/>
      <c r="AS388" s="328">
        <f t="shared" si="350"/>
        <v>32</v>
      </c>
      <c r="AT388" s="328">
        <f t="shared" si="351"/>
        <v>32</v>
      </c>
      <c r="AU388" s="523">
        <v>16</v>
      </c>
      <c r="AV388" s="328"/>
      <c r="AW388" s="328"/>
      <c r="AX388" s="332">
        <v>16</v>
      </c>
      <c r="AY388" s="328" t="b">
        <f t="shared" si="352"/>
        <v>1</v>
      </c>
      <c r="AZ388" s="328" t="b">
        <f t="shared" ref="AZ388:AZ451" si="354">IF(K388&lt;&gt;K387,IF(AZ387=TRUE,FALSE,TRUE),AZ387)</f>
        <v>1</v>
      </c>
    </row>
    <row r="389" ht="27" customHeight="1" spans="1:52">
      <c r="A389" s="326" t="str">
        <f>INDEX('Rate Card'!$A:$A,MATCH(服务费底表!$T389,'Rate Card'!$F:$F,0))</f>
        <v>数统</v>
      </c>
      <c r="B389" s="327" t="str">
        <f>INDEX(二三级标准!$G:$G,MATCH(服务费底表!$K389,二三级标准!B:B,0))</f>
        <v>项目</v>
      </c>
      <c r="C389" s="327">
        <f>INDEX(服务费明细!$E:$E,MATCH(服务费底表!$K389,服务费明细!$B:$B,0))</f>
        <v>1</v>
      </c>
      <c r="D389" s="327" t="str">
        <f t="shared" si="341"/>
        <v>A100LDM</v>
      </c>
      <c r="E389" s="327" t="str">
        <f t="shared" si="342"/>
        <v>T0620LDM</v>
      </c>
      <c r="F389" s="328"/>
      <c r="G389" s="328" t="s">
        <v>684</v>
      </c>
      <c r="H389" s="326" t="str">
        <f>INDEX('Rate Card'!$B:$B,MATCH(服务费底表!$T389,'Rate Card'!$F:$F,0))</f>
        <v>数据管理</v>
      </c>
      <c r="I389" s="328" t="s">
        <v>923</v>
      </c>
      <c r="J389" s="328" t="str">
        <f>INDEX(二三级标准!$Q:$Q,MATCH(服务费底表!I389,二三级标准!$O:$O,0))</f>
        <v>数据管理</v>
      </c>
      <c r="K389" s="328" t="s">
        <v>305</v>
      </c>
      <c r="L389" s="328" t="str">
        <f>INDEX(二三级标准!C:C,MATCH(服务费底表!K389,二三级标准!$B:$B,0))</f>
        <v>数据库锁定</v>
      </c>
      <c r="M389" s="328" t="s">
        <v>1443</v>
      </c>
      <c r="N389" s="328" t="str">
        <f>INDEX(二三级标准!$M:$M,MATCH(服务费底表!$M389,二三级标准!$L:$L,0))</f>
        <v>数据库锁定清理准备</v>
      </c>
      <c r="O389" s="328"/>
      <c r="P389" s="531">
        <f>IF(R389=1,2,0)</f>
        <v>2</v>
      </c>
      <c r="Q389" s="328" t="s">
        <v>1178</v>
      </c>
      <c r="R389" s="520">
        <f>IF(AND(数据库锁定YN=1,数据管理YN=1),1,0)</f>
        <v>1</v>
      </c>
      <c r="S389" s="524" t="str">
        <f>INDEX('Rate Card'!$D:$D,MATCH(服务费底表!$T389,'Rate Card'!F:F,0))</f>
        <v>数据管理</v>
      </c>
      <c r="T389" s="328" t="s">
        <v>633</v>
      </c>
      <c r="U389" s="522" t="str">
        <f>INDEX('Rate Card'!$E:$E,MATCH(服务费底表!$T389,'Rate Card'!$F:$F,0))</f>
        <v>数据管理经理</v>
      </c>
      <c r="V389" s="331">
        <f>INDEX('Rate Card'!$J:$J,MATCH($T389,'Rate Card'!$F:$F,0))</f>
        <v>360</v>
      </c>
      <c r="W389" s="523">
        <f t="shared" si="324"/>
        <v>360</v>
      </c>
      <c r="X389" s="523">
        <f t="shared" si="325"/>
        <v>6</v>
      </c>
      <c r="Y389" s="327" cm="1">
        <f t="array" ref="Y389">_xlfn.IFS(报价场景=服务费底表!$AJ$2,服务费底表!$AJ389,报价场景=服务费底表!$AP$2,服务费底表!$AP389,报价场景=服务费底表!$AK$2,服务费底表!$AK389,报价场景=服务费底表!$AL$2,服务费底表!$AL389,报价场景=服务费底表!$AM$2,服务费底表!$AM389,报价场景=服务费底表!$AN$2,服务费底表!$AN389,报价场景=服务费底表!$AQ$2,服务费底表!$AQ389,报价场景=服务费底表!$AO$2,服务费底表!$AO389)</f>
        <v>6</v>
      </c>
      <c r="Z389" s="327"/>
      <c r="AA389" s="332">
        <f t="shared" si="343"/>
        <v>6</v>
      </c>
      <c r="AB389" s="333">
        <f t="shared" si="344"/>
        <v>2160</v>
      </c>
      <c r="AC389" s="328">
        <f t="shared" si="345"/>
        <v>12</v>
      </c>
      <c r="AD389" s="334">
        <f t="shared" si="348"/>
        <v>4320</v>
      </c>
      <c r="AE389" s="334">
        <f>$AB389*(1-INDEX(项目参数!$D$5:$D$14,MATCH(服务费底表!$S389,项目参数!$B$5:$B$14,0)))</f>
        <v>2160</v>
      </c>
      <c r="AF389" s="334">
        <f>$AD389*INDEX(项目参数!$D$5:$D$14,MATCH(服务费底表!$S389,项目参数!$B$5:$B$14,0))</f>
        <v>0</v>
      </c>
      <c r="AG389" s="334">
        <f t="shared" si="353"/>
        <v>4320</v>
      </c>
      <c r="AH389" s="328"/>
      <c r="AI389" s="328" t="s">
        <v>633</v>
      </c>
      <c r="AJ389" s="327">
        <v>6</v>
      </c>
      <c r="AK389" s="327">
        <v>8</v>
      </c>
      <c r="AL389" s="327">
        <v>4</v>
      </c>
      <c r="AM389" s="327">
        <v>6</v>
      </c>
      <c r="AN389" s="327">
        <v>4</v>
      </c>
      <c r="AO389" s="327">
        <f t="shared" si="318"/>
        <v>4</v>
      </c>
      <c r="AP389" s="327">
        <v>6</v>
      </c>
      <c r="AQ389" s="327">
        <f t="shared" si="326"/>
        <v>9</v>
      </c>
      <c r="AR389" s="338"/>
      <c r="AS389" s="328">
        <f t="shared" si="350"/>
        <v>12</v>
      </c>
      <c r="AT389" s="328">
        <f t="shared" si="351"/>
        <v>12</v>
      </c>
      <c r="AU389" s="523">
        <v>6</v>
      </c>
      <c r="AV389" s="328"/>
      <c r="AW389" s="328"/>
      <c r="AX389" s="332">
        <v>6</v>
      </c>
      <c r="AY389" s="328" t="b">
        <f t="shared" si="352"/>
        <v>1</v>
      </c>
      <c r="AZ389" s="328" t="b">
        <f t="shared" si="354"/>
        <v>1</v>
      </c>
    </row>
    <row r="390" ht="27" customHeight="1" spans="1:52">
      <c r="A390" s="326" t="str">
        <f>INDEX('Rate Card'!$A:$A,MATCH(服务费底表!$T390,'Rate Card'!$F:$F,0))</f>
        <v>数统</v>
      </c>
      <c r="B390" s="327" t="str">
        <f>INDEX(二三级标准!$G:$G,MATCH(服务费底表!$K390,二三级标准!B:B,0))</f>
        <v>项目</v>
      </c>
      <c r="C390" s="327">
        <f>INDEX(服务费明细!$E:$E,MATCH(服务费底表!$K390,服务费明细!$B:$B,0))</f>
        <v>1</v>
      </c>
      <c r="D390" s="327" t="str">
        <f t="shared" ref="D390:D402" si="355">K390&amp;T390</f>
        <v>A100DM</v>
      </c>
      <c r="E390" s="327" t="str">
        <f t="shared" ref="E390:E402" si="356">M390&amp;T390</f>
        <v>T0290DM</v>
      </c>
      <c r="F390" s="328"/>
      <c r="G390" s="328" t="s">
        <v>684</v>
      </c>
      <c r="H390" s="326" t="str">
        <f>INDEX('Rate Card'!$B:$B,MATCH(服务费底表!$T390,'Rate Card'!$F:$F,0))</f>
        <v>数据管理</v>
      </c>
      <c r="I390" s="328" t="s">
        <v>923</v>
      </c>
      <c r="J390" s="328" t="str">
        <f>INDEX(二三级标准!$Q:$Q,MATCH(服务费底表!I390,二三级标准!$O:$O,0))</f>
        <v>数据管理</v>
      </c>
      <c r="K390" s="328" t="s">
        <v>305</v>
      </c>
      <c r="L390" s="328" t="str">
        <f>INDEX(二三级标准!C:C,MATCH(服务费底表!K390,二三级标准!$B:$B,0))</f>
        <v>数据库锁定</v>
      </c>
      <c r="M390" s="328" t="s">
        <v>1444</v>
      </c>
      <c r="N390" s="328" t="str">
        <f>INDEX(二三级标准!$M:$M,MATCH(服务费底表!$M390,二三级标准!$L:$L,0))</f>
        <v>数据质控核查</v>
      </c>
      <c r="O390" s="328"/>
      <c r="P390" s="531">
        <f>IF(R390=1,INDEX(服务费明细!$E:$E,MATCH(服务费底表!$K390,服务费明细!$B:$B,0)),0)</f>
        <v>1</v>
      </c>
      <c r="Q390" s="328" t="s">
        <v>1178</v>
      </c>
      <c r="R390" s="520">
        <f t="shared" ref="R390:R396" si="357">IF(AND(数据库锁定YN=1,数据管理YN=1),1,0)</f>
        <v>1</v>
      </c>
      <c r="S390" s="524" t="str">
        <f>INDEX('Rate Card'!$D:$D,MATCH(服务费底表!$T390,'Rate Card'!F:F,0))</f>
        <v>数据管理</v>
      </c>
      <c r="T390" s="328" t="s">
        <v>631</v>
      </c>
      <c r="U390" s="522" t="str">
        <f>INDEX('Rate Card'!$E:$E,MATCH(服务费底表!$T390,'Rate Card'!$F:$F,0))</f>
        <v>数据管理专员</v>
      </c>
      <c r="V390" s="331">
        <f>INDEX('Rate Card'!$J:$J,MATCH($T390,'Rate Card'!$F:$F,0))</f>
        <v>200</v>
      </c>
      <c r="W390" s="523">
        <f t="shared" si="324"/>
        <v>200</v>
      </c>
      <c r="X390" s="523">
        <f t="shared" si="325"/>
        <v>4</v>
      </c>
      <c r="Y390" s="327" cm="1">
        <f t="array" ref="Y390">_xlfn.IFS(报价场景=服务费底表!$AJ$2,服务费底表!$AJ390,报价场景=服务费底表!$AP$2,服务费底表!$AP390,报价场景=服务费底表!$AK$2,服务费底表!$AK390,报价场景=服务费底表!$AL$2,服务费底表!$AL390,报价场景=服务费底表!$AM$2,服务费底表!$AM390,报价场景=服务费底表!$AN$2,服务费底表!$AN390,报价场景=服务费底表!$AQ$2,服务费底表!$AQ390,报价场景=服务费底表!$AO$2,服务费底表!$AO390)</f>
        <v>4</v>
      </c>
      <c r="Z390" s="327"/>
      <c r="AA390" s="332">
        <f t="shared" ref="AA390:AA402" si="358">IF(ISBLANK($Z390),$Y390,$Z390)</f>
        <v>4</v>
      </c>
      <c r="AB390" s="333">
        <f t="shared" ref="AB390:AB402" si="359">IFERROR(AD390/P390,0)</f>
        <v>800</v>
      </c>
      <c r="AC390" s="328">
        <f t="shared" ref="AC390:AC402" si="360">AA390*P390*R390</f>
        <v>4</v>
      </c>
      <c r="AD390" s="334">
        <f t="shared" ref="AD390:AD421" si="361">AC390*V390</f>
        <v>800</v>
      </c>
      <c r="AE390" s="334">
        <f>$AB390*(1-INDEX(项目参数!$D$5:$D$14,MATCH(服务费底表!$S390,项目参数!$B$5:$B$14,0)))</f>
        <v>800</v>
      </c>
      <c r="AF390" s="334">
        <f>$AD390*INDEX(项目参数!$D$5:$D$14,MATCH(服务费底表!$S390,项目参数!$B$5:$B$14,0))</f>
        <v>0</v>
      </c>
      <c r="AG390" s="334">
        <f t="shared" ref="AG390:AG419" si="362">AD390-AF390</f>
        <v>800</v>
      </c>
      <c r="AH390" s="328"/>
      <c r="AI390" s="328" t="s">
        <v>631</v>
      </c>
      <c r="AJ390" s="327">
        <v>4</v>
      </c>
      <c r="AK390" s="327">
        <v>6</v>
      </c>
      <c r="AL390" s="327">
        <v>4</v>
      </c>
      <c r="AM390" s="327">
        <v>4</v>
      </c>
      <c r="AN390" s="327">
        <v>4</v>
      </c>
      <c r="AO390" s="327">
        <f t="shared" si="318"/>
        <v>4</v>
      </c>
      <c r="AP390" s="327">
        <v>4</v>
      </c>
      <c r="AQ390" s="327">
        <f t="shared" si="326"/>
        <v>6</v>
      </c>
      <c r="AR390" s="338"/>
      <c r="AS390" s="328">
        <f t="shared" ref="AS390:AS402" si="363">AC390</f>
        <v>4</v>
      </c>
      <c r="AT390" s="328">
        <f t="shared" ref="AT390:AT402" si="364">Y390*P390</f>
        <v>4</v>
      </c>
      <c r="AU390" s="523">
        <v>4</v>
      </c>
      <c r="AV390" s="328"/>
      <c r="AW390" s="328"/>
      <c r="AX390" s="332">
        <v>4</v>
      </c>
      <c r="AY390" s="328" t="b">
        <f t="shared" ref="AY390:AY428" si="365">IF(AX390=AJ390,TRUE,FALSE)</f>
        <v>1</v>
      </c>
      <c r="AZ390" s="328" t="b">
        <f t="shared" si="354"/>
        <v>1</v>
      </c>
    </row>
    <row r="391" ht="27" customHeight="1" spans="1:52">
      <c r="A391" s="326" t="str">
        <f>INDEX('Rate Card'!$A:$A,MATCH(服务费底表!$T391,'Rate Card'!$F:$F,0))</f>
        <v>数统</v>
      </c>
      <c r="B391" s="327" t="str">
        <f>INDEX(二三级标准!$G:$G,MATCH(服务费底表!$K391,二三级标准!B:B,0))</f>
        <v>项目</v>
      </c>
      <c r="C391" s="327">
        <f>INDEX(服务费明细!$E:$E,MATCH(服务费底表!$K391,服务费明细!$B:$B,0))</f>
        <v>1</v>
      </c>
      <c r="D391" s="327" t="str">
        <f t="shared" si="355"/>
        <v>A100DM</v>
      </c>
      <c r="E391" s="327" t="str">
        <f t="shared" si="356"/>
        <v>T0291DM</v>
      </c>
      <c r="F391" s="328"/>
      <c r="G391" s="328" t="s">
        <v>684</v>
      </c>
      <c r="H391" s="326" t="str">
        <f>INDEX('Rate Card'!$B:$B,MATCH(服务费底表!$T391,'Rate Card'!$F:$F,0))</f>
        <v>数据管理</v>
      </c>
      <c r="I391" s="328" t="s">
        <v>923</v>
      </c>
      <c r="J391" s="328" t="str">
        <f>INDEX(二三级标准!$Q:$Q,MATCH(服务费底表!I391,二三级标准!$O:$O,0))</f>
        <v>数据管理</v>
      </c>
      <c r="K391" s="328" t="s">
        <v>305</v>
      </c>
      <c r="L391" s="328" t="str">
        <f>INDEX(二三级标准!C:C,MATCH(服务费底表!K391,二三级标准!$B:$B,0))</f>
        <v>数据库锁定</v>
      </c>
      <c r="M391" s="328" t="s">
        <v>1445</v>
      </c>
      <c r="N391" s="328" t="str">
        <f>INDEX(二三级标准!$M:$M,MATCH(服务费底表!$M391,二三级标准!$L:$L,0))</f>
        <v>数据质控报告起草和定稿</v>
      </c>
      <c r="O391" s="328"/>
      <c r="P391" s="531">
        <f>IF(R391=1,INDEX(服务费明细!$E:$E,MATCH(服务费底表!$K391,服务费明细!$B:$B,0)),0)</f>
        <v>1</v>
      </c>
      <c r="Q391" s="328" t="s">
        <v>1176</v>
      </c>
      <c r="R391" s="520">
        <f t="shared" si="357"/>
        <v>1</v>
      </c>
      <c r="S391" s="524" t="str">
        <f>INDEX('Rate Card'!$D:$D,MATCH(服务费底表!$T391,'Rate Card'!F:F,0))</f>
        <v>数据管理</v>
      </c>
      <c r="T391" s="328" t="s">
        <v>631</v>
      </c>
      <c r="U391" s="522" t="str">
        <f>INDEX('Rate Card'!$E:$E,MATCH(服务费底表!$T391,'Rate Card'!$F:$F,0))</f>
        <v>数据管理专员</v>
      </c>
      <c r="V391" s="331">
        <f>INDEX('Rate Card'!$J:$J,MATCH($T391,'Rate Card'!$F:$F,0))</f>
        <v>200</v>
      </c>
      <c r="W391" s="523">
        <f t="shared" si="324"/>
        <v>200</v>
      </c>
      <c r="X391" s="523">
        <f t="shared" si="325"/>
        <v>1</v>
      </c>
      <c r="Y391" s="327" cm="1">
        <f t="array" ref="Y391">_xlfn.IFS(报价场景=服务费底表!$AJ$2,服务费底表!$AJ391,报价场景=服务费底表!$AP$2,服务费底表!$AP391,报价场景=服务费底表!$AK$2,服务费底表!$AK391,报价场景=服务费底表!$AL$2,服务费底表!$AL391,报价场景=服务费底表!$AM$2,服务费底表!$AM391,报价场景=服务费底表!$AN$2,服务费底表!$AN391,报价场景=服务费底表!$AQ$2,服务费底表!$AQ391,报价场景=服务费底表!$AO$2,服务费底表!$AO391)</f>
        <v>1</v>
      </c>
      <c r="Z391" s="327"/>
      <c r="AA391" s="332">
        <f t="shared" si="358"/>
        <v>1</v>
      </c>
      <c r="AB391" s="333">
        <f t="shared" si="359"/>
        <v>200</v>
      </c>
      <c r="AC391" s="328">
        <f t="shared" si="360"/>
        <v>1</v>
      </c>
      <c r="AD391" s="334">
        <f t="shared" si="361"/>
        <v>200</v>
      </c>
      <c r="AE391" s="334">
        <f>$AB391*(1-INDEX(项目参数!$D$5:$D$14,MATCH(服务费底表!$S391,项目参数!$B$5:$B$14,0)))</f>
        <v>200</v>
      </c>
      <c r="AF391" s="334">
        <f>$AD391*INDEX(项目参数!$D$5:$D$14,MATCH(服务费底表!$S391,项目参数!$B$5:$B$14,0))</f>
        <v>0</v>
      </c>
      <c r="AG391" s="334">
        <f t="shared" si="362"/>
        <v>200</v>
      </c>
      <c r="AH391" s="328"/>
      <c r="AI391" s="328" t="s">
        <v>631</v>
      </c>
      <c r="AJ391" s="327">
        <v>1</v>
      </c>
      <c r="AK391" s="327">
        <v>2</v>
      </c>
      <c r="AL391" s="327">
        <v>1</v>
      </c>
      <c r="AM391" s="327">
        <v>1</v>
      </c>
      <c r="AN391" s="327">
        <v>1</v>
      </c>
      <c r="AO391" s="327">
        <f t="shared" si="318"/>
        <v>1</v>
      </c>
      <c r="AP391" s="327">
        <v>1</v>
      </c>
      <c r="AQ391" s="327">
        <f t="shared" si="326"/>
        <v>1.5</v>
      </c>
      <c r="AR391" s="338"/>
      <c r="AS391" s="328">
        <f t="shared" si="363"/>
        <v>1</v>
      </c>
      <c r="AT391" s="328">
        <f t="shared" si="364"/>
        <v>1</v>
      </c>
      <c r="AU391" s="523">
        <v>1</v>
      </c>
      <c r="AV391" s="328"/>
      <c r="AW391" s="328"/>
      <c r="AX391" s="332">
        <v>1</v>
      </c>
      <c r="AY391" s="328" t="b">
        <f t="shared" si="365"/>
        <v>1</v>
      </c>
      <c r="AZ391" s="328" t="b">
        <f t="shared" si="354"/>
        <v>1</v>
      </c>
    </row>
    <row r="392" ht="27" customHeight="1" spans="1:52">
      <c r="A392" s="326" t="str">
        <f>INDEX('Rate Card'!$A:$A,MATCH(服务费底表!$T392,'Rate Card'!$F:$F,0))</f>
        <v>数统</v>
      </c>
      <c r="B392" s="327" t="str">
        <f>INDEX(二三级标准!$G:$G,MATCH(服务费底表!$K392,二三级标准!B:B,0))</f>
        <v>项目</v>
      </c>
      <c r="C392" s="327">
        <f>INDEX(服务费明细!$E:$E,MATCH(服务费底表!$K392,服务费明细!$B:$B,0))</f>
        <v>1</v>
      </c>
      <c r="D392" s="327" t="str">
        <f t="shared" si="355"/>
        <v>A100LDM</v>
      </c>
      <c r="E392" s="327" t="str">
        <f t="shared" si="356"/>
        <v>T0292LDM</v>
      </c>
      <c r="F392" s="328"/>
      <c r="G392" s="328" t="s">
        <v>684</v>
      </c>
      <c r="H392" s="326" t="str">
        <f>INDEX('Rate Card'!$B:$B,MATCH(服务费底表!$T392,'Rate Card'!$F:$F,0))</f>
        <v>数据管理</v>
      </c>
      <c r="I392" s="328" t="s">
        <v>923</v>
      </c>
      <c r="J392" s="328" t="str">
        <f>INDEX(二三级标准!$Q:$Q,MATCH(服务费底表!I392,二三级标准!$O:$O,0))</f>
        <v>数据管理</v>
      </c>
      <c r="K392" s="328" t="s">
        <v>305</v>
      </c>
      <c r="L392" s="328" t="str">
        <f>INDEX(二三级标准!C:C,MATCH(服务费底表!K392,二三级标准!$B:$B,0))</f>
        <v>数据库锁定</v>
      </c>
      <c r="M392" s="328" t="s">
        <v>1446</v>
      </c>
      <c r="N392" s="328" t="str">
        <f>INDEX(二三级标准!$M:$M,MATCH(服务费底表!$M392,二三级标准!$L:$L,0))</f>
        <v>数据质控报告审核</v>
      </c>
      <c r="O392" s="328"/>
      <c r="P392" s="531">
        <f>IF(R392=1,INDEX(服务费明细!$E:$E,MATCH(服务费底表!$K392,服务费明细!$B:$B,0)),0)</f>
        <v>1</v>
      </c>
      <c r="Q392" s="328" t="s">
        <v>1178</v>
      </c>
      <c r="R392" s="520">
        <f t="shared" si="357"/>
        <v>1</v>
      </c>
      <c r="S392" s="524" t="str">
        <f>INDEX('Rate Card'!$D:$D,MATCH(服务费底表!$T392,'Rate Card'!F:F,0))</f>
        <v>数据管理</v>
      </c>
      <c r="T392" s="328" t="s">
        <v>633</v>
      </c>
      <c r="U392" s="522" t="str">
        <f>INDEX('Rate Card'!$E:$E,MATCH(服务费底表!$T392,'Rate Card'!$F:$F,0))</f>
        <v>数据管理经理</v>
      </c>
      <c r="V392" s="331">
        <f>INDEX('Rate Card'!$J:$J,MATCH($T392,'Rate Card'!$F:$F,0))</f>
        <v>360</v>
      </c>
      <c r="W392" s="523">
        <f t="shared" si="324"/>
        <v>360</v>
      </c>
      <c r="X392" s="523">
        <f t="shared" si="325"/>
        <v>0.5</v>
      </c>
      <c r="Y392" s="327" cm="1">
        <f t="array" ref="Y392">_xlfn.IFS(报价场景=服务费底表!$AJ$2,服务费底表!$AJ392,报价场景=服务费底表!$AP$2,服务费底表!$AP392,报价场景=服务费底表!$AK$2,服务费底表!$AK392,报价场景=服务费底表!$AL$2,服务费底表!$AL392,报价场景=服务费底表!$AM$2,服务费底表!$AM392,报价场景=服务费底表!$AN$2,服务费底表!$AN392,报价场景=服务费底表!$AQ$2,服务费底表!$AQ392,报价场景=服务费底表!$AO$2,服务费底表!$AO392)</f>
        <v>0.5</v>
      </c>
      <c r="Z392" s="327"/>
      <c r="AA392" s="332">
        <f t="shared" si="358"/>
        <v>0.5</v>
      </c>
      <c r="AB392" s="333">
        <f t="shared" si="359"/>
        <v>180</v>
      </c>
      <c r="AC392" s="328">
        <f t="shared" si="360"/>
        <v>0.5</v>
      </c>
      <c r="AD392" s="334">
        <f t="shared" si="361"/>
        <v>180</v>
      </c>
      <c r="AE392" s="334">
        <f>$AB392*(1-INDEX(项目参数!$D$5:$D$14,MATCH(服务费底表!$S392,项目参数!$B$5:$B$14,0)))</f>
        <v>180</v>
      </c>
      <c r="AF392" s="334">
        <f>$AD392*INDEX(项目参数!$D$5:$D$14,MATCH(服务费底表!$S392,项目参数!$B$5:$B$14,0))</f>
        <v>0</v>
      </c>
      <c r="AG392" s="334">
        <f t="shared" si="362"/>
        <v>180</v>
      </c>
      <c r="AH392" s="328"/>
      <c r="AI392" s="328" t="s">
        <v>633</v>
      </c>
      <c r="AJ392" s="327">
        <v>0.5</v>
      </c>
      <c r="AK392" s="327">
        <v>1</v>
      </c>
      <c r="AL392" s="327">
        <v>0.5</v>
      </c>
      <c r="AM392" s="327">
        <v>0.5</v>
      </c>
      <c r="AN392" s="327">
        <v>0.5</v>
      </c>
      <c r="AO392" s="327">
        <f t="shared" si="318"/>
        <v>0.5</v>
      </c>
      <c r="AP392" s="327">
        <v>0.5</v>
      </c>
      <c r="AQ392" s="327">
        <f t="shared" si="326"/>
        <v>0.75</v>
      </c>
      <c r="AR392" s="338"/>
      <c r="AS392" s="328">
        <f t="shared" si="363"/>
        <v>0.5</v>
      </c>
      <c r="AT392" s="328">
        <f t="shared" si="364"/>
        <v>0.5</v>
      </c>
      <c r="AU392" s="523">
        <v>0.5</v>
      </c>
      <c r="AV392" s="328"/>
      <c r="AW392" s="328"/>
      <c r="AX392" s="332">
        <v>0.5</v>
      </c>
      <c r="AY392" s="328" t="b">
        <f t="shared" si="365"/>
        <v>1</v>
      </c>
      <c r="AZ392" s="328" t="b">
        <f t="shared" si="354"/>
        <v>1</v>
      </c>
    </row>
    <row r="393" ht="27" customHeight="1" spans="1:52">
      <c r="A393" s="326" t="str">
        <f>INDEX('Rate Card'!$A:$A,MATCH(服务费底表!$T393,'Rate Card'!$F:$F,0))</f>
        <v>数统</v>
      </c>
      <c r="B393" s="327" t="str">
        <f>INDEX(二三级标准!$G:$G,MATCH(服务费底表!$K393,二三级标准!B:B,0))</f>
        <v>项目</v>
      </c>
      <c r="C393" s="327">
        <f>INDEX(服务费明细!$E:$E,MATCH(服务费底表!$K393,服务费明细!$B:$B,0))</f>
        <v>1</v>
      </c>
      <c r="D393" s="327" t="str">
        <f t="shared" si="355"/>
        <v>A100DM</v>
      </c>
      <c r="E393" s="327" t="str">
        <f t="shared" si="356"/>
        <v>T0293DM</v>
      </c>
      <c r="F393" s="328"/>
      <c r="G393" s="328" t="s">
        <v>684</v>
      </c>
      <c r="H393" s="326" t="str">
        <f>INDEX('Rate Card'!$B:$B,MATCH(服务费底表!$T393,'Rate Card'!$F:$F,0))</f>
        <v>数据管理</v>
      </c>
      <c r="I393" s="328" t="s">
        <v>923</v>
      </c>
      <c r="J393" s="328" t="str">
        <f>INDEX(二三级标准!$Q:$Q,MATCH(服务费底表!I393,二三级标准!$O:$O,0))</f>
        <v>数据管理</v>
      </c>
      <c r="K393" s="328" t="s">
        <v>305</v>
      </c>
      <c r="L393" s="328" t="str">
        <f>INDEX(二三级标准!C:C,MATCH(服务费底表!K393,二三级标准!$B:$B,0))</f>
        <v>数据库锁定</v>
      </c>
      <c r="M393" s="328" t="s">
        <v>1447</v>
      </c>
      <c r="N393" s="328" t="str">
        <f>INDEX(二三级标准!$M:$M,MATCH(服务费底表!$M393,二三级标准!$L:$L,0))</f>
        <v>数据库导出、传输与刻盘</v>
      </c>
      <c r="O393" s="328"/>
      <c r="P393" s="531">
        <f>IF(R393=1,INDEX(服务费明细!$E:$E,MATCH(服务费底表!$K393,服务费明细!$B:$B,0)),0)</f>
        <v>1</v>
      </c>
      <c r="Q393" s="328" t="s">
        <v>1178</v>
      </c>
      <c r="R393" s="520">
        <f t="shared" si="357"/>
        <v>1</v>
      </c>
      <c r="S393" s="524" t="str">
        <f>INDEX('Rate Card'!$D:$D,MATCH(服务费底表!$T393,'Rate Card'!F:F,0))</f>
        <v>数据管理</v>
      </c>
      <c r="T393" s="328" t="s">
        <v>631</v>
      </c>
      <c r="U393" s="522" t="str">
        <f>INDEX('Rate Card'!$E:$E,MATCH(服务费底表!$T393,'Rate Card'!$F:$F,0))</f>
        <v>数据管理专员</v>
      </c>
      <c r="V393" s="331">
        <f>INDEX('Rate Card'!$J:$J,MATCH($T393,'Rate Card'!$F:$F,0))</f>
        <v>200</v>
      </c>
      <c r="W393" s="523">
        <f t="shared" si="324"/>
        <v>200</v>
      </c>
      <c r="X393" s="523">
        <f t="shared" si="325"/>
        <v>4</v>
      </c>
      <c r="Y393" s="327" cm="1">
        <f t="array" ref="Y393">_xlfn.IFS(报价场景=服务费底表!$AJ$2,服务费底表!$AJ393,报价场景=服务费底表!$AP$2,服务费底表!$AP393,报价场景=服务费底表!$AK$2,服务费底表!$AK393,报价场景=服务费底表!$AL$2,服务费底表!$AL393,报价场景=服务费底表!$AM$2,服务费底表!$AM393,报价场景=服务费底表!$AN$2,服务费底表!$AN393,报价场景=服务费底表!$AQ$2,服务费底表!$AQ393,报价场景=服务费底表!$AO$2,服务费底表!$AO393)</f>
        <v>4</v>
      </c>
      <c r="Z393" s="327"/>
      <c r="AA393" s="332">
        <f t="shared" si="358"/>
        <v>4</v>
      </c>
      <c r="AB393" s="333">
        <f t="shared" si="359"/>
        <v>800</v>
      </c>
      <c r="AC393" s="328">
        <f t="shared" si="360"/>
        <v>4</v>
      </c>
      <c r="AD393" s="334">
        <f t="shared" si="361"/>
        <v>800</v>
      </c>
      <c r="AE393" s="334">
        <f>$AB393*(1-INDEX(项目参数!$D$5:$D$14,MATCH(服务费底表!$S393,项目参数!$B$5:$B$14,0)))</f>
        <v>800</v>
      </c>
      <c r="AF393" s="334">
        <f>$AD393*INDEX(项目参数!$D$5:$D$14,MATCH(服务费底表!$S393,项目参数!$B$5:$B$14,0))</f>
        <v>0</v>
      </c>
      <c r="AG393" s="334">
        <f t="shared" si="362"/>
        <v>800</v>
      </c>
      <c r="AH393" s="328"/>
      <c r="AI393" s="328" t="s">
        <v>631</v>
      </c>
      <c r="AJ393" s="327">
        <v>4</v>
      </c>
      <c r="AK393" s="327">
        <v>8</v>
      </c>
      <c r="AL393" s="327">
        <v>4</v>
      </c>
      <c r="AM393" s="327">
        <v>8</v>
      </c>
      <c r="AN393" s="327">
        <v>4</v>
      </c>
      <c r="AO393" s="327">
        <f t="shared" si="318"/>
        <v>4</v>
      </c>
      <c r="AP393" s="327">
        <v>4</v>
      </c>
      <c r="AQ393" s="327">
        <f t="shared" si="326"/>
        <v>6</v>
      </c>
      <c r="AR393" s="338"/>
      <c r="AS393" s="328">
        <f t="shared" si="363"/>
        <v>4</v>
      </c>
      <c r="AT393" s="328">
        <f t="shared" si="364"/>
        <v>4</v>
      </c>
      <c r="AU393" s="523">
        <v>4</v>
      </c>
      <c r="AV393" s="328"/>
      <c r="AW393" s="328"/>
      <c r="AX393" s="332">
        <v>4</v>
      </c>
      <c r="AY393" s="328" t="b">
        <f t="shared" si="365"/>
        <v>1</v>
      </c>
      <c r="AZ393" s="328" t="b">
        <f t="shared" si="354"/>
        <v>1</v>
      </c>
    </row>
    <row r="394" ht="27" customHeight="1" spans="1:52">
      <c r="A394" s="326" t="str">
        <f>INDEX('Rate Card'!$A:$A,MATCH(服务费底表!$T394,'Rate Card'!$F:$F,0))</f>
        <v>数统</v>
      </c>
      <c r="B394" s="327" t="str">
        <f>INDEX(二三级标准!$G:$G,MATCH(服务费底表!$K394,二三级标准!B:B,0))</f>
        <v>项目</v>
      </c>
      <c r="C394" s="327">
        <f>INDEX(服务费明细!$E:$E,MATCH(服务费底表!$K394,服务费明细!$B:$B,0))</f>
        <v>1</v>
      </c>
      <c r="D394" s="327" t="str">
        <f t="shared" si="355"/>
        <v>A100LDM</v>
      </c>
      <c r="E394" s="327" t="str">
        <f t="shared" si="356"/>
        <v>T0621LDM</v>
      </c>
      <c r="F394" s="328"/>
      <c r="G394" s="328" t="s">
        <v>684</v>
      </c>
      <c r="H394" s="326" t="str">
        <f>INDEX('Rate Card'!$B:$B,MATCH(服务费底表!$T394,'Rate Card'!$F:$F,0))</f>
        <v>数据管理</v>
      </c>
      <c r="I394" s="328" t="s">
        <v>923</v>
      </c>
      <c r="J394" s="328" t="str">
        <f>INDEX(二三级标准!$Q:$Q,MATCH(服务费底表!I394,二三级标准!$O:$O,0))</f>
        <v>数据管理</v>
      </c>
      <c r="K394" s="328" t="s">
        <v>305</v>
      </c>
      <c r="L394" s="328" t="str">
        <f>INDEX(二三级标准!C:C,MATCH(服务费底表!K394,二三级标准!$B:$B,0))</f>
        <v>数据库锁定</v>
      </c>
      <c r="M394" s="328" t="s">
        <v>1448</v>
      </c>
      <c r="N394" s="328" t="str">
        <f>INDEX(二三级标准!$M:$M,MATCH(服务费底表!$M394,二三级标准!$L:$L,0))</f>
        <v>项目文件整理</v>
      </c>
      <c r="O394" s="328"/>
      <c r="P394" s="531">
        <f>IF(R394=1,INDEX(服务费明细!$E:$E,MATCH(服务费底表!$K394,服务费明细!$B:$B,0)),0)</f>
        <v>1</v>
      </c>
      <c r="Q394" s="328" t="s">
        <v>1178</v>
      </c>
      <c r="R394" s="520">
        <f t="shared" si="357"/>
        <v>1</v>
      </c>
      <c r="S394" s="524" t="str">
        <f>INDEX('Rate Card'!$D:$D,MATCH(服务费底表!$T394,'Rate Card'!F:F,0))</f>
        <v>数据管理</v>
      </c>
      <c r="T394" s="328" t="s">
        <v>633</v>
      </c>
      <c r="U394" s="522" t="str">
        <f>INDEX('Rate Card'!$E:$E,MATCH(服务费底表!$T394,'Rate Card'!$F:$F,0))</f>
        <v>数据管理经理</v>
      </c>
      <c r="V394" s="331">
        <f>INDEX('Rate Card'!$J:$J,MATCH($T394,'Rate Card'!$F:$F,0))</f>
        <v>360</v>
      </c>
      <c r="W394" s="523">
        <f t="shared" si="324"/>
        <v>360</v>
      </c>
      <c r="X394" s="523">
        <f t="shared" si="325"/>
        <v>2</v>
      </c>
      <c r="Y394" s="327" cm="1">
        <f t="array" ref="Y394">_xlfn.IFS(报价场景=服务费底表!$AJ$2,服务费底表!$AJ394,报价场景=服务费底表!$AP$2,服务费底表!$AP394,报价场景=服务费底表!$AK$2,服务费底表!$AK394,报价场景=服务费底表!$AL$2,服务费底表!$AL394,报价场景=服务费底表!$AM$2,服务费底表!$AM394,报价场景=服务费底表!$AN$2,服务费底表!$AN394,报价场景=服务费底表!$AQ$2,服务费底表!$AQ394,报价场景=服务费底表!$AO$2,服务费底表!$AO394)</f>
        <v>2</v>
      </c>
      <c r="Z394" s="327"/>
      <c r="AA394" s="332">
        <f t="shared" si="358"/>
        <v>2</v>
      </c>
      <c r="AB394" s="333">
        <f t="shared" si="359"/>
        <v>720</v>
      </c>
      <c r="AC394" s="328">
        <f t="shared" si="360"/>
        <v>2</v>
      </c>
      <c r="AD394" s="334">
        <f t="shared" si="361"/>
        <v>720</v>
      </c>
      <c r="AE394" s="334">
        <f>$AB394*(1-INDEX(项目参数!$D$5:$D$14,MATCH(服务费底表!$S394,项目参数!$B$5:$B$14,0)))</f>
        <v>720</v>
      </c>
      <c r="AF394" s="334">
        <f>$AD394*INDEX(项目参数!$D$5:$D$14,MATCH(服务费底表!$S394,项目参数!$B$5:$B$14,0))</f>
        <v>0</v>
      </c>
      <c r="AG394" s="334">
        <f t="shared" si="362"/>
        <v>720</v>
      </c>
      <c r="AH394" s="328"/>
      <c r="AI394" s="328" t="s">
        <v>633</v>
      </c>
      <c r="AJ394" s="327">
        <v>2</v>
      </c>
      <c r="AK394" s="327">
        <v>4</v>
      </c>
      <c r="AL394" s="327">
        <v>2</v>
      </c>
      <c r="AM394" s="327">
        <v>2</v>
      </c>
      <c r="AN394" s="327">
        <v>2</v>
      </c>
      <c r="AO394" s="327">
        <f t="shared" ref="AO394:AO457" si="366">AL394</f>
        <v>2</v>
      </c>
      <c r="AP394" s="327">
        <v>2</v>
      </c>
      <c r="AQ394" s="327">
        <f t="shared" si="326"/>
        <v>3</v>
      </c>
      <c r="AR394" s="338"/>
      <c r="AS394" s="328">
        <f t="shared" si="363"/>
        <v>2</v>
      </c>
      <c r="AT394" s="328">
        <f t="shared" si="364"/>
        <v>2</v>
      </c>
      <c r="AU394" s="523">
        <v>2</v>
      </c>
      <c r="AV394" s="328"/>
      <c r="AW394" s="328"/>
      <c r="AX394" s="332">
        <v>2</v>
      </c>
      <c r="AY394" s="328" t="b">
        <f t="shared" si="365"/>
        <v>1</v>
      </c>
      <c r="AZ394" s="328" t="b">
        <f t="shared" si="354"/>
        <v>1</v>
      </c>
    </row>
    <row r="395" ht="27" customHeight="1" spans="1:52">
      <c r="A395" s="326" t="str">
        <f>INDEX('Rate Card'!$A:$A,MATCH(服务费底表!$T395,'Rate Card'!$F:$F,0))</f>
        <v>数统</v>
      </c>
      <c r="B395" s="327" t="str">
        <f>INDEX(二三级标准!$G:$G,MATCH(服务费底表!$K395,二三级标准!B:B,0))</f>
        <v>项目</v>
      </c>
      <c r="C395" s="327">
        <f>INDEX(服务费明细!$E:$E,MATCH(服务费底表!$K395,服务费明细!$B:$B,0))</f>
        <v>1</v>
      </c>
      <c r="D395" s="327" t="str">
        <f t="shared" si="355"/>
        <v>A100DM</v>
      </c>
      <c r="E395" s="327" t="str">
        <f t="shared" si="356"/>
        <v>T0294DM</v>
      </c>
      <c r="F395" s="328"/>
      <c r="G395" s="328" t="s">
        <v>684</v>
      </c>
      <c r="H395" s="326" t="str">
        <f>INDEX('Rate Card'!$B:$B,MATCH(服务费底表!$T395,'Rate Card'!$F:$F,0))</f>
        <v>数据管理</v>
      </c>
      <c r="I395" s="328" t="s">
        <v>923</v>
      </c>
      <c r="J395" s="328" t="str">
        <f>INDEX(二三级标准!$Q:$Q,MATCH(服务费底表!I395,二三级标准!$O:$O,0))</f>
        <v>数据管理</v>
      </c>
      <c r="K395" s="328" t="s">
        <v>305</v>
      </c>
      <c r="L395" s="328" t="str">
        <f>INDEX(二三级标准!C:C,MATCH(服务费底表!K395,二三级标准!$B:$B,0))</f>
        <v>数据库锁定</v>
      </c>
      <c r="M395" s="328" t="s">
        <v>1449</v>
      </c>
      <c r="N395" s="328" t="str">
        <f>INDEX(二三级标准!$M:$M,MATCH(服务费底表!$M395,二三级标准!$L:$L,0))</f>
        <v>数据库锁库前检查</v>
      </c>
      <c r="O395" s="328"/>
      <c r="P395" s="531">
        <f>IF(R395=1,INDEX(服务费明细!$E:$E,MATCH(服务费底表!$K395,服务费明细!$B:$B,0)),0)</f>
        <v>1</v>
      </c>
      <c r="Q395" s="328" t="s">
        <v>1178</v>
      </c>
      <c r="R395" s="520">
        <f t="shared" si="357"/>
        <v>1</v>
      </c>
      <c r="S395" s="524" t="str">
        <f>INDEX('Rate Card'!$D:$D,MATCH(服务费底表!$T395,'Rate Card'!F:F,0))</f>
        <v>数据管理</v>
      </c>
      <c r="T395" s="328" t="s">
        <v>631</v>
      </c>
      <c r="U395" s="522" t="str">
        <f>INDEX('Rate Card'!$E:$E,MATCH(服务费底表!$T395,'Rate Card'!$F:$F,0))</f>
        <v>数据管理专员</v>
      </c>
      <c r="V395" s="331">
        <f>INDEX('Rate Card'!$J:$J,MATCH($T395,'Rate Card'!$F:$F,0))</f>
        <v>200</v>
      </c>
      <c r="W395" s="523">
        <f t="shared" si="324"/>
        <v>200</v>
      </c>
      <c r="X395" s="523">
        <f t="shared" si="325"/>
        <v>1</v>
      </c>
      <c r="Y395" s="327" cm="1">
        <f t="array" ref="Y395">_xlfn.IFS(报价场景=服务费底表!$AJ$2,服务费底表!$AJ395,报价场景=服务费底表!$AP$2,服务费底表!$AP395,报价场景=服务费底表!$AK$2,服务费底表!$AK395,报价场景=服务费底表!$AL$2,服务费底表!$AL395,报价场景=服务费底表!$AM$2,服务费底表!$AM395,报价场景=服务费底表!$AN$2,服务费底表!$AN395,报价场景=服务费底表!$AQ$2,服务费底表!$AQ395,报价场景=服务费底表!$AO$2,服务费底表!$AO395)</f>
        <v>1</v>
      </c>
      <c r="Z395" s="327"/>
      <c r="AA395" s="332">
        <f t="shared" si="358"/>
        <v>1</v>
      </c>
      <c r="AB395" s="333">
        <f t="shared" si="359"/>
        <v>200</v>
      </c>
      <c r="AC395" s="328">
        <f t="shared" si="360"/>
        <v>1</v>
      </c>
      <c r="AD395" s="334">
        <f t="shared" si="361"/>
        <v>200</v>
      </c>
      <c r="AE395" s="334">
        <f>$AB395*(1-INDEX(项目参数!$D$5:$D$14,MATCH(服务费底表!$S395,项目参数!$B$5:$B$14,0)))</f>
        <v>200</v>
      </c>
      <c r="AF395" s="334">
        <f>$AD395*INDEX(项目参数!$D$5:$D$14,MATCH(服务费底表!$S395,项目参数!$B$5:$B$14,0))</f>
        <v>0</v>
      </c>
      <c r="AG395" s="334">
        <f t="shared" si="362"/>
        <v>200</v>
      </c>
      <c r="AH395" s="328"/>
      <c r="AI395" s="328" t="s">
        <v>631</v>
      </c>
      <c r="AJ395" s="327">
        <v>1</v>
      </c>
      <c r="AK395" s="327">
        <v>2</v>
      </c>
      <c r="AL395" s="327">
        <v>1</v>
      </c>
      <c r="AM395" s="327">
        <v>1</v>
      </c>
      <c r="AN395" s="327">
        <v>1</v>
      </c>
      <c r="AO395" s="327">
        <f t="shared" si="366"/>
        <v>1</v>
      </c>
      <c r="AP395" s="327">
        <v>1</v>
      </c>
      <c r="AQ395" s="327">
        <f t="shared" si="326"/>
        <v>1.5</v>
      </c>
      <c r="AR395" s="338"/>
      <c r="AS395" s="328">
        <f t="shared" si="363"/>
        <v>1</v>
      </c>
      <c r="AT395" s="328">
        <f t="shared" si="364"/>
        <v>1</v>
      </c>
      <c r="AU395" s="523">
        <v>1</v>
      </c>
      <c r="AV395" s="328"/>
      <c r="AW395" s="328"/>
      <c r="AX395" s="332">
        <v>1</v>
      </c>
      <c r="AY395" s="328" t="b">
        <f t="shared" si="365"/>
        <v>1</v>
      </c>
      <c r="AZ395" s="328" t="b">
        <f t="shared" si="354"/>
        <v>1</v>
      </c>
    </row>
    <row r="396" ht="27" customHeight="1" spans="1:52">
      <c r="A396" s="326" t="str">
        <f>INDEX('Rate Card'!$A:$A,MATCH(服务费底表!$T396,'Rate Card'!$F:$F,0))</f>
        <v>数统</v>
      </c>
      <c r="B396" s="327" t="str">
        <f>INDEX(二三级标准!$G:$G,MATCH(服务费底表!$K396,二三级标准!B:B,0))</f>
        <v>项目</v>
      </c>
      <c r="C396" s="327">
        <f>INDEX(服务费明细!$E:$E,MATCH(服务费底表!$K396,服务费明细!$B:$B,0))</f>
        <v>1</v>
      </c>
      <c r="D396" s="327" t="str">
        <f t="shared" si="355"/>
        <v>A100DM</v>
      </c>
      <c r="E396" s="327" t="str">
        <f t="shared" si="356"/>
        <v>T0295DM</v>
      </c>
      <c r="F396" s="328"/>
      <c r="G396" s="328" t="s">
        <v>684</v>
      </c>
      <c r="H396" s="326" t="str">
        <f>INDEX('Rate Card'!$B:$B,MATCH(服务费底表!$T396,'Rate Card'!$F:$F,0))</f>
        <v>数据管理</v>
      </c>
      <c r="I396" s="328" t="s">
        <v>923</v>
      </c>
      <c r="J396" s="328" t="str">
        <f>INDEX(二三级标准!$Q:$Q,MATCH(服务费底表!I396,二三级标准!$O:$O,0))</f>
        <v>数据管理</v>
      </c>
      <c r="K396" s="328" t="s">
        <v>305</v>
      </c>
      <c r="L396" s="328" t="str">
        <f>INDEX(二三级标准!C:C,MATCH(服务费底表!K396,二三级标准!$B:$B,0))</f>
        <v>数据库锁定</v>
      </c>
      <c r="M396" s="328" t="s">
        <v>1450</v>
      </c>
      <c r="N396" s="328" t="str">
        <f>INDEX(二三级标准!$M:$M,MATCH(服务费底表!$M396,二三级标准!$L:$L,0))</f>
        <v>数据库锁定/重新锁定</v>
      </c>
      <c r="O396" s="328"/>
      <c r="P396" s="531">
        <f>IF(R396=1,INDEX(服务费明细!$E:$E,MATCH(服务费底表!$K396,服务费明细!$B:$B,0)),0)</f>
        <v>1</v>
      </c>
      <c r="Q396" s="328" t="s">
        <v>1178</v>
      </c>
      <c r="R396" s="520">
        <f t="shared" si="357"/>
        <v>1</v>
      </c>
      <c r="S396" s="524" t="str">
        <f>INDEX('Rate Card'!$D:$D,MATCH(服务费底表!$T396,'Rate Card'!F:F,0))</f>
        <v>数据管理</v>
      </c>
      <c r="T396" s="328" t="s">
        <v>631</v>
      </c>
      <c r="U396" s="522" t="str">
        <f>INDEX('Rate Card'!$E:$E,MATCH(服务费底表!$T396,'Rate Card'!$F:$F,0))</f>
        <v>数据管理专员</v>
      </c>
      <c r="V396" s="331">
        <f>INDEX('Rate Card'!$J:$J,MATCH($T396,'Rate Card'!$F:$F,0))</f>
        <v>200</v>
      </c>
      <c r="W396" s="523">
        <f t="shared" si="324"/>
        <v>200</v>
      </c>
      <c r="X396" s="523">
        <f t="shared" si="325"/>
        <v>1</v>
      </c>
      <c r="Y396" s="327" cm="1">
        <f t="array" ref="Y396">_xlfn.IFS(报价场景=服务费底表!$AJ$2,服务费底表!$AJ396,报价场景=服务费底表!$AP$2,服务费底表!$AP396,报价场景=服务费底表!$AK$2,服务费底表!$AK396,报价场景=服务费底表!$AL$2,服务费底表!$AL396,报价场景=服务费底表!$AM$2,服务费底表!$AM396,报价场景=服务费底表!$AN$2,服务费底表!$AN396,报价场景=服务费底表!$AQ$2,服务费底表!$AQ396,报价场景=服务费底表!$AO$2,服务费底表!$AO396)</f>
        <v>1</v>
      </c>
      <c r="Z396" s="327"/>
      <c r="AA396" s="332">
        <f t="shared" si="358"/>
        <v>1</v>
      </c>
      <c r="AB396" s="333">
        <f t="shared" si="359"/>
        <v>200</v>
      </c>
      <c r="AC396" s="328">
        <f t="shared" si="360"/>
        <v>1</v>
      </c>
      <c r="AD396" s="334">
        <f t="shared" si="361"/>
        <v>200</v>
      </c>
      <c r="AE396" s="334">
        <f>$AB396*(1-INDEX(项目参数!$D$5:$D$14,MATCH(服务费底表!$S396,项目参数!$B$5:$B$14,0)))</f>
        <v>200</v>
      </c>
      <c r="AF396" s="334">
        <f>$AD396*INDEX(项目参数!$D$5:$D$14,MATCH(服务费底表!$S396,项目参数!$B$5:$B$14,0))</f>
        <v>0</v>
      </c>
      <c r="AG396" s="334">
        <f t="shared" si="362"/>
        <v>200</v>
      </c>
      <c r="AH396" s="328"/>
      <c r="AI396" s="328" t="s">
        <v>631</v>
      </c>
      <c r="AJ396" s="327">
        <v>1</v>
      </c>
      <c r="AK396" s="327">
        <v>1</v>
      </c>
      <c r="AL396" s="327">
        <v>0.5</v>
      </c>
      <c r="AM396" s="327">
        <v>1</v>
      </c>
      <c r="AN396" s="327">
        <v>0.5</v>
      </c>
      <c r="AO396" s="327">
        <f t="shared" si="366"/>
        <v>0.5</v>
      </c>
      <c r="AP396" s="327">
        <v>1</v>
      </c>
      <c r="AQ396" s="327">
        <f t="shared" si="326"/>
        <v>1.5</v>
      </c>
      <c r="AR396" s="338"/>
      <c r="AS396" s="328">
        <f t="shared" si="363"/>
        <v>1</v>
      </c>
      <c r="AT396" s="328">
        <f t="shared" si="364"/>
        <v>1</v>
      </c>
      <c r="AU396" s="523">
        <v>1</v>
      </c>
      <c r="AV396" s="328"/>
      <c r="AW396" s="328"/>
      <c r="AX396" s="332">
        <v>1</v>
      </c>
      <c r="AY396" s="328" t="b">
        <f t="shared" si="365"/>
        <v>1</v>
      </c>
      <c r="AZ396" s="328" t="b">
        <f t="shared" si="354"/>
        <v>1</v>
      </c>
    </row>
    <row r="397" ht="27" customHeight="1" spans="1:52">
      <c r="A397" s="326" t="str">
        <f>INDEX('Rate Card'!$A:$A,MATCH(服务费底表!$T397,'Rate Card'!$F:$F,0))</f>
        <v>数统</v>
      </c>
      <c r="B397" s="327" t="str">
        <f>INDEX(二三级标准!$G:$G,MATCH(服务费底表!$K397,二三级标准!B:B,0))</f>
        <v>项目</v>
      </c>
      <c r="C397" s="327">
        <f>INDEX(服务费明细!$E:$E,MATCH(服务费底表!$K397,服务费明细!$B:$B,0))</f>
        <v>1</v>
      </c>
      <c r="D397" s="327" t="str">
        <f t="shared" si="355"/>
        <v>A100DM</v>
      </c>
      <c r="E397" s="327" t="str">
        <f t="shared" si="356"/>
        <v>T0296DM</v>
      </c>
      <c r="F397" s="328"/>
      <c r="G397" s="328" t="s">
        <v>684</v>
      </c>
      <c r="H397" s="326" t="str">
        <f>INDEX('Rate Card'!$B:$B,MATCH(服务费底表!$T397,'Rate Card'!$F:$F,0))</f>
        <v>数据管理</v>
      </c>
      <c r="I397" s="328" t="s">
        <v>923</v>
      </c>
      <c r="J397" s="328" t="str">
        <f>INDEX(二三级标准!$Q:$Q,MATCH(服务费底表!I397,二三级标准!$O:$O,0))</f>
        <v>数据管理</v>
      </c>
      <c r="K397" s="328" t="s">
        <v>305</v>
      </c>
      <c r="L397" s="328" t="str">
        <f>INDEX(二三级标准!C:C,MATCH(服务费底表!K397,二三级标准!$B:$B,0))</f>
        <v>数据库锁定</v>
      </c>
      <c r="M397" s="328" t="s">
        <v>1451</v>
      </c>
      <c r="N397" s="328" t="str">
        <f>INDEX(二三级标准!$M:$M,MATCH(服务费底表!$M397,二三级标准!$L:$L,0))</f>
        <v>数据库解锁申请</v>
      </c>
      <c r="O397" s="328"/>
      <c r="P397" s="531">
        <f>IF(R397=1,INDEX(服务费明细!$E:$E,MATCH(服务费底表!$K397,服务费明细!$B:$B,0)),0)</f>
        <v>0</v>
      </c>
      <c r="Q397" s="328" t="s">
        <v>1178</v>
      </c>
      <c r="R397" s="520">
        <v>0</v>
      </c>
      <c r="S397" s="524" t="str">
        <f>INDEX('Rate Card'!$D:$D,MATCH(服务费底表!$T397,'Rate Card'!F:F,0))</f>
        <v>数据管理</v>
      </c>
      <c r="T397" s="328" t="s">
        <v>631</v>
      </c>
      <c r="U397" s="522" t="str">
        <f>INDEX('Rate Card'!$E:$E,MATCH(服务费底表!$T397,'Rate Card'!$F:$F,0))</f>
        <v>数据管理专员</v>
      </c>
      <c r="V397" s="331">
        <f>INDEX('Rate Card'!$J:$J,MATCH($T397,'Rate Card'!$F:$F,0))</f>
        <v>200</v>
      </c>
      <c r="W397" s="523">
        <f t="shared" si="324"/>
        <v>200</v>
      </c>
      <c r="X397" s="523">
        <f t="shared" si="325"/>
        <v>0.5</v>
      </c>
      <c r="Y397" s="327" cm="1">
        <f t="array" ref="Y397">_xlfn.IFS(报价场景=服务费底表!$AJ$2,服务费底表!$AJ397,报价场景=服务费底表!$AP$2,服务费底表!$AP397,报价场景=服务费底表!$AK$2,服务费底表!$AK397,报价场景=服务费底表!$AL$2,服务费底表!$AL397,报价场景=服务费底表!$AM$2,服务费底表!$AM397,报价场景=服务费底表!$AN$2,服务费底表!$AN397,报价场景=服务费底表!$AQ$2,服务费底表!$AQ397,报价场景=服务费底表!$AO$2,服务费底表!$AO397)</f>
        <v>0.5</v>
      </c>
      <c r="Z397" s="327"/>
      <c r="AA397" s="332">
        <f t="shared" si="358"/>
        <v>0.5</v>
      </c>
      <c r="AB397" s="333">
        <f t="shared" si="359"/>
        <v>0</v>
      </c>
      <c r="AC397" s="328">
        <f t="shared" si="360"/>
        <v>0</v>
      </c>
      <c r="AD397" s="334">
        <f t="shared" si="361"/>
        <v>0</v>
      </c>
      <c r="AE397" s="334">
        <f>$AB397*(1-INDEX(项目参数!$D$5:$D$14,MATCH(服务费底表!$S397,项目参数!$B$5:$B$14,0)))</f>
        <v>0</v>
      </c>
      <c r="AF397" s="334">
        <f>$AD397*INDEX(项目参数!$D$5:$D$14,MATCH(服务费底表!$S397,项目参数!$B$5:$B$14,0))</f>
        <v>0</v>
      </c>
      <c r="AG397" s="334">
        <f t="shared" si="362"/>
        <v>0</v>
      </c>
      <c r="AH397" s="328"/>
      <c r="AI397" s="328" t="s">
        <v>631</v>
      </c>
      <c r="AJ397" s="327">
        <v>0.5</v>
      </c>
      <c r="AK397" s="327">
        <v>0.5</v>
      </c>
      <c r="AL397" s="327">
        <v>0.5</v>
      </c>
      <c r="AM397" s="327">
        <v>0.5</v>
      </c>
      <c r="AN397" s="327">
        <v>0.5</v>
      </c>
      <c r="AO397" s="327">
        <f t="shared" si="366"/>
        <v>0.5</v>
      </c>
      <c r="AP397" s="327">
        <v>0.5</v>
      </c>
      <c r="AQ397" s="327">
        <f t="shared" si="326"/>
        <v>0.75</v>
      </c>
      <c r="AR397" s="338"/>
      <c r="AS397" s="328">
        <f t="shared" si="363"/>
        <v>0</v>
      </c>
      <c r="AT397" s="328">
        <f t="shared" si="364"/>
        <v>0</v>
      </c>
      <c r="AU397" s="523">
        <v>0.5</v>
      </c>
      <c r="AV397" s="328"/>
      <c r="AW397" s="328"/>
      <c r="AX397" s="332">
        <v>0.5</v>
      </c>
      <c r="AY397" s="328" t="b">
        <f t="shared" si="365"/>
        <v>1</v>
      </c>
      <c r="AZ397" s="328" t="b">
        <f t="shared" si="354"/>
        <v>1</v>
      </c>
    </row>
    <row r="398" ht="27" customHeight="1" spans="1:52">
      <c r="A398" s="326" t="str">
        <f>INDEX('Rate Card'!$A:$A,MATCH(服务费底表!$T398,'Rate Card'!$F:$F,0))</f>
        <v>数统</v>
      </c>
      <c r="B398" s="327" t="str">
        <f>INDEX(二三级标准!$G:$G,MATCH(服务费底表!$K398,二三级标准!B:B,0))</f>
        <v>项目</v>
      </c>
      <c r="C398" s="327">
        <f>INDEX(服务费明细!$E:$E,MATCH(服务费底表!$K398,服务费明细!$B:$B,0))</f>
        <v>1</v>
      </c>
      <c r="D398" s="327" t="str">
        <f t="shared" si="355"/>
        <v>A100DBP</v>
      </c>
      <c r="E398" s="327" t="str">
        <f t="shared" si="356"/>
        <v>T0297DBP</v>
      </c>
      <c r="F398" s="328"/>
      <c r="G398" s="328" t="s">
        <v>684</v>
      </c>
      <c r="H398" s="326" t="str">
        <f>INDEX('Rate Card'!$B:$B,MATCH(服务费底表!$T398,'Rate Card'!$F:$F,0))</f>
        <v>数据管理</v>
      </c>
      <c r="I398" s="328" t="s">
        <v>923</v>
      </c>
      <c r="J398" s="328" t="str">
        <f>INDEX(二三级标准!$Q:$Q,MATCH(服务费底表!I398,二三级标准!$O:$O,0))</f>
        <v>数据管理</v>
      </c>
      <c r="K398" s="328" t="s">
        <v>305</v>
      </c>
      <c r="L398" s="328" t="str">
        <f>INDEX(二三级标准!C:C,MATCH(服务费底表!K398,二三级标准!$B:$B,0))</f>
        <v>数据库锁定</v>
      </c>
      <c r="M398" s="328" t="s">
        <v>1452</v>
      </c>
      <c r="N398" s="328" t="str">
        <f>INDEX(二三级标准!$M:$M,MATCH(服务费底表!$M398,二三级标准!$L:$L,0))</f>
        <v>数据库账号移除</v>
      </c>
      <c r="O398" s="328"/>
      <c r="P398" s="531">
        <f>IF(R398=1,INDEX(服务费明细!$E:$E,MATCH(服务费底表!$K398,服务费明细!$B:$B,0)),0)</f>
        <v>1</v>
      </c>
      <c r="Q398" s="328" t="s">
        <v>1178</v>
      </c>
      <c r="R398" s="520">
        <f>IF(AND(数据库锁定YN=1,数据管理YN=1),1,0)</f>
        <v>1</v>
      </c>
      <c r="S398" s="524" t="str">
        <f>INDEX('Rate Card'!$D:$D,MATCH(服务费底表!$T398,'Rate Card'!F:F,0))</f>
        <v>数据管理</v>
      </c>
      <c r="T398" s="328" t="s">
        <v>629</v>
      </c>
      <c r="U398" s="522" t="str">
        <f>INDEX('Rate Card'!$E:$E,MATCH(服务费底表!$T398,'Rate Card'!$F:$F,0))</f>
        <v>数据库编程员</v>
      </c>
      <c r="V398" s="331">
        <f>INDEX('Rate Card'!$J:$J,MATCH($T398,'Rate Card'!$F:$F,0))</f>
        <v>300</v>
      </c>
      <c r="W398" s="523">
        <f t="shared" si="324"/>
        <v>300</v>
      </c>
      <c r="X398" s="523">
        <f t="shared" si="325"/>
        <v>0.5</v>
      </c>
      <c r="Y398" s="327" cm="1">
        <f t="array" ref="Y398">_xlfn.IFS(报价场景=服务费底表!$AJ$2,服务费底表!$AJ398,报价场景=服务费底表!$AP$2,服务费底表!$AP398,报价场景=服务费底表!$AK$2,服务费底表!$AK398,报价场景=服务费底表!$AL$2,服务费底表!$AL398,报价场景=服务费底表!$AM$2,服务费底表!$AM398,报价场景=服务费底表!$AN$2,服务费底表!$AN398,报价场景=服务费底表!$AQ$2,服务费底表!$AQ398,报价场景=服务费底表!$AO$2,服务费底表!$AO398)</f>
        <v>0.5</v>
      </c>
      <c r="Z398" s="327"/>
      <c r="AA398" s="332">
        <f t="shared" si="358"/>
        <v>0.5</v>
      </c>
      <c r="AB398" s="333">
        <f t="shared" si="359"/>
        <v>150</v>
      </c>
      <c r="AC398" s="328">
        <f t="shared" si="360"/>
        <v>0.5</v>
      </c>
      <c r="AD398" s="334">
        <f t="shared" si="361"/>
        <v>150</v>
      </c>
      <c r="AE398" s="334">
        <f>$AB398*(1-INDEX(项目参数!$D$5:$D$14,MATCH(服务费底表!$S398,项目参数!$B$5:$B$14,0)))</f>
        <v>150</v>
      </c>
      <c r="AF398" s="334">
        <f>$AD398*INDEX(项目参数!$D$5:$D$14,MATCH(服务费底表!$S398,项目参数!$B$5:$B$14,0))</f>
        <v>0</v>
      </c>
      <c r="AG398" s="334">
        <f t="shared" si="362"/>
        <v>150</v>
      </c>
      <c r="AH398" s="328"/>
      <c r="AI398" s="328" t="s">
        <v>629</v>
      </c>
      <c r="AJ398" s="327">
        <v>0.5</v>
      </c>
      <c r="AK398" s="327">
        <v>0.5</v>
      </c>
      <c r="AL398" s="327">
        <v>0.5</v>
      </c>
      <c r="AM398" s="327">
        <v>0.5</v>
      </c>
      <c r="AN398" s="327">
        <v>0.5</v>
      </c>
      <c r="AO398" s="327">
        <f t="shared" si="366"/>
        <v>0.5</v>
      </c>
      <c r="AP398" s="327">
        <v>0.5</v>
      </c>
      <c r="AQ398" s="327">
        <f t="shared" si="326"/>
        <v>0.75</v>
      </c>
      <c r="AR398" s="338"/>
      <c r="AS398" s="328">
        <f t="shared" si="363"/>
        <v>0.5</v>
      </c>
      <c r="AT398" s="328">
        <f t="shared" si="364"/>
        <v>0.5</v>
      </c>
      <c r="AU398" s="523">
        <v>0.5</v>
      </c>
      <c r="AV398" s="328"/>
      <c r="AW398" s="328"/>
      <c r="AX398" s="332">
        <v>0.5</v>
      </c>
      <c r="AY398" s="328" t="b">
        <f t="shared" si="365"/>
        <v>1</v>
      </c>
      <c r="AZ398" s="328" t="b">
        <f t="shared" si="354"/>
        <v>1</v>
      </c>
    </row>
    <row r="399" ht="27" customHeight="1" spans="1:52">
      <c r="A399" s="326" t="str">
        <f>INDEX('Rate Card'!$A:$A,MATCH(服务费底表!$T399,'Rate Card'!$F:$F,0))</f>
        <v>数统</v>
      </c>
      <c r="B399" s="327" t="str">
        <f>INDEX(二三级标准!$G:$G,MATCH(服务费底表!$K399,二三级标准!B:B,0))</f>
        <v>项目</v>
      </c>
      <c r="C399" s="327">
        <f>INDEX(服务费明细!$E:$E,MATCH(服务费底表!$K399,服务费明细!$B:$B,0))</f>
        <v>1</v>
      </c>
      <c r="D399" s="327" t="str">
        <f t="shared" si="355"/>
        <v>A100ST</v>
      </c>
      <c r="E399" s="327" t="str">
        <f t="shared" si="356"/>
        <v>T0298ST</v>
      </c>
      <c r="F399" s="328"/>
      <c r="G399" s="328" t="s">
        <v>684</v>
      </c>
      <c r="H399" s="326" t="str">
        <f>INDEX('Rate Card'!$B:$B,MATCH(服务费底表!$T399,'Rate Card'!$F:$F,0))</f>
        <v>生物统计及分析</v>
      </c>
      <c r="I399" s="328" t="s">
        <v>923</v>
      </c>
      <c r="J399" s="328" t="str">
        <f>INDEX(二三级标准!$Q:$Q,MATCH(服务费底表!I399,二三级标准!$O:$O,0))</f>
        <v>数据管理</v>
      </c>
      <c r="K399" s="328" t="s">
        <v>305</v>
      </c>
      <c r="L399" s="328" t="str">
        <f>INDEX(二三级标准!C:C,MATCH(服务费底表!K399,二三级标准!$B:$B,0))</f>
        <v>数据库锁定</v>
      </c>
      <c r="M399" s="328" t="s">
        <v>1453</v>
      </c>
      <c r="N399" s="328" t="str">
        <f>INDEX(二三级标准!$M:$M,MATCH(服务费底表!$M399,二三级标准!$L:$L,0))</f>
        <v>数据锁库签批</v>
      </c>
      <c r="O399" s="328"/>
      <c r="P399" s="531">
        <f>IF(R399=1,INDEX(服务费明细!$E:$E,MATCH(服务费底表!$K399,服务费明细!$B:$B,0)),0)</f>
        <v>1</v>
      </c>
      <c r="Q399" s="328" t="s">
        <v>1178</v>
      </c>
      <c r="R399" s="520">
        <f>IF(AND(数据库锁定YN=1,生物统计YN=1),1,0)</f>
        <v>1</v>
      </c>
      <c r="S399" s="524" t="str">
        <f>INDEX('Rate Card'!$D:$D,MATCH(服务费底表!$T399,'Rate Card'!F:F,0))</f>
        <v>生物统计</v>
      </c>
      <c r="T399" s="328" t="s">
        <v>639</v>
      </c>
      <c r="U399" s="522" t="str">
        <f>INDEX('Rate Card'!$E:$E,MATCH(服务费底表!$T399,'Rate Card'!$F:$F,0))</f>
        <v>生物统计师</v>
      </c>
      <c r="V399" s="331">
        <f>INDEX('Rate Card'!$J:$J,MATCH($T399,'Rate Card'!$F:$F,0))</f>
        <v>400</v>
      </c>
      <c r="W399" s="523">
        <f t="shared" si="324"/>
        <v>400</v>
      </c>
      <c r="X399" s="523">
        <f t="shared" si="325"/>
        <v>0.5</v>
      </c>
      <c r="Y399" s="327" cm="1">
        <f t="array" ref="Y399">_xlfn.IFS(报价场景=服务费底表!$AJ$2,服务费底表!$AJ399,报价场景=服务费底表!$AP$2,服务费底表!$AP399,报价场景=服务费底表!$AK$2,服务费底表!$AK399,报价场景=服务费底表!$AL$2,服务费底表!$AL399,报价场景=服务费底表!$AM$2,服务费底表!$AM399,报价场景=服务费底表!$AN$2,服务费底表!$AN399,报价场景=服务费底表!$AQ$2,服务费底表!$AQ399,报价场景=服务费底表!$AO$2,服务费底表!$AO399)</f>
        <v>0.5</v>
      </c>
      <c r="Z399" s="327"/>
      <c r="AA399" s="332">
        <f t="shared" si="358"/>
        <v>0.5</v>
      </c>
      <c r="AB399" s="333">
        <f t="shared" si="359"/>
        <v>200</v>
      </c>
      <c r="AC399" s="328">
        <f t="shared" si="360"/>
        <v>0.5</v>
      </c>
      <c r="AD399" s="334">
        <f t="shared" si="361"/>
        <v>200</v>
      </c>
      <c r="AE399" s="334">
        <f>$AB399*(1-INDEX(项目参数!$D$5:$D$14,MATCH(服务费底表!$S399,项目参数!$B$5:$B$14,0)))</f>
        <v>200</v>
      </c>
      <c r="AF399" s="334">
        <f>$AD399*INDEX(项目参数!$D$5:$D$14,MATCH(服务费底表!$S399,项目参数!$B$5:$B$14,0))</f>
        <v>0</v>
      </c>
      <c r="AG399" s="334">
        <f t="shared" si="362"/>
        <v>200</v>
      </c>
      <c r="AH399" s="328"/>
      <c r="AI399" s="328" t="s">
        <v>639</v>
      </c>
      <c r="AJ399" s="327">
        <v>0.5</v>
      </c>
      <c r="AK399" s="327">
        <v>0.5</v>
      </c>
      <c r="AL399" s="327">
        <v>0.5</v>
      </c>
      <c r="AM399" s="327">
        <v>0.5</v>
      </c>
      <c r="AN399" s="327">
        <v>0.5</v>
      </c>
      <c r="AO399" s="327">
        <f t="shared" si="366"/>
        <v>0.5</v>
      </c>
      <c r="AP399" s="327">
        <v>0.5</v>
      </c>
      <c r="AQ399" s="327">
        <f t="shared" si="326"/>
        <v>0.75</v>
      </c>
      <c r="AR399" s="338"/>
      <c r="AS399" s="328">
        <f t="shared" si="363"/>
        <v>0.5</v>
      </c>
      <c r="AT399" s="328">
        <f t="shared" si="364"/>
        <v>0.5</v>
      </c>
      <c r="AU399" s="523">
        <v>0.5</v>
      </c>
      <c r="AV399" s="328"/>
      <c r="AW399" s="328"/>
      <c r="AX399" s="332">
        <v>0.5</v>
      </c>
      <c r="AY399" s="328" t="b">
        <f t="shared" si="365"/>
        <v>1</v>
      </c>
      <c r="AZ399" s="328" t="b">
        <f t="shared" si="354"/>
        <v>1</v>
      </c>
    </row>
    <row r="400" ht="27" customHeight="1" spans="1:52">
      <c r="A400" s="326" t="str">
        <f>INDEX('Rate Card'!$A:$A,MATCH(服务费底表!$T400,'Rate Card'!$F:$F,0))</f>
        <v>数统</v>
      </c>
      <c r="B400" s="327" t="str">
        <f>INDEX(二三级标准!$G:$G,MATCH(服务费底表!$K400,二三级标准!B:B,0))</f>
        <v>份</v>
      </c>
      <c r="C400" s="327">
        <f>INDEX(服务费明细!$E:$E,MATCH(服务费底表!$K400,服务费明细!$B:$B,0))</f>
        <v>0</v>
      </c>
      <c r="D400" s="327" t="str">
        <f t="shared" si="355"/>
        <v>A101DM</v>
      </c>
      <c r="E400" s="327" t="str">
        <f t="shared" si="356"/>
        <v>T0299DM</v>
      </c>
      <c r="F400" s="328"/>
      <c r="G400" s="328" t="s">
        <v>684</v>
      </c>
      <c r="H400" s="326" t="str">
        <f>INDEX('Rate Card'!$B:$B,MATCH(服务费底表!$T400,'Rate Card'!$F:$F,0))</f>
        <v>数据管理</v>
      </c>
      <c r="I400" s="328" t="s">
        <v>923</v>
      </c>
      <c r="J400" s="328" t="str">
        <f>INDEX(二三级标准!$Q:$Q,MATCH(服务费底表!I400,二三级标准!$O:$O,0))</f>
        <v>数据管理</v>
      </c>
      <c r="K400" s="328" t="s">
        <v>307</v>
      </c>
      <c r="L400" s="328" t="str">
        <f>INDEX(二三级标准!C:C,MATCH(服务费底表!K400,二三级标准!$B:$B,0))</f>
        <v>撰写数据管理报告</v>
      </c>
      <c r="M400" s="328" t="s">
        <v>1454</v>
      </c>
      <c r="N400" s="328" t="str">
        <f>INDEX(二三级标准!$M:$M,MATCH(服务费底表!$M400,二三级标准!$L:$L,0))</f>
        <v>DMR起草和定稿</v>
      </c>
      <c r="O400" s="328"/>
      <c r="P400" s="531">
        <f>IF(R400=1,INDEX(服务费明细!$E:$E,MATCH(服务费底表!$K400,服务费明细!$B:$B,0)),0)</f>
        <v>0</v>
      </c>
      <c r="Q400" s="328" t="s">
        <v>1176</v>
      </c>
      <c r="R400" s="520">
        <f>IF(AND(撰写数据管理报告YN=1,数据管理YN=1),1,0)</f>
        <v>0</v>
      </c>
      <c r="S400" s="524" t="str">
        <f>INDEX('Rate Card'!$D:$D,MATCH(服务费底表!$T400,'Rate Card'!F:F,0))</f>
        <v>数据管理</v>
      </c>
      <c r="T400" s="328" t="s">
        <v>631</v>
      </c>
      <c r="U400" s="522" t="str">
        <f>INDEX('Rate Card'!$E:$E,MATCH(服务费底表!$T400,'Rate Card'!$F:$F,0))</f>
        <v>数据管理专员</v>
      </c>
      <c r="V400" s="331">
        <f>INDEX('Rate Card'!$J:$J,MATCH($T400,'Rate Card'!$F:$F,0))</f>
        <v>200</v>
      </c>
      <c r="W400" s="523">
        <f t="shared" si="324"/>
        <v>200</v>
      </c>
      <c r="X400" s="523">
        <f t="shared" si="325"/>
        <v>8</v>
      </c>
      <c r="Y400" s="327" cm="1">
        <f t="array" ref="Y400">_xlfn.IFS(报价场景=服务费底表!$AJ$2,服务费底表!$AJ400,报价场景=服务费底表!$AP$2,服务费底表!$AP400,报价场景=服务费底表!$AK$2,服务费底表!$AK400,报价场景=服务费底表!$AL$2,服务费底表!$AL400,报价场景=服务费底表!$AM$2,服务费底表!$AM400,报价场景=服务费底表!$AN$2,服务费底表!$AN400,报价场景=服务费底表!$AQ$2,服务费底表!$AQ400,报价场景=服务费底表!$AO$2,服务费底表!$AO400)</f>
        <v>8</v>
      </c>
      <c r="Z400" s="327"/>
      <c r="AA400" s="332">
        <f t="shared" si="358"/>
        <v>8</v>
      </c>
      <c r="AB400" s="333">
        <f t="shared" si="359"/>
        <v>0</v>
      </c>
      <c r="AC400" s="328">
        <f t="shared" si="360"/>
        <v>0</v>
      </c>
      <c r="AD400" s="334">
        <f t="shared" si="361"/>
        <v>0</v>
      </c>
      <c r="AE400" s="334">
        <f>$AB400*(1-INDEX(项目参数!$D$5:$D$14,MATCH(服务费底表!$S400,项目参数!$B$5:$B$14,0)))</f>
        <v>0</v>
      </c>
      <c r="AF400" s="334">
        <f>$AD400*INDEX(项目参数!$D$5:$D$14,MATCH(服务费底表!$S400,项目参数!$B$5:$B$14,0))</f>
        <v>0</v>
      </c>
      <c r="AG400" s="334">
        <f t="shared" si="362"/>
        <v>0</v>
      </c>
      <c r="AH400" s="328"/>
      <c r="AI400" s="328" t="s">
        <v>631</v>
      </c>
      <c r="AJ400" s="327">
        <v>8</v>
      </c>
      <c r="AK400" s="327">
        <v>8</v>
      </c>
      <c r="AL400" s="327">
        <v>8</v>
      </c>
      <c r="AM400" s="327">
        <v>8</v>
      </c>
      <c r="AN400" s="327">
        <v>8</v>
      </c>
      <c r="AO400" s="327">
        <f t="shared" si="366"/>
        <v>8</v>
      </c>
      <c r="AP400" s="327">
        <v>8</v>
      </c>
      <c r="AQ400" s="327">
        <f t="shared" si="326"/>
        <v>12</v>
      </c>
      <c r="AR400" s="338"/>
      <c r="AS400" s="328">
        <f t="shared" si="363"/>
        <v>0</v>
      </c>
      <c r="AT400" s="328">
        <f t="shared" si="364"/>
        <v>0</v>
      </c>
      <c r="AU400" s="523">
        <v>8</v>
      </c>
      <c r="AV400" s="328"/>
      <c r="AW400" s="328"/>
      <c r="AX400" s="332">
        <v>8</v>
      </c>
      <c r="AY400" s="328" t="b">
        <f t="shared" si="365"/>
        <v>1</v>
      </c>
      <c r="AZ400" s="328" t="b">
        <f t="shared" si="354"/>
        <v>0</v>
      </c>
    </row>
    <row r="401" ht="27" customHeight="1" spans="1:52">
      <c r="A401" s="326" t="str">
        <f>INDEX('Rate Card'!$A:$A,MATCH(服务费底表!$T401,'Rate Card'!$F:$F,0))</f>
        <v>数统</v>
      </c>
      <c r="B401" s="327" t="str">
        <f>INDEX(二三级标准!$G:$G,MATCH(服务费底表!$K401,二三级标准!B:B,0))</f>
        <v>份</v>
      </c>
      <c r="C401" s="327">
        <f>INDEX(服务费明细!$E:$E,MATCH(服务费底表!$K401,服务费明细!$B:$B,0))</f>
        <v>0</v>
      </c>
      <c r="D401" s="327" t="str">
        <f t="shared" si="355"/>
        <v>A101LDM</v>
      </c>
      <c r="E401" s="327" t="str">
        <f t="shared" si="356"/>
        <v>T0300LDM</v>
      </c>
      <c r="F401" s="328"/>
      <c r="G401" s="328" t="s">
        <v>684</v>
      </c>
      <c r="H401" s="326" t="str">
        <f>INDEX('Rate Card'!$B:$B,MATCH(服务费底表!$T401,'Rate Card'!$F:$F,0))</f>
        <v>数据管理</v>
      </c>
      <c r="I401" s="328" t="s">
        <v>923</v>
      </c>
      <c r="J401" s="328" t="str">
        <f>INDEX(二三级标准!$Q:$Q,MATCH(服务费底表!I401,二三级标准!$O:$O,0))</f>
        <v>数据管理</v>
      </c>
      <c r="K401" s="328" t="s">
        <v>307</v>
      </c>
      <c r="L401" s="328" t="str">
        <f>INDEX(二三级标准!C:C,MATCH(服务费底表!K401,二三级标准!$B:$B,0))</f>
        <v>撰写数据管理报告</v>
      </c>
      <c r="M401" s="328" t="s">
        <v>1455</v>
      </c>
      <c r="N401" s="328" t="str">
        <f>INDEX(二三级标准!$M:$M,MATCH(服务费底表!$M401,二三级标准!$L:$L,0))</f>
        <v>DMR审核</v>
      </c>
      <c r="O401" s="328"/>
      <c r="P401" s="531">
        <f>IF(R401=1,INDEX(服务费明细!$E:$E,MATCH(服务费底表!$K401,服务费明细!$B:$B,0)),0)</f>
        <v>0</v>
      </c>
      <c r="Q401" s="328" t="s">
        <v>1176</v>
      </c>
      <c r="R401" s="520">
        <f>IF(AND(撰写数据管理报告YN=1,数据管理YN=1),1,0)</f>
        <v>0</v>
      </c>
      <c r="S401" s="524" t="str">
        <f>INDEX('Rate Card'!$D:$D,MATCH(服务费底表!$T401,'Rate Card'!F:F,0))</f>
        <v>数据管理</v>
      </c>
      <c r="T401" s="328" t="s">
        <v>633</v>
      </c>
      <c r="U401" s="522" t="str">
        <f>INDEX('Rate Card'!$E:$E,MATCH(服务费底表!$T401,'Rate Card'!$F:$F,0))</f>
        <v>数据管理经理</v>
      </c>
      <c r="V401" s="331">
        <f>INDEX('Rate Card'!$J:$J,MATCH($T401,'Rate Card'!$F:$F,0))</f>
        <v>360</v>
      </c>
      <c r="W401" s="523">
        <f t="shared" si="324"/>
        <v>360</v>
      </c>
      <c r="X401" s="523">
        <f t="shared" si="325"/>
        <v>2</v>
      </c>
      <c r="Y401" s="327" cm="1">
        <f t="array" ref="Y401">_xlfn.IFS(报价场景=服务费底表!$AJ$2,服务费底表!$AJ401,报价场景=服务费底表!$AP$2,服务费底表!$AP401,报价场景=服务费底表!$AK$2,服务费底表!$AK401,报价场景=服务费底表!$AL$2,服务费底表!$AL401,报价场景=服务费底表!$AM$2,服务费底表!$AM401,报价场景=服务费底表!$AN$2,服务费底表!$AN401,报价场景=服务费底表!$AQ$2,服务费底表!$AQ401,报价场景=服务费底表!$AO$2,服务费底表!$AO401)</f>
        <v>2</v>
      </c>
      <c r="Z401" s="327"/>
      <c r="AA401" s="332">
        <f t="shared" si="358"/>
        <v>2</v>
      </c>
      <c r="AB401" s="333">
        <f t="shared" si="359"/>
        <v>0</v>
      </c>
      <c r="AC401" s="328">
        <f t="shared" si="360"/>
        <v>0</v>
      </c>
      <c r="AD401" s="334">
        <f t="shared" si="361"/>
        <v>0</v>
      </c>
      <c r="AE401" s="334">
        <f>$AB401*(1-INDEX(项目参数!$D$5:$D$14,MATCH(服务费底表!$S401,项目参数!$B$5:$B$14,0)))</f>
        <v>0</v>
      </c>
      <c r="AF401" s="334">
        <f>$AD401*INDEX(项目参数!$D$5:$D$14,MATCH(服务费底表!$S401,项目参数!$B$5:$B$14,0))</f>
        <v>0</v>
      </c>
      <c r="AG401" s="334">
        <f t="shared" si="362"/>
        <v>0</v>
      </c>
      <c r="AH401" s="328"/>
      <c r="AI401" s="328" t="s">
        <v>633</v>
      </c>
      <c r="AJ401" s="327">
        <v>2</v>
      </c>
      <c r="AK401" s="327">
        <v>2</v>
      </c>
      <c r="AL401" s="327">
        <v>2</v>
      </c>
      <c r="AM401" s="327">
        <v>2</v>
      </c>
      <c r="AN401" s="327">
        <v>2</v>
      </c>
      <c r="AO401" s="327">
        <f t="shared" si="366"/>
        <v>2</v>
      </c>
      <c r="AP401" s="327">
        <v>2</v>
      </c>
      <c r="AQ401" s="327">
        <f t="shared" si="326"/>
        <v>3</v>
      </c>
      <c r="AR401" s="338"/>
      <c r="AS401" s="328">
        <f t="shared" si="363"/>
        <v>0</v>
      </c>
      <c r="AT401" s="328">
        <f t="shared" si="364"/>
        <v>0</v>
      </c>
      <c r="AU401" s="523">
        <v>2</v>
      </c>
      <c r="AV401" s="328"/>
      <c r="AW401" s="328"/>
      <c r="AX401" s="332">
        <v>2</v>
      </c>
      <c r="AY401" s="328" t="b">
        <f t="shared" si="365"/>
        <v>1</v>
      </c>
      <c r="AZ401" s="328" t="b">
        <f t="shared" si="354"/>
        <v>0</v>
      </c>
    </row>
    <row r="402" ht="27" customHeight="1" spans="1:52">
      <c r="A402" s="326" t="str">
        <f>INDEX('Rate Card'!$A:$A,MATCH(服务费底表!$T402,'Rate Card'!$F:$F,0))</f>
        <v>数统</v>
      </c>
      <c r="B402" s="327" t="str">
        <f>INDEX(二三级标准!$G:$G,MATCH(服务费底表!$K402,二三级标准!B:B,0))</f>
        <v>月</v>
      </c>
      <c r="C402" s="327">
        <f>INDEX(服务费明细!$E:$E,MATCH(服务费底表!$K402,服务费明细!$B:$B,0))</f>
        <v>16</v>
      </c>
      <c r="D402" s="327" t="str">
        <f t="shared" si="355"/>
        <v>A102LDM</v>
      </c>
      <c r="E402" s="327" t="str">
        <f t="shared" si="356"/>
        <v>T0301aLDM</v>
      </c>
      <c r="F402" s="328"/>
      <c r="G402" s="328" t="s">
        <v>684</v>
      </c>
      <c r="H402" s="326" t="str">
        <f>INDEX('Rate Card'!$B:$B,MATCH(服务费底表!$T402,'Rate Card'!$F:$F,0))</f>
        <v>数据管理</v>
      </c>
      <c r="I402" s="328" t="s">
        <v>923</v>
      </c>
      <c r="J402" s="328" t="str">
        <f>INDEX(二三级标准!$Q:$Q,MATCH(服务费底表!I402,二三级标准!$O:$O,0))</f>
        <v>数据管理</v>
      </c>
      <c r="K402" s="328" t="s">
        <v>309</v>
      </c>
      <c r="L402" s="328" t="str">
        <f>INDEX(二三级标准!C:C,MATCH(服务费底表!K402,二三级标准!$B:$B,0))</f>
        <v>数据管理项目管理</v>
      </c>
      <c r="M402" s="328" t="s">
        <v>1456</v>
      </c>
      <c r="N402" s="328" t="str">
        <f>INDEX(二三级标准!$M:$M,MATCH(服务费底表!$M402,二三级标准!$L:$L,0))</f>
        <v>数据管理的日常沟通和文件管理</v>
      </c>
      <c r="O402" s="328"/>
      <c r="P402" s="531">
        <f>IF(R402=1,INDEX(服务费明细!$E:$E,MATCH(服务费底表!$K402,服务费明细!$B:$B,0)),0)</f>
        <v>16</v>
      </c>
      <c r="Q402" s="328" t="s">
        <v>1220</v>
      </c>
      <c r="R402" s="520">
        <f>IF(AND(数据管理项目管理YN=1,数据管理YN=1),1,0)</f>
        <v>1</v>
      </c>
      <c r="S402" s="524" t="str">
        <f>INDEX('Rate Card'!$D:$D,MATCH(服务费底表!$T402,'Rate Card'!F:F,0))</f>
        <v>数据管理</v>
      </c>
      <c r="T402" s="328" t="s">
        <v>633</v>
      </c>
      <c r="U402" s="522" t="str">
        <f>INDEX('Rate Card'!$E:$E,MATCH(服务费底表!$T402,'Rate Card'!$F:$F,0))</f>
        <v>数据管理经理</v>
      </c>
      <c r="V402" s="331">
        <f>INDEX('Rate Card'!$J:$J,MATCH($T402,'Rate Card'!$F:$F,0))</f>
        <v>360</v>
      </c>
      <c r="W402" s="523">
        <f t="shared" ref="W402:W465" si="367">V402*(1-$W$1)</f>
        <v>360</v>
      </c>
      <c r="X402" s="523">
        <f t="shared" ref="X402:X465" si="368">Y402*$X$1</f>
        <v>6</v>
      </c>
      <c r="Y402" s="327" cm="1">
        <f t="array" ref="Y402">_xlfn.IFS(报价场景=服务费底表!$AJ$2,服务费底表!$AJ402,报价场景=服务费底表!$AP$2,服务费底表!$AP402,报价场景=服务费底表!$AK$2,服务费底表!$AK402,报价场景=服务费底表!$AL$2,服务费底表!$AL402,报价场景=服务费底表!$AM$2,服务费底表!$AM402,报价场景=服务费底表!$AN$2,服务费底表!$AN402,报价场景=服务费底表!$AQ$2,服务费底表!$AQ402,报价场景=服务费底表!$AO$2,服务费底表!$AO402)</f>
        <v>6</v>
      </c>
      <c r="Z402" s="327"/>
      <c r="AA402" s="332">
        <f t="shared" si="358"/>
        <v>6</v>
      </c>
      <c r="AB402" s="333">
        <f t="shared" si="359"/>
        <v>2160</v>
      </c>
      <c r="AC402" s="328">
        <f t="shared" si="360"/>
        <v>96</v>
      </c>
      <c r="AD402" s="334">
        <f t="shared" si="361"/>
        <v>34560</v>
      </c>
      <c r="AE402" s="334">
        <f>$AB402*(1-INDEX(项目参数!$D$5:$D$14,MATCH(服务费底表!$S402,项目参数!$B$5:$B$14,0)))</f>
        <v>2160</v>
      </c>
      <c r="AF402" s="334">
        <f>$AD402*INDEX(项目参数!$D$5:$D$14,MATCH(服务费底表!$S402,项目参数!$B$5:$B$14,0))</f>
        <v>0</v>
      </c>
      <c r="AG402" s="334">
        <f t="shared" si="362"/>
        <v>34560</v>
      </c>
      <c r="AH402" s="328"/>
      <c r="AI402" s="328" t="s">
        <v>633</v>
      </c>
      <c r="AJ402" s="327">
        <v>6</v>
      </c>
      <c r="AK402" s="327">
        <v>6</v>
      </c>
      <c r="AL402" s="327">
        <v>4</v>
      </c>
      <c r="AM402" s="327">
        <v>6</v>
      </c>
      <c r="AN402" s="327">
        <v>4</v>
      </c>
      <c r="AO402" s="327">
        <f t="shared" si="366"/>
        <v>4</v>
      </c>
      <c r="AP402" s="327">
        <v>2</v>
      </c>
      <c r="AQ402" s="327">
        <f t="shared" ref="AQ402:AQ465" si="369">AJ402*$AQ$1</f>
        <v>9</v>
      </c>
      <c r="AR402" s="338"/>
      <c r="AS402" s="328">
        <f t="shared" si="363"/>
        <v>96</v>
      </c>
      <c r="AT402" s="328">
        <f t="shared" si="364"/>
        <v>96</v>
      </c>
      <c r="AU402" s="523">
        <v>6</v>
      </c>
      <c r="AV402" s="328"/>
      <c r="AW402" s="328"/>
      <c r="AX402" s="332">
        <v>6</v>
      </c>
      <c r="AY402" s="328" t="b">
        <f t="shared" si="365"/>
        <v>1</v>
      </c>
      <c r="AZ402" s="328" t="b">
        <f t="shared" si="354"/>
        <v>1</v>
      </c>
    </row>
    <row r="403" ht="27" customHeight="1" spans="1:52">
      <c r="A403" s="326" t="str">
        <f>INDEX('Rate Card'!$A:$A,MATCH(服务费底表!$T403,'Rate Card'!$F:$F,0))</f>
        <v>数统</v>
      </c>
      <c r="B403" s="327" t="str">
        <f>INDEX(二三级标准!$G:$G,MATCH(服务费底表!$K403,二三级标准!B:B,0))</f>
        <v>次</v>
      </c>
      <c r="C403" s="327">
        <f>INDEX(服务费明细!$E:$E,MATCH(服务费底表!$K403,服务费明细!$B:$B,0))</f>
        <v>0</v>
      </c>
      <c r="D403" s="327" t="str">
        <f t="shared" ref="D403:D416" si="370">K403&amp;T403</f>
        <v>A103DM</v>
      </c>
      <c r="E403" s="327" t="str">
        <f t="shared" ref="E403:E416" si="371">M403&amp;T403</f>
        <v>T0303DM</v>
      </c>
      <c r="F403" s="328"/>
      <c r="G403" s="328" t="s">
        <v>684</v>
      </c>
      <c r="H403" s="326" t="str">
        <f>INDEX('Rate Card'!$B:$B,MATCH(服务费底表!$T403,'Rate Card'!$F:$F,0))</f>
        <v>数据管理</v>
      </c>
      <c r="I403" s="328" t="s">
        <v>923</v>
      </c>
      <c r="J403" s="328" t="str">
        <f>INDEX(二三级标准!$Q:$Q,MATCH(服务费底表!I403,二三级标准!$O:$O,0))</f>
        <v>数据管理</v>
      </c>
      <c r="K403" s="328" t="s">
        <v>311</v>
      </c>
      <c r="L403" s="328" t="str">
        <f>INDEX(二三级标准!C:C,MATCH(服务费底表!K403,二三级标准!$B:$B,0))</f>
        <v>数据库变更</v>
      </c>
      <c r="M403" s="328" t="s">
        <v>1457</v>
      </c>
      <c r="N403" s="328" t="str">
        <f>INDEX(二三级标准!$M:$M,MATCH(服务费底表!$M403,二三级标准!$L:$L,0))</f>
        <v>CRF更新</v>
      </c>
      <c r="O403" s="328"/>
      <c r="P403" s="531">
        <f>IF(R404=1,ROUNDUP(CRF唯一页面数*20%,0),0)*数据库变更次数</f>
        <v>0</v>
      </c>
      <c r="Q403" s="328" t="s">
        <v>1187</v>
      </c>
      <c r="R403" s="520">
        <f t="shared" ref="R403:R415" si="372">IF(AND(数据库变更YN=1,数据管理YN=1),1,0)</f>
        <v>0</v>
      </c>
      <c r="S403" s="524" t="str">
        <f>INDEX('Rate Card'!$D:$D,MATCH(服务费底表!$T403,'Rate Card'!F:F,0))</f>
        <v>数据管理</v>
      </c>
      <c r="T403" s="328" t="s">
        <v>631</v>
      </c>
      <c r="U403" s="522" t="str">
        <f>INDEX('Rate Card'!$E:$E,MATCH(服务费底表!$T403,'Rate Card'!$F:$F,0))</f>
        <v>数据管理专员</v>
      </c>
      <c r="V403" s="331">
        <f>INDEX('Rate Card'!$J:$J,MATCH($T403,'Rate Card'!$F:$F,0))</f>
        <v>200</v>
      </c>
      <c r="W403" s="523">
        <f t="shared" si="367"/>
        <v>200</v>
      </c>
      <c r="X403" s="523">
        <f t="shared" si="368"/>
        <v>1</v>
      </c>
      <c r="Y403" s="327" cm="1">
        <f t="array" ref="Y403">_xlfn.IFS(报价场景=服务费底表!$AJ$2,服务费底表!$AJ403,报价场景=服务费底表!$AP$2,服务费底表!$AP403,报价场景=服务费底表!$AK$2,服务费底表!$AK403,报价场景=服务费底表!$AL$2,服务费底表!$AL403,报价场景=服务费底表!$AM$2,服务费底表!$AM403,报价场景=服务费底表!$AN$2,服务费底表!$AN403,报价场景=服务费底表!$AQ$2,服务费底表!$AQ403,报价场景=服务费底表!$AO$2,服务费底表!$AO403)</f>
        <v>1</v>
      </c>
      <c r="Z403" s="327"/>
      <c r="AA403" s="332">
        <f t="shared" ref="AA403:AA416" si="373">IF(ISBLANK($Z403),$Y403,$Z403)</f>
        <v>1</v>
      </c>
      <c r="AB403" s="333">
        <f t="shared" ref="AB403:AB416" si="374">IFERROR(AD403/P403,0)</f>
        <v>0</v>
      </c>
      <c r="AC403" s="328">
        <f t="shared" ref="AC403:AC416" si="375">AA403*P403*R403</f>
        <v>0</v>
      </c>
      <c r="AD403" s="334">
        <f t="shared" si="361"/>
        <v>0</v>
      </c>
      <c r="AE403" s="334">
        <f>$AB403*(1-INDEX(项目参数!$D$5:$D$14,MATCH(服务费底表!$S403,项目参数!$B$5:$B$14,0)))</f>
        <v>0</v>
      </c>
      <c r="AF403" s="334">
        <f>$AD403*INDEX(项目参数!$D$5:$D$14,MATCH(服务费底表!$S403,项目参数!$B$5:$B$14,0))</f>
        <v>0</v>
      </c>
      <c r="AG403" s="334">
        <f t="shared" si="362"/>
        <v>0</v>
      </c>
      <c r="AH403" s="328"/>
      <c r="AI403" s="328" t="s">
        <v>631</v>
      </c>
      <c r="AJ403" s="327">
        <v>1</v>
      </c>
      <c r="AK403" s="327">
        <v>2</v>
      </c>
      <c r="AL403" s="327">
        <v>1</v>
      </c>
      <c r="AM403" s="327">
        <v>1</v>
      </c>
      <c r="AN403" s="327">
        <v>1</v>
      </c>
      <c r="AO403" s="327">
        <f t="shared" si="366"/>
        <v>1</v>
      </c>
      <c r="AP403" s="327">
        <v>1</v>
      </c>
      <c r="AQ403" s="327">
        <f t="shared" si="369"/>
        <v>1.5</v>
      </c>
      <c r="AR403" s="338"/>
      <c r="AS403" s="328">
        <f t="shared" ref="AS403:AS416" si="376">AC403</f>
        <v>0</v>
      </c>
      <c r="AT403" s="328">
        <f t="shared" ref="AT403:AT416" si="377">Y403*P403</f>
        <v>0</v>
      </c>
      <c r="AU403" s="523">
        <v>1</v>
      </c>
      <c r="AV403" s="328"/>
      <c r="AW403" s="328"/>
      <c r="AX403" s="332">
        <v>1</v>
      </c>
      <c r="AY403" s="328" t="b">
        <f t="shared" si="365"/>
        <v>1</v>
      </c>
      <c r="AZ403" s="328" t="b">
        <f t="shared" si="354"/>
        <v>0</v>
      </c>
    </row>
    <row r="404" ht="27" customHeight="1" spans="1:52">
      <c r="A404" s="326" t="str">
        <f>INDEX('Rate Card'!$A:$A,MATCH(服务费底表!$T404,'Rate Card'!$F:$F,0))</f>
        <v>数统</v>
      </c>
      <c r="B404" s="327" t="str">
        <f>INDEX(二三级标准!$G:$G,MATCH(服务费底表!$K404,二三级标准!B:B,0))</f>
        <v>次</v>
      </c>
      <c r="C404" s="327">
        <f>INDEX(服务费明细!$E:$E,MATCH(服务费底表!$K404,服务费明细!$B:$B,0))</f>
        <v>0</v>
      </c>
      <c r="D404" s="327" t="str">
        <f t="shared" si="370"/>
        <v>A103LDM</v>
      </c>
      <c r="E404" s="327" t="str">
        <f t="shared" si="371"/>
        <v>T0304LDM</v>
      </c>
      <c r="F404" s="328"/>
      <c r="G404" s="328" t="s">
        <v>684</v>
      </c>
      <c r="H404" s="326" t="str">
        <f>INDEX('Rate Card'!$B:$B,MATCH(服务费底表!$T404,'Rate Card'!$F:$F,0))</f>
        <v>数据管理</v>
      </c>
      <c r="I404" s="328" t="s">
        <v>923</v>
      </c>
      <c r="J404" s="328" t="str">
        <f>INDEX(二三级标准!$Q:$Q,MATCH(服务费底表!I404,二三级标准!$O:$O,0))</f>
        <v>数据管理</v>
      </c>
      <c r="K404" s="328" t="s">
        <v>311</v>
      </c>
      <c r="L404" s="328" t="str">
        <f>INDEX(二三级标准!C:C,MATCH(服务费底表!K404,二三级标准!$B:$B,0))</f>
        <v>数据库变更</v>
      </c>
      <c r="M404" s="328" t="s">
        <v>1458</v>
      </c>
      <c r="N404" s="328" t="str">
        <f>INDEX(二三级标准!$M:$M,MATCH(服务费底表!$M404,二三级标准!$L:$L,0))</f>
        <v>CRF更新审核</v>
      </c>
      <c r="O404" s="328"/>
      <c r="P404" s="327">
        <f>IF(R404=1,ROUNDUP(CRF唯一页面数*20%,0),0)*数据库变更次数</f>
        <v>0</v>
      </c>
      <c r="Q404" s="328" t="s">
        <v>1187</v>
      </c>
      <c r="R404" s="520">
        <f t="shared" si="372"/>
        <v>0</v>
      </c>
      <c r="S404" s="524" t="str">
        <f>INDEX('Rate Card'!$D:$D,MATCH(服务费底表!$T404,'Rate Card'!F:F,0))</f>
        <v>数据管理</v>
      </c>
      <c r="T404" s="328" t="s">
        <v>633</v>
      </c>
      <c r="U404" s="522" t="str">
        <f>INDEX('Rate Card'!$E:$E,MATCH(服务费底表!$T404,'Rate Card'!$F:$F,0))</f>
        <v>数据管理经理</v>
      </c>
      <c r="V404" s="331">
        <f>INDEX('Rate Card'!$J:$J,MATCH($T404,'Rate Card'!$F:$F,0))</f>
        <v>360</v>
      </c>
      <c r="W404" s="523">
        <f t="shared" si="367"/>
        <v>360</v>
      </c>
      <c r="X404" s="523">
        <f t="shared" si="368"/>
        <v>0.5</v>
      </c>
      <c r="Y404" s="327" cm="1">
        <f t="array" ref="Y404">_xlfn.IFS(报价场景=服务费底表!$AJ$2,服务费底表!$AJ404,报价场景=服务费底表!$AP$2,服务费底表!$AP404,报价场景=服务费底表!$AK$2,服务费底表!$AK404,报价场景=服务费底表!$AL$2,服务费底表!$AL404,报价场景=服务费底表!$AM$2,服务费底表!$AM404,报价场景=服务费底表!$AN$2,服务费底表!$AN404,报价场景=服务费底表!$AQ$2,服务费底表!$AQ404,报价场景=服务费底表!$AO$2,服务费底表!$AO404)</f>
        <v>0.5</v>
      </c>
      <c r="Z404" s="327"/>
      <c r="AA404" s="332">
        <f t="shared" si="373"/>
        <v>0.5</v>
      </c>
      <c r="AB404" s="333">
        <f t="shared" si="374"/>
        <v>0</v>
      </c>
      <c r="AC404" s="328">
        <f t="shared" si="375"/>
        <v>0</v>
      </c>
      <c r="AD404" s="334">
        <f t="shared" si="361"/>
        <v>0</v>
      </c>
      <c r="AE404" s="334">
        <f>$AB404*(1-INDEX(项目参数!$D$5:$D$14,MATCH(服务费底表!$S404,项目参数!$B$5:$B$14,0)))</f>
        <v>0</v>
      </c>
      <c r="AF404" s="334">
        <f>$AD404*INDEX(项目参数!$D$5:$D$14,MATCH(服务费底表!$S404,项目参数!$B$5:$B$14,0))</f>
        <v>0</v>
      </c>
      <c r="AG404" s="334">
        <f t="shared" si="362"/>
        <v>0</v>
      </c>
      <c r="AH404" s="328"/>
      <c r="AI404" s="328" t="s">
        <v>633</v>
      </c>
      <c r="AJ404" s="327">
        <v>0.5</v>
      </c>
      <c r="AK404" s="327">
        <v>1</v>
      </c>
      <c r="AL404" s="327">
        <v>0.5</v>
      </c>
      <c r="AM404" s="327">
        <v>0.5</v>
      </c>
      <c r="AN404" s="327">
        <v>0.5</v>
      </c>
      <c r="AO404" s="327">
        <f t="shared" si="366"/>
        <v>0.5</v>
      </c>
      <c r="AP404" s="327">
        <v>0.5</v>
      </c>
      <c r="AQ404" s="327">
        <f t="shared" si="369"/>
        <v>0.75</v>
      </c>
      <c r="AR404" s="338"/>
      <c r="AS404" s="328">
        <f t="shared" si="376"/>
        <v>0</v>
      </c>
      <c r="AT404" s="328">
        <f t="shared" si="377"/>
        <v>0</v>
      </c>
      <c r="AU404" s="523">
        <v>0.5</v>
      </c>
      <c r="AV404" s="328"/>
      <c r="AW404" s="328"/>
      <c r="AX404" s="332">
        <v>0.5</v>
      </c>
      <c r="AY404" s="328" t="b">
        <f t="shared" si="365"/>
        <v>1</v>
      </c>
      <c r="AZ404" s="328" t="b">
        <f t="shared" si="354"/>
        <v>0</v>
      </c>
    </row>
    <row r="405" ht="27" customHeight="1" spans="1:52">
      <c r="A405" s="326" t="str">
        <f>INDEX('Rate Card'!$A:$A,MATCH(服务费底表!$T405,'Rate Card'!$F:$F,0))</f>
        <v>数统</v>
      </c>
      <c r="B405" s="327" t="str">
        <f>INDEX(二三级标准!$G:$G,MATCH(服务费底表!$K405,二三级标准!B:B,0))</f>
        <v>次</v>
      </c>
      <c r="C405" s="327">
        <f>INDEX(服务费明细!$E:$E,MATCH(服务费底表!$K405,服务费明细!$B:$B,0))</f>
        <v>0</v>
      </c>
      <c r="D405" s="327" t="str">
        <f t="shared" si="370"/>
        <v>A103DM</v>
      </c>
      <c r="E405" s="327" t="str">
        <f t="shared" si="371"/>
        <v>T0305DM</v>
      </c>
      <c r="F405" s="328"/>
      <c r="G405" s="328" t="s">
        <v>684</v>
      </c>
      <c r="H405" s="326" t="str">
        <f>INDEX('Rate Card'!$B:$B,MATCH(服务费底表!$T405,'Rate Card'!$F:$F,0))</f>
        <v>数据管理</v>
      </c>
      <c r="I405" s="328" t="s">
        <v>923</v>
      </c>
      <c r="J405" s="328" t="str">
        <f>INDEX(二三级标准!$Q:$Q,MATCH(服务费底表!I405,二三级标准!$O:$O,0))</f>
        <v>数据管理</v>
      </c>
      <c r="K405" s="328" t="s">
        <v>311</v>
      </c>
      <c r="L405" s="328" t="str">
        <f>INDEX(二三级标准!C:C,MATCH(服务费底表!K405,二三级标准!$B:$B,0))</f>
        <v>数据库变更</v>
      </c>
      <c r="M405" s="328" t="s">
        <v>1459</v>
      </c>
      <c r="N405" s="328" t="str">
        <f>INDEX(二三级标准!$M:$M,MATCH(服务费底表!$M405,二三级标准!$L:$L,0))</f>
        <v>建库文件更新</v>
      </c>
      <c r="O405" s="328"/>
      <c r="P405" s="531">
        <f>IF(R405=1,INDEX(服务费明细!$E:$E,MATCH(服务费底表!$K405,服务费明细!$B:$B,0)),0)</f>
        <v>0</v>
      </c>
      <c r="Q405" s="328" t="s">
        <v>1178</v>
      </c>
      <c r="R405" s="520">
        <f t="shared" si="372"/>
        <v>0</v>
      </c>
      <c r="S405" s="524" t="str">
        <f>INDEX('Rate Card'!$D:$D,MATCH(服务费底表!$T405,'Rate Card'!F:F,0))</f>
        <v>数据管理</v>
      </c>
      <c r="T405" s="328" t="s">
        <v>631</v>
      </c>
      <c r="U405" s="522" t="str">
        <f>INDEX('Rate Card'!$E:$E,MATCH(服务费底表!$T405,'Rate Card'!$F:$F,0))</f>
        <v>数据管理专员</v>
      </c>
      <c r="V405" s="331">
        <f>INDEX('Rate Card'!$J:$J,MATCH($T405,'Rate Card'!$F:$F,0))</f>
        <v>200</v>
      </c>
      <c r="W405" s="523">
        <f t="shared" si="367"/>
        <v>200</v>
      </c>
      <c r="X405" s="523">
        <f t="shared" si="368"/>
        <v>12</v>
      </c>
      <c r="Y405" s="327" cm="1">
        <f t="array" ref="Y405">_xlfn.IFS(报价场景=服务费底表!$AJ$2,服务费底表!$AJ405,报价场景=服务费底表!$AP$2,服务费底表!$AP405,报价场景=服务费底表!$AK$2,服务费底表!$AK405,报价场景=服务费底表!$AL$2,服务费底表!$AL405,报价场景=服务费底表!$AM$2,服务费底表!$AM405,报价场景=服务费底表!$AN$2,服务费底表!$AN405,报价场景=服务费底表!$AQ$2,服务费底表!$AQ405,报价场景=服务费底表!$AO$2,服务费底表!$AO405)</f>
        <v>12</v>
      </c>
      <c r="Z405" s="327"/>
      <c r="AA405" s="332">
        <f t="shared" si="373"/>
        <v>12</v>
      </c>
      <c r="AB405" s="333">
        <f t="shared" si="374"/>
        <v>0</v>
      </c>
      <c r="AC405" s="328">
        <f t="shared" si="375"/>
        <v>0</v>
      </c>
      <c r="AD405" s="334">
        <f t="shared" si="361"/>
        <v>0</v>
      </c>
      <c r="AE405" s="334">
        <f>$AB405*(1-INDEX(项目参数!$D$5:$D$14,MATCH(服务费底表!$S405,项目参数!$B$5:$B$14,0)))</f>
        <v>0</v>
      </c>
      <c r="AF405" s="334">
        <f>$AD405*INDEX(项目参数!$D$5:$D$14,MATCH(服务费底表!$S405,项目参数!$B$5:$B$14,0))</f>
        <v>0</v>
      </c>
      <c r="AG405" s="334">
        <f t="shared" si="362"/>
        <v>0</v>
      </c>
      <c r="AH405" s="328"/>
      <c r="AI405" s="328" t="s">
        <v>631</v>
      </c>
      <c r="AJ405" s="327">
        <v>12</v>
      </c>
      <c r="AK405" s="327">
        <v>12</v>
      </c>
      <c r="AL405" s="327">
        <v>12</v>
      </c>
      <c r="AM405" s="327">
        <v>12</v>
      </c>
      <c r="AN405" s="327">
        <v>12</v>
      </c>
      <c r="AO405" s="327">
        <f t="shared" si="366"/>
        <v>12</v>
      </c>
      <c r="AP405" s="327">
        <v>12</v>
      </c>
      <c r="AQ405" s="327">
        <f t="shared" si="369"/>
        <v>18</v>
      </c>
      <c r="AR405" s="338"/>
      <c r="AS405" s="328">
        <f t="shared" si="376"/>
        <v>0</v>
      </c>
      <c r="AT405" s="328">
        <f t="shared" si="377"/>
        <v>0</v>
      </c>
      <c r="AU405" s="523">
        <v>12</v>
      </c>
      <c r="AV405" s="328"/>
      <c r="AW405" s="328"/>
      <c r="AX405" s="332">
        <v>12</v>
      </c>
      <c r="AY405" s="328" t="b">
        <f t="shared" si="365"/>
        <v>1</v>
      </c>
      <c r="AZ405" s="328" t="b">
        <f t="shared" si="354"/>
        <v>0</v>
      </c>
    </row>
    <row r="406" ht="27" customHeight="1" spans="1:52">
      <c r="A406" s="326" t="str">
        <f>INDEX('Rate Card'!$A:$A,MATCH(服务费底表!$T406,'Rate Card'!$F:$F,0))</f>
        <v>数统</v>
      </c>
      <c r="B406" s="327" t="str">
        <f>INDEX(二三级标准!$G:$G,MATCH(服务费底表!$K406,二三级标准!B:B,0))</f>
        <v>次</v>
      </c>
      <c r="C406" s="327">
        <f>INDEX(服务费明细!$E:$E,MATCH(服务费底表!$K406,服务费明细!$B:$B,0))</f>
        <v>0</v>
      </c>
      <c r="D406" s="327" t="str">
        <f t="shared" si="370"/>
        <v>A103LDM</v>
      </c>
      <c r="E406" s="327" t="str">
        <f t="shared" si="371"/>
        <v>T0306LDM</v>
      </c>
      <c r="F406" s="328"/>
      <c r="G406" s="328" t="s">
        <v>684</v>
      </c>
      <c r="H406" s="326" t="str">
        <f>INDEX('Rate Card'!$B:$B,MATCH(服务费底表!$T406,'Rate Card'!$F:$F,0))</f>
        <v>数据管理</v>
      </c>
      <c r="I406" s="328" t="s">
        <v>923</v>
      </c>
      <c r="J406" s="328" t="str">
        <f>INDEX(二三级标准!$Q:$Q,MATCH(服务费底表!I406,二三级标准!$O:$O,0))</f>
        <v>数据管理</v>
      </c>
      <c r="K406" s="328" t="s">
        <v>311</v>
      </c>
      <c r="L406" s="328" t="str">
        <f>INDEX(二三级标准!C:C,MATCH(服务费底表!K406,二三级标准!$B:$B,0))</f>
        <v>数据库变更</v>
      </c>
      <c r="M406" s="328" t="s">
        <v>1460</v>
      </c>
      <c r="N406" s="328" t="str">
        <f>INDEX(二三级标准!$M:$M,MATCH(服务费底表!$M406,二三级标准!$L:$L,0))</f>
        <v>建库文件更新审核</v>
      </c>
      <c r="O406" s="328"/>
      <c r="P406" s="531">
        <f>IF(R406=1,INDEX(服务费明细!$E:$E,MATCH(服务费底表!$K406,服务费明细!$B:$B,0)),0)</f>
        <v>0</v>
      </c>
      <c r="Q406" s="328" t="s">
        <v>1178</v>
      </c>
      <c r="R406" s="520">
        <f t="shared" si="372"/>
        <v>0</v>
      </c>
      <c r="S406" s="524" t="str">
        <f>INDEX('Rate Card'!$D:$D,MATCH(服务费底表!$T406,'Rate Card'!F:F,0))</f>
        <v>数据管理</v>
      </c>
      <c r="T406" s="328" t="s">
        <v>633</v>
      </c>
      <c r="U406" s="522" t="str">
        <f>INDEX('Rate Card'!$E:$E,MATCH(服务费底表!$T406,'Rate Card'!$F:$F,0))</f>
        <v>数据管理经理</v>
      </c>
      <c r="V406" s="331">
        <f>INDEX('Rate Card'!$J:$J,MATCH($T406,'Rate Card'!$F:$F,0))</f>
        <v>360</v>
      </c>
      <c r="W406" s="523">
        <f t="shared" si="367"/>
        <v>360</v>
      </c>
      <c r="X406" s="523">
        <f t="shared" si="368"/>
        <v>2</v>
      </c>
      <c r="Y406" s="327" cm="1">
        <f t="array" ref="Y406">_xlfn.IFS(报价场景=服务费底表!$AJ$2,服务费底表!$AJ406,报价场景=服务费底表!$AP$2,服务费底表!$AP406,报价场景=服务费底表!$AK$2,服务费底表!$AK406,报价场景=服务费底表!$AL$2,服务费底表!$AL406,报价场景=服务费底表!$AM$2,服务费底表!$AM406,报价场景=服务费底表!$AN$2,服务费底表!$AN406,报价场景=服务费底表!$AQ$2,服务费底表!$AQ406,报价场景=服务费底表!$AO$2,服务费底表!$AO406)</f>
        <v>2</v>
      </c>
      <c r="Z406" s="327"/>
      <c r="AA406" s="332">
        <f t="shared" si="373"/>
        <v>2</v>
      </c>
      <c r="AB406" s="333">
        <f t="shared" si="374"/>
        <v>0</v>
      </c>
      <c r="AC406" s="328">
        <f t="shared" si="375"/>
        <v>0</v>
      </c>
      <c r="AD406" s="334">
        <f t="shared" si="361"/>
        <v>0</v>
      </c>
      <c r="AE406" s="334">
        <f>$AB406*(1-INDEX(项目参数!$D$5:$D$14,MATCH(服务费底表!$S406,项目参数!$B$5:$B$14,0)))</f>
        <v>0</v>
      </c>
      <c r="AF406" s="334">
        <f>$AD406*INDEX(项目参数!$D$5:$D$14,MATCH(服务费底表!$S406,项目参数!$B$5:$B$14,0))</f>
        <v>0</v>
      </c>
      <c r="AG406" s="334">
        <f t="shared" si="362"/>
        <v>0</v>
      </c>
      <c r="AH406" s="328"/>
      <c r="AI406" s="328" t="s">
        <v>633</v>
      </c>
      <c r="AJ406" s="327">
        <v>2</v>
      </c>
      <c r="AK406" s="327">
        <v>2</v>
      </c>
      <c r="AL406" s="327">
        <v>2</v>
      </c>
      <c r="AM406" s="327">
        <v>2</v>
      </c>
      <c r="AN406" s="327">
        <v>2</v>
      </c>
      <c r="AO406" s="327">
        <f t="shared" si="366"/>
        <v>2</v>
      </c>
      <c r="AP406" s="327">
        <v>2</v>
      </c>
      <c r="AQ406" s="327">
        <f t="shared" si="369"/>
        <v>3</v>
      </c>
      <c r="AR406" s="338"/>
      <c r="AS406" s="328">
        <f t="shared" si="376"/>
        <v>0</v>
      </c>
      <c r="AT406" s="328">
        <f t="shared" si="377"/>
        <v>0</v>
      </c>
      <c r="AU406" s="523">
        <v>2</v>
      </c>
      <c r="AV406" s="328"/>
      <c r="AW406" s="328"/>
      <c r="AX406" s="332">
        <v>2</v>
      </c>
      <c r="AY406" s="328" t="b">
        <f t="shared" si="365"/>
        <v>1</v>
      </c>
      <c r="AZ406" s="328" t="b">
        <f t="shared" si="354"/>
        <v>0</v>
      </c>
    </row>
    <row r="407" ht="27" customHeight="1" spans="1:52">
      <c r="A407" s="326" t="str">
        <f>INDEX('Rate Card'!$A:$A,MATCH(服务费底表!$T407,'Rate Card'!$F:$F,0))</f>
        <v>数统</v>
      </c>
      <c r="B407" s="327" t="str">
        <f>INDEX(二三级标准!$G:$G,MATCH(服务费底表!$K407,二三级标准!B:B,0))</f>
        <v>次</v>
      </c>
      <c r="C407" s="327">
        <f>INDEX(服务费明细!$E:$E,MATCH(服务费底表!$K407,服务费明细!$B:$B,0))</f>
        <v>0</v>
      </c>
      <c r="D407" s="327" t="str">
        <f t="shared" si="370"/>
        <v>A103DBP</v>
      </c>
      <c r="E407" s="327" t="str">
        <f t="shared" si="371"/>
        <v>T0306DBP</v>
      </c>
      <c r="F407" s="328"/>
      <c r="G407" s="328" t="s">
        <v>684</v>
      </c>
      <c r="H407" s="326" t="str">
        <f>INDEX('Rate Card'!$B:$B,MATCH(服务费底表!$T407,'Rate Card'!$F:$F,0))</f>
        <v>数据管理</v>
      </c>
      <c r="I407" s="328" t="s">
        <v>923</v>
      </c>
      <c r="J407" s="328" t="str">
        <f>INDEX(二三级标准!$Q:$Q,MATCH(服务费底表!I407,二三级标准!$O:$O,0))</f>
        <v>数据管理</v>
      </c>
      <c r="K407" s="328" t="s">
        <v>311</v>
      </c>
      <c r="L407" s="328" t="str">
        <f>INDEX(二三级标准!C:C,MATCH(服务费底表!K407,二三级标准!$B:$B,0))</f>
        <v>数据库变更</v>
      </c>
      <c r="M407" s="328" t="s">
        <v>1460</v>
      </c>
      <c r="N407" s="328" t="str">
        <f>INDEX(二三级标准!$M:$M,MATCH(服务费底表!$M407,二三级标准!$L:$L,0))</f>
        <v>建库文件更新审核</v>
      </c>
      <c r="O407" s="328"/>
      <c r="P407" s="531">
        <f>IF(R407=1,INDEX(服务费明细!$E:$E,MATCH(服务费底表!$K407,服务费明细!$B:$B,0)),0)</f>
        <v>0</v>
      </c>
      <c r="Q407" s="328" t="s">
        <v>1178</v>
      </c>
      <c r="R407" s="520">
        <f t="shared" si="372"/>
        <v>0</v>
      </c>
      <c r="S407" s="524" t="str">
        <f>INDEX('Rate Card'!$D:$D,MATCH(服务费底表!$T407,'Rate Card'!F:F,0))</f>
        <v>数据管理</v>
      </c>
      <c r="T407" s="328" t="s">
        <v>629</v>
      </c>
      <c r="U407" s="522" t="str">
        <f>INDEX('Rate Card'!$E:$E,MATCH(服务费底表!$T407,'Rate Card'!$F:$F,0))</f>
        <v>数据库编程员</v>
      </c>
      <c r="V407" s="331">
        <f>INDEX('Rate Card'!$J:$J,MATCH($T407,'Rate Card'!$F:$F,0))</f>
        <v>300</v>
      </c>
      <c r="W407" s="523">
        <f t="shared" si="367"/>
        <v>300</v>
      </c>
      <c r="X407" s="523">
        <f t="shared" si="368"/>
        <v>4</v>
      </c>
      <c r="Y407" s="327" cm="1">
        <f t="array" ref="Y407">_xlfn.IFS(报价场景=服务费底表!$AJ$2,服务费底表!$AJ407,报价场景=服务费底表!$AP$2,服务费底表!$AP407,报价场景=服务费底表!$AK$2,服务费底表!$AK407,报价场景=服务费底表!$AL$2,服务费底表!$AL407,报价场景=服务费底表!$AM$2,服务费底表!$AM407,报价场景=服务费底表!$AN$2,服务费底表!$AN407,报价场景=服务费底表!$AQ$2,服务费底表!$AQ407,报价场景=服务费底表!$AO$2,服务费底表!$AO407)</f>
        <v>4</v>
      </c>
      <c r="Z407" s="327"/>
      <c r="AA407" s="332">
        <f t="shared" si="373"/>
        <v>4</v>
      </c>
      <c r="AB407" s="333">
        <f t="shared" si="374"/>
        <v>0</v>
      </c>
      <c r="AC407" s="328">
        <f t="shared" si="375"/>
        <v>0</v>
      </c>
      <c r="AD407" s="334">
        <f t="shared" si="361"/>
        <v>0</v>
      </c>
      <c r="AE407" s="334">
        <f>$AB407*(1-INDEX(项目参数!$D$5:$D$14,MATCH(服务费底表!$S407,项目参数!$B$5:$B$14,0)))</f>
        <v>0</v>
      </c>
      <c r="AF407" s="334">
        <f>$AD407*INDEX(项目参数!$D$5:$D$14,MATCH(服务费底表!$S407,项目参数!$B$5:$B$14,0))</f>
        <v>0</v>
      </c>
      <c r="AG407" s="334">
        <f t="shared" si="362"/>
        <v>0</v>
      </c>
      <c r="AH407" s="328"/>
      <c r="AI407" s="328" t="s">
        <v>629</v>
      </c>
      <c r="AJ407" s="327">
        <v>4</v>
      </c>
      <c r="AK407" s="327">
        <v>4</v>
      </c>
      <c r="AL407" s="327">
        <v>4</v>
      </c>
      <c r="AM407" s="327">
        <v>4</v>
      </c>
      <c r="AN407" s="327">
        <v>4</v>
      </c>
      <c r="AO407" s="327">
        <f t="shared" si="366"/>
        <v>4</v>
      </c>
      <c r="AP407" s="327">
        <v>4</v>
      </c>
      <c r="AQ407" s="327">
        <f t="shared" si="369"/>
        <v>6</v>
      </c>
      <c r="AR407" s="338"/>
      <c r="AS407" s="328">
        <f t="shared" si="376"/>
        <v>0</v>
      </c>
      <c r="AT407" s="328">
        <f t="shared" si="377"/>
        <v>0</v>
      </c>
      <c r="AU407" s="523">
        <v>4</v>
      </c>
      <c r="AV407" s="328"/>
      <c r="AW407" s="328"/>
      <c r="AX407" s="332">
        <v>4</v>
      </c>
      <c r="AY407" s="328" t="b">
        <f t="shared" si="365"/>
        <v>1</v>
      </c>
      <c r="AZ407" s="328" t="b">
        <f t="shared" si="354"/>
        <v>0</v>
      </c>
    </row>
    <row r="408" ht="27" customHeight="1" spans="1:52">
      <c r="A408" s="326" t="str">
        <f>INDEX('Rate Card'!$A:$A,MATCH(服务费底表!$T408,'Rate Card'!$F:$F,0))</f>
        <v>数统</v>
      </c>
      <c r="B408" s="327" t="str">
        <f>INDEX(二三级标准!$G:$G,MATCH(服务费底表!$K408,二三级标准!B:B,0))</f>
        <v>次</v>
      </c>
      <c r="C408" s="327">
        <f>INDEX(服务费明细!$E:$E,MATCH(服务费底表!$K408,服务费明细!$B:$B,0))</f>
        <v>0</v>
      </c>
      <c r="D408" s="327" t="str">
        <f t="shared" si="370"/>
        <v>A103DBP</v>
      </c>
      <c r="E408" s="327" t="str">
        <f t="shared" si="371"/>
        <v>T0307DBP</v>
      </c>
      <c r="F408" s="328"/>
      <c r="G408" s="328" t="s">
        <v>684</v>
      </c>
      <c r="H408" s="326" t="str">
        <f>INDEX('Rate Card'!$B:$B,MATCH(服务费底表!$T408,'Rate Card'!$F:$F,0))</f>
        <v>数据管理</v>
      </c>
      <c r="I408" s="328" t="s">
        <v>923</v>
      </c>
      <c r="J408" s="328" t="str">
        <f>INDEX(二三级标准!$Q:$Q,MATCH(服务费底表!I408,二三级标准!$O:$O,0))</f>
        <v>数据管理</v>
      </c>
      <c r="K408" s="328" t="s">
        <v>311</v>
      </c>
      <c r="L408" s="328" t="str">
        <f>INDEX(二三级标准!C:C,MATCH(服务费底表!K408,二三级标准!$B:$B,0))</f>
        <v>数据库变更</v>
      </c>
      <c r="M408" s="328" t="s">
        <v>1461</v>
      </c>
      <c r="N408" s="328" t="str">
        <f>INDEX(二三级标准!$M:$M,MATCH(服务费底表!$M408,二三级标准!$L:$L,0))</f>
        <v>数据库界面更新</v>
      </c>
      <c r="O408" s="328"/>
      <c r="P408" s="531">
        <f>IF(R404=1,ROUNDUP(CRF唯一页面数*20%,0),0)*数据库变更次数</f>
        <v>0</v>
      </c>
      <c r="Q408" s="328" t="s">
        <v>1187</v>
      </c>
      <c r="R408" s="520">
        <f t="shared" si="372"/>
        <v>0</v>
      </c>
      <c r="S408" s="524" t="str">
        <f>INDEX('Rate Card'!$D:$D,MATCH(服务费底表!$T408,'Rate Card'!F:F,0))</f>
        <v>数据管理</v>
      </c>
      <c r="T408" s="328" t="s">
        <v>629</v>
      </c>
      <c r="U408" s="522" t="str">
        <f>INDEX('Rate Card'!$E:$E,MATCH(服务费底表!$T408,'Rate Card'!$F:$F,0))</f>
        <v>数据库编程员</v>
      </c>
      <c r="V408" s="331">
        <f>INDEX('Rate Card'!$J:$J,MATCH($T408,'Rate Card'!$F:$F,0))</f>
        <v>300</v>
      </c>
      <c r="W408" s="523">
        <f t="shared" si="367"/>
        <v>300</v>
      </c>
      <c r="X408" s="523">
        <f t="shared" si="368"/>
        <v>0.5</v>
      </c>
      <c r="Y408" s="327" cm="1">
        <f t="array" ref="Y408">_xlfn.IFS(报价场景=服务费底表!$AJ$2,服务费底表!$AJ408,报价场景=服务费底表!$AP$2,服务费底表!$AP408,报价场景=服务费底表!$AK$2,服务费底表!$AK408,报价场景=服务费底表!$AL$2,服务费底表!$AL408,报价场景=服务费底表!$AM$2,服务费底表!$AM408,报价场景=服务费底表!$AN$2,服务费底表!$AN408,报价场景=服务费底表!$AQ$2,服务费底表!$AQ408,报价场景=服务费底表!$AO$2,服务费底表!$AO408)</f>
        <v>0.5</v>
      </c>
      <c r="Z408" s="327"/>
      <c r="AA408" s="332">
        <f t="shared" si="373"/>
        <v>0.5</v>
      </c>
      <c r="AB408" s="333">
        <f t="shared" si="374"/>
        <v>0</v>
      </c>
      <c r="AC408" s="328">
        <f t="shared" si="375"/>
        <v>0</v>
      </c>
      <c r="AD408" s="334">
        <f t="shared" si="361"/>
        <v>0</v>
      </c>
      <c r="AE408" s="334">
        <f>$AB408*(1-INDEX(项目参数!$D$5:$D$14,MATCH(服务费底表!$S408,项目参数!$B$5:$B$14,0)))</f>
        <v>0</v>
      </c>
      <c r="AF408" s="334">
        <f>$AD408*INDEX(项目参数!$D$5:$D$14,MATCH(服务费底表!$S408,项目参数!$B$5:$B$14,0))</f>
        <v>0</v>
      </c>
      <c r="AG408" s="334">
        <f t="shared" si="362"/>
        <v>0</v>
      </c>
      <c r="AH408" s="328"/>
      <c r="AI408" s="328" t="s">
        <v>629</v>
      </c>
      <c r="AJ408" s="327">
        <v>0.5</v>
      </c>
      <c r="AK408" s="327">
        <v>1.5</v>
      </c>
      <c r="AL408" s="327">
        <v>0.5</v>
      </c>
      <c r="AM408" s="327">
        <v>0.5</v>
      </c>
      <c r="AN408" s="327">
        <v>0.5</v>
      </c>
      <c r="AO408" s="327">
        <f t="shared" si="366"/>
        <v>0.5</v>
      </c>
      <c r="AP408" s="327">
        <v>0.5</v>
      </c>
      <c r="AQ408" s="327">
        <f t="shared" si="369"/>
        <v>0.75</v>
      </c>
      <c r="AR408" s="338"/>
      <c r="AS408" s="328">
        <f t="shared" si="376"/>
        <v>0</v>
      </c>
      <c r="AT408" s="328">
        <f t="shared" si="377"/>
        <v>0</v>
      </c>
      <c r="AU408" s="523">
        <v>0.5</v>
      </c>
      <c r="AV408" s="328"/>
      <c r="AW408" s="328"/>
      <c r="AX408" s="332">
        <v>0.5</v>
      </c>
      <c r="AY408" s="328" t="b">
        <f t="shared" si="365"/>
        <v>1</v>
      </c>
      <c r="AZ408" s="328" t="b">
        <f t="shared" si="354"/>
        <v>0</v>
      </c>
    </row>
    <row r="409" ht="27" customHeight="1" spans="1:52">
      <c r="A409" s="326" t="str">
        <f>INDEX('Rate Card'!$A:$A,MATCH(服务费底表!$T409,'Rate Card'!$F:$F,0))</f>
        <v>数统</v>
      </c>
      <c r="B409" s="327" t="str">
        <f>INDEX(二三级标准!$G:$G,MATCH(服务费底表!$K409,二三级标准!B:B,0))</f>
        <v>次</v>
      </c>
      <c r="C409" s="327">
        <f>INDEX(服务费明细!$E:$E,MATCH(服务费底表!$K409,服务费明细!$B:$B,0))</f>
        <v>0</v>
      </c>
      <c r="D409" s="327" t="str">
        <f t="shared" si="370"/>
        <v>A103DM</v>
      </c>
      <c r="E409" s="327" t="str">
        <f t="shared" si="371"/>
        <v>T0308DM</v>
      </c>
      <c r="F409" s="328"/>
      <c r="G409" s="328" t="s">
        <v>684</v>
      </c>
      <c r="H409" s="326" t="str">
        <f>INDEX('Rate Card'!$B:$B,MATCH(服务费底表!$T409,'Rate Card'!$F:$F,0))</f>
        <v>数据管理</v>
      </c>
      <c r="I409" s="328" t="s">
        <v>923</v>
      </c>
      <c r="J409" s="328" t="str">
        <f>INDEX(二三级标准!$Q:$Q,MATCH(服务费底表!I409,二三级标准!$O:$O,0))</f>
        <v>数据管理</v>
      </c>
      <c r="K409" s="328" t="s">
        <v>311</v>
      </c>
      <c r="L409" s="328" t="str">
        <f>INDEX(二三级标准!C:C,MATCH(服务费底表!K409,二三级标准!$B:$B,0))</f>
        <v>数据库变更</v>
      </c>
      <c r="M409" s="328" t="s">
        <v>1462</v>
      </c>
      <c r="N409" s="328" t="str">
        <f>INDEX(二三级标准!$M:$M,MATCH(服务费底表!$M409,二三级标准!$L:$L,0))</f>
        <v>数据库界面更新测试</v>
      </c>
      <c r="O409" s="328"/>
      <c r="P409" s="531">
        <f>IF(R404=1,ROUNDUP(CRF唯一页面数*20%,0),0)*数据库变更次数</f>
        <v>0</v>
      </c>
      <c r="Q409" s="328" t="s">
        <v>1187</v>
      </c>
      <c r="R409" s="520">
        <f t="shared" si="372"/>
        <v>0</v>
      </c>
      <c r="S409" s="524" t="str">
        <f>INDEX('Rate Card'!$D:$D,MATCH(服务费底表!$T409,'Rate Card'!F:F,0))</f>
        <v>数据管理</v>
      </c>
      <c r="T409" s="328" t="s">
        <v>631</v>
      </c>
      <c r="U409" s="522" t="str">
        <f>INDEX('Rate Card'!$E:$E,MATCH(服务费底表!$T409,'Rate Card'!$F:$F,0))</f>
        <v>数据管理专员</v>
      </c>
      <c r="V409" s="331">
        <f>INDEX('Rate Card'!$J:$J,MATCH($T409,'Rate Card'!$F:$F,0))</f>
        <v>200</v>
      </c>
      <c r="W409" s="523">
        <f t="shared" si="367"/>
        <v>200</v>
      </c>
      <c r="X409" s="523">
        <f t="shared" si="368"/>
        <v>1</v>
      </c>
      <c r="Y409" s="327" cm="1">
        <f t="array" ref="Y409">_xlfn.IFS(报价场景=服务费底表!$AJ$2,服务费底表!$AJ409,报价场景=服务费底表!$AP$2,服务费底表!$AP409,报价场景=服务费底表!$AK$2,服务费底表!$AK409,报价场景=服务费底表!$AL$2,服务费底表!$AL409,报价场景=服务费底表!$AM$2,服务费底表!$AM409,报价场景=服务费底表!$AN$2,服务费底表!$AN409,报价场景=服务费底表!$AQ$2,服务费底表!$AQ409,报价场景=服务费底表!$AO$2,服务费底表!$AO409)</f>
        <v>1</v>
      </c>
      <c r="Z409" s="327"/>
      <c r="AA409" s="332">
        <f t="shared" si="373"/>
        <v>1</v>
      </c>
      <c r="AB409" s="333">
        <f t="shared" si="374"/>
        <v>0</v>
      </c>
      <c r="AC409" s="328">
        <f t="shared" si="375"/>
        <v>0</v>
      </c>
      <c r="AD409" s="334">
        <f t="shared" si="361"/>
        <v>0</v>
      </c>
      <c r="AE409" s="334">
        <f>$AB409*(1-INDEX(项目参数!$D$5:$D$14,MATCH(服务费底表!$S409,项目参数!$B$5:$B$14,0)))</f>
        <v>0</v>
      </c>
      <c r="AF409" s="334">
        <f>$AD409*INDEX(项目参数!$D$5:$D$14,MATCH(服务费底表!$S409,项目参数!$B$5:$B$14,0))</f>
        <v>0</v>
      </c>
      <c r="AG409" s="334">
        <f t="shared" si="362"/>
        <v>0</v>
      </c>
      <c r="AH409" s="328"/>
      <c r="AI409" s="328" t="s">
        <v>631</v>
      </c>
      <c r="AJ409" s="327">
        <v>1</v>
      </c>
      <c r="AK409" s="327">
        <v>1</v>
      </c>
      <c r="AL409" s="327">
        <v>1</v>
      </c>
      <c r="AM409" s="327">
        <v>1</v>
      </c>
      <c r="AN409" s="327">
        <v>1</v>
      </c>
      <c r="AO409" s="327">
        <f t="shared" si="366"/>
        <v>1</v>
      </c>
      <c r="AP409" s="327">
        <v>1</v>
      </c>
      <c r="AQ409" s="327">
        <f t="shared" si="369"/>
        <v>1.5</v>
      </c>
      <c r="AR409" s="338"/>
      <c r="AS409" s="328">
        <f t="shared" si="376"/>
        <v>0</v>
      </c>
      <c r="AT409" s="328">
        <f t="shared" si="377"/>
        <v>0</v>
      </c>
      <c r="AU409" s="523">
        <v>1</v>
      </c>
      <c r="AV409" s="328"/>
      <c r="AW409" s="328"/>
      <c r="AX409" s="332">
        <v>1</v>
      </c>
      <c r="AY409" s="328" t="b">
        <f t="shared" si="365"/>
        <v>1</v>
      </c>
      <c r="AZ409" s="328" t="b">
        <f t="shared" si="354"/>
        <v>0</v>
      </c>
    </row>
    <row r="410" ht="27" customHeight="1" spans="1:52">
      <c r="A410" s="326" t="str">
        <f>INDEX('Rate Card'!$A:$A,MATCH(服务费底表!$T410,'Rate Card'!$F:$F,0))</f>
        <v>数统</v>
      </c>
      <c r="B410" s="327" t="str">
        <f>INDEX(二三级标准!$G:$G,MATCH(服务费底表!$K410,二三级标准!B:B,0))</f>
        <v>次</v>
      </c>
      <c r="C410" s="327">
        <f>INDEX(服务费明细!$E:$E,MATCH(服务费底表!$K410,服务费明细!$B:$B,0))</f>
        <v>0</v>
      </c>
      <c r="D410" s="327" t="str">
        <f t="shared" si="370"/>
        <v>A103DBP</v>
      </c>
      <c r="E410" s="327" t="str">
        <f t="shared" si="371"/>
        <v>T0309DBP</v>
      </c>
      <c r="F410" s="328"/>
      <c r="G410" s="328" t="s">
        <v>684</v>
      </c>
      <c r="H410" s="326" t="str">
        <f>INDEX('Rate Card'!$B:$B,MATCH(服务费底表!$T410,'Rate Card'!$F:$F,0))</f>
        <v>数据管理</v>
      </c>
      <c r="I410" s="328" t="s">
        <v>923</v>
      </c>
      <c r="J410" s="328" t="str">
        <f>INDEX(二三级标准!$Q:$Q,MATCH(服务费底表!I410,二三级标准!$O:$O,0))</f>
        <v>数据管理</v>
      </c>
      <c r="K410" s="328" t="s">
        <v>311</v>
      </c>
      <c r="L410" s="328" t="str">
        <f>INDEX(二三级标准!C:C,MATCH(服务费底表!K410,二三级标准!$B:$B,0))</f>
        <v>数据库变更</v>
      </c>
      <c r="M410" s="328" t="s">
        <v>1463</v>
      </c>
      <c r="N410" s="328" t="str">
        <f>INDEX(二三级标准!$M:$M,MATCH(服务费底表!$M410,二三级标准!$L:$L,0))</f>
        <v>逻辑核查程序更新</v>
      </c>
      <c r="O410" s="328"/>
      <c r="P410" s="327">
        <f>IF(R410=1,ROUNDUP(逻辑核查总数*20%,0),0)*数据库变更次数</f>
        <v>0</v>
      </c>
      <c r="Q410" s="328" t="s">
        <v>1380</v>
      </c>
      <c r="R410" s="520">
        <f t="shared" si="372"/>
        <v>0</v>
      </c>
      <c r="S410" s="524" t="str">
        <f>INDEX('Rate Card'!$D:$D,MATCH(服务费底表!$T410,'Rate Card'!F:F,0))</f>
        <v>数据管理</v>
      </c>
      <c r="T410" s="328" t="s">
        <v>629</v>
      </c>
      <c r="U410" s="522" t="str">
        <f>INDEX('Rate Card'!$E:$E,MATCH(服务费底表!$T410,'Rate Card'!$F:$F,0))</f>
        <v>数据库编程员</v>
      </c>
      <c r="V410" s="331">
        <f>INDEX('Rate Card'!$J:$J,MATCH($T410,'Rate Card'!$F:$F,0))</f>
        <v>300</v>
      </c>
      <c r="W410" s="523">
        <f t="shared" si="367"/>
        <v>300</v>
      </c>
      <c r="X410" s="523">
        <f t="shared" si="368"/>
        <v>0.02</v>
      </c>
      <c r="Y410" s="327" cm="1">
        <f t="array" ref="Y410">_xlfn.IFS(报价场景=服务费底表!$AJ$2,服务费底表!$AJ410,报价场景=服务费底表!$AP$2,服务费底表!$AP410,报价场景=服务费底表!$AK$2,服务费底表!$AK410,报价场景=服务费底表!$AL$2,服务费底表!$AL410,报价场景=服务费底表!$AM$2,服务费底表!$AM410,报价场景=服务费底表!$AN$2,服务费底表!$AN410,报价场景=服务费底表!$AQ$2,服务费底表!$AQ410,报价场景=服务费底表!$AO$2,服务费底表!$AO410)</f>
        <v>0.02</v>
      </c>
      <c r="Z410" s="327"/>
      <c r="AA410" s="332">
        <f t="shared" si="373"/>
        <v>0.02</v>
      </c>
      <c r="AB410" s="333">
        <f t="shared" si="374"/>
        <v>0</v>
      </c>
      <c r="AC410" s="328">
        <f t="shared" si="375"/>
        <v>0</v>
      </c>
      <c r="AD410" s="334">
        <f t="shared" si="361"/>
        <v>0</v>
      </c>
      <c r="AE410" s="334">
        <f>$AB410*(1-INDEX(项目参数!$D$5:$D$14,MATCH(服务费底表!$S410,项目参数!$B$5:$B$14,0)))</f>
        <v>0</v>
      </c>
      <c r="AF410" s="334">
        <f>$AD410*INDEX(项目参数!$D$5:$D$14,MATCH(服务费底表!$S410,项目参数!$B$5:$B$14,0))</f>
        <v>0</v>
      </c>
      <c r="AG410" s="334">
        <f t="shared" si="362"/>
        <v>0</v>
      </c>
      <c r="AH410" s="328"/>
      <c r="AI410" s="328" t="s">
        <v>629</v>
      </c>
      <c r="AJ410" s="327">
        <v>0.02</v>
      </c>
      <c r="AK410" s="327">
        <v>0.04</v>
      </c>
      <c r="AL410" s="327">
        <v>0.02</v>
      </c>
      <c r="AM410" s="327">
        <v>0.03</v>
      </c>
      <c r="AN410" s="327">
        <v>0.02</v>
      </c>
      <c r="AO410" s="327">
        <f t="shared" si="366"/>
        <v>0.02</v>
      </c>
      <c r="AP410" s="327">
        <v>0.02</v>
      </c>
      <c r="AQ410" s="327">
        <f t="shared" si="369"/>
        <v>0.03</v>
      </c>
      <c r="AR410" s="338"/>
      <c r="AS410" s="328">
        <f t="shared" si="376"/>
        <v>0</v>
      </c>
      <c r="AT410" s="328">
        <f t="shared" si="377"/>
        <v>0</v>
      </c>
      <c r="AU410" s="523">
        <v>0.02</v>
      </c>
      <c r="AV410" s="328"/>
      <c r="AW410" s="328"/>
      <c r="AX410" s="332">
        <v>0.02</v>
      </c>
      <c r="AY410" s="328" t="b">
        <f t="shared" si="365"/>
        <v>1</v>
      </c>
      <c r="AZ410" s="328" t="b">
        <f t="shared" si="354"/>
        <v>0</v>
      </c>
    </row>
    <row r="411" ht="27" customHeight="1" spans="1:52">
      <c r="A411" s="326" t="str">
        <f>INDEX('Rate Card'!$A:$A,MATCH(服务费底表!$T411,'Rate Card'!$F:$F,0))</f>
        <v>数统</v>
      </c>
      <c r="B411" s="327" t="str">
        <f>INDEX(二三级标准!$G:$G,MATCH(服务费底表!$K411,二三级标准!B:B,0))</f>
        <v>次</v>
      </c>
      <c r="C411" s="327">
        <f>INDEX(服务费明细!$E:$E,MATCH(服务费底表!$K411,服务费明细!$B:$B,0))</f>
        <v>0</v>
      </c>
      <c r="D411" s="327" t="str">
        <f t="shared" si="370"/>
        <v>A103DM</v>
      </c>
      <c r="E411" s="327" t="str">
        <f t="shared" si="371"/>
        <v>T0310DM</v>
      </c>
      <c r="F411" s="328"/>
      <c r="G411" s="328" t="s">
        <v>684</v>
      </c>
      <c r="H411" s="326" t="str">
        <f>INDEX('Rate Card'!$B:$B,MATCH(服务费底表!$T411,'Rate Card'!$F:$F,0))</f>
        <v>数据管理</v>
      </c>
      <c r="I411" s="328" t="s">
        <v>923</v>
      </c>
      <c r="J411" s="328" t="str">
        <f>INDEX(二三级标准!$Q:$Q,MATCH(服务费底表!I411,二三级标准!$O:$O,0))</f>
        <v>数据管理</v>
      </c>
      <c r="K411" s="328" t="s">
        <v>311</v>
      </c>
      <c r="L411" s="328" t="str">
        <f>INDEX(二三级标准!C:C,MATCH(服务费底表!K411,二三级标准!$B:$B,0))</f>
        <v>数据库变更</v>
      </c>
      <c r="M411" s="328" t="s">
        <v>1464</v>
      </c>
      <c r="N411" s="328" t="str">
        <f>INDEX(二三级标准!$M:$M,MATCH(服务费底表!$M411,二三级标准!$L:$L,0))</f>
        <v>逻辑核查程序更新测试</v>
      </c>
      <c r="O411" s="328"/>
      <c r="P411" s="327">
        <f>IF(R411=1,ROUNDUP(逻辑核查总数*20%,0),0)*数据库变更次数</f>
        <v>0</v>
      </c>
      <c r="Q411" s="328" t="s">
        <v>1380</v>
      </c>
      <c r="R411" s="520">
        <f t="shared" si="372"/>
        <v>0</v>
      </c>
      <c r="S411" s="524" t="str">
        <f>INDEX('Rate Card'!$D:$D,MATCH(服务费底表!$T411,'Rate Card'!F:F,0))</f>
        <v>数据管理</v>
      </c>
      <c r="T411" s="328" t="s">
        <v>631</v>
      </c>
      <c r="U411" s="522" t="str">
        <f>INDEX('Rate Card'!$E:$E,MATCH(服务费底表!$T411,'Rate Card'!$F:$F,0))</f>
        <v>数据管理专员</v>
      </c>
      <c r="V411" s="331">
        <f>INDEX('Rate Card'!$J:$J,MATCH($T411,'Rate Card'!$F:$F,0))</f>
        <v>200</v>
      </c>
      <c r="W411" s="523">
        <f t="shared" si="367"/>
        <v>200</v>
      </c>
      <c r="X411" s="523">
        <f t="shared" si="368"/>
        <v>0.02</v>
      </c>
      <c r="Y411" s="327" cm="1">
        <f t="array" ref="Y411">_xlfn.IFS(报价场景=服务费底表!$AJ$2,服务费底表!$AJ411,报价场景=服务费底表!$AP$2,服务费底表!$AP411,报价场景=服务费底表!$AK$2,服务费底表!$AK411,报价场景=服务费底表!$AL$2,服务费底表!$AL411,报价场景=服务费底表!$AM$2,服务费底表!$AM411,报价场景=服务费底表!$AN$2,服务费底表!$AN411,报价场景=服务费底表!$AQ$2,服务费底表!$AQ411,报价场景=服务费底表!$AO$2,服务费底表!$AO411)</f>
        <v>0.02</v>
      </c>
      <c r="Z411" s="327"/>
      <c r="AA411" s="332">
        <f t="shared" si="373"/>
        <v>0.02</v>
      </c>
      <c r="AB411" s="333">
        <f t="shared" si="374"/>
        <v>0</v>
      </c>
      <c r="AC411" s="328">
        <f t="shared" si="375"/>
        <v>0</v>
      </c>
      <c r="AD411" s="334">
        <f t="shared" si="361"/>
        <v>0</v>
      </c>
      <c r="AE411" s="334">
        <f>$AB411*(1-INDEX(项目参数!$D$5:$D$14,MATCH(服务费底表!$S411,项目参数!$B$5:$B$14,0)))</f>
        <v>0</v>
      </c>
      <c r="AF411" s="334">
        <f>$AD411*INDEX(项目参数!$D$5:$D$14,MATCH(服务费底表!$S411,项目参数!$B$5:$B$14,0))</f>
        <v>0</v>
      </c>
      <c r="AG411" s="334">
        <f t="shared" si="362"/>
        <v>0</v>
      </c>
      <c r="AH411" s="328"/>
      <c r="AI411" s="328" t="s">
        <v>631</v>
      </c>
      <c r="AJ411" s="327">
        <v>0.02</v>
      </c>
      <c r="AK411" s="327">
        <v>0.04</v>
      </c>
      <c r="AL411" s="327">
        <v>0.02</v>
      </c>
      <c r="AM411" s="327">
        <v>0.03</v>
      </c>
      <c r="AN411" s="327">
        <v>0.02</v>
      </c>
      <c r="AO411" s="327">
        <f t="shared" si="366"/>
        <v>0.02</v>
      </c>
      <c r="AP411" s="327">
        <v>0.02</v>
      </c>
      <c r="AQ411" s="327">
        <f t="shared" si="369"/>
        <v>0.03</v>
      </c>
      <c r="AR411" s="338"/>
      <c r="AS411" s="328">
        <f t="shared" si="376"/>
        <v>0</v>
      </c>
      <c r="AT411" s="328">
        <f t="shared" si="377"/>
        <v>0</v>
      </c>
      <c r="AU411" s="523">
        <v>0.02</v>
      </c>
      <c r="AV411" s="328"/>
      <c r="AW411" s="328"/>
      <c r="AX411" s="332">
        <v>0.02</v>
      </c>
      <c r="AY411" s="328" t="b">
        <f t="shared" si="365"/>
        <v>1</v>
      </c>
      <c r="AZ411" s="328" t="b">
        <f t="shared" si="354"/>
        <v>0</v>
      </c>
    </row>
    <row r="412" ht="27" customHeight="1" spans="1:52">
      <c r="A412" s="326" t="str">
        <f>INDEX('Rate Card'!$A:$A,MATCH(服务费底表!$T412,'Rate Card'!$F:$F,0))</f>
        <v>数统</v>
      </c>
      <c r="B412" s="327" t="str">
        <f>INDEX(二三级标准!$G:$G,MATCH(服务费底表!$K412,二三级标准!B:B,0))</f>
        <v>次</v>
      </c>
      <c r="C412" s="327">
        <f>INDEX(服务费明细!$E:$E,MATCH(服务费底表!$K412,服务费明细!$B:$B,0))</f>
        <v>0</v>
      </c>
      <c r="D412" s="327" t="str">
        <f t="shared" si="370"/>
        <v>A103LDM</v>
      </c>
      <c r="E412" s="327" t="str">
        <f t="shared" si="371"/>
        <v>T0311LDM</v>
      </c>
      <c r="F412" s="328"/>
      <c r="G412" s="328" t="s">
        <v>684</v>
      </c>
      <c r="H412" s="326" t="str">
        <f>INDEX('Rate Card'!$B:$B,MATCH(服务费底表!$T412,'Rate Card'!$F:$F,0))</f>
        <v>数据管理</v>
      </c>
      <c r="I412" s="328" t="s">
        <v>923</v>
      </c>
      <c r="J412" s="328" t="str">
        <f>INDEX(二三级标准!$Q:$Q,MATCH(服务费底表!I412,二三级标准!$O:$O,0))</f>
        <v>数据管理</v>
      </c>
      <c r="K412" s="328" t="s">
        <v>311</v>
      </c>
      <c r="L412" s="328" t="str">
        <f>INDEX(二三级标准!C:C,MATCH(服务费底表!K412,二三级标准!$B:$B,0))</f>
        <v>数据库变更</v>
      </c>
      <c r="M412" s="328" t="s">
        <v>1465</v>
      </c>
      <c r="N412" s="328" t="str">
        <f>INDEX(二三级标准!$M:$M,MATCH(服务费底表!$M412,二三级标准!$L:$L,0))</f>
        <v>改库的UAT培训</v>
      </c>
      <c r="O412" s="328"/>
      <c r="P412" s="327">
        <f>IF(R412=1,INDEX(服务费明细!$E:$E,MATCH($K412,服务费明细!$B:$B,0)),0)</f>
        <v>0</v>
      </c>
      <c r="Q412" s="328" t="s">
        <v>1178</v>
      </c>
      <c r="R412" s="520">
        <f t="shared" si="372"/>
        <v>0</v>
      </c>
      <c r="S412" s="524" t="str">
        <f>INDEX('Rate Card'!$D:$D,MATCH(服务费底表!$T412,'Rate Card'!F:F,0))</f>
        <v>数据管理</v>
      </c>
      <c r="T412" s="328" t="s">
        <v>633</v>
      </c>
      <c r="U412" s="522" t="str">
        <f>INDEX('Rate Card'!$E:$E,MATCH(服务费底表!$T412,'Rate Card'!$F:$F,0))</f>
        <v>数据管理经理</v>
      </c>
      <c r="V412" s="331">
        <f>INDEX('Rate Card'!$J:$J,MATCH($T412,'Rate Card'!$F:$F,0))</f>
        <v>360</v>
      </c>
      <c r="W412" s="523">
        <f t="shared" si="367"/>
        <v>360</v>
      </c>
      <c r="X412" s="523">
        <f t="shared" si="368"/>
        <v>2</v>
      </c>
      <c r="Y412" s="327" cm="1">
        <f t="array" ref="Y412">_xlfn.IFS(报价场景=服务费底表!$AJ$2,服务费底表!$AJ412,报价场景=服务费底表!$AP$2,服务费底表!$AP412,报价场景=服务费底表!$AK$2,服务费底表!$AK412,报价场景=服务费底表!$AL$2,服务费底表!$AL412,报价场景=服务费底表!$AM$2,服务费底表!$AM412,报价场景=服务费底表!$AN$2,服务费底表!$AN412,报价场景=服务费底表!$AQ$2,服务费底表!$AQ412,报价场景=服务费底表!$AO$2,服务费底表!$AO412)</f>
        <v>2</v>
      </c>
      <c r="Z412" s="327"/>
      <c r="AA412" s="332">
        <f t="shared" si="373"/>
        <v>2</v>
      </c>
      <c r="AB412" s="333">
        <f t="shared" si="374"/>
        <v>0</v>
      </c>
      <c r="AC412" s="328">
        <f t="shared" si="375"/>
        <v>0</v>
      </c>
      <c r="AD412" s="334">
        <f t="shared" si="361"/>
        <v>0</v>
      </c>
      <c r="AE412" s="334">
        <f>$AB412*(1-INDEX(项目参数!$D$5:$D$14,MATCH(服务费底表!$S412,项目参数!$B$5:$B$14,0)))</f>
        <v>0</v>
      </c>
      <c r="AF412" s="334">
        <f>$AD412*INDEX(项目参数!$D$5:$D$14,MATCH(服务费底表!$S412,项目参数!$B$5:$B$14,0))</f>
        <v>0</v>
      </c>
      <c r="AG412" s="334">
        <f t="shared" si="362"/>
        <v>0</v>
      </c>
      <c r="AH412" s="328"/>
      <c r="AI412" s="328" t="s">
        <v>633</v>
      </c>
      <c r="AJ412" s="327">
        <v>2</v>
      </c>
      <c r="AK412" s="327">
        <v>2</v>
      </c>
      <c r="AL412" s="327">
        <v>2</v>
      </c>
      <c r="AM412" s="327">
        <v>2</v>
      </c>
      <c r="AN412" s="327">
        <v>2</v>
      </c>
      <c r="AO412" s="327">
        <f t="shared" si="366"/>
        <v>2</v>
      </c>
      <c r="AP412" s="327">
        <v>2</v>
      </c>
      <c r="AQ412" s="327">
        <f t="shared" si="369"/>
        <v>3</v>
      </c>
      <c r="AR412" s="338"/>
      <c r="AS412" s="328">
        <f t="shared" si="376"/>
        <v>0</v>
      </c>
      <c r="AT412" s="328">
        <f t="shared" si="377"/>
        <v>0</v>
      </c>
      <c r="AU412" s="523">
        <v>2</v>
      </c>
      <c r="AV412" s="328"/>
      <c r="AW412" s="328"/>
      <c r="AX412" s="332">
        <v>2</v>
      </c>
      <c r="AY412" s="328" t="b">
        <f t="shared" si="365"/>
        <v>1</v>
      </c>
      <c r="AZ412" s="328" t="b">
        <f t="shared" si="354"/>
        <v>0</v>
      </c>
    </row>
    <row r="413" ht="27" customHeight="1" spans="1:52">
      <c r="A413" s="326" t="str">
        <f>INDEX('Rate Card'!$A:$A,MATCH(服务费底表!$T413,'Rate Card'!$F:$F,0))</f>
        <v>数统</v>
      </c>
      <c r="B413" s="327" t="str">
        <f>INDEX(二三级标准!$G:$G,MATCH(服务费底表!$K413,二三级标准!B:B,0))</f>
        <v>次</v>
      </c>
      <c r="C413" s="327">
        <f>INDEX(服务费明细!$E:$E,MATCH(服务费底表!$K413,服务费明细!$B:$B,0))</f>
        <v>0</v>
      </c>
      <c r="D413" s="327" t="str">
        <f t="shared" si="370"/>
        <v>A103DM</v>
      </c>
      <c r="E413" s="327" t="str">
        <f t="shared" si="371"/>
        <v>T0312DM</v>
      </c>
      <c r="F413" s="328"/>
      <c r="G413" s="328" t="s">
        <v>684</v>
      </c>
      <c r="H413" s="326" t="str">
        <f>INDEX('Rate Card'!$B:$B,MATCH(服务费底表!$T413,'Rate Card'!$F:$F,0))</f>
        <v>数据管理</v>
      </c>
      <c r="I413" s="328" t="s">
        <v>923</v>
      </c>
      <c r="J413" s="328" t="str">
        <f>INDEX(二三级标准!$Q:$Q,MATCH(服务费底表!I413,二三级标准!$O:$O,0))</f>
        <v>数据管理</v>
      </c>
      <c r="K413" s="328" t="s">
        <v>311</v>
      </c>
      <c r="L413" s="328" t="str">
        <f>INDEX(二三级标准!C:C,MATCH(服务费底表!K413,二三级标准!$B:$B,0))</f>
        <v>数据库变更</v>
      </c>
      <c r="M413" s="328" t="s">
        <v>1466</v>
      </c>
      <c r="N413" s="328" t="str">
        <f>INDEX(二三级标准!$M:$M,MATCH(服务费底表!$M413,二三级标准!$L:$L,0))</f>
        <v>改库的UAT测试计划/报告</v>
      </c>
      <c r="O413" s="328"/>
      <c r="P413" s="327">
        <f>IF(R413=1,INDEX(服务费明细!$E:$E,MATCH($K413,服务费明细!$B:$B,0)),0)</f>
        <v>0</v>
      </c>
      <c r="Q413" s="328" t="s">
        <v>1176</v>
      </c>
      <c r="R413" s="520">
        <f>IF(AND(数据库变更YN=1,数据管理YN=1),1,0)</f>
        <v>0</v>
      </c>
      <c r="S413" s="524" t="str">
        <f>INDEX('Rate Card'!$D:$D,MATCH(服务费底表!$T413,'Rate Card'!F:F,0))</f>
        <v>数据管理</v>
      </c>
      <c r="T413" s="328" t="s">
        <v>631</v>
      </c>
      <c r="U413" s="522" t="str">
        <f>INDEX('Rate Card'!$E:$E,MATCH(服务费底表!$T413,'Rate Card'!$F:$F,0))</f>
        <v>数据管理专员</v>
      </c>
      <c r="V413" s="331">
        <f>INDEX('Rate Card'!$J:$J,MATCH($T413,'Rate Card'!$F:$F,0))</f>
        <v>200</v>
      </c>
      <c r="W413" s="523">
        <f t="shared" si="367"/>
        <v>200</v>
      </c>
      <c r="X413" s="523">
        <f t="shared" si="368"/>
        <v>3</v>
      </c>
      <c r="Y413" s="327" cm="1">
        <f t="array" ref="Y413">_xlfn.IFS(报价场景=服务费底表!$AJ$2,服务费底表!$AJ413,报价场景=服务费底表!$AP$2,服务费底表!$AP413,报价场景=服务费底表!$AK$2,服务费底表!$AK413,报价场景=服务费底表!$AL$2,服务费底表!$AL413,报价场景=服务费底表!$AM$2,服务费底表!$AM413,报价场景=服务费底表!$AN$2,服务费底表!$AN413,报价场景=服务费底表!$AQ$2,服务费底表!$AQ413,报价场景=服务费底表!$AO$2,服务费底表!$AO413)</f>
        <v>3</v>
      </c>
      <c r="Z413" s="327"/>
      <c r="AA413" s="332">
        <f t="shared" si="373"/>
        <v>3</v>
      </c>
      <c r="AB413" s="333">
        <f t="shared" si="374"/>
        <v>0</v>
      </c>
      <c r="AC413" s="328">
        <f t="shared" si="375"/>
        <v>0</v>
      </c>
      <c r="AD413" s="334">
        <f t="shared" si="361"/>
        <v>0</v>
      </c>
      <c r="AE413" s="334">
        <f>$AB413*(1-INDEX(项目参数!$D$5:$D$14,MATCH(服务费底表!$S413,项目参数!$B$5:$B$14,0)))</f>
        <v>0</v>
      </c>
      <c r="AF413" s="334">
        <f>$AD413*INDEX(项目参数!$D$5:$D$14,MATCH(服务费底表!$S413,项目参数!$B$5:$B$14,0))</f>
        <v>0</v>
      </c>
      <c r="AG413" s="334">
        <f t="shared" si="362"/>
        <v>0</v>
      </c>
      <c r="AH413" s="328"/>
      <c r="AI413" s="328" t="s">
        <v>631</v>
      </c>
      <c r="AJ413" s="327">
        <v>3</v>
      </c>
      <c r="AK413" s="327">
        <v>3</v>
      </c>
      <c r="AL413" s="327">
        <v>3</v>
      </c>
      <c r="AM413" s="327">
        <v>3</v>
      </c>
      <c r="AN413" s="327">
        <v>3</v>
      </c>
      <c r="AO413" s="327">
        <f t="shared" si="366"/>
        <v>3</v>
      </c>
      <c r="AP413" s="327">
        <v>3</v>
      </c>
      <c r="AQ413" s="327">
        <f t="shared" si="369"/>
        <v>4.5</v>
      </c>
      <c r="AR413" s="338"/>
      <c r="AS413" s="328">
        <f t="shared" si="376"/>
        <v>0</v>
      </c>
      <c r="AT413" s="328">
        <f t="shared" si="377"/>
        <v>0</v>
      </c>
      <c r="AU413" s="523">
        <v>3</v>
      </c>
      <c r="AV413" s="328"/>
      <c r="AW413" s="328"/>
      <c r="AX413" s="332">
        <v>3</v>
      </c>
      <c r="AY413" s="328" t="b">
        <f t="shared" si="365"/>
        <v>1</v>
      </c>
      <c r="AZ413" s="328" t="b">
        <f t="shared" si="354"/>
        <v>0</v>
      </c>
    </row>
    <row r="414" ht="27" customHeight="1" spans="1:52">
      <c r="A414" s="326" t="str">
        <f>INDEX('Rate Card'!$A:$A,MATCH(服务费底表!$T414,'Rate Card'!$F:$F,0))</f>
        <v>数统</v>
      </c>
      <c r="B414" s="327" t="str">
        <f>INDEX(二三级标准!$G:$G,MATCH(服务费底表!$K414,二三级标准!B:B,0))</f>
        <v>次</v>
      </c>
      <c r="C414" s="327">
        <f>INDEX(服务费明细!$E:$E,MATCH(服务费底表!$K414,服务费明细!$B:$B,0))</f>
        <v>0</v>
      </c>
      <c r="D414" s="327" t="str">
        <f t="shared" si="370"/>
        <v>A103DBP</v>
      </c>
      <c r="E414" s="327" t="str">
        <f t="shared" si="371"/>
        <v>T0313aDBP</v>
      </c>
      <c r="F414" s="328"/>
      <c r="G414" s="328" t="s">
        <v>684</v>
      </c>
      <c r="H414" s="326" t="str">
        <f>INDEX('Rate Card'!$B:$B,MATCH(服务费底表!$T414,'Rate Card'!$F:$F,0))</f>
        <v>数据管理</v>
      </c>
      <c r="I414" s="328" t="s">
        <v>923</v>
      </c>
      <c r="J414" s="328" t="str">
        <f>INDEX(二三级标准!$Q:$Q,MATCH(服务费底表!I414,二三级标准!$O:$O,0))</f>
        <v>数据管理</v>
      </c>
      <c r="K414" s="328" t="s">
        <v>311</v>
      </c>
      <c r="L414" s="328" t="str">
        <f>INDEX(二三级标准!C:C,MATCH(服务费底表!K414,二三级标准!$B:$B,0))</f>
        <v>数据库变更</v>
      </c>
      <c r="M414" s="328" t="s">
        <v>1467</v>
      </c>
      <c r="N414" s="328" t="str">
        <f>INDEX(二三级标准!$M:$M,MATCH(服务费底表!$M414,二三级标准!$L:$L,0))</f>
        <v>数据库迁移（含迁移测试&amp;改库上线）</v>
      </c>
      <c r="O414" s="328"/>
      <c r="P414" s="327">
        <f>IF(R414=1,INDEX(服务费明细!$E:$E,MATCH($K414,服务费明细!$B:$B,0)),0)</f>
        <v>0</v>
      </c>
      <c r="Q414" s="328" t="s">
        <v>1178</v>
      </c>
      <c r="R414" s="520">
        <f>IF(AND(数据库变更YN=1,数据管理YN=1),1,0)</f>
        <v>0</v>
      </c>
      <c r="S414" s="524" t="str">
        <f>INDEX('Rate Card'!$D:$D,MATCH(服务费底表!$T414,'Rate Card'!F:F,0))</f>
        <v>数据管理</v>
      </c>
      <c r="T414" s="328" t="s">
        <v>629</v>
      </c>
      <c r="U414" s="522" t="str">
        <f>INDEX('Rate Card'!$E:$E,MATCH(服务费底表!$T414,'Rate Card'!$F:$F,0))</f>
        <v>数据库编程员</v>
      </c>
      <c r="V414" s="331">
        <f>INDEX('Rate Card'!$J:$J,MATCH($T414,'Rate Card'!$F:$F,0))</f>
        <v>300</v>
      </c>
      <c r="W414" s="523">
        <f t="shared" si="367"/>
        <v>300</v>
      </c>
      <c r="X414" s="523">
        <f t="shared" si="368"/>
        <v>15</v>
      </c>
      <c r="Y414" s="327" cm="1">
        <f t="array" ref="Y414">_xlfn.IFS(报价场景=服务费底表!$AJ$2,服务费底表!$AJ414,报价场景=服务费底表!$AP$2,服务费底表!$AP414,报价场景=服务费底表!$AK$2,服务费底表!$AK414,报价场景=服务费底表!$AL$2,服务费底表!$AL414,报价场景=服务费底表!$AM$2,服务费底表!$AM414,报价场景=服务费底表!$AN$2,服务费底表!$AN414,报价场景=服务费底表!$AQ$2,服务费底表!$AQ414,报价场景=服务费底表!$AO$2,服务费底表!$AO414)</f>
        <v>15</v>
      </c>
      <c r="Z414" s="327"/>
      <c r="AA414" s="332">
        <f t="shared" si="373"/>
        <v>15</v>
      </c>
      <c r="AB414" s="333">
        <f t="shared" si="374"/>
        <v>0</v>
      </c>
      <c r="AC414" s="328">
        <f t="shared" si="375"/>
        <v>0</v>
      </c>
      <c r="AD414" s="334">
        <f t="shared" si="361"/>
        <v>0</v>
      </c>
      <c r="AE414" s="334">
        <f>$AB414*(1-INDEX(项目参数!$D$5:$D$14,MATCH(服务费底表!$S414,项目参数!$B$5:$B$14,0)))</f>
        <v>0</v>
      </c>
      <c r="AF414" s="334">
        <f>$AD414*INDEX(项目参数!$D$5:$D$14,MATCH(服务费底表!$S414,项目参数!$B$5:$B$14,0))</f>
        <v>0</v>
      </c>
      <c r="AG414" s="334">
        <f t="shared" si="362"/>
        <v>0</v>
      </c>
      <c r="AH414" s="328"/>
      <c r="AI414" s="328" t="s">
        <v>629</v>
      </c>
      <c r="AJ414" s="327">
        <v>15</v>
      </c>
      <c r="AK414" s="327">
        <v>16</v>
      </c>
      <c r="AL414" s="327">
        <v>15</v>
      </c>
      <c r="AM414" s="327">
        <v>16</v>
      </c>
      <c r="AN414" s="327">
        <v>15</v>
      </c>
      <c r="AO414" s="327">
        <f t="shared" si="366"/>
        <v>15</v>
      </c>
      <c r="AP414" s="327">
        <v>15</v>
      </c>
      <c r="AQ414" s="327">
        <f t="shared" si="369"/>
        <v>22.5</v>
      </c>
      <c r="AR414" s="338"/>
      <c r="AS414" s="328">
        <f t="shared" si="376"/>
        <v>0</v>
      </c>
      <c r="AT414" s="328">
        <f t="shared" si="377"/>
        <v>0</v>
      </c>
      <c r="AU414" s="523">
        <v>15</v>
      </c>
      <c r="AV414" s="328"/>
      <c r="AW414" s="328"/>
      <c r="AX414" s="332">
        <v>15</v>
      </c>
      <c r="AY414" s="328" t="b">
        <f t="shared" si="365"/>
        <v>1</v>
      </c>
      <c r="AZ414" s="328" t="b">
        <f t="shared" si="354"/>
        <v>0</v>
      </c>
    </row>
    <row r="415" ht="27" customHeight="1" spans="1:52">
      <c r="A415" s="326" t="str">
        <f>INDEX('Rate Card'!$A:$A,MATCH(服务费底表!$T415,'Rate Card'!$F:$F,0))</f>
        <v>数统</v>
      </c>
      <c r="B415" s="327" t="str">
        <f>INDEX(二三级标准!$G:$G,MATCH(服务费底表!$K415,二三级标准!B:B,0))</f>
        <v>次</v>
      </c>
      <c r="C415" s="327">
        <f>INDEX(服务费明细!$E:$E,MATCH(服务费底表!$K415,服务费明细!$B:$B,0))</f>
        <v>0</v>
      </c>
      <c r="D415" s="327" t="str">
        <f t="shared" si="370"/>
        <v>A103DM</v>
      </c>
      <c r="E415" s="327" t="str">
        <f t="shared" si="371"/>
        <v>T0321DM</v>
      </c>
      <c r="F415" s="328"/>
      <c r="G415" s="328" t="s">
        <v>684</v>
      </c>
      <c r="H415" s="326" t="str">
        <f>INDEX('Rate Card'!$B:$B,MATCH(服务费底表!$T415,'Rate Card'!$F:$F,0))</f>
        <v>数据管理</v>
      </c>
      <c r="I415" s="328" t="s">
        <v>923</v>
      </c>
      <c r="J415" s="328" t="str">
        <f>INDEX(二三级标准!$Q:$Q,MATCH(服务费底表!I415,二三级标准!$O:$O,0))</f>
        <v>数据管理</v>
      </c>
      <c r="K415" s="328" t="s">
        <v>311</v>
      </c>
      <c r="L415" s="328" t="str">
        <f>INDEX(二三级标准!C:C,MATCH(服务费底表!K415,二三级标准!$B:$B,0))</f>
        <v>数据库变更</v>
      </c>
      <c r="M415" s="328" t="s">
        <v>1468</v>
      </c>
      <c r="N415" s="328" t="str">
        <f>INDEX(二三级标准!$M:$M,MATCH(服务费底表!$M415,二三级标准!$L:$L,0))</f>
        <v>数据库变更的上线前检查</v>
      </c>
      <c r="O415" s="328"/>
      <c r="P415" s="531">
        <f>IF(R415=1,INDEX(服务费明细!$E:$E,MATCH(服务费底表!$K415,服务费明细!$B:$B,0)),0)</f>
        <v>0</v>
      </c>
      <c r="Q415" s="328" t="s">
        <v>1178</v>
      </c>
      <c r="R415" s="520">
        <f>IF(AND(数据库变更YN=1,数据管理YN=1),1,0)</f>
        <v>0</v>
      </c>
      <c r="S415" s="524" t="str">
        <f>INDEX('Rate Card'!$D:$D,MATCH(服务费底表!$T415,'Rate Card'!F:F,0))</f>
        <v>数据管理</v>
      </c>
      <c r="T415" s="328" t="s">
        <v>631</v>
      </c>
      <c r="U415" s="522" t="str">
        <f>INDEX('Rate Card'!$E:$E,MATCH(服务费底表!$T415,'Rate Card'!$F:$F,0))</f>
        <v>数据管理专员</v>
      </c>
      <c r="V415" s="331">
        <f>INDEX('Rate Card'!$J:$J,MATCH($T415,'Rate Card'!$F:$F,0))</f>
        <v>200</v>
      </c>
      <c r="W415" s="523">
        <f t="shared" si="367"/>
        <v>200</v>
      </c>
      <c r="X415" s="523">
        <f t="shared" si="368"/>
        <v>1</v>
      </c>
      <c r="Y415" s="327" cm="1">
        <f t="array" ref="Y415">_xlfn.IFS(报价场景=服务费底表!$AJ$2,服务费底表!$AJ415,报价场景=服务费底表!$AP$2,服务费底表!$AP415,报价场景=服务费底表!$AK$2,服务费底表!$AK415,报价场景=服务费底表!$AL$2,服务费底表!$AL415,报价场景=服务费底表!$AM$2,服务费底表!$AM415,报价场景=服务费底表!$AN$2,服务费底表!$AN415,报价场景=服务费底表!$AQ$2,服务费底表!$AQ415,报价场景=服务费底表!$AO$2,服务费底表!$AO415)</f>
        <v>1</v>
      </c>
      <c r="Z415" s="327"/>
      <c r="AA415" s="332">
        <f t="shared" si="373"/>
        <v>1</v>
      </c>
      <c r="AB415" s="333">
        <f t="shared" si="374"/>
        <v>0</v>
      </c>
      <c r="AC415" s="328">
        <f t="shared" si="375"/>
        <v>0</v>
      </c>
      <c r="AD415" s="334">
        <f t="shared" si="361"/>
        <v>0</v>
      </c>
      <c r="AE415" s="334">
        <f>$AB415*(1-INDEX(项目参数!$D$5:$D$14,MATCH(服务费底表!$S415,项目参数!$B$5:$B$14,0)))</f>
        <v>0</v>
      </c>
      <c r="AF415" s="334">
        <f>$AD415*INDEX(项目参数!$D$5:$D$14,MATCH(服务费底表!$S415,项目参数!$B$5:$B$14,0))</f>
        <v>0</v>
      </c>
      <c r="AG415" s="334">
        <f t="shared" si="362"/>
        <v>0</v>
      </c>
      <c r="AH415" s="328"/>
      <c r="AI415" s="328" t="s">
        <v>631</v>
      </c>
      <c r="AJ415" s="327">
        <v>1</v>
      </c>
      <c r="AK415" s="327">
        <v>2</v>
      </c>
      <c r="AL415" s="327">
        <v>1</v>
      </c>
      <c r="AM415" s="327">
        <v>2</v>
      </c>
      <c r="AN415" s="327">
        <v>1</v>
      </c>
      <c r="AO415" s="327">
        <f t="shared" si="366"/>
        <v>1</v>
      </c>
      <c r="AP415" s="327">
        <v>1</v>
      </c>
      <c r="AQ415" s="327">
        <f t="shared" si="369"/>
        <v>1.5</v>
      </c>
      <c r="AR415" s="338"/>
      <c r="AS415" s="328">
        <f t="shared" si="376"/>
        <v>0</v>
      </c>
      <c r="AT415" s="328">
        <f t="shared" si="377"/>
        <v>0</v>
      </c>
      <c r="AU415" s="523">
        <v>1</v>
      </c>
      <c r="AV415" s="328"/>
      <c r="AW415" s="328"/>
      <c r="AX415" s="332">
        <v>1</v>
      </c>
      <c r="AY415" s="328" t="b">
        <f t="shared" si="365"/>
        <v>1</v>
      </c>
      <c r="AZ415" s="328" t="b">
        <f t="shared" si="354"/>
        <v>0</v>
      </c>
    </row>
    <row r="416" ht="27" customHeight="1" spans="1:52">
      <c r="A416" s="326" t="str">
        <f>INDEX('Rate Card'!$A:$A,MATCH(服务费底表!$T416,'Rate Card'!$F:$F,0))</f>
        <v>数统</v>
      </c>
      <c r="B416" s="327" t="str">
        <f>INDEX(二三级标准!$G:$G,MATCH(服务费底表!$K416,二三级标准!B:B,0))</f>
        <v>份</v>
      </c>
      <c r="C416" s="327">
        <f>INDEX(服务费明细!$E:$E,MATCH(服务费底表!$K416,服务费明细!$B:$B,0))</f>
        <v>1</v>
      </c>
      <c r="D416" s="327" t="str">
        <f t="shared" ref="D416:D421" si="378">K416&amp;T416</f>
        <v>A104ST</v>
      </c>
      <c r="E416" s="327" t="str">
        <f t="shared" ref="E416:E421" si="379">M416&amp;T416</f>
        <v>T0330ST</v>
      </c>
      <c r="F416" s="328"/>
      <c r="G416" s="328" t="s">
        <v>684</v>
      </c>
      <c r="H416" s="326" t="str">
        <f>INDEX('Rate Card'!$B:$B,MATCH(服务费底表!$T416,'Rate Card'!$F:$F,0))</f>
        <v>生物统计及分析</v>
      </c>
      <c r="I416" s="328" t="s">
        <v>924</v>
      </c>
      <c r="J416" s="328" t="str">
        <f>INDEX(二三级标准!$Q:$Q,MATCH(服务费底表!I416,二三级标准!$O:$O,0))</f>
        <v>生物统计及分析</v>
      </c>
      <c r="K416" s="328" t="s">
        <v>313</v>
      </c>
      <c r="L416" s="328" t="str">
        <f>INDEX(二三级标准!C:C,MATCH(服务费底表!K416,二三级标准!$B:$B,0))</f>
        <v>撰写统计分析计划SAP</v>
      </c>
      <c r="M416" s="328" t="s">
        <v>1469</v>
      </c>
      <c r="N416" s="328" t="str">
        <f>INDEX(二三级标准!$M:$M,MATCH(服务费底表!$M416,二三级标准!$L:$L,0))</f>
        <v>统计分析计划起草</v>
      </c>
      <c r="O416" s="328"/>
      <c r="P416" s="531">
        <f>IF(R416=1,INDEX(服务费明细!$E:$E,MATCH(服务费底表!$K416,服务费明细!$B:$B,0)),0)</f>
        <v>1</v>
      </c>
      <c r="Q416" s="328" t="s">
        <v>1176</v>
      </c>
      <c r="R416" s="520">
        <f>IF(AND(SAP_YN=1,生物统计YN=1),1,0)</f>
        <v>1</v>
      </c>
      <c r="S416" s="524" t="str">
        <f>INDEX('Rate Card'!$D:$D,MATCH(服务费底表!$T416,'Rate Card'!F:F,0))</f>
        <v>生物统计</v>
      </c>
      <c r="T416" s="328" t="s">
        <v>639</v>
      </c>
      <c r="U416" s="522" t="str">
        <f>INDEX('Rate Card'!$E:$E,MATCH(服务费底表!$T416,'Rate Card'!$F:$F,0))</f>
        <v>生物统计师</v>
      </c>
      <c r="V416" s="331">
        <f>INDEX('Rate Card'!$J:$J,MATCH($T416,'Rate Card'!$F:$F,0))</f>
        <v>400</v>
      </c>
      <c r="W416" s="523">
        <f t="shared" si="367"/>
        <v>400</v>
      </c>
      <c r="X416" s="523">
        <f t="shared" si="368"/>
        <v>24</v>
      </c>
      <c r="Y416" s="327" cm="1">
        <f t="array" ref="Y416">_xlfn.IFS(报价场景=服务费底表!$AJ$2,服务费底表!$AJ416,报价场景=服务费底表!$AP$2,服务费底表!$AP416,报价场景=服务费底表!$AK$2,服务费底表!$AK416,报价场景=服务费底表!$AL$2,服务费底表!$AL416,报价场景=服务费底表!$AM$2,服务费底表!$AM416,报价场景=服务费底表!$AN$2,服务费底表!$AN416,报价场景=服务费底表!$AQ$2,服务费底表!$AQ416,报价场景=服务费底表!$AO$2,服务费底表!$AO416)</f>
        <v>24</v>
      </c>
      <c r="Z416" s="327"/>
      <c r="AA416" s="332">
        <f t="shared" ref="AA416:AA421" si="380">IF(ISBLANK($Z416),$Y416,$Z416)</f>
        <v>24</v>
      </c>
      <c r="AB416" s="333">
        <f t="shared" ref="AB416:AB421" si="381">IFERROR(AD416/P416,0)</f>
        <v>9600</v>
      </c>
      <c r="AC416" s="328">
        <f t="shared" ref="AC416:AC421" si="382">AA416*P416*R416</f>
        <v>24</v>
      </c>
      <c r="AD416" s="334">
        <f t="shared" si="361"/>
        <v>9600</v>
      </c>
      <c r="AE416" s="334">
        <f>$AB416*(1-INDEX(项目参数!$D$5:$D$14,MATCH(服务费底表!$S416,项目参数!$B$5:$B$14,0)))</f>
        <v>9600</v>
      </c>
      <c r="AF416" s="334">
        <f>$AD416*INDEX(项目参数!$D$5:$D$14,MATCH(服务费底表!$S416,项目参数!$B$5:$B$14,0))</f>
        <v>0</v>
      </c>
      <c r="AG416" s="334">
        <f t="shared" ref="AG416:AG421" si="383">AD416-AF416</f>
        <v>9600</v>
      </c>
      <c r="AH416" s="328"/>
      <c r="AI416" s="328" t="s">
        <v>639</v>
      </c>
      <c r="AJ416" s="327">
        <v>24</v>
      </c>
      <c r="AK416" s="327">
        <v>40</v>
      </c>
      <c r="AL416" s="327">
        <v>16</v>
      </c>
      <c r="AM416" s="327">
        <v>40</v>
      </c>
      <c r="AN416" s="327">
        <v>16</v>
      </c>
      <c r="AO416" s="327">
        <f t="shared" si="366"/>
        <v>16</v>
      </c>
      <c r="AP416" s="327">
        <v>24</v>
      </c>
      <c r="AQ416" s="327">
        <f t="shared" si="369"/>
        <v>36</v>
      </c>
      <c r="AR416" s="338"/>
      <c r="AS416" s="328">
        <f t="shared" ref="AS416:AS428" si="384">AC416</f>
        <v>24</v>
      </c>
      <c r="AT416" s="328">
        <f t="shared" ref="AT416:AT428" si="385">Y416*P416</f>
        <v>24</v>
      </c>
      <c r="AU416" s="523">
        <v>24</v>
      </c>
      <c r="AV416" s="328"/>
      <c r="AW416" s="328"/>
      <c r="AX416" s="332">
        <v>24</v>
      </c>
      <c r="AY416" s="328" t="b">
        <f t="shared" si="365"/>
        <v>1</v>
      </c>
      <c r="AZ416" s="328" t="b">
        <f t="shared" si="354"/>
        <v>1</v>
      </c>
    </row>
    <row r="417" ht="27" customHeight="1" spans="1:52">
      <c r="A417" s="326" t="str">
        <f>INDEX('Rate Card'!$A:$A,MATCH(服务费底表!$T417,'Rate Card'!$F:$F,0))</f>
        <v>临床药理</v>
      </c>
      <c r="B417" s="327" t="str">
        <f>INDEX(二三级标准!$G:$G,MATCH(服务费底表!$K417,二三级标准!B:B,0))</f>
        <v>份</v>
      </c>
      <c r="C417" s="327">
        <f>INDEX(服务费明细!$E:$E,MATCH(服务费底表!$K417,服务费明细!$B:$B,0))</f>
        <v>1</v>
      </c>
      <c r="D417" s="327" t="str">
        <f t="shared" si="378"/>
        <v>A104aCPS</v>
      </c>
      <c r="E417" s="327" t="str">
        <f t="shared" si="379"/>
        <v>T0802CPS</v>
      </c>
      <c r="F417" s="328"/>
      <c r="G417" s="328" t="s">
        <v>684</v>
      </c>
      <c r="H417" s="326" t="str">
        <f>INDEX('Rate Card'!$B:$B,MATCH(服务费底表!$T417,'Rate Card'!$F:$F,0))</f>
        <v>临床药理</v>
      </c>
      <c r="I417" s="328" t="s">
        <v>925</v>
      </c>
      <c r="J417" s="328" t="str">
        <f>INDEX(二三级标准!$Q:$Q,MATCH(服务费底表!I417,二三级标准!$O:$O,0))</f>
        <v>临床药理</v>
      </c>
      <c r="K417" s="328" t="s">
        <v>1101</v>
      </c>
      <c r="L417" s="328" t="str">
        <f>INDEX(二三级标准!C:C,MATCH(服务费底表!K417,二三级标准!$B:$B,0))</f>
        <v>撰写PK SAP</v>
      </c>
      <c r="M417" s="328" t="s">
        <v>1470</v>
      </c>
      <c r="N417" s="328" t="str">
        <f>INDEX(二三级标准!$M:$M,MATCH(服务费底表!$M417,二三级标准!$L:$L,0))</f>
        <v>统计分析计划起草（PK部分）</v>
      </c>
      <c r="O417" s="328"/>
      <c r="P417" s="531">
        <f>IF(R417=1,INDEX(服务费明细!$E:$E,MATCH(服务费底表!$K417,服务费明细!$B:$B,0)),0)</f>
        <v>1</v>
      </c>
      <c r="Q417" s="328" t="s">
        <v>1176</v>
      </c>
      <c r="R417" s="520">
        <f>IF(AND(SAP_YN=1,临床药理YN=1),1,0)</f>
        <v>1</v>
      </c>
      <c r="S417" s="328" t="str">
        <f>INDEX('Rate Card'!$D:$D,MATCH(服务费底表!$T417,'Rate Card'!F:F,0))</f>
        <v>临床药理</v>
      </c>
      <c r="T417" s="328" t="s">
        <v>652</v>
      </c>
      <c r="U417" s="522" t="str">
        <f>INDEX('Rate Card'!$E:$E,MATCH(服务费底表!$T417,'Rate Card'!$F:$F,0))</f>
        <v>临床药理专员</v>
      </c>
      <c r="V417" s="331">
        <f>INDEX('Rate Card'!$J:$J,MATCH($T417,'Rate Card'!$F:$F,0))</f>
        <v>580</v>
      </c>
      <c r="W417" s="523">
        <f t="shared" si="367"/>
        <v>580</v>
      </c>
      <c r="X417" s="523">
        <f t="shared" si="368"/>
        <v>18</v>
      </c>
      <c r="Y417" s="327" cm="1">
        <f t="array" ref="Y417">_xlfn.IFS(报价场景=服务费底表!$AJ$2,服务费底表!$AJ417,报价场景=服务费底表!$AP$2,服务费底表!$AP417,报价场景=服务费底表!$AK$2,服务费底表!$AK417,报价场景=服务费底表!$AL$2,服务费底表!$AL417,报价场景=服务费底表!$AM$2,服务费底表!$AM417,报价场景=服务费底表!$AN$2,服务费底表!$AN417,报价场景=服务费底表!$AQ$2,服务费底表!$AQ417,报价场景=服务费底表!$AO$2,服务费底表!$AO417)</f>
        <v>18</v>
      </c>
      <c r="Z417" s="327"/>
      <c r="AA417" s="332">
        <f t="shared" si="380"/>
        <v>18</v>
      </c>
      <c r="AB417" s="333">
        <f t="shared" si="381"/>
        <v>10440</v>
      </c>
      <c r="AC417" s="328">
        <f t="shared" si="382"/>
        <v>18</v>
      </c>
      <c r="AD417" s="334">
        <f t="shared" si="361"/>
        <v>10440</v>
      </c>
      <c r="AE417" s="334">
        <f>$AB417*(1-INDEX(项目参数!$D$5:$D$14,MATCH(服务费底表!$S417,项目参数!$B$5:$B$14,0)))</f>
        <v>10440</v>
      </c>
      <c r="AF417" s="334">
        <f>$AD417*INDEX(项目参数!$D$5:$D$14,MATCH(服务费底表!$S417,项目参数!$B$5:$B$14,0))</f>
        <v>0</v>
      </c>
      <c r="AG417" s="334">
        <f t="shared" si="383"/>
        <v>10440</v>
      </c>
      <c r="AH417" s="328"/>
      <c r="AI417" s="328" t="s">
        <v>652</v>
      </c>
      <c r="AJ417" s="327">
        <v>18</v>
      </c>
      <c r="AK417" s="327">
        <v>18</v>
      </c>
      <c r="AL417" s="327">
        <v>18</v>
      </c>
      <c r="AM417" s="327">
        <v>18</v>
      </c>
      <c r="AN417" s="327">
        <v>18</v>
      </c>
      <c r="AO417" s="327">
        <f t="shared" si="366"/>
        <v>18</v>
      </c>
      <c r="AP417" s="327">
        <v>18</v>
      </c>
      <c r="AQ417" s="327">
        <f t="shared" si="369"/>
        <v>27</v>
      </c>
      <c r="AR417" s="338"/>
      <c r="AS417" s="328">
        <f t="shared" si="384"/>
        <v>18</v>
      </c>
      <c r="AT417" s="328">
        <f t="shared" si="385"/>
        <v>18</v>
      </c>
      <c r="AU417" s="523">
        <v>18</v>
      </c>
      <c r="AV417" s="328"/>
      <c r="AW417" s="328"/>
      <c r="AX417" s="332">
        <v>18</v>
      </c>
      <c r="AY417" s="328" t="b">
        <f t="shared" si="365"/>
        <v>1</v>
      </c>
      <c r="AZ417" s="328" t="b">
        <f t="shared" si="354"/>
        <v>0</v>
      </c>
    </row>
    <row r="418" ht="27" customHeight="1" spans="1:52">
      <c r="A418" s="326" t="str">
        <f>INDEX('Rate Card'!$A:$A,MATCH(服务费底表!$T418,'Rate Card'!$F:$F,0))</f>
        <v>数统</v>
      </c>
      <c r="B418" s="327" t="str">
        <f>INDEX(二三级标准!$G:$G,MATCH(服务费底表!$K418,二三级标准!B:B,0))</f>
        <v>份</v>
      </c>
      <c r="C418" s="327">
        <f>INDEX(服务费明细!$E:$E,MATCH(服务费底表!$K418,服务费明细!$B:$B,0))</f>
        <v>1</v>
      </c>
      <c r="D418" s="327" t="str">
        <f t="shared" si="378"/>
        <v>A104STM</v>
      </c>
      <c r="E418" s="327" t="str">
        <f t="shared" si="379"/>
        <v>T0331STM</v>
      </c>
      <c r="F418" s="328"/>
      <c r="G418" s="328" t="s">
        <v>684</v>
      </c>
      <c r="H418" s="326" t="str">
        <f>INDEX('Rate Card'!$B:$B,MATCH(服务费底表!$T418,'Rate Card'!$F:$F,0))</f>
        <v>生物统计及分析</v>
      </c>
      <c r="I418" s="328" t="s">
        <v>924</v>
      </c>
      <c r="J418" s="328" t="str">
        <f>INDEX(二三级标准!$Q:$Q,MATCH(服务费底表!I418,二三级标准!$O:$O,0))</f>
        <v>生物统计及分析</v>
      </c>
      <c r="K418" s="328" t="s">
        <v>313</v>
      </c>
      <c r="L418" s="328" t="str">
        <f>INDEX(二三级标准!C:C,MATCH(服务费底表!K418,二三级标准!$B:$B,0))</f>
        <v>撰写统计分析计划SAP</v>
      </c>
      <c r="M418" s="328" t="s">
        <v>1471</v>
      </c>
      <c r="N418" s="328" t="str">
        <f>INDEX(二三级标准!$M:$M,MATCH(服务费底表!$M418,二三级标准!$L:$L,0))</f>
        <v>统计分析计划审核</v>
      </c>
      <c r="O418" s="328"/>
      <c r="P418" s="531">
        <f>IF(R418=1,INDEX(服务费明细!$E:$E,MATCH(服务费底表!$K418,服务费明细!$B:$B,0)),0)</f>
        <v>1</v>
      </c>
      <c r="Q418" s="328" t="s">
        <v>1176</v>
      </c>
      <c r="R418" s="520">
        <f>IF(AND(SAP_YN=1,生物统计YN=1),1,0)</f>
        <v>1</v>
      </c>
      <c r="S418" s="524" t="str">
        <f>INDEX('Rate Card'!$D:$D,MATCH(服务费底表!$T418,'Rate Card'!F:F,0))</f>
        <v>生物统计</v>
      </c>
      <c r="T418" s="328" t="s">
        <v>642</v>
      </c>
      <c r="U418" s="522" t="str">
        <f>INDEX('Rate Card'!$E:$E,MATCH(服务费底表!$T418,'Rate Card'!$F:$F,0))</f>
        <v>生物统计经理</v>
      </c>
      <c r="V418" s="331">
        <f>INDEX('Rate Card'!$J:$J,MATCH($T418,'Rate Card'!$F:$F,0))</f>
        <v>700</v>
      </c>
      <c r="W418" s="523">
        <f t="shared" si="367"/>
        <v>700</v>
      </c>
      <c r="X418" s="523">
        <f t="shared" si="368"/>
        <v>4</v>
      </c>
      <c r="Y418" s="327" cm="1">
        <f t="array" ref="Y418">_xlfn.IFS(报价场景=服务费底表!$AJ$2,服务费底表!$AJ418,报价场景=服务费底表!$AP$2,服务费底表!$AP418,报价场景=服务费底表!$AK$2,服务费底表!$AK418,报价场景=服务费底表!$AL$2,服务费底表!$AL418,报价场景=服务费底表!$AM$2,服务费底表!$AM418,报价场景=服务费底表!$AN$2,服务费底表!$AN418,报价场景=服务费底表!$AQ$2,服务费底表!$AQ418,报价场景=服务费底表!$AO$2,服务费底表!$AO418)</f>
        <v>4</v>
      </c>
      <c r="Z418" s="327"/>
      <c r="AA418" s="332">
        <f t="shared" si="380"/>
        <v>4</v>
      </c>
      <c r="AB418" s="333">
        <f t="shared" si="381"/>
        <v>2800</v>
      </c>
      <c r="AC418" s="328">
        <f t="shared" si="382"/>
        <v>4</v>
      </c>
      <c r="AD418" s="334">
        <f t="shared" si="361"/>
        <v>2800</v>
      </c>
      <c r="AE418" s="334">
        <f>$AB418*(1-INDEX(项目参数!$D$5:$D$14,MATCH(服务费底表!$S418,项目参数!$B$5:$B$14,0)))</f>
        <v>2800</v>
      </c>
      <c r="AF418" s="334">
        <f>$AD418*INDEX(项目参数!$D$5:$D$14,MATCH(服务费底表!$S418,项目参数!$B$5:$B$14,0))</f>
        <v>0</v>
      </c>
      <c r="AG418" s="334">
        <f t="shared" si="383"/>
        <v>2800</v>
      </c>
      <c r="AH418" s="328"/>
      <c r="AI418" s="328" t="s">
        <v>642</v>
      </c>
      <c r="AJ418" s="327">
        <v>4</v>
      </c>
      <c r="AK418" s="327">
        <v>4</v>
      </c>
      <c r="AL418" s="327">
        <v>2</v>
      </c>
      <c r="AM418" s="327">
        <v>3</v>
      </c>
      <c r="AN418" s="327">
        <v>2</v>
      </c>
      <c r="AO418" s="327">
        <f t="shared" si="366"/>
        <v>2</v>
      </c>
      <c r="AP418" s="327">
        <v>4</v>
      </c>
      <c r="AQ418" s="327">
        <f t="shared" si="369"/>
        <v>6</v>
      </c>
      <c r="AR418" s="338"/>
      <c r="AS418" s="328">
        <f t="shared" si="384"/>
        <v>4</v>
      </c>
      <c r="AT418" s="328">
        <f t="shared" si="385"/>
        <v>4</v>
      </c>
      <c r="AU418" s="523">
        <v>4</v>
      </c>
      <c r="AV418" s="328"/>
      <c r="AW418" s="328"/>
      <c r="AX418" s="332">
        <v>4</v>
      </c>
      <c r="AY418" s="328" t="b">
        <f t="shared" si="365"/>
        <v>1</v>
      </c>
      <c r="AZ418" s="328" t="b">
        <f t="shared" si="354"/>
        <v>1</v>
      </c>
    </row>
    <row r="419" ht="27" customHeight="1" spans="1:52">
      <c r="A419" s="326" t="str">
        <f>INDEX('Rate Card'!$A:$A,MATCH(服务费底表!$T419,'Rate Card'!$F:$F,0))</f>
        <v>数统</v>
      </c>
      <c r="B419" s="327" t="str">
        <f>INDEX(二三级标准!$G:$G,MATCH(服务费底表!$K419,二三级标准!B:B,0))</f>
        <v>份</v>
      </c>
      <c r="C419" s="327">
        <f>INDEX(服务费明细!$E:$E,MATCH(服务费底表!$K419,服务费明细!$B:$B,0))</f>
        <v>1</v>
      </c>
      <c r="D419" s="327" t="str">
        <f t="shared" si="378"/>
        <v>A104SAM</v>
      </c>
      <c r="E419" s="327" t="str">
        <f t="shared" si="379"/>
        <v>T0331SAM</v>
      </c>
      <c r="F419" s="328"/>
      <c r="G419" s="328" t="s">
        <v>684</v>
      </c>
      <c r="H419" s="326" t="str">
        <f>INDEX('Rate Card'!$B:$B,MATCH(服务费底表!$T419,'Rate Card'!$F:$F,0))</f>
        <v>生物统计及分析</v>
      </c>
      <c r="I419" s="328" t="s">
        <v>924</v>
      </c>
      <c r="J419" s="328" t="str">
        <f>INDEX(二三级标准!$Q:$Q,MATCH(服务费底表!I419,二三级标准!$O:$O,0))</f>
        <v>生物统计及分析</v>
      </c>
      <c r="K419" s="328" t="s">
        <v>313</v>
      </c>
      <c r="L419" s="328" t="str">
        <f>INDEX(二三级标准!C:C,MATCH(服务费底表!K419,二三级标准!$B:$B,0))</f>
        <v>撰写统计分析计划SAP</v>
      </c>
      <c r="M419" s="328" t="s">
        <v>1471</v>
      </c>
      <c r="N419" s="328" t="str">
        <f>INDEX(二三级标准!$M:$M,MATCH(服务费底表!$M419,二三级标准!$L:$L,0))</f>
        <v>统计分析计划审核</v>
      </c>
      <c r="O419" s="328"/>
      <c r="P419" s="531">
        <f>IF(R419=1,INDEX(服务费明细!$E:$E,MATCH(服务费底表!$K419,服务费明细!$B:$B,0)),0)</f>
        <v>1</v>
      </c>
      <c r="Q419" s="328" t="s">
        <v>1176</v>
      </c>
      <c r="R419" s="520">
        <f>IF(AND(SAP_YN=1,统计分析YN=1),1,0)</f>
        <v>1</v>
      </c>
      <c r="S419" s="524" t="str">
        <f>INDEX('Rate Card'!$D:$D,MATCH(服务费底表!$T419,'Rate Card'!F:F,0))</f>
        <v>统计分析</v>
      </c>
      <c r="T419" s="328" t="s">
        <v>638</v>
      </c>
      <c r="U419" s="522" t="str">
        <f>INDEX('Rate Card'!$E:$E,MATCH(服务费底表!$T419,'Rate Card'!$F:$F,0))</f>
        <v>统计分析经理</v>
      </c>
      <c r="V419" s="331">
        <f>INDEX('Rate Card'!$J:$J,MATCH($T419,'Rate Card'!$F:$F,0))</f>
        <v>450</v>
      </c>
      <c r="W419" s="523">
        <f t="shared" si="367"/>
        <v>450</v>
      </c>
      <c r="X419" s="523">
        <f t="shared" si="368"/>
        <v>1</v>
      </c>
      <c r="Y419" s="327" cm="1">
        <f t="array" ref="Y419">_xlfn.IFS(报价场景=服务费底表!$AJ$2,服务费底表!$AJ419,报价场景=服务费底表!$AP$2,服务费底表!$AP419,报价场景=服务费底表!$AK$2,服务费底表!$AK419,报价场景=服务费底表!$AL$2,服务费底表!$AL419,报价场景=服务费底表!$AM$2,服务费底表!$AM419,报价场景=服务费底表!$AN$2,服务费底表!$AN419,报价场景=服务费底表!$AQ$2,服务费底表!$AQ419,报价场景=服务费底表!$AO$2,服务费底表!$AO419)</f>
        <v>1</v>
      </c>
      <c r="Z419" s="327"/>
      <c r="AA419" s="332">
        <f t="shared" si="380"/>
        <v>1</v>
      </c>
      <c r="AB419" s="333">
        <f t="shared" si="381"/>
        <v>450</v>
      </c>
      <c r="AC419" s="328">
        <f t="shared" si="382"/>
        <v>1</v>
      </c>
      <c r="AD419" s="334">
        <f t="shared" si="361"/>
        <v>450</v>
      </c>
      <c r="AE419" s="334">
        <f>$AB419*(1-INDEX(项目参数!$D$5:$D$14,MATCH(服务费底表!$S419,项目参数!$B$5:$B$14,0)))</f>
        <v>450</v>
      </c>
      <c r="AF419" s="334">
        <f>$AD419*INDEX(项目参数!$D$5:$D$14,MATCH(服务费底表!$S419,项目参数!$B$5:$B$14,0))</f>
        <v>0</v>
      </c>
      <c r="AG419" s="334">
        <f t="shared" si="383"/>
        <v>450</v>
      </c>
      <c r="AH419" s="328"/>
      <c r="AI419" s="328" t="s">
        <v>638</v>
      </c>
      <c r="AJ419" s="327">
        <v>1</v>
      </c>
      <c r="AK419" s="327">
        <v>3</v>
      </c>
      <c r="AL419" s="327">
        <v>0.5</v>
      </c>
      <c r="AM419" s="327">
        <v>2</v>
      </c>
      <c r="AN419" s="327">
        <v>0.5</v>
      </c>
      <c r="AO419" s="327">
        <f t="shared" si="366"/>
        <v>0.5</v>
      </c>
      <c r="AP419" s="327">
        <v>1</v>
      </c>
      <c r="AQ419" s="327">
        <f t="shared" si="369"/>
        <v>1.5</v>
      </c>
      <c r="AR419" s="338"/>
      <c r="AS419" s="328">
        <f t="shared" si="384"/>
        <v>1</v>
      </c>
      <c r="AT419" s="328">
        <f t="shared" si="385"/>
        <v>1</v>
      </c>
      <c r="AU419" s="523">
        <v>1</v>
      </c>
      <c r="AV419" s="328"/>
      <c r="AW419" s="328"/>
      <c r="AX419" s="332">
        <v>1</v>
      </c>
      <c r="AY419" s="328" t="b">
        <f t="shared" si="365"/>
        <v>1</v>
      </c>
      <c r="AZ419" s="328" t="b">
        <f t="shared" si="354"/>
        <v>1</v>
      </c>
    </row>
    <row r="420" ht="27" customHeight="1" spans="1:52">
      <c r="A420" s="326" t="str">
        <f>INDEX('Rate Card'!$A:$A,MATCH(服务费底表!$T420,'Rate Card'!$F:$F,0))</f>
        <v>临床药理</v>
      </c>
      <c r="B420" s="327" t="str">
        <f>INDEX(二三级标准!$G:$G,MATCH(服务费底表!$K420,二三级标准!B:B,0))</f>
        <v>份</v>
      </c>
      <c r="C420" s="327">
        <f>INDEX(服务费明细!$E:$E,MATCH(服务费底表!$K420,服务费明细!$B:$B,0))</f>
        <v>1</v>
      </c>
      <c r="D420" s="327" t="str">
        <f t="shared" si="378"/>
        <v>A104aCPSS</v>
      </c>
      <c r="E420" s="327" t="str">
        <f t="shared" si="379"/>
        <v>T0803CPSS</v>
      </c>
      <c r="F420" s="328"/>
      <c r="G420" s="328" t="s">
        <v>684</v>
      </c>
      <c r="H420" s="326" t="str">
        <f>INDEX('Rate Card'!$B:$B,MATCH(服务费底表!$T420,'Rate Card'!$F:$F,0))</f>
        <v>临床药理</v>
      </c>
      <c r="I420" s="328" t="s">
        <v>925</v>
      </c>
      <c r="J420" s="328" t="str">
        <f>INDEX(二三级标准!$Q:$Q,MATCH(服务费底表!I420,二三级标准!$O:$O,0))</f>
        <v>临床药理</v>
      </c>
      <c r="K420" s="328" t="s">
        <v>1101</v>
      </c>
      <c r="L420" s="328" t="str">
        <f>INDEX(二三级标准!C:C,MATCH(服务费底表!K420,二三级标准!$B:$B,0))</f>
        <v>撰写PK SAP</v>
      </c>
      <c r="M420" s="328" t="s">
        <v>1472</v>
      </c>
      <c r="N420" s="328" t="str">
        <f>INDEX(二三级标准!$M:$M,MATCH(服务费底表!$M420,二三级标准!$L:$L,0))</f>
        <v>统计分析计划审核（PK部分）</v>
      </c>
      <c r="O420" s="328"/>
      <c r="P420" s="531">
        <f>IF(R420=1,INDEX(服务费明细!$E:$E,MATCH(服务费底表!$K420,服务费明细!$B:$B,0)),0)</f>
        <v>1</v>
      </c>
      <c r="Q420" s="328" t="s">
        <v>1176</v>
      </c>
      <c r="R420" s="520">
        <f>IF(AND(SAP_YN=1,临床药理YN=1),1,0)</f>
        <v>1</v>
      </c>
      <c r="S420" s="328" t="str">
        <f>INDEX('Rate Card'!$D:$D,MATCH(服务费底表!$T420,'Rate Card'!F:F,0))</f>
        <v>临床药理</v>
      </c>
      <c r="T420" s="328" t="s">
        <v>654</v>
      </c>
      <c r="U420" s="522" t="str">
        <f>INDEX('Rate Card'!$E:$E,MATCH(服务费底表!$T420,'Rate Card'!$F:$F,0))</f>
        <v>临床药理高级专员</v>
      </c>
      <c r="V420" s="331">
        <f>INDEX('Rate Card'!$J:$J,MATCH($T420,'Rate Card'!$F:$F,0))</f>
        <v>700</v>
      </c>
      <c r="W420" s="523">
        <f t="shared" si="367"/>
        <v>700</v>
      </c>
      <c r="X420" s="523">
        <f t="shared" si="368"/>
        <v>2</v>
      </c>
      <c r="Y420" s="327" cm="1">
        <f t="array" ref="Y420">_xlfn.IFS(报价场景=服务费底表!$AJ$2,服务费底表!$AJ420,报价场景=服务费底表!$AP$2,服务费底表!$AP420,报价场景=服务费底表!$AK$2,服务费底表!$AK420,报价场景=服务费底表!$AL$2,服务费底表!$AL420,报价场景=服务费底表!$AM$2,服务费底表!$AM420,报价场景=服务费底表!$AN$2,服务费底表!$AN420,报价场景=服务费底表!$AQ$2,服务费底表!$AQ420,报价场景=服务费底表!$AO$2,服务费底表!$AO420)</f>
        <v>2</v>
      </c>
      <c r="Z420" s="327"/>
      <c r="AA420" s="332">
        <f t="shared" si="380"/>
        <v>2</v>
      </c>
      <c r="AB420" s="333">
        <f t="shared" si="381"/>
        <v>1400</v>
      </c>
      <c r="AC420" s="328">
        <f t="shared" si="382"/>
        <v>2</v>
      </c>
      <c r="AD420" s="334">
        <f t="shared" si="361"/>
        <v>1400</v>
      </c>
      <c r="AE420" s="334">
        <f>$AB420*(1-INDEX(项目参数!$D$5:$D$14,MATCH(服务费底表!$S420,项目参数!$B$5:$B$14,0)))</f>
        <v>1400</v>
      </c>
      <c r="AF420" s="334">
        <f>$AD420*INDEX(项目参数!$D$5:$D$14,MATCH(服务费底表!$S420,项目参数!$B$5:$B$14,0))</f>
        <v>0</v>
      </c>
      <c r="AG420" s="334">
        <f t="shared" si="383"/>
        <v>1400</v>
      </c>
      <c r="AH420" s="328"/>
      <c r="AI420" s="328" t="s">
        <v>654</v>
      </c>
      <c r="AJ420" s="327">
        <v>2</v>
      </c>
      <c r="AK420" s="327">
        <v>2</v>
      </c>
      <c r="AL420" s="327">
        <v>2</v>
      </c>
      <c r="AM420" s="327">
        <v>2</v>
      </c>
      <c r="AN420" s="327">
        <v>2</v>
      </c>
      <c r="AO420" s="327">
        <f t="shared" si="366"/>
        <v>2</v>
      </c>
      <c r="AP420" s="327">
        <v>2</v>
      </c>
      <c r="AQ420" s="327">
        <f t="shared" si="369"/>
        <v>3</v>
      </c>
      <c r="AR420" s="338"/>
      <c r="AS420" s="328">
        <f t="shared" si="384"/>
        <v>2</v>
      </c>
      <c r="AT420" s="328">
        <f t="shared" si="385"/>
        <v>2</v>
      </c>
      <c r="AU420" s="523">
        <v>2</v>
      </c>
      <c r="AV420" s="328"/>
      <c r="AW420" s="328"/>
      <c r="AX420" s="332">
        <v>2</v>
      </c>
      <c r="AY420" s="328" t="b">
        <f t="shared" si="365"/>
        <v>1</v>
      </c>
      <c r="AZ420" s="328" t="b">
        <f t="shared" si="354"/>
        <v>0</v>
      </c>
    </row>
    <row r="421" ht="27" customHeight="1" spans="1:52">
      <c r="A421" s="326" t="str">
        <f>INDEX('Rate Card'!$A:$A,MATCH(服务费底表!$T421,'Rate Card'!$F:$F,0))</f>
        <v>医学</v>
      </c>
      <c r="B421" s="327" t="str">
        <f>INDEX(二三级标准!$G:$G,MATCH(服务费底表!$K421,二三级标准!B:B,0))</f>
        <v>份</v>
      </c>
      <c r="C421" s="327">
        <f>INDEX(服务费明细!$E:$E,MATCH(服务费底表!$K421,服务费明细!$B:$B,0))</f>
        <v>1</v>
      </c>
      <c r="D421" s="327" t="str">
        <f t="shared" si="378"/>
        <v>A104MM</v>
      </c>
      <c r="E421" s="327" t="str">
        <f t="shared" si="379"/>
        <v>T0331MM</v>
      </c>
      <c r="F421" s="328"/>
      <c r="G421" s="328" t="s">
        <v>684</v>
      </c>
      <c r="H421" s="326" t="str">
        <f>INDEX('Rate Card'!$B:$B,MATCH(服务费底表!$T421,'Rate Card'!$F:$F,0))</f>
        <v>医学</v>
      </c>
      <c r="I421" s="328" t="s">
        <v>924</v>
      </c>
      <c r="J421" s="328" t="str">
        <f>INDEX(二三级标准!$Q:$Q,MATCH(服务费底表!I421,二三级标准!$O:$O,0))</f>
        <v>生物统计及分析</v>
      </c>
      <c r="K421" s="328" t="s">
        <v>313</v>
      </c>
      <c r="L421" s="328" t="str">
        <f>INDEX(二三级标准!C:C,MATCH(服务费底表!K421,二三级标准!$B:$B,0))</f>
        <v>撰写统计分析计划SAP</v>
      </c>
      <c r="M421" s="328" t="s">
        <v>1471</v>
      </c>
      <c r="N421" s="328" t="str">
        <f>INDEX(二三级标准!$M:$M,MATCH(服务费底表!$M421,二三级标准!$L:$L,0))</f>
        <v>统计分析计划审核</v>
      </c>
      <c r="O421" s="328"/>
      <c r="P421" s="531">
        <f>IF(R421=1,INDEX(服务费明细!$E:$E,MATCH(服务费底表!$K421,服务费明细!$B:$B,0)),0)</f>
        <v>1</v>
      </c>
      <c r="Q421" s="328" t="s">
        <v>1176</v>
      </c>
      <c r="R421" s="520">
        <f>IF(AND(SAP_YN=1,医学监查YN=1),1,0)</f>
        <v>1</v>
      </c>
      <c r="S421" s="521" t="str">
        <f>IF(AND(H421="医学",OR(I421=二三级标准!$A$4,I421=二三级标准!$A$153)),"医学撰写","医学监查")</f>
        <v>医学监查</v>
      </c>
      <c r="T421" s="328" t="s">
        <v>615</v>
      </c>
      <c r="U421" s="522" t="str">
        <f>INDEX('Rate Card'!$E:$E,MATCH(服务费底表!$T421,'Rate Card'!$F:$F,0))</f>
        <v>医学经理</v>
      </c>
      <c r="V421" s="331">
        <f>INDEX('Rate Card'!$J:$J,MATCH($T421,'Rate Card'!$F:$F,0))</f>
        <v>650</v>
      </c>
      <c r="W421" s="523">
        <f t="shared" si="367"/>
        <v>650</v>
      </c>
      <c r="X421" s="523">
        <f t="shared" si="368"/>
        <v>4</v>
      </c>
      <c r="Y421" s="327" cm="1">
        <f t="array" ref="Y421">_xlfn.IFS(报价场景=服务费底表!$AJ$2,服务费底表!$AJ421,报价场景=服务费底表!$AP$2,服务费底表!$AP421,报价场景=服务费底表!$AK$2,服务费底表!$AK421,报价场景=服务费底表!$AL$2,服务费底表!$AL421,报价场景=服务费底表!$AM$2,服务费底表!$AM421,报价场景=服务费底表!$AN$2,服务费底表!$AN421,报价场景=服务费底表!$AQ$2,服务费底表!$AQ421,报价场景=服务费底表!$AO$2,服务费底表!$AO421)</f>
        <v>4</v>
      </c>
      <c r="Z421" s="327"/>
      <c r="AA421" s="332">
        <f t="shared" si="380"/>
        <v>4</v>
      </c>
      <c r="AB421" s="333">
        <f t="shared" si="381"/>
        <v>2600</v>
      </c>
      <c r="AC421" s="328">
        <f t="shared" si="382"/>
        <v>4</v>
      </c>
      <c r="AD421" s="334">
        <f t="shared" si="361"/>
        <v>2600</v>
      </c>
      <c r="AE421" s="334">
        <f>$AB421*(1-INDEX(项目参数!$D$5:$D$14,MATCH(服务费底表!$S421,项目参数!$B$5:$B$14,0)))</f>
        <v>2600</v>
      </c>
      <c r="AF421" s="334">
        <f>$AD421*INDEX(项目参数!$D$5:$D$14,MATCH(服务费底表!$S421,项目参数!$B$5:$B$14,0))</f>
        <v>0</v>
      </c>
      <c r="AG421" s="334">
        <f t="shared" si="383"/>
        <v>2600</v>
      </c>
      <c r="AH421" s="328"/>
      <c r="AI421" s="328" t="s">
        <v>615</v>
      </c>
      <c r="AJ421" s="327">
        <v>4</v>
      </c>
      <c r="AK421" s="327">
        <f>AJ421*1.5</f>
        <v>6</v>
      </c>
      <c r="AL421" s="327">
        <v>2.5</v>
      </c>
      <c r="AM421" s="327">
        <v>5.5</v>
      </c>
      <c r="AN421" s="327">
        <f>AL421</f>
        <v>2.5</v>
      </c>
      <c r="AO421" s="327">
        <f t="shared" si="366"/>
        <v>2.5</v>
      </c>
      <c r="AP421" s="327">
        <v>4</v>
      </c>
      <c r="AQ421" s="327">
        <f t="shared" si="369"/>
        <v>6</v>
      </c>
      <c r="AR421" s="338"/>
      <c r="AS421" s="328">
        <f t="shared" si="384"/>
        <v>4</v>
      </c>
      <c r="AT421" s="328">
        <f t="shared" si="385"/>
        <v>4</v>
      </c>
      <c r="AU421" s="523">
        <v>4</v>
      </c>
      <c r="AV421" s="328"/>
      <c r="AW421" s="328"/>
      <c r="AX421" s="332">
        <v>4</v>
      </c>
      <c r="AY421" s="328" t="b">
        <f t="shared" si="365"/>
        <v>1</v>
      </c>
      <c r="AZ421" s="328" t="b">
        <f t="shared" si="354"/>
        <v>1</v>
      </c>
    </row>
    <row r="422" ht="27" customHeight="1" spans="1:52">
      <c r="A422" s="326" t="str">
        <f>INDEX('Rate Card'!$A:$A,MATCH(服务费底表!$T422,'Rate Card'!$F:$F,0))</f>
        <v>临床运营</v>
      </c>
      <c r="B422" s="327" t="str">
        <f>INDEX(二三级标准!$G:$G,MATCH(服务费底表!$K422,二三级标准!B:B,0))</f>
        <v>份</v>
      </c>
      <c r="C422" s="327">
        <f>INDEX(服务费明细!$E:$E,MATCH(服务费底表!$K422,服务费明细!$B:$B,0))</f>
        <v>1</v>
      </c>
      <c r="D422" s="327" t="str">
        <f t="shared" ref="D422" si="386">K422&amp;T422</f>
        <v>A104PM</v>
      </c>
      <c r="E422" s="327" t="str">
        <f t="shared" ref="E422" si="387">M422&amp;T422</f>
        <v>T0331PM</v>
      </c>
      <c r="F422" s="328"/>
      <c r="G422" s="328" t="s">
        <v>684</v>
      </c>
      <c r="H422" s="326" t="str">
        <f>INDEX('Rate Card'!$B:$B,MATCH(服务费底表!$T422,'Rate Card'!$F:$F,0))</f>
        <v>临床运营</v>
      </c>
      <c r="I422" s="328" t="s">
        <v>924</v>
      </c>
      <c r="J422" s="328" t="str">
        <f>INDEX(二三级标准!$Q:$Q,MATCH(服务费底表!I422,二三级标准!$O:$O,0))</f>
        <v>生物统计及分析</v>
      </c>
      <c r="K422" s="328" t="s">
        <v>313</v>
      </c>
      <c r="L422" s="328" t="str">
        <f>INDEX(二三级标准!C:C,MATCH(服务费底表!K422,二三级标准!$B:$B,0))</f>
        <v>撰写统计分析计划SAP</v>
      </c>
      <c r="M422" s="328" t="s">
        <v>1471</v>
      </c>
      <c r="N422" s="328" t="str">
        <f>INDEX(二三级标准!$M:$M,MATCH(服务费底表!$M422,二三级标准!$L:$L,0))</f>
        <v>统计分析计划审核</v>
      </c>
      <c r="O422" s="328"/>
      <c r="P422" s="531">
        <f>IF(R422=1,INDEX(服务费明细!$E:$E,MATCH(服务费底表!$K422,服务费明细!$B:$B,0)),0)</f>
        <v>1</v>
      </c>
      <c r="Q422" s="328" t="s">
        <v>1176</v>
      </c>
      <c r="R422" s="520">
        <f>IF(AND(SAP_YN=1,项目管理YN=1),1,0)</f>
        <v>1</v>
      </c>
      <c r="S422" s="525" t="str">
        <f>INDEX('Rate Card'!$D:$D,MATCH(服务费底表!$T422,'Rate Card'!F:F,0))</f>
        <v>项目管理</v>
      </c>
      <c r="T422" s="328" t="s">
        <v>599</v>
      </c>
      <c r="U422" s="522" t="str">
        <f>INDEX('Rate Card'!$E:$E,MATCH(服务费底表!$T422,'Rate Card'!$F:$F,0))</f>
        <v>临床项目经理</v>
      </c>
      <c r="V422" s="331">
        <f>INDEX('Rate Card'!$J:$J,MATCH($T422,'Rate Card'!$F:$F,0))</f>
        <v>650</v>
      </c>
      <c r="W422" s="523">
        <f t="shared" si="367"/>
        <v>650</v>
      </c>
      <c r="X422" s="523">
        <f t="shared" si="368"/>
        <v>1</v>
      </c>
      <c r="Y422" s="327" cm="1">
        <f t="array" ref="Y422">_xlfn.IFS(报价场景=服务费底表!$AJ$2,服务费底表!$AJ422,报价场景=服务费底表!$AP$2,服务费底表!$AP422,报价场景=服务费底表!$AK$2,服务费底表!$AK422,报价场景=服务费底表!$AL$2,服务费底表!$AL422,报价场景=服务费底表!$AM$2,服务费底表!$AM422,报价场景=服务费底表!$AN$2,服务费底表!$AN422,报价场景=服务费底表!$AQ$2,服务费底表!$AQ422,报价场景=服务费底表!$AO$2,服务费底表!$AO422)</f>
        <v>1</v>
      </c>
      <c r="Z422" s="327"/>
      <c r="AA422" s="332">
        <f t="shared" ref="AA422:AA428" si="388">IF(ISBLANK($Z422),$Y422,$Z422)</f>
        <v>1</v>
      </c>
      <c r="AB422" s="333">
        <f t="shared" ref="AB422" si="389">IFERROR(AD422/P422,0)</f>
        <v>650</v>
      </c>
      <c r="AC422" s="328">
        <f t="shared" ref="AC422" si="390">AA422*P422*R422</f>
        <v>1</v>
      </c>
      <c r="AD422" s="334">
        <f t="shared" ref="AD422:AD428" si="391">AC422*V422</f>
        <v>650</v>
      </c>
      <c r="AE422" s="334">
        <f>$AB422*(1-INDEX(项目参数!$D$5:$D$14,MATCH(服务费底表!$S422,项目参数!$B$5:$B$14,0)))</f>
        <v>650</v>
      </c>
      <c r="AF422" s="334">
        <f>$AD422*INDEX(项目参数!$D$5:$D$14,MATCH(服务费底表!$S422,项目参数!$B$5:$B$14,0))</f>
        <v>0</v>
      </c>
      <c r="AG422" s="334">
        <f t="shared" ref="AG422" si="392">AD422-AF422</f>
        <v>650</v>
      </c>
      <c r="AH422" s="328"/>
      <c r="AI422" s="328" t="s">
        <v>599</v>
      </c>
      <c r="AJ422" s="327">
        <v>1</v>
      </c>
      <c r="AK422" s="327">
        <f>AJ422*1.5</f>
        <v>1.5</v>
      </c>
      <c r="AL422" s="327">
        <f>AM422</f>
        <v>0.8</v>
      </c>
      <c r="AM422" s="327">
        <v>0.8</v>
      </c>
      <c r="AN422" s="327">
        <f>AJ422</f>
        <v>1</v>
      </c>
      <c r="AO422" s="327">
        <f t="shared" si="366"/>
        <v>0.8</v>
      </c>
      <c r="AP422" s="327">
        <v>1</v>
      </c>
      <c r="AQ422" s="327">
        <f t="shared" si="369"/>
        <v>1.5</v>
      </c>
      <c r="AR422" s="338"/>
      <c r="AS422" s="328">
        <f t="shared" si="384"/>
        <v>1</v>
      </c>
      <c r="AT422" s="328">
        <f t="shared" si="385"/>
        <v>1</v>
      </c>
      <c r="AU422" s="523">
        <v>1</v>
      </c>
      <c r="AV422" s="328"/>
      <c r="AW422" s="328"/>
      <c r="AX422" s="332">
        <v>1</v>
      </c>
      <c r="AY422" s="328" t="b">
        <f t="shared" si="365"/>
        <v>1</v>
      </c>
      <c r="AZ422" s="328" t="b">
        <f t="shared" si="354"/>
        <v>1</v>
      </c>
    </row>
    <row r="423" ht="27" customHeight="1" spans="1:52">
      <c r="A423" s="326" t="str">
        <f>INDEX('Rate Card'!$A:$A,MATCH(服务费底表!$T423,'Rate Card'!$F:$F,0))</f>
        <v>数统</v>
      </c>
      <c r="B423" s="327" t="str">
        <f>INDEX(二三级标准!$G:$G,MATCH(服务费底表!$K423,二三级标准!B:B,0))</f>
        <v>份</v>
      </c>
      <c r="C423" s="327">
        <f>INDEX(服务费明细!$E:$E,MATCH(服务费底表!$K423,服务费明细!$B:$B,0))</f>
        <v>1</v>
      </c>
      <c r="D423" s="327" t="str">
        <f t="shared" ref="D423:D428" si="393">K423&amp;T423</f>
        <v>A104ST</v>
      </c>
      <c r="E423" s="327" t="str">
        <f t="shared" ref="E423:E428" si="394">M423&amp;T423</f>
        <v>T0332ST</v>
      </c>
      <c r="F423" s="328"/>
      <c r="G423" s="328" t="s">
        <v>684</v>
      </c>
      <c r="H423" s="326" t="str">
        <f>INDEX('Rate Card'!$B:$B,MATCH(服务费底表!$T423,'Rate Card'!$F:$F,0))</f>
        <v>生物统计及分析</v>
      </c>
      <c r="I423" s="328" t="s">
        <v>924</v>
      </c>
      <c r="J423" s="328" t="str">
        <f>INDEX(二三级标准!$Q:$Q,MATCH(服务费底表!I423,二三级标准!$O:$O,0))</f>
        <v>生物统计及分析</v>
      </c>
      <c r="K423" s="328" t="s">
        <v>313</v>
      </c>
      <c r="L423" s="328" t="str">
        <f>INDEX(二三级标准!C:C,MATCH(服务费底表!K423,二三级标准!$B:$B,0))</f>
        <v>撰写统计分析计划SAP</v>
      </c>
      <c r="M423" s="328" t="s">
        <v>1473</v>
      </c>
      <c r="N423" s="328" t="str">
        <f>INDEX(二三级标准!$M:$M,MATCH(服务费底表!$M423,二三级标准!$L:$L,0))</f>
        <v>统计分析计划的修订</v>
      </c>
      <c r="O423" s="328"/>
      <c r="P423" s="531">
        <f>IF(R423=1,INDEX(服务费明细!$E:$E,MATCH(服务费底表!$K423,服务费明细!$B:$B,0)),0)</f>
        <v>1</v>
      </c>
      <c r="Q423" s="328" t="s">
        <v>1176</v>
      </c>
      <c r="R423" s="520">
        <f>IF(AND(SAP_YN=1,生物统计YN=1),1,0)</f>
        <v>1</v>
      </c>
      <c r="S423" s="524" t="str">
        <f>INDEX('Rate Card'!$D:$D,MATCH(服务费底表!$T423,'Rate Card'!F:F,0))</f>
        <v>生物统计</v>
      </c>
      <c r="T423" s="328" t="s">
        <v>639</v>
      </c>
      <c r="U423" s="522" t="str">
        <f>INDEX('Rate Card'!$E:$E,MATCH(服务费底表!$T423,'Rate Card'!$F:$F,0))</f>
        <v>生物统计师</v>
      </c>
      <c r="V423" s="331">
        <f>INDEX('Rate Card'!$J:$J,MATCH($T423,'Rate Card'!$F:$F,0))</f>
        <v>400</v>
      </c>
      <c r="W423" s="523">
        <f t="shared" si="367"/>
        <v>400</v>
      </c>
      <c r="X423" s="523">
        <f t="shared" si="368"/>
        <v>8</v>
      </c>
      <c r="Y423" s="327" cm="1">
        <f t="array" ref="Y423">_xlfn.IFS(报价场景=服务费底表!$AJ$2,服务费底表!$AJ423,报价场景=服务费底表!$AP$2,服务费底表!$AP423,报价场景=服务费底表!$AK$2,服务费底表!$AK423,报价场景=服务费底表!$AL$2,服务费底表!$AL423,报价场景=服务费底表!$AM$2,服务费底表!$AM423,报价场景=服务费底表!$AN$2,服务费底表!$AN423,报价场景=服务费底表!$AQ$2,服务费底表!$AQ423,报价场景=服务费底表!$AO$2,服务费底表!$AO423)</f>
        <v>8</v>
      </c>
      <c r="Z423" s="327"/>
      <c r="AA423" s="332">
        <f t="shared" si="388"/>
        <v>8</v>
      </c>
      <c r="AB423" s="333">
        <f t="shared" ref="AB423:AB428" si="395">IFERROR(AD423/P423,0)</f>
        <v>3200</v>
      </c>
      <c r="AC423" s="328">
        <f t="shared" ref="AC423:AC428" si="396">AA423*P423*R423</f>
        <v>8</v>
      </c>
      <c r="AD423" s="334">
        <f t="shared" si="391"/>
        <v>3200</v>
      </c>
      <c r="AE423" s="334">
        <f>$AB423*(1-INDEX(项目参数!$D$5:$D$14,MATCH(服务费底表!$S423,项目参数!$B$5:$B$14,0)))</f>
        <v>3200</v>
      </c>
      <c r="AF423" s="334">
        <f>$AD423*INDEX(项目参数!$D$5:$D$14,MATCH(服务费底表!$S423,项目参数!$B$5:$B$14,0))</f>
        <v>0</v>
      </c>
      <c r="AG423" s="334">
        <f t="shared" ref="AG423:AG428" si="397">AD423-AF423</f>
        <v>3200</v>
      </c>
      <c r="AH423" s="328"/>
      <c r="AI423" s="328" t="s">
        <v>639</v>
      </c>
      <c r="AJ423" s="327">
        <v>8</v>
      </c>
      <c r="AK423" s="327">
        <v>12</v>
      </c>
      <c r="AL423" s="327">
        <v>4</v>
      </c>
      <c r="AM423" s="327">
        <v>8</v>
      </c>
      <c r="AN423" s="327">
        <v>4</v>
      </c>
      <c r="AO423" s="327">
        <f t="shared" si="366"/>
        <v>4</v>
      </c>
      <c r="AP423" s="327">
        <v>8</v>
      </c>
      <c r="AQ423" s="327">
        <f t="shared" si="369"/>
        <v>12</v>
      </c>
      <c r="AR423" s="338"/>
      <c r="AS423" s="328">
        <f t="shared" si="384"/>
        <v>8</v>
      </c>
      <c r="AT423" s="328">
        <f t="shared" si="385"/>
        <v>8</v>
      </c>
      <c r="AU423" s="523">
        <v>8</v>
      </c>
      <c r="AV423" s="328"/>
      <c r="AW423" s="328"/>
      <c r="AX423" s="332">
        <v>8</v>
      </c>
      <c r="AY423" s="328" t="b">
        <f t="shared" si="365"/>
        <v>1</v>
      </c>
      <c r="AZ423" s="328" t="b">
        <f t="shared" si="354"/>
        <v>1</v>
      </c>
    </row>
    <row r="424" ht="27" customHeight="1" spans="1:52">
      <c r="A424" s="326" t="str">
        <f>INDEX('Rate Card'!$A:$A,MATCH(服务费底表!$T424,'Rate Card'!$F:$F,0))</f>
        <v>数统</v>
      </c>
      <c r="B424" s="327" t="str">
        <f>INDEX(二三级标准!$G:$G,MATCH(服务费底表!$K424,二三级标准!B:B,0))</f>
        <v>份</v>
      </c>
      <c r="C424" s="327">
        <f>INDEX(服务费明细!$E:$E,MATCH(服务费底表!$K424,服务费明细!$B:$B,0))</f>
        <v>0</v>
      </c>
      <c r="D424" s="327" t="str">
        <f t="shared" si="393"/>
        <v>A105ST</v>
      </c>
      <c r="E424" s="327" t="str">
        <f t="shared" si="394"/>
        <v>T0333ST</v>
      </c>
      <c r="F424" s="328"/>
      <c r="G424" s="328" t="s">
        <v>684</v>
      </c>
      <c r="H424" s="326" t="str">
        <f>INDEX('Rate Card'!$B:$B,MATCH(服务费底表!$T424,'Rate Card'!$F:$F,0))</f>
        <v>生物统计及分析</v>
      </c>
      <c r="I424" s="328" t="s">
        <v>924</v>
      </c>
      <c r="J424" s="328" t="str">
        <f>INDEX(二三级标准!$Q:$Q,MATCH(服务费底表!I424,二三级标准!$O:$O,0))</f>
        <v>生物统计及分析</v>
      </c>
      <c r="K424" s="328" t="s">
        <v>315</v>
      </c>
      <c r="L424" s="328" t="str">
        <f>INDEX(二三级标准!C:C,MATCH(服务费底表!K424,二三级标准!$B:$B,0))</f>
        <v>制定和实施随机化方案</v>
      </c>
      <c r="M424" s="328" t="s">
        <v>1474</v>
      </c>
      <c r="N424" s="328" t="str">
        <f>INDEX(二三级标准!$M:$M,MATCH(服务费底表!$M424,二三级标准!$L:$L,0))</f>
        <v>随机化方案起草</v>
      </c>
      <c r="O424" s="328"/>
      <c r="P424" s="531">
        <f>IF(R424=1,INDEX(服务费明细!$E:$E,MATCH(服务费底表!$K424,服务费明细!$B:$B,0)),0)</f>
        <v>0</v>
      </c>
      <c r="Q424" s="328" t="s">
        <v>1176</v>
      </c>
      <c r="R424" s="520">
        <f>IF(AND(制定和实施随机化方案YN=1,生物统计YN=1),1,0)</f>
        <v>0</v>
      </c>
      <c r="S424" s="524" t="str">
        <f>INDEX('Rate Card'!$D:$D,MATCH(服务费底表!$T424,'Rate Card'!F:F,0))</f>
        <v>生物统计</v>
      </c>
      <c r="T424" s="328" t="s">
        <v>639</v>
      </c>
      <c r="U424" s="522" t="str">
        <f>INDEX('Rate Card'!$E:$E,MATCH(服务费底表!$T424,'Rate Card'!$F:$F,0))</f>
        <v>生物统计师</v>
      </c>
      <c r="V424" s="331">
        <f>INDEX('Rate Card'!$J:$J,MATCH($T424,'Rate Card'!$F:$F,0))</f>
        <v>400</v>
      </c>
      <c r="W424" s="523">
        <f t="shared" si="367"/>
        <v>400</v>
      </c>
      <c r="X424" s="523">
        <f t="shared" si="368"/>
        <v>12</v>
      </c>
      <c r="Y424" s="327" cm="1">
        <f t="array" ref="Y424">_xlfn.IFS(报价场景=服务费底表!$AJ$2,服务费底表!$AJ424,报价场景=服务费底表!$AP$2,服务费底表!$AP424,报价场景=服务费底表!$AK$2,服务费底表!$AK424,报价场景=服务费底表!$AL$2,服务费底表!$AL424,报价场景=服务费底表!$AM$2,服务费底表!$AM424,报价场景=服务费底表!$AN$2,服务费底表!$AN424,报价场景=服务费底表!$AQ$2,服务费底表!$AQ424,报价场景=服务费底表!$AO$2,服务费底表!$AO424)</f>
        <v>12</v>
      </c>
      <c r="Z424" s="327"/>
      <c r="AA424" s="332">
        <f t="shared" si="388"/>
        <v>12</v>
      </c>
      <c r="AB424" s="333">
        <f t="shared" si="395"/>
        <v>0</v>
      </c>
      <c r="AC424" s="328">
        <f t="shared" si="396"/>
        <v>0</v>
      </c>
      <c r="AD424" s="334">
        <f t="shared" si="391"/>
        <v>0</v>
      </c>
      <c r="AE424" s="334">
        <f>$AB424*(1-INDEX(项目参数!$D$5:$D$14,MATCH(服务费底表!$S424,项目参数!$B$5:$B$14,0)))</f>
        <v>0</v>
      </c>
      <c r="AF424" s="334">
        <f>$AD424*INDEX(项目参数!$D$5:$D$14,MATCH(服务费底表!$S424,项目参数!$B$5:$B$14,0))</f>
        <v>0</v>
      </c>
      <c r="AG424" s="334">
        <f t="shared" si="397"/>
        <v>0</v>
      </c>
      <c r="AH424" s="328"/>
      <c r="AI424" s="328" t="s">
        <v>639</v>
      </c>
      <c r="AJ424" s="327">
        <v>12</v>
      </c>
      <c r="AK424" s="327">
        <v>12</v>
      </c>
      <c r="AL424" s="327">
        <v>8</v>
      </c>
      <c r="AM424" s="327">
        <v>12</v>
      </c>
      <c r="AN424" s="327">
        <v>8</v>
      </c>
      <c r="AO424" s="327">
        <f t="shared" si="366"/>
        <v>8</v>
      </c>
      <c r="AP424" s="327">
        <v>12</v>
      </c>
      <c r="AQ424" s="327">
        <f t="shared" si="369"/>
        <v>18</v>
      </c>
      <c r="AR424" s="338"/>
      <c r="AS424" s="328">
        <f t="shared" si="384"/>
        <v>0</v>
      </c>
      <c r="AT424" s="328">
        <f t="shared" si="385"/>
        <v>0</v>
      </c>
      <c r="AU424" s="523">
        <v>12</v>
      </c>
      <c r="AV424" s="328"/>
      <c r="AW424" s="328"/>
      <c r="AX424" s="332">
        <v>12</v>
      </c>
      <c r="AY424" s="328" t="b">
        <f t="shared" si="365"/>
        <v>1</v>
      </c>
      <c r="AZ424" s="328" t="b">
        <f t="shared" si="354"/>
        <v>0</v>
      </c>
    </row>
    <row r="425" ht="27" customHeight="1" spans="1:52">
      <c r="A425" s="326" t="str">
        <f>INDEX('Rate Card'!$A:$A,MATCH(服务费底表!$T425,'Rate Card'!$F:$F,0))</f>
        <v>数统</v>
      </c>
      <c r="B425" s="327" t="str">
        <f>INDEX(二三级标准!$G:$G,MATCH(服务费底表!$K425,二三级标准!B:B,0))</f>
        <v>份</v>
      </c>
      <c r="C425" s="327">
        <f>INDEX(服务费明细!$E:$E,MATCH(服务费底表!$K425,服务费明细!$B:$B,0))</f>
        <v>0</v>
      </c>
      <c r="D425" s="327" t="str">
        <f t="shared" si="393"/>
        <v>A105STM</v>
      </c>
      <c r="E425" s="327" t="str">
        <f t="shared" si="394"/>
        <v>T0334STM</v>
      </c>
      <c r="F425" s="328"/>
      <c r="G425" s="328" t="s">
        <v>684</v>
      </c>
      <c r="H425" s="326" t="str">
        <f>INDEX('Rate Card'!$B:$B,MATCH(服务费底表!$T425,'Rate Card'!$F:$F,0))</f>
        <v>生物统计及分析</v>
      </c>
      <c r="I425" s="328" t="s">
        <v>924</v>
      </c>
      <c r="J425" s="328" t="str">
        <f>INDEX(二三级标准!$Q:$Q,MATCH(服务费底表!I425,二三级标准!$O:$O,0))</f>
        <v>生物统计及分析</v>
      </c>
      <c r="K425" s="328" t="s">
        <v>315</v>
      </c>
      <c r="L425" s="328" t="str">
        <f>INDEX(二三级标准!C:C,MATCH(服务费底表!K425,二三级标准!$B:$B,0))</f>
        <v>制定和实施随机化方案</v>
      </c>
      <c r="M425" s="328" t="s">
        <v>1475</v>
      </c>
      <c r="N425" s="328" t="str">
        <f>INDEX(二三级标准!$M:$M,MATCH(服务费底表!$M425,二三级标准!$L:$L,0))</f>
        <v>随机化方案审核</v>
      </c>
      <c r="O425" s="328"/>
      <c r="P425" s="531">
        <f>IF(R425=1,1,0)</f>
        <v>0</v>
      </c>
      <c r="Q425" s="328" t="s">
        <v>1176</v>
      </c>
      <c r="R425" s="520">
        <f>IF(AND(制定和实施随机化方案YN=1,生物统计YN=1),1,0)</f>
        <v>0</v>
      </c>
      <c r="S425" s="524" t="str">
        <f>INDEX('Rate Card'!$D:$D,MATCH(服务费底表!$T425,'Rate Card'!F:F,0))</f>
        <v>生物统计</v>
      </c>
      <c r="T425" s="328" t="s">
        <v>642</v>
      </c>
      <c r="U425" s="522" t="str">
        <f>INDEX('Rate Card'!$E:$E,MATCH(服务费底表!$T425,'Rate Card'!$F:$F,0))</f>
        <v>生物统计经理</v>
      </c>
      <c r="V425" s="331">
        <f>INDEX('Rate Card'!$J:$J,MATCH($T425,'Rate Card'!$F:$F,0))</f>
        <v>700</v>
      </c>
      <c r="W425" s="523">
        <f t="shared" si="367"/>
        <v>700</v>
      </c>
      <c r="X425" s="523">
        <f t="shared" si="368"/>
        <v>2</v>
      </c>
      <c r="Y425" s="327" cm="1">
        <f t="array" ref="Y425">_xlfn.IFS(报价场景=服务费底表!$AJ$2,服务费底表!$AJ425,报价场景=服务费底表!$AP$2,服务费底表!$AP425,报价场景=服务费底表!$AK$2,服务费底表!$AK425,报价场景=服务费底表!$AL$2,服务费底表!$AL425,报价场景=服务费底表!$AM$2,服务费底表!$AM425,报价场景=服务费底表!$AN$2,服务费底表!$AN425,报价场景=服务费底表!$AQ$2,服务费底表!$AQ425,报价场景=服务费底表!$AO$2,服务费底表!$AO425)</f>
        <v>2</v>
      </c>
      <c r="Z425" s="327"/>
      <c r="AA425" s="332">
        <f t="shared" si="388"/>
        <v>2</v>
      </c>
      <c r="AB425" s="333">
        <f t="shared" si="395"/>
        <v>0</v>
      </c>
      <c r="AC425" s="328">
        <f t="shared" si="396"/>
        <v>0</v>
      </c>
      <c r="AD425" s="334">
        <f t="shared" si="391"/>
        <v>0</v>
      </c>
      <c r="AE425" s="334">
        <f>$AB425*(1-INDEX(项目参数!$D$5:$D$14,MATCH(服务费底表!$S425,项目参数!$B$5:$B$14,0)))</f>
        <v>0</v>
      </c>
      <c r="AF425" s="334">
        <f>$AD425*INDEX(项目参数!$D$5:$D$14,MATCH(服务费底表!$S425,项目参数!$B$5:$B$14,0))</f>
        <v>0</v>
      </c>
      <c r="AG425" s="334">
        <f t="shared" si="397"/>
        <v>0</v>
      </c>
      <c r="AH425" s="328"/>
      <c r="AI425" s="328" t="s">
        <v>642</v>
      </c>
      <c r="AJ425" s="327">
        <v>2</v>
      </c>
      <c r="AK425" s="327">
        <v>3</v>
      </c>
      <c r="AL425" s="327">
        <v>2</v>
      </c>
      <c r="AM425" s="327">
        <v>2</v>
      </c>
      <c r="AN425" s="327">
        <v>2</v>
      </c>
      <c r="AO425" s="327">
        <f t="shared" si="366"/>
        <v>2</v>
      </c>
      <c r="AP425" s="327">
        <v>2</v>
      </c>
      <c r="AQ425" s="327">
        <f t="shared" si="369"/>
        <v>3</v>
      </c>
      <c r="AR425" s="338"/>
      <c r="AS425" s="328">
        <f t="shared" si="384"/>
        <v>0</v>
      </c>
      <c r="AT425" s="328">
        <f t="shared" si="385"/>
        <v>0</v>
      </c>
      <c r="AU425" s="523">
        <v>2</v>
      </c>
      <c r="AV425" s="328"/>
      <c r="AW425" s="328"/>
      <c r="AX425" s="332">
        <v>2</v>
      </c>
      <c r="AY425" s="328" t="b">
        <f t="shared" si="365"/>
        <v>1</v>
      </c>
      <c r="AZ425" s="328" t="b">
        <f t="shared" si="354"/>
        <v>0</v>
      </c>
    </row>
    <row r="426" ht="27" customHeight="1" spans="1:52">
      <c r="A426" s="326" t="str">
        <f>INDEX('Rate Card'!$A:$A,MATCH(服务费底表!$T426,'Rate Card'!$F:$F,0))</f>
        <v>数统</v>
      </c>
      <c r="B426" s="327" t="str">
        <f>INDEX(二三级标准!$G:$G,MATCH(服务费底表!$K426,二三级标准!B:B,0))</f>
        <v>份</v>
      </c>
      <c r="C426" s="327">
        <f>INDEX(服务费明细!$E:$E,MATCH(服务费底表!$K426,服务费明细!$B:$B,0))</f>
        <v>0</v>
      </c>
      <c r="D426" s="327" t="str">
        <f t="shared" si="393"/>
        <v>A105STM</v>
      </c>
      <c r="E426" s="327" t="str">
        <f t="shared" si="394"/>
        <v>T0335STM</v>
      </c>
      <c r="F426" s="328"/>
      <c r="G426" s="328" t="s">
        <v>684</v>
      </c>
      <c r="H426" s="326" t="str">
        <f>INDEX('Rate Card'!$B:$B,MATCH(服务费底表!$T426,'Rate Card'!$F:$F,0))</f>
        <v>生物统计及分析</v>
      </c>
      <c r="I426" s="328" t="s">
        <v>924</v>
      </c>
      <c r="J426" s="328" t="str">
        <f>INDEX(二三级标准!$Q:$Q,MATCH(服务费底表!I426,二三级标准!$O:$O,0))</f>
        <v>生物统计及分析</v>
      </c>
      <c r="K426" s="328" t="s">
        <v>315</v>
      </c>
      <c r="L426" s="328" t="str">
        <f>INDEX(二三级标准!C:C,MATCH(服务费底表!K426,二三级标准!$B:$B,0))</f>
        <v>制定和实施随机化方案</v>
      </c>
      <c r="M426" s="328" t="s">
        <v>1476</v>
      </c>
      <c r="N426" s="328" t="str">
        <f>INDEX(二三级标准!$M:$M,MATCH(服务费底表!$M426,二三级标准!$L:$L,0))</f>
        <v>随机化程序和列表审核</v>
      </c>
      <c r="O426" s="328"/>
      <c r="P426" s="531">
        <f>IF(R426=1,1,0)</f>
        <v>0</v>
      </c>
      <c r="Q426" s="328" t="s">
        <v>1176</v>
      </c>
      <c r="R426" s="520">
        <f>IF(AND(制定和实施随机化方案YN=1,生物统计YN=1),1,0)</f>
        <v>0</v>
      </c>
      <c r="S426" s="524" t="str">
        <f>INDEX('Rate Card'!$D:$D,MATCH(服务费底表!$T426,'Rate Card'!F:F,0))</f>
        <v>生物统计</v>
      </c>
      <c r="T426" s="328" t="s">
        <v>642</v>
      </c>
      <c r="U426" s="522" t="str">
        <f>INDEX('Rate Card'!$E:$E,MATCH(服务费底表!$T426,'Rate Card'!$F:$F,0))</f>
        <v>生物统计经理</v>
      </c>
      <c r="V426" s="331">
        <f>INDEX('Rate Card'!$J:$J,MATCH($T426,'Rate Card'!$F:$F,0))</f>
        <v>700</v>
      </c>
      <c r="W426" s="523">
        <f t="shared" si="367"/>
        <v>700</v>
      </c>
      <c r="X426" s="523">
        <f t="shared" si="368"/>
        <v>2</v>
      </c>
      <c r="Y426" s="327" cm="1">
        <f t="array" ref="Y426">_xlfn.IFS(报价场景=服务费底表!$AJ$2,服务费底表!$AJ426,报价场景=服务费底表!$AP$2,服务费底表!$AP426,报价场景=服务费底表!$AK$2,服务费底表!$AK426,报价场景=服务费底表!$AL$2,服务费底表!$AL426,报价场景=服务费底表!$AM$2,服务费底表!$AM426,报价场景=服务费底表!$AN$2,服务费底表!$AN426,报价场景=服务费底表!$AQ$2,服务费底表!$AQ426,报价场景=服务费底表!$AO$2,服务费底表!$AO426)</f>
        <v>2</v>
      </c>
      <c r="Z426" s="327"/>
      <c r="AA426" s="332">
        <f t="shared" si="388"/>
        <v>2</v>
      </c>
      <c r="AB426" s="333">
        <f t="shared" si="395"/>
        <v>0</v>
      </c>
      <c r="AC426" s="328">
        <f t="shared" si="396"/>
        <v>0</v>
      </c>
      <c r="AD426" s="334">
        <f t="shared" si="391"/>
        <v>0</v>
      </c>
      <c r="AE426" s="334">
        <f>$AB426*(1-INDEX(项目参数!$D$5:$D$14,MATCH(服务费底表!$S426,项目参数!$B$5:$B$14,0)))</f>
        <v>0</v>
      </c>
      <c r="AF426" s="334">
        <f>$AD426*INDEX(项目参数!$D$5:$D$14,MATCH(服务费底表!$S426,项目参数!$B$5:$B$14,0))</f>
        <v>0</v>
      </c>
      <c r="AG426" s="334">
        <f t="shared" si="397"/>
        <v>0</v>
      </c>
      <c r="AH426" s="328"/>
      <c r="AI426" s="328" t="s">
        <v>642</v>
      </c>
      <c r="AJ426" s="327">
        <v>2</v>
      </c>
      <c r="AK426" s="327">
        <v>2</v>
      </c>
      <c r="AL426" s="327">
        <v>1.5</v>
      </c>
      <c r="AM426" s="327">
        <v>2</v>
      </c>
      <c r="AN426" s="327">
        <v>1.5</v>
      </c>
      <c r="AO426" s="327">
        <f t="shared" si="366"/>
        <v>1.5</v>
      </c>
      <c r="AP426" s="327">
        <v>2</v>
      </c>
      <c r="AQ426" s="327">
        <f t="shared" si="369"/>
        <v>3</v>
      </c>
      <c r="AR426" s="338"/>
      <c r="AS426" s="328">
        <f t="shared" si="384"/>
        <v>0</v>
      </c>
      <c r="AT426" s="328">
        <f t="shared" si="385"/>
        <v>0</v>
      </c>
      <c r="AU426" s="523">
        <v>2</v>
      </c>
      <c r="AV426" s="328"/>
      <c r="AW426" s="328"/>
      <c r="AX426" s="332">
        <v>2</v>
      </c>
      <c r="AY426" s="328" t="b">
        <f t="shared" si="365"/>
        <v>1</v>
      </c>
      <c r="AZ426" s="328" t="b">
        <f t="shared" si="354"/>
        <v>0</v>
      </c>
    </row>
    <row r="427" ht="27" customHeight="1" spans="1:52">
      <c r="A427" s="326" t="str">
        <f>INDEX('Rate Card'!$A:$A,MATCH(服务费底表!$T427,'Rate Card'!$F:$F,0))</f>
        <v>数统</v>
      </c>
      <c r="B427" s="327" t="str">
        <f>INDEX(二三级标准!$G:$G,MATCH(服务费底表!$K427,二三级标准!B:B,0))</f>
        <v>份</v>
      </c>
      <c r="C427" s="327">
        <f>INDEX(服务费明细!$E:$E,MATCH(服务费底表!$K427,服务费明细!$B:$B,0))</f>
        <v>0</v>
      </c>
      <c r="D427" s="327" t="str">
        <f t="shared" si="393"/>
        <v>A105ST</v>
      </c>
      <c r="E427" s="327" t="str">
        <f t="shared" si="394"/>
        <v>T0622ST</v>
      </c>
      <c r="F427" s="328"/>
      <c r="G427" s="328" t="s">
        <v>684</v>
      </c>
      <c r="H427" s="326" t="str">
        <f>INDEX('Rate Card'!$B:$B,MATCH(服务费底表!$T427,'Rate Card'!$F:$F,0))</f>
        <v>生物统计及分析</v>
      </c>
      <c r="I427" s="328" t="s">
        <v>924</v>
      </c>
      <c r="J427" s="328" t="str">
        <f>INDEX(二三级标准!$Q:$Q,MATCH(服务费底表!I427,二三级标准!$O:$O,0))</f>
        <v>生物统计及分析</v>
      </c>
      <c r="K427" s="328" t="s">
        <v>315</v>
      </c>
      <c r="L427" s="328" t="str">
        <f>INDEX(二三级标准!C:C,MATCH(服务费底表!K427,二三级标准!$B:$B,0))</f>
        <v>制定和实施随机化方案</v>
      </c>
      <c r="M427" s="328" t="s">
        <v>1477</v>
      </c>
      <c r="N427" s="328" t="str">
        <f>INDEX(二三级标准!$M:$M,MATCH(服务费底表!$M427,二三级标准!$L:$L,0))</f>
        <v>随机化方案的修订</v>
      </c>
      <c r="O427" s="328"/>
      <c r="P427" s="531">
        <f>IF(R427=1,INDEX(服务费明细!$E:$E,MATCH(服务费底表!$K427,服务费明细!$B:$B,0)),0)</f>
        <v>0</v>
      </c>
      <c r="Q427" s="328" t="s">
        <v>1176</v>
      </c>
      <c r="R427" s="520">
        <f>IF(AND(制定和实施随机化方案YN=1,生物统计YN=1),1,0)</f>
        <v>0</v>
      </c>
      <c r="S427" s="524" t="str">
        <f>INDEX('Rate Card'!$D:$D,MATCH(服务费底表!$T427,'Rate Card'!F:F,0))</f>
        <v>生物统计</v>
      </c>
      <c r="T427" s="328" t="s">
        <v>639</v>
      </c>
      <c r="U427" s="522" t="str">
        <f>INDEX('Rate Card'!$E:$E,MATCH(服务费底表!$T427,'Rate Card'!$F:$F,0))</f>
        <v>生物统计师</v>
      </c>
      <c r="V427" s="331">
        <f>INDEX('Rate Card'!$J:$J,MATCH($T427,'Rate Card'!$F:$F,0))</f>
        <v>400</v>
      </c>
      <c r="W427" s="523">
        <f t="shared" si="367"/>
        <v>400</v>
      </c>
      <c r="X427" s="523">
        <f t="shared" si="368"/>
        <v>4</v>
      </c>
      <c r="Y427" s="327" cm="1">
        <f t="array" ref="Y427">_xlfn.IFS(报价场景=服务费底表!$AJ$2,服务费底表!$AJ427,报价场景=服务费底表!$AP$2,服务费底表!$AP427,报价场景=服务费底表!$AK$2,服务费底表!$AK427,报价场景=服务费底表!$AL$2,服务费底表!$AL427,报价场景=服务费底表!$AM$2,服务费底表!$AM427,报价场景=服务费底表!$AN$2,服务费底表!$AN427,报价场景=服务费底表!$AQ$2,服务费底表!$AQ427,报价场景=服务费底表!$AO$2,服务费底表!$AO427)</f>
        <v>4</v>
      </c>
      <c r="Z427" s="327"/>
      <c r="AA427" s="332">
        <f t="shared" si="388"/>
        <v>4</v>
      </c>
      <c r="AB427" s="333">
        <f t="shared" si="395"/>
        <v>0</v>
      </c>
      <c r="AC427" s="328">
        <f t="shared" si="396"/>
        <v>0</v>
      </c>
      <c r="AD427" s="334">
        <f t="shared" si="391"/>
        <v>0</v>
      </c>
      <c r="AE427" s="334">
        <f>$AB427*(1-INDEX(项目参数!$D$5:$D$14,MATCH(服务费底表!$S427,项目参数!$B$5:$B$14,0)))</f>
        <v>0</v>
      </c>
      <c r="AF427" s="334">
        <f>$AD427*INDEX(项目参数!$D$5:$D$14,MATCH(服务费底表!$S427,项目参数!$B$5:$B$14,0))</f>
        <v>0</v>
      </c>
      <c r="AG427" s="334">
        <f t="shared" si="397"/>
        <v>0</v>
      </c>
      <c r="AH427" s="328"/>
      <c r="AI427" s="328" t="s">
        <v>639</v>
      </c>
      <c r="AJ427" s="327">
        <v>4</v>
      </c>
      <c r="AK427" s="327">
        <v>4</v>
      </c>
      <c r="AL427" s="327">
        <v>4</v>
      </c>
      <c r="AM427" s="327">
        <v>4</v>
      </c>
      <c r="AN427" s="327">
        <v>4</v>
      </c>
      <c r="AO427" s="327">
        <f t="shared" si="366"/>
        <v>4</v>
      </c>
      <c r="AP427" s="327">
        <v>4</v>
      </c>
      <c r="AQ427" s="327">
        <f t="shared" si="369"/>
        <v>6</v>
      </c>
      <c r="AR427" s="338"/>
      <c r="AS427" s="328">
        <f t="shared" si="384"/>
        <v>0</v>
      </c>
      <c r="AT427" s="328">
        <f t="shared" si="385"/>
        <v>0</v>
      </c>
      <c r="AU427" s="523">
        <v>4</v>
      </c>
      <c r="AV427" s="328"/>
      <c r="AW427" s="328"/>
      <c r="AX427" s="332">
        <v>4</v>
      </c>
      <c r="AY427" s="328" t="b">
        <f t="shared" si="365"/>
        <v>1</v>
      </c>
      <c r="AZ427" s="328" t="b">
        <f t="shared" si="354"/>
        <v>0</v>
      </c>
    </row>
    <row r="428" ht="27" customHeight="1" spans="1:52">
      <c r="A428" s="326" t="str">
        <f>INDEX('Rate Card'!$A:$A,MATCH(服务费底表!$T428,'Rate Card'!$F:$F,0))</f>
        <v>数统</v>
      </c>
      <c r="B428" s="327" t="str">
        <f>INDEX(二三级标准!$G:$G,MATCH(服务费底表!$K428,二三级标准!B:B,0))</f>
        <v>份</v>
      </c>
      <c r="C428" s="327">
        <f>INDEX(服务费明细!$E:$E,MATCH(服务费底表!$K428,服务费明细!$B:$B,0))</f>
        <v>0</v>
      </c>
      <c r="D428" s="327" t="str">
        <f t="shared" si="393"/>
        <v>A105ST</v>
      </c>
      <c r="E428" s="327" t="str">
        <f t="shared" si="394"/>
        <v>T0336ST</v>
      </c>
      <c r="F428" s="328"/>
      <c r="G428" s="328" t="s">
        <v>684</v>
      </c>
      <c r="H428" s="326" t="str">
        <f>INDEX('Rate Card'!$B:$B,MATCH(服务费底表!$T428,'Rate Card'!$F:$F,0))</f>
        <v>生物统计及分析</v>
      </c>
      <c r="I428" s="328" t="s">
        <v>924</v>
      </c>
      <c r="J428" s="328" t="str">
        <f>INDEX(二三级标准!$Q:$Q,MATCH(服务费底表!I428,二三级标准!$O:$O,0))</f>
        <v>生物统计及分析</v>
      </c>
      <c r="K428" s="328" t="s">
        <v>315</v>
      </c>
      <c r="L428" s="328" t="str">
        <f>INDEX(二三级标准!C:C,MATCH(服务费底表!K428,二三级标准!$B:$B,0))</f>
        <v>制定和实施随机化方案</v>
      </c>
      <c r="M428" s="328" t="s">
        <v>1478</v>
      </c>
      <c r="N428" s="328" t="str">
        <f>INDEX(二三级标准!$M:$M,MATCH(服务费底表!$M428,二三级标准!$L:$L,0))</f>
        <v>非盲随机化方案执行/线上</v>
      </c>
      <c r="O428" s="328"/>
      <c r="P428" s="531">
        <f>IF(R428=1,INDEX(服务费明细!$E:$E,MATCH(服务费底表!$K428,服务费明细!$B:$B,0)),0)</f>
        <v>0</v>
      </c>
      <c r="Q428" s="328" t="s">
        <v>1178</v>
      </c>
      <c r="R428" s="520">
        <f>IF(AND(制定和实施随机化方案YN=1,生物统计YN=1),1,0)</f>
        <v>0</v>
      </c>
      <c r="S428" s="524" t="str">
        <f>INDEX('Rate Card'!$D:$D,MATCH(服务费底表!$T428,'Rate Card'!F:F,0))</f>
        <v>生物统计</v>
      </c>
      <c r="T428" s="328" t="s">
        <v>639</v>
      </c>
      <c r="U428" s="522" t="str">
        <f>INDEX('Rate Card'!$E:$E,MATCH(服务费底表!$T428,'Rate Card'!$F:$F,0))</f>
        <v>生物统计师</v>
      </c>
      <c r="V428" s="331">
        <f>INDEX('Rate Card'!$J:$J,MATCH($T428,'Rate Card'!$F:$F,0))</f>
        <v>400</v>
      </c>
      <c r="W428" s="523">
        <f t="shared" si="367"/>
        <v>400</v>
      </c>
      <c r="X428" s="523">
        <f t="shared" si="368"/>
        <v>8</v>
      </c>
      <c r="Y428" s="327" cm="1">
        <f t="array" ref="Y428">_xlfn.IFS(报价场景=服务费底表!$AJ$2,服务费底表!$AJ428,报价场景=服务费底表!$AP$2,服务费底表!$AP428,报价场景=服务费底表!$AK$2,服务费底表!$AK428,报价场景=服务费底表!$AL$2,服务费底表!$AL428,报价场景=服务费底表!$AM$2,服务费底表!$AM428,报价场景=服务费底表!$AN$2,服务费底表!$AN428,报价场景=服务费底表!$AQ$2,服务费底表!$AQ428,报价场景=服务费底表!$AO$2,服务费底表!$AO428)</f>
        <v>8</v>
      </c>
      <c r="Z428" s="327"/>
      <c r="AA428" s="332">
        <f t="shared" si="388"/>
        <v>8</v>
      </c>
      <c r="AB428" s="333">
        <f t="shared" si="395"/>
        <v>0</v>
      </c>
      <c r="AC428" s="328">
        <f t="shared" si="396"/>
        <v>0</v>
      </c>
      <c r="AD428" s="334">
        <f t="shared" si="391"/>
        <v>0</v>
      </c>
      <c r="AE428" s="334">
        <f>$AB428*(1-INDEX(项目参数!$D$5:$D$14,MATCH(服务费底表!$S428,项目参数!$B$5:$B$14,0)))</f>
        <v>0</v>
      </c>
      <c r="AF428" s="334">
        <f>$AD428*INDEX(项目参数!$D$5:$D$14,MATCH(服务费底表!$S428,项目参数!$B$5:$B$14,0))</f>
        <v>0</v>
      </c>
      <c r="AG428" s="334">
        <f t="shared" si="397"/>
        <v>0</v>
      </c>
      <c r="AH428" s="328"/>
      <c r="AI428" s="328" t="s">
        <v>639</v>
      </c>
      <c r="AJ428" s="327">
        <v>8</v>
      </c>
      <c r="AK428" s="327">
        <v>8</v>
      </c>
      <c r="AL428" s="327">
        <v>8</v>
      </c>
      <c r="AM428" s="327">
        <v>8</v>
      </c>
      <c r="AN428" s="327">
        <v>12</v>
      </c>
      <c r="AO428" s="327">
        <f t="shared" si="366"/>
        <v>8</v>
      </c>
      <c r="AP428" s="327">
        <v>8</v>
      </c>
      <c r="AQ428" s="327">
        <f t="shared" si="369"/>
        <v>12</v>
      </c>
      <c r="AR428" s="338"/>
      <c r="AS428" s="328">
        <f t="shared" si="384"/>
        <v>0</v>
      </c>
      <c r="AT428" s="328">
        <f t="shared" si="385"/>
        <v>0</v>
      </c>
      <c r="AU428" s="523">
        <v>8</v>
      </c>
      <c r="AV428" s="328"/>
      <c r="AW428" s="328"/>
      <c r="AX428" s="332">
        <v>8</v>
      </c>
      <c r="AY428" s="328" t="b">
        <f t="shared" si="365"/>
        <v>1</v>
      </c>
      <c r="AZ428" s="328" t="b">
        <f t="shared" si="354"/>
        <v>0</v>
      </c>
    </row>
    <row r="429" ht="27" customHeight="1" spans="1:52">
      <c r="A429" s="326" t="str">
        <f>INDEX('Rate Card'!$A:$A,MATCH(服务费底表!$T429,'Rate Card'!$F:$F,0))</f>
        <v>数统</v>
      </c>
      <c r="B429" s="327" t="str">
        <f>INDEX(二三级标准!$G:$G,MATCH(服务费底表!$K429,二三级标准!B:B,0))</f>
        <v>次</v>
      </c>
      <c r="C429" s="327">
        <f>INDEX(服务费明细!$E:$E,MATCH(服务费底表!$K429,服务费明细!$B:$B,0))</f>
        <v>0</v>
      </c>
      <c r="D429" s="327" t="str">
        <f t="shared" ref="D429:D444" si="398">K429&amp;T429</f>
        <v>A106ST</v>
      </c>
      <c r="E429" s="327" t="str">
        <f t="shared" ref="E429:E444" si="399">M429&amp;T429</f>
        <v>T0337ST</v>
      </c>
      <c r="F429" s="328"/>
      <c r="G429" s="328" t="s">
        <v>684</v>
      </c>
      <c r="H429" s="326" t="str">
        <f>INDEX('Rate Card'!$B:$B,MATCH(服务费底表!$T429,'Rate Card'!$F:$F,0))</f>
        <v>生物统计及分析</v>
      </c>
      <c r="I429" s="328" t="s">
        <v>924</v>
      </c>
      <c r="J429" s="328" t="str">
        <f>INDEX(二三级标准!$Q:$Q,MATCH(服务费底表!I429,二三级标准!$O:$O,0))</f>
        <v>生物统计及分析</v>
      </c>
      <c r="K429" s="328" t="s">
        <v>317</v>
      </c>
      <c r="L429" s="328" t="str">
        <f>INDEX(二三级标准!C:C,MATCH(服务费底表!K429,二三级标准!$B:$B,0))</f>
        <v>计划和实施药物编盲</v>
      </c>
      <c r="M429" s="328" t="s">
        <v>1479</v>
      </c>
      <c r="N429" s="328" t="str">
        <f>INDEX(二三级标准!$M:$M,MATCH(服务费底表!$M429,二三级标准!$L:$L,0))</f>
        <v>编盲资料的起草</v>
      </c>
      <c r="O429" s="328"/>
      <c r="P429" s="531">
        <f>IF(R429=1,INDEX(服务费明细!$E:$E,MATCH(服务费底表!$K429,服务费明细!$B:$B,0)),0)</f>
        <v>0</v>
      </c>
      <c r="Q429" s="328" t="s">
        <v>1176</v>
      </c>
      <c r="R429" s="520">
        <f>IF(AND(计划和实施药物编盲YN=1,生物统计YN=1),1,0)</f>
        <v>0</v>
      </c>
      <c r="S429" s="524" t="str">
        <f>INDEX('Rate Card'!$D:$D,MATCH(服务费底表!$T429,'Rate Card'!F:F,0))</f>
        <v>生物统计</v>
      </c>
      <c r="T429" s="328" t="s">
        <v>639</v>
      </c>
      <c r="U429" s="522" t="str">
        <f>INDEX('Rate Card'!$E:$E,MATCH(服务费底表!$T429,'Rate Card'!$F:$F,0))</f>
        <v>生物统计师</v>
      </c>
      <c r="V429" s="331">
        <f>INDEX('Rate Card'!$J:$J,MATCH($T429,'Rate Card'!$F:$F,0))</f>
        <v>400</v>
      </c>
      <c r="W429" s="523">
        <f t="shared" si="367"/>
        <v>400</v>
      </c>
      <c r="X429" s="523">
        <f t="shared" si="368"/>
        <v>8</v>
      </c>
      <c r="Y429" s="327" cm="1">
        <f t="array" ref="Y429">_xlfn.IFS(报价场景=服务费底表!$AJ$2,服务费底表!$AJ429,报价场景=服务费底表!$AP$2,服务费底表!$AP429,报价场景=服务费底表!$AK$2,服务费底表!$AK429,报价场景=服务费底表!$AL$2,服务费底表!$AL429,报价场景=服务费底表!$AM$2,服务费底表!$AM429,报价场景=服务费底表!$AN$2,服务费底表!$AN429,报价场景=服务费底表!$AQ$2,服务费底表!$AQ429,报价场景=服务费底表!$AO$2,服务费底表!$AO429)</f>
        <v>8</v>
      </c>
      <c r="Z429" s="327"/>
      <c r="AA429" s="332">
        <f t="shared" ref="AA429:AA476" si="400">IF(ISBLANK($Z429),$Y429,$Z429)</f>
        <v>8</v>
      </c>
      <c r="AB429" s="333">
        <f t="shared" ref="AB429:AB444" si="401">IFERROR(AD429/P429,0)</f>
        <v>0</v>
      </c>
      <c r="AC429" s="328">
        <f t="shared" ref="AC429:AC444" si="402">AA429*P429*R429</f>
        <v>0</v>
      </c>
      <c r="AD429" s="334">
        <f t="shared" ref="AD413:AD444" si="403">AC429*V429</f>
        <v>0</v>
      </c>
      <c r="AE429" s="334">
        <f>$AB429*(1-INDEX(项目参数!$D$5:$D$14,MATCH(服务费底表!$S429,项目参数!$B$5:$B$14,0)))</f>
        <v>0</v>
      </c>
      <c r="AF429" s="334">
        <f>$AD429*INDEX(项目参数!$D$5:$D$14,MATCH(服务费底表!$S429,项目参数!$B$5:$B$14,0))</f>
        <v>0</v>
      </c>
      <c r="AG429" s="334">
        <f t="shared" ref="AG429:AG457" si="404">AD429-AF429</f>
        <v>0</v>
      </c>
      <c r="AH429" s="328"/>
      <c r="AI429" s="328" t="s">
        <v>639</v>
      </c>
      <c r="AJ429" s="327">
        <v>8</v>
      </c>
      <c r="AK429" s="327">
        <v>8</v>
      </c>
      <c r="AL429" s="327">
        <v>8</v>
      </c>
      <c r="AM429" s="327">
        <v>8</v>
      </c>
      <c r="AN429" s="327">
        <v>8</v>
      </c>
      <c r="AO429" s="327">
        <f t="shared" si="366"/>
        <v>8</v>
      </c>
      <c r="AP429" s="327">
        <v>8</v>
      </c>
      <c r="AQ429" s="327">
        <f t="shared" si="369"/>
        <v>12</v>
      </c>
      <c r="AR429" s="338"/>
      <c r="AS429" s="328">
        <f t="shared" ref="AS429:AS476" si="405">AC429</f>
        <v>0</v>
      </c>
      <c r="AT429" s="328">
        <f t="shared" ref="AT429:AT476" si="406">Y429*P429</f>
        <v>0</v>
      </c>
      <c r="AU429" s="523">
        <v>8</v>
      </c>
      <c r="AV429" s="328"/>
      <c r="AW429" s="328"/>
      <c r="AX429" s="332">
        <v>8</v>
      </c>
      <c r="AY429" s="328" t="b">
        <f t="shared" ref="AY410:AY444" si="407">IF(AX429=AJ429,TRUE,FALSE)</f>
        <v>1</v>
      </c>
      <c r="AZ429" s="328" t="b">
        <f t="shared" si="354"/>
        <v>1</v>
      </c>
    </row>
    <row r="430" ht="27" customHeight="1" spans="1:52">
      <c r="A430" s="326" t="str">
        <f>INDEX('Rate Card'!$A:$A,MATCH(服务费底表!$T430,'Rate Card'!$F:$F,0))</f>
        <v>数统</v>
      </c>
      <c r="B430" s="327" t="str">
        <f>INDEX(二三级标准!$G:$G,MATCH(服务费底表!$K430,二三级标准!B:B,0))</f>
        <v>次</v>
      </c>
      <c r="C430" s="327">
        <f>INDEX(服务费明细!$E:$E,MATCH(服务费底表!$K430,服务费明细!$B:$B,0))</f>
        <v>0</v>
      </c>
      <c r="D430" s="327" t="str">
        <f t="shared" si="398"/>
        <v>A106STM</v>
      </c>
      <c r="E430" s="327" t="str">
        <f t="shared" si="399"/>
        <v>T0338STM</v>
      </c>
      <c r="F430" s="328"/>
      <c r="G430" s="328" t="s">
        <v>684</v>
      </c>
      <c r="H430" s="326" t="str">
        <f>INDEX('Rate Card'!$B:$B,MATCH(服务费底表!$T430,'Rate Card'!$F:$F,0))</f>
        <v>生物统计及分析</v>
      </c>
      <c r="I430" s="328" t="s">
        <v>924</v>
      </c>
      <c r="J430" s="328" t="str">
        <f>INDEX(二三级标准!$Q:$Q,MATCH(服务费底表!I430,二三级标准!$O:$O,0))</f>
        <v>生物统计及分析</v>
      </c>
      <c r="K430" s="328" t="s">
        <v>317</v>
      </c>
      <c r="L430" s="328" t="str">
        <f>INDEX(二三级标准!C:C,MATCH(服务费底表!K430,二三级标准!$B:$B,0))</f>
        <v>计划和实施药物编盲</v>
      </c>
      <c r="M430" s="328" t="s">
        <v>1480</v>
      </c>
      <c r="N430" s="328" t="str">
        <f>INDEX(二三级标准!$M:$M,MATCH(服务费底表!$M430,二三级标准!$L:$L,0))</f>
        <v>编盲资料的审核</v>
      </c>
      <c r="O430" s="328"/>
      <c r="P430" s="531">
        <f>IF(R430=1,1,0)</f>
        <v>0</v>
      </c>
      <c r="Q430" s="328" t="s">
        <v>1176</v>
      </c>
      <c r="R430" s="520">
        <f>IF(AND(计划和实施药物编盲YN=1,生物统计YN=1),1,0)</f>
        <v>0</v>
      </c>
      <c r="S430" s="524" t="str">
        <f>INDEX('Rate Card'!$D:$D,MATCH(服务费底表!$T430,'Rate Card'!F:F,0))</f>
        <v>生物统计</v>
      </c>
      <c r="T430" s="328" t="s">
        <v>642</v>
      </c>
      <c r="U430" s="522" t="str">
        <f>INDEX('Rate Card'!$E:$E,MATCH(服务费底表!$T430,'Rate Card'!$F:$F,0))</f>
        <v>生物统计经理</v>
      </c>
      <c r="V430" s="331">
        <f>INDEX('Rate Card'!$J:$J,MATCH($T430,'Rate Card'!$F:$F,0))</f>
        <v>700</v>
      </c>
      <c r="W430" s="523">
        <f t="shared" si="367"/>
        <v>700</v>
      </c>
      <c r="X430" s="523">
        <f t="shared" si="368"/>
        <v>2</v>
      </c>
      <c r="Y430" s="327" cm="1">
        <f t="array" ref="Y430">_xlfn.IFS(报价场景=服务费底表!$AJ$2,服务费底表!$AJ430,报价场景=服务费底表!$AP$2,服务费底表!$AP430,报价场景=服务费底表!$AK$2,服务费底表!$AK430,报价场景=服务费底表!$AL$2,服务费底表!$AL430,报价场景=服务费底表!$AM$2,服务费底表!$AM430,报价场景=服务费底表!$AN$2,服务费底表!$AN430,报价场景=服务费底表!$AQ$2,服务费底表!$AQ430,报价场景=服务费底表!$AO$2,服务费底表!$AO430)</f>
        <v>2</v>
      </c>
      <c r="Z430" s="327"/>
      <c r="AA430" s="332">
        <f t="shared" si="400"/>
        <v>2</v>
      </c>
      <c r="AB430" s="333">
        <f t="shared" si="401"/>
        <v>0</v>
      </c>
      <c r="AC430" s="328">
        <f t="shared" si="402"/>
        <v>0</v>
      </c>
      <c r="AD430" s="334">
        <f t="shared" si="403"/>
        <v>0</v>
      </c>
      <c r="AE430" s="334">
        <f>$AB430*(1-INDEX(项目参数!$D$5:$D$14,MATCH(服务费底表!$S430,项目参数!$B$5:$B$14,0)))</f>
        <v>0</v>
      </c>
      <c r="AF430" s="334">
        <f>$AD430*INDEX(项目参数!$D$5:$D$14,MATCH(服务费底表!$S430,项目参数!$B$5:$B$14,0))</f>
        <v>0</v>
      </c>
      <c r="AG430" s="334">
        <f t="shared" si="404"/>
        <v>0</v>
      </c>
      <c r="AH430" s="328"/>
      <c r="AI430" s="328" t="s">
        <v>642</v>
      </c>
      <c r="AJ430" s="327">
        <v>2</v>
      </c>
      <c r="AK430" s="327">
        <v>4</v>
      </c>
      <c r="AL430" s="327">
        <v>2</v>
      </c>
      <c r="AM430" s="327">
        <v>4</v>
      </c>
      <c r="AN430" s="327">
        <v>2</v>
      </c>
      <c r="AO430" s="327">
        <f t="shared" si="366"/>
        <v>2</v>
      </c>
      <c r="AP430" s="327">
        <v>2</v>
      </c>
      <c r="AQ430" s="327">
        <f t="shared" si="369"/>
        <v>3</v>
      </c>
      <c r="AR430" s="338"/>
      <c r="AS430" s="328">
        <f t="shared" si="405"/>
        <v>0</v>
      </c>
      <c r="AT430" s="328">
        <f t="shared" si="406"/>
        <v>0</v>
      </c>
      <c r="AU430" s="523">
        <v>2</v>
      </c>
      <c r="AV430" s="328"/>
      <c r="AW430" s="328"/>
      <c r="AX430" s="332">
        <v>2</v>
      </c>
      <c r="AY430" s="328" t="b">
        <f t="shared" si="407"/>
        <v>1</v>
      </c>
      <c r="AZ430" s="328" t="b">
        <f t="shared" si="354"/>
        <v>1</v>
      </c>
    </row>
    <row r="431" ht="27" customHeight="1" spans="1:52">
      <c r="A431" s="326" t="str">
        <f>INDEX('Rate Card'!$A:$A,MATCH(服务费底表!$T431,'Rate Card'!$F:$F,0))</f>
        <v>数统</v>
      </c>
      <c r="B431" s="327" t="str">
        <f>INDEX(二三级标准!$G:$G,MATCH(服务费底表!$K431,二三级标准!B:B,0))</f>
        <v>次</v>
      </c>
      <c r="C431" s="327">
        <f>INDEX(服务费明细!$E:$E,MATCH(服务费底表!$K431,服务费明细!$B:$B,0))</f>
        <v>0</v>
      </c>
      <c r="D431" s="327" t="str">
        <f t="shared" si="398"/>
        <v>A106ST</v>
      </c>
      <c r="E431" s="327" t="str">
        <f t="shared" si="399"/>
        <v>T0623ST</v>
      </c>
      <c r="F431" s="328"/>
      <c r="G431" s="328" t="s">
        <v>684</v>
      </c>
      <c r="H431" s="326" t="str">
        <f>INDEX('Rate Card'!$B:$B,MATCH(服务费底表!$T431,'Rate Card'!$F:$F,0))</f>
        <v>生物统计及分析</v>
      </c>
      <c r="I431" s="328" t="s">
        <v>924</v>
      </c>
      <c r="J431" s="328" t="str">
        <f>INDEX(二三级标准!$Q:$Q,MATCH(服务费底表!I431,二三级标准!$O:$O,0))</f>
        <v>生物统计及分析</v>
      </c>
      <c r="K431" s="328" t="s">
        <v>317</v>
      </c>
      <c r="L431" s="328" t="str">
        <f>INDEX(二三级标准!C:C,MATCH(服务费底表!K431,二三级标准!$B:$B,0))</f>
        <v>计划和实施药物编盲</v>
      </c>
      <c r="M431" s="328" t="s">
        <v>1481</v>
      </c>
      <c r="N431" s="328" t="str">
        <f>INDEX(二三级标准!$M:$M,MATCH(服务费底表!$M431,二三级标准!$L:$L,0))</f>
        <v>编盲资料的修订</v>
      </c>
      <c r="O431" s="328"/>
      <c r="P431" s="531">
        <f>IF(R431=1,INDEX(服务费明细!$E:$E,MATCH(服务费底表!$K431,服务费明细!$B:$B,0)),0)</f>
        <v>0</v>
      </c>
      <c r="Q431" s="328" t="s">
        <v>1176</v>
      </c>
      <c r="R431" s="520">
        <f>IF(AND(计划和实施药物编盲YN=1,生物统计YN=1),1,0)</f>
        <v>0</v>
      </c>
      <c r="S431" s="524" t="str">
        <f>INDEX('Rate Card'!$D:$D,MATCH(服务费底表!$T431,'Rate Card'!F:F,0))</f>
        <v>生物统计</v>
      </c>
      <c r="T431" s="328" t="s">
        <v>639</v>
      </c>
      <c r="U431" s="522" t="str">
        <f>INDEX('Rate Card'!$E:$E,MATCH(服务费底表!$T431,'Rate Card'!$F:$F,0))</f>
        <v>生物统计师</v>
      </c>
      <c r="V431" s="331">
        <f>INDEX('Rate Card'!$J:$J,MATCH($T431,'Rate Card'!$F:$F,0))</f>
        <v>400</v>
      </c>
      <c r="W431" s="523">
        <f t="shared" si="367"/>
        <v>400</v>
      </c>
      <c r="X431" s="523">
        <f t="shared" si="368"/>
        <v>4</v>
      </c>
      <c r="Y431" s="327" cm="1">
        <f t="array" ref="Y431">_xlfn.IFS(报价场景=服务费底表!$AJ$2,服务费底表!$AJ431,报价场景=服务费底表!$AP$2,服务费底表!$AP431,报价场景=服务费底表!$AK$2,服务费底表!$AK431,报价场景=服务费底表!$AL$2,服务费底表!$AL431,报价场景=服务费底表!$AM$2,服务费底表!$AM431,报价场景=服务费底表!$AN$2,服务费底表!$AN431,报价场景=服务费底表!$AQ$2,服务费底表!$AQ431,报价场景=服务费底表!$AO$2,服务费底表!$AO431)</f>
        <v>4</v>
      </c>
      <c r="Z431" s="327"/>
      <c r="AA431" s="332">
        <f t="shared" si="400"/>
        <v>4</v>
      </c>
      <c r="AB431" s="333">
        <f t="shared" si="401"/>
        <v>0</v>
      </c>
      <c r="AC431" s="328">
        <f t="shared" si="402"/>
        <v>0</v>
      </c>
      <c r="AD431" s="334">
        <f t="shared" si="403"/>
        <v>0</v>
      </c>
      <c r="AE431" s="334">
        <f>$AB431*(1-INDEX(项目参数!$D$5:$D$14,MATCH(服务费底表!$S431,项目参数!$B$5:$B$14,0)))</f>
        <v>0</v>
      </c>
      <c r="AF431" s="334">
        <f>$AD431*INDEX(项目参数!$D$5:$D$14,MATCH(服务费底表!$S431,项目参数!$B$5:$B$14,0))</f>
        <v>0</v>
      </c>
      <c r="AG431" s="334">
        <f t="shared" si="404"/>
        <v>0</v>
      </c>
      <c r="AH431" s="328"/>
      <c r="AI431" s="328" t="s">
        <v>639</v>
      </c>
      <c r="AJ431" s="327">
        <v>4</v>
      </c>
      <c r="AK431" s="327">
        <v>4</v>
      </c>
      <c r="AL431" s="327">
        <v>4</v>
      </c>
      <c r="AM431" s="327">
        <v>4</v>
      </c>
      <c r="AN431" s="327">
        <v>4</v>
      </c>
      <c r="AO431" s="327">
        <f t="shared" si="366"/>
        <v>4</v>
      </c>
      <c r="AP431" s="327">
        <v>4</v>
      </c>
      <c r="AQ431" s="327">
        <f t="shared" si="369"/>
        <v>6</v>
      </c>
      <c r="AR431" s="338"/>
      <c r="AS431" s="328">
        <f t="shared" si="405"/>
        <v>0</v>
      </c>
      <c r="AT431" s="328">
        <f t="shared" si="406"/>
        <v>0</v>
      </c>
      <c r="AU431" s="523">
        <v>4</v>
      </c>
      <c r="AV431" s="328"/>
      <c r="AW431" s="328"/>
      <c r="AX431" s="332">
        <v>4</v>
      </c>
      <c r="AY431" s="328" t="b">
        <f t="shared" si="407"/>
        <v>1</v>
      </c>
      <c r="AZ431" s="328" t="b">
        <f t="shared" si="354"/>
        <v>1</v>
      </c>
    </row>
    <row r="432" ht="27" customHeight="1" spans="1:52">
      <c r="A432" s="326" t="str">
        <f>INDEX('Rate Card'!$A:$A,MATCH(服务费底表!$T432,'Rate Card'!$F:$F,0))</f>
        <v>数统</v>
      </c>
      <c r="B432" s="327" t="str">
        <f>INDEX(二三级标准!$G:$G,MATCH(服务费底表!$K432,二三级标准!B:B,0))</f>
        <v>次</v>
      </c>
      <c r="C432" s="327">
        <f>INDEX(服务费明细!$E:$E,MATCH(服务费底表!$K432,服务费明细!$B:$B,0))</f>
        <v>0</v>
      </c>
      <c r="D432" s="327" t="str">
        <f t="shared" si="398"/>
        <v>A106ST</v>
      </c>
      <c r="E432" s="327" t="str">
        <f t="shared" si="399"/>
        <v>T0339ST</v>
      </c>
      <c r="F432" s="328"/>
      <c r="G432" s="328" t="s">
        <v>684</v>
      </c>
      <c r="H432" s="326" t="str">
        <f>INDEX('Rate Card'!$B:$B,MATCH(服务费底表!$T432,'Rate Card'!$F:$F,0))</f>
        <v>生物统计及分析</v>
      </c>
      <c r="I432" s="328" t="s">
        <v>924</v>
      </c>
      <c r="J432" s="328" t="str">
        <f>INDEX(二三级标准!$Q:$Q,MATCH(服务费底表!I432,二三级标准!$O:$O,0))</f>
        <v>生物统计及分析</v>
      </c>
      <c r="K432" s="328" t="s">
        <v>317</v>
      </c>
      <c r="L432" s="328" t="str">
        <f>INDEX(二三级标准!C:C,MATCH(服务费底表!K432,二三级标准!$B:$B,0))</f>
        <v>计划和实施药物编盲</v>
      </c>
      <c r="M432" s="328" t="s">
        <v>1482</v>
      </c>
      <c r="N432" s="328" t="str">
        <f>INDEX(二三级标准!$M:$M,MATCH(服务费底表!$M432,二三级标准!$L:$L,0))</f>
        <v>现场编盲指导和资料归档</v>
      </c>
      <c r="O432" s="328"/>
      <c r="P432" s="531">
        <f>IF(R432=1,INDEX(服务费明细!$E:$E,MATCH(服务费底表!$K432,服务费明细!$B:$B,0)),0)</f>
        <v>0</v>
      </c>
      <c r="Q432" s="328" t="s">
        <v>1178</v>
      </c>
      <c r="R432" s="520">
        <f>IF(AND(计划和实施药物编盲YN=1,生物统计YN=1),1,0)</f>
        <v>0</v>
      </c>
      <c r="S432" s="524" t="str">
        <f>INDEX('Rate Card'!$D:$D,MATCH(服务费底表!$T432,'Rate Card'!F:F,0))</f>
        <v>生物统计</v>
      </c>
      <c r="T432" s="328" t="s">
        <v>639</v>
      </c>
      <c r="U432" s="522" t="str">
        <f>INDEX('Rate Card'!$E:$E,MATCH(服务费底表!$T432,'Rate Card'!$F:$F,0))</f>
        <v>生物统计师</v>
      </c>
      <c r="V432" s="331">
        <f>INDEX('Rate Card'!$J:$J,MATCH($T432,'Rate Card'!$F:$F,0))</f>
        <v>400</v>
      </c>
      <c r="W432" s="523">
        <f t="shared" si="367"/>
        <v>400</v>
      </c>
      <c r="X432" s="523">
        <f t="shared" si="368"/>
        <v>24</v>
      </c>
      <c r="Y432" s="327" cm="1">
        <f t="array" ref="Y432">_xlfn.IFS(报价场景=服务费底表!$AJ$2,服务费底表!$AJ432,报价场景=服务费底表!$AP$2,服务费底表!$AP432,报价场景=服务费底表!$AK$2,服务费底表!$AK432,报价场景=服务费底表!$AL$2,服务费底表!$AL432,报价场景=服务费底表!$AM$2,服务费底表!$AM432,报价场景=服务费底表!$AN$2,服务费底表!$AN432,报价场景=服务费底表!$AQ$2,服务费底表!$AQ432,报价场景=服务费底表!$AO$2,服务费底表!$AO432)</f>
        <v>24</v>
      </c>
      <c r="Z432" s="327"/>
      <c r="AA432" s="332">
        <f t="shared" si="400"/>
        <v>24</v>
      </c>
      <c r="AB432" s="333">
        <f t="shared" si="401"/>
        <v>0</v>
      </c>
      <c r="AC432" s="328">
        <f t="shared" si="402"/>
        <v>0</v>
      </c>
      <c r="AD432" s="334">
        <f t="shared" si="403"/>
        <v>0</v>
      </c>
      <c r="AE432" s="334">
        <f>$AB432*(1-INDEX(项目参数!$D$5:$D$14,MATCH(服务费底表!$S432,项目参数!$B$5:$B$14,0)))</f>
        <v>0</v>
      </c>
      <c r="AF432" s="334">
        <f>$AD432*INDEX(项目参数!$D$5:$D$14,MATCH(服务费底表!$S432,项目参数!$B$5:$B$14,0))</f>
        <v>0</v>
      </c>
      <c r="AG432" s="334">
        <f t="shared" si="404"/>
        <v>0</v>
      </c>
      <c r="AH432" s="328"/>
      <c r="AI432" s="328" t="s">
        <v>639</v>
      </c>
      <c r="AJ432" s="327">
        <v>24</v>
      </c>
      <c r="AK432" s="327">
        <v>40</v>
      </c>
      <c r="AL432" s="327">
        <v>24</v>
      </c>
      <c r="AM432" s="327">
        <v>40</v>
      </c>
      <c r="AN432" s="327">
        <v>12</v>
      </c>
      <c r="AO432" s="327">
        <f t="shared" si="366"/>
        <v>24</v>
      </c>
      <c r="AP432" s="327">
        <v>24</v>
      </c>
      <c r="AQ432" s="327">
        <f t="shared" si="369"/>
        <v>36</v>
      </c>
      <c r="AR432" s="338"/>
      <c r="AS432" s="328">
        <f t="shared" si="405"/>
        <v>0</v>
      </c>
      <c r="AT432" s="328">
        <f t="shared" si="406"/>
        <v>0</v>
      </c>
      <c r="AU432" s="523">
        <v>24</v>
      </c>
      <c r="AV432" s="328"/>
      <c r="AW432" s="328"/>
      <c r="AX432" s="332">
        <v>24</v>
      </c>
      <c r="AY432" s="328" t="b">
        <f t="shared" si="407"/>
        <v>1</v>
      </c>
      <c r="AZ432" s="328" t="b">
        <f t="shared" si="354"/>
        <v>1</v>
      </c>
    </row>
    <row r="433" ht="27" customHeight="1" spans="1:52">
      <c r="A433" s="326" t="str">
        <f>INDEX('Rate Card'!$A:$A,MATCH(服务费底表!$T433,'Rate Card'!$F:$F,0))</f>
        <v>数统</v>
      </c>
      <c r="B433" s="327" t="str">
        <f>INDEX(二三级标准!$G:$G,MATCH(服务费底表!$K433,二三级标准!B:B,0))</f>
        <v>份</v>
      </c>
      <c r="C433" s="327">
        <f>INDEX(服务费明细!$E:$E,MATCH(服务费底表!$K433,服务费明细!$B:$B,0))</f>
        <v>1</v>
      </c>
      <c r="D433" s="327" t="str">
        <f t="shared" si="398"/>
        <v>A107ST</v>
      </c>
      <c r="E433" s="327" t="str">
        <f t="shared" si="399"/>
        <v>T0340aST</v>
      </c>
      <c r="F433" s="328"/>
      <c r="G433" s="328" t="s">
        <v>684</v>
      </c>
      <c r="H433" s="326" t="str">
        <f>INDEX('Rate Card'!$B:$B,MATCH(服务费底表!$T433,'Rate Card'!$F:$F,0))</f>
        <v>生物统计及分析</v>
      </c>
      <c r="I433" s="328" t="s">
        <v>924</v>
      </c>
      <c r="J433" s="328" t="str">
        <f>INDEX(二三级标准!$Q:$Q,MATCH(服务费底表!I433,二三级标准!$O:$O,0))</f>
        <v>生物统计及分析</v>
      </c>
      <c r="K433" s="328" t="s">
        <v>319</v>
      </c>
      <c r="L433" s="328" t="str">
        <f>INDEX(二三级标准!C:C,MATCH(服务费底表!K433,二三级标准!$B:$B,0))</f>
        <v>制定统计TFLs模板</v>
      </c>
      <c r="M433" s="328" t="s">
        <v>1483</v>
      </c>
      <c r="N433" s="328" t="str">
        <f>INDEX(二三级标准!$M:$M,MATCH(服务费底表!$M433,二三级标准!$L:$L,0))</f>
        <v>TFLs模板起草</v>
      </c>
      <c r="O433" s="328"/>
      <c r="P433" s="531">
        <f>IF(R433=1,INDEX(服务费明细!$E:$E,MATCH(服务费底表!$K433,服务费明细!$B:$B,0)),0)</f>
        <v>1</v>
      </c>
      <c r="Q433" s="328" t="s">
        <v>1176</v>
      </c>
      <c r="R433" s="520">
        <f>IF(AND(制定统计TLFs模板YN=1,生物统计YN=1),1,0)</f>
        <v>1</v>
      </c>
      <c r="S433" s="524" t="str">
        <f>INDEX('Rate Card'!$D:$D,MATCH(服务费底表!$T433,'Rate Card'!F:F,0))</f>
        <v>生物统计</v>
      </c>
      <c r="T433" s="328" t="s">
        <v>639</v>
      </c>
      <c r="U433" s="522" t="str">
        <f>INDEX('Rate Card'!$E:$E,MATCH(服务费底表!$T433,'Rate Card'!$F:$F,0))</f>
        <v>生物统计师</v>
      </c>
      <c r="V433" s="331">
        <f>INDEX('Rate Card'!$J:$J,MATCH($T433,'Rate Card'!$F:$F,0))</f>
        <v>400</v>
      </c>
      <c r="W433" s="523">
        <f t="shared" si="367"/>
        <v>400</v>
      </c>
      <c r="X433" s="523">
        <f t="shared" si="368"/>
        <v>16</v>
      </c>
      <c r="Y433" s="327" cm="1">
        <f t="array" ref="Y433">_xlfn.IFS(报价场景=服务费底表!$AJ$2,服务费底表!$AJ433,报价场景=服务费底表!$AP$2,服务费底表!$AP433,报价场景=服务费底表!$AK$2,服务费底表!$AK433,报价场景=服务费底表!$AL$2,服务费底表!$AL433,报价场景=服务费底表!$AM$2,服务费底表!$AM433,报价场景=服务费底表!$AN$2,服务费底表!$AN433,报价场景=服务费底表!$AQ$2,服务费底表!$AQ433,报价场景=服务费底表!$AO$2,服务费底表!$AO433)</f>
        <v>16</v>
      </c>
      <c r="Z433" s="327"/>
      <c r="AA433" s="332">
        <f t="shared" si="400"/>
        <v>16</v>
      </c>
      <c r="AB433" s="333">
        <f t="shared" si="401"/>
        <v>6400</v>
      </c>
      <c r="AC433" s="328">
        <f t="shared" si="402"/>
        <v>16</v>
      </c>
      <c r="AD433" s="334">
        <f t="shared" si="403"/>
        <v>6400</v>
      </c>
      <c r="AE433" s="334">
        <f>$AB433*(1-INDEX(项目参数!$D$5:$D$14,MATCH(服务费底表!$S433,项目参数!$B$5:$B$14,0)))</f>
        <v>6400</v>
      </c>
      <c r="AF433" s="334">
        <f>$AD433*INDEX(项目参数!$D$5:$D$14,MATCH(服务费底表!$S433,项目参数!$B$5:$B$14,0))</f>
        <v>0</v>
      </c>
      <c r="AG433" s="334">
        <f t="shared" si="404"/>
        <v>6400</v>
      </c>
      <c r="AH433" s="328"/>
      <c r="AI433" s="328" t="s">
        <v>639</v>
      </c>
      <c r="AJ433" s="327">
        <v>16</v>
      </c>
      <c r="AK433" s="327">
        <v>24</v>
      </c>
      <c r="AL433" s="327">
        <v>12</v>
      </c>
      <c r="AM433" s="327">
        <v>20</v>
      </c>
      <c r="AN433" s="327">
        <v>15</v>
      </c>
      <c r="AO433" s="327">
        <f t="shared" si="366"/>
        <v>12</v>
      </c>
      <c r="AP433" s="327">
        <v>16</v>
      </c>
      <c r="AQ433" s="327">
        <f t="shared" si="369"/>
        <v>24</v>
      </c>
      <c r="AR433" s="338"/>
      <c r="AS433" s="328">
        <f t="shared" si="405"/>
        <v>16</v>
      </c>
      <c r="AT433" s="328">
        <f t="shared" si="406"/>
        <v>16</v>
      </c>
      <c r="AU433" s="523">
        <v>16</v>
      </c>
      <c r="AV433" s="328"/>
      <c r="AW433" s="328"/>
      <c r="AX433" s="332">
        <v>16</v>
      </c>
      <c r="AY433" s="328" t="b">
        <f t="shared" si="407"/>
        <v>1</v>
      </c>
      <c r="AZ433" s="328" t="b">
        <f t="shared" si="354"/>
        <v>0</v>
      </c>
    </row>
    <row r="434" ht="27" customHeight="1" spans="1:52">
      <c r="A434" s="326" t="str">
        <f>INDEX('Rate Card'!$A:$A,MATCH(服务费底表!$T434,'Rate Card'!$F:$F,0))</f>
        <v>数统</v>
      </c>
      <c r="B434" s="327" t="str">
        <f>INDEX(二三级标准!$G:$G,MATCH(服务费底表!$K434,二三级标准!B:B,0))</f>
        <v>份</v>
      </c>
      <c r="C434" s="327">
        <f>INDEX(服务费明细!$E:$E,MATCH(服务费底表!$K434,服务费明细!$B:$B,0))</f>
        <v>1</v>
      </c>
      <c r="D434" s="327" t="str">
        <f t="shared" si="398"/>
        <v>A107STM</v>
      </c>
      <c r="E434" s="327" t="str">
        <f t="shared" si="399"/>
        <v>T0342aSTM</v>
      </c>
      <c r="F434" s="328"/>
      <c r="G434" s="328" t="s">
        <v>684</v>
      </c>
      <c r="H434" s="326" t="str">
        <f>INDEX('Rate Card'!$B:$B,MATCH(服务费底表!$T434,'Rate Card'!$F:$F,0))</f>
        <v>生物统计及分析</v>
      </c>
      <c r="I434" s="328" t="s">
        <v>924</v>
      </c>
      <c r="J434" s="328" t="str">
        <f>INDEX(二三级标准!$Q:$Q,MATCH(服务费底表!I434,二三级标准!$O:$O,0))</f>
        <v>生物统计及分析</v>
      </c>
      <c r="K434" s="328" t="s">
        <v>319</v>
      </c>
      <c r="L434" s="328" t="str">
        <f>INDEX(二三级标准!C:C,MATCH(服务费底表!K434,二三级标准!$B:$B,0))</f>
        <v>制定统计TFLs模板</v>
      </c>
      <c r="M434" s="328" t="s">
        <v>1484</v>
      </c>
      <c r="N434" s="328" t="str">
        <f>INDEX(二三级标准!$M:$M,MATCH(服务费底表!$M434,二三级标准!$L:$L,0))</f>
        <v>TFLs模板审核</v>
      </c>
      <c r="O434" s="328"/>
      <c r="P434" s="531">
        <f>IF(R434=1,INDEX(服务费明细!$E:$E,MATCH(服务费底表!$K434,服务费明细!$B:$B,0)),0)</f>
        <v>1</v>
      </c>
      <c r="Q434" s="328" t="s">
        <v>1176</v>
      </c>
      <c r="R434" s="520">
        <f>IF(AND(制定统计TLFs模板YN=1,生物统计YN=1),1,0)</f>
        <v>1</v>
      </c>
      <c r="S434" s="524" t="str">
        <f>INDEX('Rate Card'!$D:$D,MATCH(服务费底表!$T434,'Rate Card'!F:F,0))</f>
        <v>生物统计</v>
      </c>
      <c r="T434" s="328" t="s">
        <v>642</v>
      </c>
      <c r="U434" s="522" t="str">
        <f>INDEX('Rate Card'!$E:$E,MATCH(服务费底表!$T434,'Rate Card'!$F:$F,0))</f>
        <v>生物统计经理</v>
      </c>
      <c r="V434" s="331">
        <f>INDEX('Rate Card'!$J:$J,MATCH($T434,'Rate Card'!$F:$F,0))</f>
        <v>700</v>
      </c>
      <c r="W434" s="523">
        <f t="shared" si="367"/>
        <v>700</v>
      </c>
      <c r="X434" s="523">
        <f t="shared" si="368"/>
        <v>2</v>
      </c>
      <c r="Y434" s="327" cm="1">
        <f t="array" ref="Y434">_xlfn.IFS(报价场景=服务费底表!$AJ$2,服务费底表!$AJ434,报价场景=服务费底表!$AP$2,服务费底表!$AP434,报价场景=服务费底表!$AK$2,服务费底表!$AK434,报价场景=服务费底表!$AL$2,服务费底表!$AL434,报价场景=服务费底表!$AM$2,服务费底表!$AM434,报价场景=服务费底表!$AN$2,服务费底表!$AN434,报价场景=服务费底表!$AQ$2,服务费底表!$AQ434,报价场景=服务费底表!$AO$2,服务费底表!$AO434)</f>
        <v>2</v>
      </c>
      <c r="Z434" s="327"/>
      <c r="AA434" s="332">
        <f t="shared" si="400"/>
        <v>2</v>
      </c>
      <c r="AB434" s="333">
        <f t="shared" si="401"/>
        <v>1400</v>
      </c>
      <c r="AC434" s="328">
        <f t="shared" si="402"/>
        <v>2</v>
      </c>
      <c r="AD434" s="334">
        <f t="shared" si="403"/>
        <v>1400</v>
      </c>
      <c r="AE434" s="334">
        <f>$AB434*(1-INDEX(项目参数!$D$5:$D$14,MATCH(服务费底表!$S434,项目参数!$B$5:$B$14,0)))</f>
        <v>1400</v>
      </c>
      <c r="AF434" s="334">
        <f>$AD434*INDEX(项目参数!$D$5:$D$14,MATCH(服务费底表!$S434,项目参数!$B$5:$B$14,0))</f>
        <v>0</v>
      </c>
      <c r="AG434" s="334">
        <f t="shared" si="404"/>
        <v>1400</v>
      </c>
      <c r="AH434" s="328"/>
      <c r="AI434" s="328" t="s">
        <v>642</v>
      </c>
      <c r="AJ434" s="327">
        <v>2</v>
      </c>
      <c r="AK434" s="327">
        <v>3</v>
      </c>
      <c r="AL434" s="327">
        <v>2</v>
      </c>
      <c r="AM434" s="327">
        <v>2</v>
      </c>
      <c r="AN434" s="327">
        <v>2</v>
      </c>
      <c r="AO434" s="327">
        <f t="shared" si="366"/>
        <v>2</v>
      </c>
      <c r="AP434" s="327">
        <v>2</v>
      </c>
      <c r="AQ434" s="327">
        <f t="shared" si="369"/>
        <v>3</v>
      </c>
      <c r="AR434" s="338"/>
      <c r="AS434" s="328">
        <f t="shared" si="405"/>
        <v>2</v>
      </c>
      <c r="AT434" s="328">
        <f t="shared" si="406"/>
        <v>2</v>
      </c>
      <c r="AU434" s="523">
        <v>2</v>
      </c>
      <c r="AV434" s="328"/>
      <c r="AW434" s="328"/>
      <c r="AX434" s="332">
        <v>2</v>
      </c>
      <c r="AY434" s="328" t="b">
        <f t="shared" si="407"/>
        <v>1</v>
      </c>
      <c r="AZ434" s="328" t="b">
        <f t="shared" si="354"/>
        <v>0</v>
      </c>
    </row>
    <row r="435" ht="27" customHeight="1" spans="1:52">
      <c r="A435" s="326" t="str">
        <f>INDEX('Rate Card'!$A:$A,MATCH(服务费底表!$T435,'Rate Card'!$F:$F,0))</f>
        <v>数统</v>
      </c>
      <c r="B435" s="327" t="str">
        <f>INDEX(二三级标准!$G:$G,MATCH(服务费底表!$K435,二三级标准!B:B,0))</f>
        <v>份</v>
      </c>
      <c r="C435" s="327">
        <f>INDEX(服务费明细!$E:$E,MATCH(服务费底表!$K435,服务费明细!$B:$B,0))</f>
        <v>1</v>
      </c>
      <c r="D435" s="327" t="str">
        <f t="shared" si="398"/>
        <v>A107SAM</v>
      </c>
      <c r="E435" s="327" t="str">
        <f t="shared" si="399"/>
        <v>T0342aSAM</v>
      </c>
      <c r="F435" s="328"/>
      <c r="G435" s="328" t="s">
        <v>684</v>
      </c>
      <c r="H435" s="326" t="str">
        <f>INDEX('Rate Card'!$B:$B,MATCH(服务费底表!$T435,'Rate Card'!$F:$F,0))</f>
        <v>生物统计及分析</v>
      </c>
      <c r="I435" s="328" t="s">
        <v>924</v>
      </c>
      <c r="J435" s="328" t="str">
        <f>INDEX(二三级标准!$Q:$Q,MATCH(服务费底表!I435,二三级标准!$O:$O,0))</f>
        <v>生物统计及分析</v>
      </c>
      <c r="K435" s="328" t="s">
        <v>319</v>
      </c>
      <c r="L435" s="328" t="str">
        <f>INDEX(二三级标准!C:C,MATCH(服务费底表!K435,二三级标准!$B:$B,0))</f>
        <v>制定统计TFLs模板</v>
      </c>
      <c r="M435" s="328" t="s">
        <v>1484</v>
      </c>
      <c r="N435" s="328" t="str">
        <f>INDEX(二三级标准!$M:$M,MATCH(服务费底表!$M435,二三级标准!$L:$L,0))</f>
        <v>TFLs模板审核</v>
      </c>
      <c r="O435" s="534"/>
      <c r="P435" s="531">
        <f>IF(R435=1,INDEX(服务费明细!$E:$E,MATCH(服务费底表!$K435,服务费明细!$B:$B,0)),0)</f>
        <v>1</v>
      </c>
      <c r="Q435" s="328" t="s">
        <v>1176</v>
      </c>
      <c r="R435" s="520">
        <f>IF(AND(制定统计TLFs模板YN=1,统计分析YN=1),1,0)</f>
        <v>1</v>
      </c>
      <c r="S435" s="524" t="str">
        <f>INDEX('Rate Card'!$D:$D,MATCH(服务费底表!$T435,'Rate Card'!F:F,0))</f>
        <v>统计分析</v>
      </c>
      <c r="T435" s="328" t="s">
        <v>638</v>
      </c>
      <c r="U435" s="522" t="str">
        <f>INDEX('Rate Card'!$E:$E,MATCH(服务费底表!$T435,'Rate Card'!$F:$F,0))</f>
        <v>统计分析经理</v>
      </c>
      <c r="V435" s="331">
        <f>INDEX('Rate Card'!$J:$J,MATCH($T435,'Rate Card'!$F:$F,0))</f>
        <v>450</v>
      </c>
      <c r="W435" s="523">
        <f t="shared" si="367"/>
        <v>450</v>
      </c>
      <c r="X435" s="523">
        <f t="shared" si="368"/>
        <v>2</v>
      </c>
      <c r="Y435" s="327" cm="1">
        <f t="array" ref="Y435">_xlfn.IFS(报价场景=服务费底表!$AJ$2,服务费底表!$AJ435,报价场景=服务费底表!$AP$2,服务费底表!$AP435,报价场景=服务费底表!$AK$2,服务费底表!$AK435,报价场景=服务费底表!$AL$2,服务费底表!$AL435,报价场景=服务费底表!$AM$2,服务费底表!$AM435,报价场景=服务费底表!$AN$2,服务费底表!$AN435,报价场景=服务费底表!$AQ$2,服务费底表!$AQ435,报价场景=服务费底表!$AO$2,服务费底表!$AO435)</f>
        <v>2</v>
      </c>
      <c r="Z435" s="327"/>
      <c r="AA435" s="332">
        <f t="shared" si="400"/>
        <v>2</v>
      </c>
      <c r="AB435" s="333">
        <f t="shared" si="401"/>
        <v>900</v>
      </c>
      <c r="AC435" s="328">
        <f t="shared" si="402"/>
        <v>2</v>
      </c>
      <c r="AD435" s="334">
        <f t="shared" si="403"/>
        <v>900</v>
      </c>
      <c r="AE435" s="334">
        <f>$AB435*(1-INDEX(项目参数!$D$5:$D$14,MATCH(服务费底表!$S435,项目参数!$B$5:$B$14,0)))</f>
        <v>900</v>
      </c>
      <c r="AF435" s="334">
        <f>$AD435*INDEX(项目参数!$D$5:$D$14,MATCH(服务费底表!$S435,项目参数!$B$5:$B$14,0))</f>
        <v>0</v>
      </c>
      <c r="AG435" s="334">
        <f t="shared" si="404"/>
        <v>900</v>
      </c>
      <c r="AH435" s="328"/>
      <c r="AI435" s="328" t="s">
        <v>638</v>
      </c>
      <c r="AJ435" s="327">
        <v>2</v>
      </c>
      <c r="AK435" s="327">
        <v>3</v>
      </c>
      <c r="AL435" s="327">
        <v>2</v>
      </c>
      <c r="AM435" s="327">
        <v>3</v>
      </c>
      <c r="AN435" s="327">
        <v>2</v>
      </c>
      <c r="AO435" s="327">
        <f t="shared" si="366"/>
        <v>2</v>
      </c>
      <c r="AP435" s="327">
        <v>2</v>
      </c>
      <c r="AQ435" s="327">
        <f t="shared" si="369"/>
        <v>3</v>
      </c>
      <c r="AR435" s="535"/>
      <c r="AS435" s="328">
        <f t="shared" si="405"/>
        <v>2</v>
      </c>
      <c r="AT435" s="328">
        <f t="shared" si="406"/>
        <v>2</v>
      </c>
      <c r="AU435" s="523">
        <v>2</v>
      </c>
      <c r="AV435" s="328"/>
      <c r="AW435" s="328"/>
      <c r="AX435" s="332">
        <v>2</v>
      </c>
      <c r="AY435" s="328" t="b">
        <f t="shared" si="407"/>
        <v>1</v>
      </c>
      <c r="AZ435" s="328" t="b">
        <f t="shared" si="354"/>
        <v>0</v>
      </c>
    </row>
    <row r="436" ht="27" customHeight="1" spans="1:52">
      <c r="A436" s="326" t="str">
        <f>INDEX('Rate Card'!$A:$A,MATCH(服务费底表!$T436,'Rate Card'!$F:$F,0))</f>
        <v>数统</v>
      </c>
      <c r="B436" s="327" t="str">
        <f>INDEX(二三级标准!$G:$G,MATCH(服务费底表!$K436,二三级标准!B:B,0))</f>
        <v>份</v>
      </c>
      <c r="C436" s="327">
        <f>INDEX(服务费明细!$E:$E,MATCH(服务费底表!$K436,服务费明细!$B:$B,0))</f>
        <v>1</v>
      </c>
      <c r="D436" s="327" t="str">
        <f t="shared" si="398"/>
        <v>A107ST</v>
      </c>
      <c r="E436" s="327" t="str">
        <f t="shared" si="399"/>
        <v>T0344aST</v>
      </c>
      <c r="F436" s="328"/>
      <c r="G436" s="328" t="s">
        <v>684</v>
      </c>
      <c r="H436" s="326" t="str">
        <f>INDEX('Rate Card'!$B:$B,MATCH(服务费底表!$T436,'Rate Card'!$F:$F,0))</f>
        <v>生物统计及分析</v>
      </c>
      <c r="I436" s="328" t="s">
        <v>924</v>
      </c>
      <c r="J436" s="328" t="str">
        <f>INDEX(二三级标准!$Q:$Q,MATCH(服务费底表!I436,二三级标准!$O:$O,0))</f>
        <v>生物统计及分析</v>
      </c>
      <c r="K436" s="328" t="s">
        <v>319</v>
      </c>
      <c r="L436" s="328" t="str">
        <f>INDEX(二三级标准!C:C,MATCH(服务费底表!K436,二三级标准!$B:$B,0))</f>
        <v>制定统计TFLs模板</v>
      </c>
      <c r="M436" s="328" t="s">
        <v>1485</v>
      </c>
      <c r="N436" s="328" t="str">
        <f>INDEX(二三级标准!$M:$M,MATCH(服务费底表!$M436,二三级标准!$L:$L,0))</f>
        <v>TFLs模板的修订</v>
      </c>
      <c r="O436" s="328"/>
      <c r="P436" s="531">
        <f>IF(R436=1,INDEX(服务费明细!$E:$E,MATCH(服务费底表!$K436,服务费明细!$B:$B,0)),0)</f>
        <v>1</v>
      </c>
      <c r="Q436" s="328" t="s">
        <v>1176</v>
      </c>
      <c r="R436" s="520">
        <f>IF(AND(制定统计TLFs模板YN=1,生物统计YN=1),1,0)</f>
        <v>1</v>
      </c>
      <c r="S436" s="524" t="str">
        <f>INDEX('Rate Card'!$D:$D,MATCH(服务费底表!$T436,'Rate Card'!F:F,0))</f>
        <v>生物统计</v>
      </c>
      <c r="T436" s="328" t="s">
        <v>639</v>
      </c>
      <c r="U436" s="522" t="str">
        <f>INDEX('Rate Card'!$E:$E,MATCH(服务费底表!$T436,'Rate Card'!$F:$F,0))</f>
        <v>生物统计师</v>
      </c>
      <c r="V436" s="331">
        <f>INDEX('Rate Card'!$J:$J,MATCH($T436,'Rate Card'!$F:$F,0))</f>
        <v>400</v>
      </c>
      <c r="W436" s="523">
        <f t="shared" si="367"/>
        <v>400</v>
      </c>
      <c r="X436" s="523">
        <f t="shared" si="368"/>
        <v>8</v>
      </c>
      <c r="Y436" s="327" cm="1">
        <f t="array" ref="Y436">_xlfn.IFS(报价场景=服务费底表!$AJ$2,服务费底表!$AJ436,报价场景=服务费底表!$AP$2,服务费底表!$AP436,报价场景=服务费底表!$AK$2,服务费底表!$AK436,报价场景=服务费底表!$AL$2,服务费底表!$AL436,报价场景=服务费底表!$AM$2,服务费底表!$AM436,报价场景=服务费底表!$AN$2,服务费底表!$AN436,报价场景=服务费底表!$AQ$2,服务费底表!$AQ436,报价场景=服务费底表!$AO$2,服务费底表!$AO436)</f>
        <v>8</v>
      </c>
      <c r="Z436" s="327"/>
      <c r="AA436" s="332">
        <f t="shared" si="400"/>
        <v>8</v>
      </c>
      <c r="AB436" s="333">
        <f t="shared" si="401"/>
        <v>3200</v>
      </c>
      <c r="AC436" s="328">
        <f t="shared" si="402"/>
        <v>8</v>
      </c>
      <c r="AD436" s="334">
        <f t="shared" si="403"/>
        <v>3200</v>
      </c>
      <c r="AE436" s="334">
        <f>$AB436*(1-INDEX(项目参数!$D$5:$D$14,MATCH(服务费底表!$S436,项目参数!$B$5:$B$14,0)))</f>
        <v>3200</v>
      </c>
      <c r="AF436" s="334">
        <f>$AD436*INDEX(项目参数!$D$5:$D$14,MATCH(服务费底表!$S436,项目参数!$B$5:$B$14,0))</f>
        <v>0</v>
      </c>
      <c r="AG436" s="334">
        <f t="shared" si="404"/>
        <v>3200</v>
      </c>
      <c r="AH436" s="328"/>
      <c r="AI436" s="328" t="s">
        <v>639</v>
      </c>
      <c r="AJ436" s="327">
        <v>8</v>
      </c>
      <c r="AK436" s="327">
        <v>12</v>
      </c>
      <c r="AL436" s="327">
        <v>4</v>
      </c>
      <c r="AM436" s="327">
        <v>8</v>
      </c>
      <c r="AN436" s="327">
        <v>4</v>
      </c>
      <c r="AO436" s="327">
        <f t="shared" si="366"/>
        <v>4</v>
      </c>
      <c r="AP436" s="327">
        <v>8</v>
      </c>
      <c r="AQ436" s="327">
        <f t="shared" si="369"/>
        <v>12</v>
      </c>
      <c r="AR436" s="338"/>
      <c r="AS436" s="328">
        <f t="shared" si="405"/>
        <v>8</v>
      </c>
      <c r="AT436" s="328">
        <f t="shared" si="406"/>
        <v>8</v>
      </c>
      <c r="AU436" s="523">
        <v>8</v>
      </c>
      <c r="AV436" s="328"/>
      <c r="AW436" s="328"/>
      <c r="AX436" s="332">
        <v>8</v>
      </c>
      <c r="AY436" s="328" t="b">
        <f t="shared" si="407"/>
        <v>1</v>
      </c>
      <c r="AZ436" s="328" t="b">
        <f t="shared" si="354"/>
        <v>0</v>
      </c>
    </row>
    <row r="437" ht="27" customHeight="1" spans="1:52">
      <c r="A437" s="326" t="str">
        <f>INDEX('Rate Card'!$A:$A,MATCH(服务费底表!$T437,'Rate Card'!$F:$F,0))</f>
        <v>医学</v>
      </c>
      <c r="B437" s="327" t="str">
        <f>INDEX(二三级标准!$G:$G,MATCH(服务费底表!$K437,二三级标准!B:B,0))</f>
        <v>份</v>
      </c>
      <c r="C437" s="327">
        <f>INDEX(服务费明细!$E:$E,MATCH(服务费底表!$K437,服务费明细!$B:$B,0))</f>
        <v>1</v>
      </c>
      <c r="D437" s="327" t="str">
        <f t="shared" si="398"/>
        <v>A107MM</v>
      </c>
      <c r="E437" s="327" t="str">
        <f t="shared" si="399"/>
        <v>T0346MM</v>
      </c>
      <c r="F437" s="328"/>
      <c r="G437" s="328" t="s">
        <v>684</v>
      </c>
      <c r="H437" s="326" t="str">
        <f>INDEX('Rate Card'!$B:$B,MATCH(服务费底表!$T437,'Rate Card'!$F:$F,0))</f>
        <v>医学</v>
      </c>
      <c r="I437" s="328" t="s">
        <v>924</v>
      </c>
      <c r="J437" s="328" t="str">
        <f>INDEX(二三级标准!$Q:$Q,MATCH(服务费底表!I437,二三级标准!$O:$O,0))</f>
        <v>生物统计及分析</v>
      </c>
      <c r="K437" s="328" t="s">
        <v>319</v>
      </c>
      <c r="L437" s="328" t="str">
        <f>INDEX(二三级标准!C:C,MATCH(服务费底表!K437,二三级标准!$B:$B,0))</f>
        <v>制定统计TFLs模板</v>
      </c>
      <c r="M437" s="328" t="s">
        <v>1486</v>
      </c>
      <c r="N437" s="328" t="str">
        <f>INDEX(二三级标准!$M:$M,MATCH(服务费底表!$M437,二三级标准!$L:$L,0))</f>
        <v>TFLs审核</v>
      </c>
      <c r="O437" s="328"/>
      <c r="P437" s="531">
        <f>IF(R437=1,INDEX(服务费明细!$E:$E,MATCH(服务费底表!$K437,服务费明细!$B:$B,0)),0)</f>
        <v>1</v>
      </c>
      <c r="Q437" s="328" t="s">
        <v>1178</v>
      </c>
      <c r="R437" s="520">
        <f>IF(AND(制定统计TLFs模板YN=1,医学监查YN=1),1,0)</f>
        <v>1</v>
      </c>
      <c r="S437" s="521" t="str">
        <f>IF(AND(H437="医学",OR(I437=二三级标准!$A$4,I437=二三级标准!$A$153)),"医学撰写","医学监查")</f>
        <v>医学监查</v>
      </c>
      <c r="T437" s="328" t="s">
        <v>615</v>
      </c>
      <c r="U437" s="522" t="str">
        <f>INDEX('Rate Card'!$E:$E,MATCH(服务费底表!$T437,'Rate Card'!$F:$F,0))</f>
        <v>医学经理</v>
      </c>
      <c r="V437" s="331">
        <f>INDEX('Rate Card'!$J:$J,MATCH($T437,'Rate Card'!$F:$F,0))</f>
        <v>650</v>
      </c>
      <c r="W437" s="523">
        <f t="shared" si="367"/>
        <v>650</v>
      </c>
      <c r="X437" s="523">
        <f t="shared" si="368"/>
        <v>4</v>
      </c>
      <c r="Y437" s="327" cm="1">
        <f t="array" ref="Y437">_xlfn.IFS(报价场景=服务费底表!$AJ$2,服务费底表!$AJ437,报价场景=服务费底表!$AP$2,服务费底表!$AP437,报价场景=服务费底表!$AK$2,服务费底表!$AK437,报价场景=服务费底表!$AL$2,服务费底表!$AL437,报价场景=服务费底表!$AM$2,服务费底表!$AM437,报价场景=服务费底表!$AN$2,服务费底表!$AN437,报价场景=服务费底表!$AQ$2,服务费底表!$AQ437,报价场景=服务费底表!$AO$2,服务费底表!$AO437)</f>
        <v>4</v>
      </c>
      <c r="Z437" s="327"/>
      <c r="AA437" s="332">
        <f t="shared" si="400"/>
        <v>4</v>
      </c>
      <c r="AB437" s="333">
        <f t="shared" si="401"/>
        <v>2600</v>
      </c>
      <c r="AC437" s="328">
        <f t="shared" si="402"/>
        <v>4</v>
      </c>
      <c r="AD437" s="334">
        <f t="shared" si="403"/>
        <v>2600</v>
      </c>
      <c r="AE437" s="334">
        <f>$AB437*(1-INDEX(项目参数!$D$5:$D$14,MATCH(服务费底表!$S437,项目参数!$B$5:$B$14,0)))</f>
        <v>2600</v>
      </c>
      <c r="AF437" s="334">
        <f>$AD437*INDEX(项目参数!$D$5:$D$14,MATCH(服务费底表!$S437,项目参数!$B$5:$B$14,0))</f>
        <v>0</v>
      </c>
      <c r="AG437" s="334">
        <f t="shared" si="404"/>
        <v>2600</v>
      </c>
      <c r="AH437" s="328"/>
      <c r="AI437" s="328" t="s">
        <v>615</v>
      </c>
      <c r="AJ437" s="327">
        <v>4</v>
      </c>
      <c r="AK437" s="327">
        <f>AJ437*1.5</f>
        <v>6</v>
      </c>
      <c r="AL437" s="327">
        <v>2.5</v>
      </c>
      <c r="AM437" s="327">
        <v>5.5</v>
      </c>
      <c r="AN437" s="327">
        <f>AL437</f>
        <v>2.5</v>
      </c>
      <c r="AO437" s="327">
        <f t="shared" si="366"/>
        <v>2.5</v>
      </c>
      <c r="AP437" s="327">
        <v>4</v>
      </c>
      <c r="AQ437" s="327">
        <f t="shared" si="369"/>
        <v>6</v>
      </c>
      <c r="AR437" s="338"/>
      <c r="AS437" s="328">
        <f t="shared" si="405"/>
        <v>4</v>
      </c>
      <c r="AT437" s="328">
        <f t="shared" si="406"/>
        <v>4</v>
      </c>
      <c r="AU437" s="523">
        <v>4</v>
      </c>
      <c r="AV437" s="328"/>
      <c r="AW437" s="328"/>
      <c r="AX437" s="332">
        <v>4</v>
      </c>
      <c r="AY437" s="328" t="b">
        <f t="shared" si="407"/>
        <v>1</v>
      </c>
      <c r="AZ437" s="328" t="b">
        <f t="shared" si="354"/>
        <v>0</v>
      </c>
    </row>
    <row r="438" ht="27" customHeight="1" spans="1:52">
      <c r="A438" s="326" t="str">
        <f>INDEX('Rate Card'!$A:$A,MATCH(服务费底表!$T438,'Rate Card'!$F:$F,0))</f>
        <v>数统</v>
      </c>
      <c r="B438" s="327" t="str">
        <f>INDEX(二三级标准!$G:$G,MATCH(服务费底表!$K438,二三级标准!B:B,0))</f>
        <v>份</v>
      </c>
      <c r="C438" s="327">
        <f>INDEX(服务费明细!$E:$E,MATCH(服务费底表!$K438,服务费明细!$B:$B,0))</f>
        <v>1</v>
      </c>
      <c r="D438" s="327" t="str">
        <f t="shared" si="398"/>
        <v>A108SA</v>
      </c>
      <c r="E438" s="327" t="str">
        <f t="shared" si="399"/>
        <v>T0347SA</v>
      </c>
      <c r="F438" s="328"/>
      <c r="G438" s="328" t="s">
        <v>684</v>
      </c>
      <c r="H438" s="326" t="str">
        <f>INDEX('Rate Card'!$B:$B,MATCH(服务费底表!$T438,'Rate Card'!$F:$F,0))</f>
        <v>生物统计及分析</v>
      </c>
      <c r="I438" s="328" t="s">
        <v>924</v>
      </c>
      <c r="J438" s="328" t="str">
        <f>INDEX(二三级标准!$Q:$Q,MATCH(服务费底表!I438,二三级标准!$O:$O,0))</f>
        <v>生物统计及分析</v>
      </c>
      <c r="K438" s="328" t="s">
        <v>321</v>
      </c>
      <c r="L438" s="328" t="str">
        <f>INDEX(二三级标准!C:C,MATCH(服务费底表!K438,二三级标准!$B:$B,0))</f>
        <v>制作SDTM aCRF</v>
      </c>
      <c r="M438" s="328" t="s">
        <v>1487</v>
      </c>
      <c r="N438" s="328" t="str">
        <f>INDEX(二三级标准!$M:$M,MATCH(服务费底表!$M438,二三级标准!$L:$L,0))</f>
        <v>制作SDTM aCRF</v>
      </c>
      <c r="O438" s="328"/>
      <c r="P438" s="531">
        <f>IF(R438=1,INDEX(服务费明细!$E:$E,MATCH(服务费底表!$K438,服务费明细!$B:$B,0)),0)</f>
        <v>1</v>
      </c>
      <c r="Q438" s="328" t="s">
        <v>1176</v>
      </c>
      <c r="R438" s="520">
        <f>IF(AND(撰写SDTM_CRF注释和映射规范YN=1,统计分析YN=1),1,0)</f>
        <v>1</v>
      </c>
      <c r="S438" s="524" t="str">
        <f>INDEX('Rate Card'!$D:$D,MATCH(服务费底表!$T438,'Rate Card'!F:F,0))</f>
        <v>统计分析</v>
      </c>
      <c r="T438" s="328" t="s">
        <v>635</v>
      </c>
      <c r="U438" s="522" t="str">
        <f>INDEX('Rate Card'!$E:$E,MATCH(服务费底表!$T438,'Rate Card'!$F:$F,0))</f>
        <v>统计分析师</v>
      </c>
      <c r="V438" s="331">
        <f>INDEX('Rate Card'!$J:$J,MATCH($T438,'Rate Card'!$F:$F,0))</f>
        <v>225</v>
      </c>
      <c r="W438" s="523">
        <f t="shared" si="367"/>
        <v>225</v>
      </c>
      <c r="X438" s="523">
        <f t="shared" si="368"/>
        <v>10</v>
      </c>
      <c r="Y438" s="327" cm="1">
        <f t="array" ref="Y438">_xlfn.IFS(报价场景=服务费底表!$AJ$2,服务费底表!$AJ438,报价场景=服务费底表!$AP$2,服务费底表!$AP438,报价场景=服务费底表!$AK$2,服务费底表!$AK438,报价场景=服务费底表!$AL$2,服务费底表!$AL438,报价场景=服务费底表!$AM$2,服务费底表!$AM438,报价场景=服务费底表!$AN$2,服务费底表!$AN438,报价场景=服务费底表!$AQ$2,服务费底表!$AQ438,报价场景=服务费底表!$AO$2,服务费底表!$AO438)</f>
        <v>10</v>
      </c>
      <c r="Z438" s="327"/>
      <c r="AA438" s="332">
        <f t="shared" si="400"/>
        <v>10</v>
      </c>
      <c r="AB438" s="333">
        <f t="shared" si="401"/>
        <v>2250</v>
      </c>
      <c r="AC438" s="328">
        <f t="shared" si="402"/>
        <v>10</v>
      </c>
      <c r="AD438" s="334">
        <f t="shared" si="403"/>
        <v>2250</v>
      </c>
      <c r="AE438" s="334">
        <f>$AB438*(1-INDEX(项目参数!$D$5:$D$14,MATCH(服务费底表!$S438,项目参数!$B$5:$B$14,0)))</f>
        <v>2250</v>
      </c>
      <c r="AF438" s="334">
        <f>$AD438*INDEX(项目参数!$D$5:$D$14,MATCH(服务费底表!$S438,项目参数!$B$5:$B$14,0))</f>
        <v>0</v>
      </c>
      <c r="AG438" s="334">
        <f t="shared" si="404"/>
        <v>2250</v>
      </c>
      <c r="AH438" s="328"/>
      <c r="AI438" s="328" t="s">
        <v>635</v>
      </c>
      <c r="AJ438" s="327">
        <v>10</v>
      </c>
      <c r="AK438" s="327">
        <v>13</v>
      </c>
      <c r="AL438" s="327">
        <v>10</v>
      </c>
      <c r="AM438" s="327">
        <v>13</v>
      </c>
      <c r="AN438" s="327">
        <v>10</v>
      </c>
      <c r="AO438" s="327">
        <f t="shared" si="366"/>
        <v>10</v>
      </c>
      <c r="AP438" s="327">
        <v>10</v>
      </c>
      <c r="AQ438" s="327">
        <f t="shared" si="369"/>
        <v>15</v>
      </c>
      <c r="AR438" s="338"/>
      <c r="AS438" s="328">
        <f t="shared" si="405"/>
        <v>10</v>
      </c>
      <c r="AT438" s="328">
        <f t="shared" si="406"/>
        <v>10</v>
      </c>
      <c r="AU438" s="523">
        <v>10</v>
      </c>
      <c r="AV438" s="328"/>
      <c r="AW438" s="328"/>
      <c r="AX438" s="332">
        <v>10</v>
      </c>
      <c r="AY438" s="328" t="b">
        <f t="shared" si="407"/>
        <v>1</v>
      </c>
      <c r="AZ438" s="328" t="b">
        <f t="shared" si="354"/>
        <v>1</v>
      </c>
    </row>
    <row r="439" ht="27" customHeight="1" spans="1:52">
      <c r="A439" s="326" t="str">
        <f>INDEX('Rate Card'!$A:$A,MATCH(服务费底表!$T439,'Rate Card'!$F:$F,0))</f>
        <v>数统</v>
      </c>
      <c r="B439" s="327" t="str">
        <f>INDEX(二三级标准!$G:$G,MATCH(服务费底表!$K439,二三级标准!B:B,0))</f>
        <v>份</v>
      </c>
      <c r="C439" s="327">
        <f>INDEX(服务费明细!$E:$E,MATCH(服务费底表!$K439,服务费明细!$B:$B,0))</f>
        <v>1</v>
      </c>
      <c r="D439" s="327" t="str">
        <f t="shared" si="398"/>
        <v>A108SAM</v>
      </c>
      <c r="E439" s="327" t="str">
        <f t="shared" si="399"/>
        <v>T0348SAM</v>
      </c>
      <c r="F439" s="328"/>
      <c r="G439" s="328" t="s">
        <v>684</v>
      </c>
      <c r="H439" s="326" t="str">
        <f>INDEX('Rate Card'!$B:$B,MATCH(服务费底表!$T439,'Rate Card'!$F:$F,0))</f>
        <v>生物统计及分析</v>
      </c>
      <c r="I439" s="328" t="s">
        <v>924</v>
      </c>
      <c r="J439" s="328" t="str">
        <f>INDEX(二三级标准!$Q:$Q,MATCH(服务费底表!I439,二三级标准!$O:$O,0))</f>
        <v>生物统计及分析</v>
      </c>
      <c r="K439" s="328" t="s">
        <v>321</v>
      </c>
      <c r="L439" s="328" t="str">
        <f>INDEX(二三级标准!C:C,MATCH(服务费底表!K439,二三级标准!$B:$B,0))</f>
        <v>制作SDTM aCRF</v>
      </c>
      <c r="M439" s="328" t="s">
        <v>1488</v>
      </c>
      <c r="N439" s="328" t="str">
        <f>INDEX(二三级标准!$M:$M,MATCH(服务费底表!$M439,二三级标准!$L:$L,0))</f>
        <v>审核SDTM aCRF</v>
      </c>
      <c r="O439" s="328"/>
      <c r="P439" s="531">
        <f>IF(R439=1,INDEX(服务费明细!$E:$E,MATCH(服务费底表!$K439,服务费明细!$B:$B,0)),0)</f>
        <v>1</v>
      </c>
      <c r="Q439" s="328" t="s">
        <v>1176</v>
      </c>
      <c r="R439" s="520">
        <f>IF(AND(撰写SDTM_CRF注释和映射规范YN=1,统计分析YN=1),1,0)</f>
        <v>1</v>
      </c>
      <c r="S439" s="524" t="str">
        <f>INDEX('Rate Card'!$D:$D,MATCH(服务费底表!$T439,'Rate Card'!F:F,0))</f>
        <v>统计分析</v>
      </c>
      <c r="T439" s="328" t="s">
        <v>638</v>
      </c>
      <c r="U439" s="522" t="str">
        <f>INDEX('Rate Card'!$E:$E,MATCH(服务费底表!$T439,'Rate Card'!$F:$F,0))</f>
        <v>统计分析经理</v>
      </c>
      <c r="V439" s="331">
        <f>INDEX('Rate Card'!$J:$J,MATCH($T439,'Rate Card'!$F:$F,0))</f>
        <v>450</v>
      </c>
      <c r="W439" s="523">
        <f t="shared" si="367"/>
        <v>450</v>
      </c>
      <c r="X439" s="523">
        <f t="shared" si="368"/>
        <v>6</v>
      </c>
      <c r="Y439" s="327" cm="1">
        <f t="array" ref="Y439">_xlfn.IFS(报价场景=服务费底表!$AJ$2,服务费底表!$AJ439,报价场景=服务费底表!$AP$2,服务费底表!$AP439,报价场景=服务费底表!$AK$2,服务费底表!$AK439,报价场景=服务费底表!$AL$2,服务费底表!$AL439,报价场景=服务费底表!$AM$2,服务费底表!$AM439,报价场景=服务费底表!$AN$2,服务费底表!$AN439,报价场景=服务费底表!$AQ$2,服务费底表!$AQ439,报价场景=服务费底表!$AO$2,服务费底表!$AO439)</f>
        <v>6</v>
      </c>
      <c r="Z439" s="327"/>
      <c r="AA439" s="332">
        <f t="shared" si="400"/>
        <v>6</v>
      </c>
      <c r="AB439" s="333">
        <f t="shared" si="401"/>
        <v>2700</v>
      </c>
      <c r="AC439" s="328">
        <f t="shared" si="402"/>
        <v>6</v>
      </c>
      <c r="AD439" s="334">
        <f t="shared" si="403"/>
        <v>2700</v>
      </c>
      <c r="AE439" s="334">
        <f>$AB439*(1-INDEX(项目参数!$D$5:$D$14,MATCH(服务费底表!$S439,项目参数!$B$5:$B$14,0)))</f>
        <v>2700</v>
      </c>
      <c r="AF439" s="334">
        <f>$AD439*INDEX(项目参数!$D$5:$D$14,MATCH(服务费底表!$S439,项目参数!$B$5:$B$14,0))</f>
        <v>0</v>
      </c>
      <c r="AG439" s="334">
        <f t="shared" si="404"/>
        <v>2700</v>
      </c>
      <c r="AH439" s="328"/>
      <c r="AI439" s="328" t="s">
        <v>638</v>
      </c>
      <c r="AJ439" s="327">
        <v>6</v>
      </c>
      <c r="AK439" s="327">
        <v>7</v>
      </c>
      <c r="AL439" s="327">
        <v>6</v>
      </c>
      <c r="AM439" s="327">
        <v>7</v>
      </c>
      <c r="AN439" s="327">
        <v>6</v>
      </c>
      <c r="AO439" s="327">
        <f t="shared" si="366"/>
        <v>6</v>
      </c>
      <c r="AP439" s="327">
        <v>6</v>
      </c>
      <c r="AQ439" s="327">
        <f t="shared" si="369"/>
        <v>9</v>
      </c>
      <c r="AR439" s="338"/>
      <c r="AS439" s="328">
        <f t="shared" si="405"/>
        <v>6</v>
      </c>
      <c r="AT439" s="328">
        <f t="shared" si="406"/>
        <v>6</v>
      </c>
      <c r="AU439" s="523">
        <v>6</v>
      </c>
      <c r="AV439" s="328"/>
      <c r="AW439" s="328"/>
      <c r="AX439" s="332">
        <v>6</v>
      </c>
      <c r="AY439" s="328" t="b">
        <f t="shared" si="407"/>
        <v>1</v>
      </c>
      <c r="AZ439" s="328" t="b">
        <f t="shared" si="354"/>
        <v>1</v>
      </c>
    </row>
    <row r="440" ht="27" customHeight="1" spans="1:52">
      <c r="A440" s="326" t="str">
        <f>INDEX('Rate Card'!$A:$A,MATCH(服务费底表!$T440,'Rate Card'!$F:$F,0))</f>
        <v>数统</v>
      </c>
      <c r="B440" s="327" t="str">
        <f>INDEX(二三级标准!$G:$G,MATCH(服务费底表!$K440,二三级标准!B:B,0))</f>
        <v>个</v>
      </c>
      <c r="C440" s="327">
        <f>INDEX(服务费明细!$E:$E,MATCH(服务费底表!$K440,服务费明细!$B:$B,0))</f>
        <v>35</v>
      </c>
      <c r="D440" s="327" t="str">
        <f t="shared" si="398"/>
        <v>A224SA</v>
      </c>
      <c r="E440" s="327" t="str">
        <f t="shared" si="399"/>
        <v>T0349SA</v>
      </c>
      <c r="F440" s="328"/>
      <c r="G440" s="328" t="s">
        <v>684</v>
      </c>
      <c r="H440" s="326" t="str">
        <f>INDEX('Rate Card'!$B:$B,MATCH(服务费底表!$T440,'Rate Card'!$F:$F,0))</f>
        <v>生物统计及分析</v>
      </c>
      <c r="I440" s="328" t="s">
        <v>924</v>
      </c>
      <c r="J440" s="328" t="str">
        <f>INDEX(二三级标准!$Q:$Q,MATCH(服务费底表!I440,二三级标准!$O:$O,0))</f>
        <v>生物统计及分析</v>
      </c>
      <c r="K440" s="328" t="s">
        <v>1074</v>
      </c>
      <c r="L440" s="328" t="str">
        <f>INDEX(二三级标准!C:C,MATCH(服务费底表!K440,二三级标准!$B:$B,0))</f>
        <v>撰写SDTM映射规范</v>
      </c>
      <c r="M440" s="328" t="s">
        <v>1489</v>
      </c>
      <c r="N440" s="328" t="str">
        <f>INDEX(二三级标准!$M:$M,MATCH(服务费底表!$M440,二三级标准!$L:$L,0))</f>
        <v>编写SDTM数据集映射规范</v>
      </c>
      <c r="O440" s="328"/>
      <c r="P440" s="531">
        <f>IF(R440=1,INDEX(服务费明细!$E:$E,MATCH(服务费底表!$K440,服务费明细!$B:$B,0)),0)</f>
        <v>35</v>
      </c>
      <c r="Q440" s="328" t="s">
        <v>1281</v>
      </c>
      <c r="R440" s="520">
        <f>IF(AND(撰写SDTM_CRF注释和映射规范YN=1,统计分析YN=1),1,0)</f>
        <v>1</v>
      </c>
      <c r="S440" s="524" t="str">
        <f>INDEX('Rate Card'!$D:$D,MATCH(服务费底表!$T440,'Rate Card'!F:F,0))</f>
        <v>统计分析</v>
      </c>
      <c r="T440" s="328" t="s">
        <v>635</v>
      </c>
      <c r="U440" s="522" t="str">
        <f>INDEX('Rate Card'!$E:$E,MATCH(服务费底表!$T440,'Rate Card'!$F:$F,0))</f>
        <v>统计分析师</v>
      </c>
      <c r="V440" s="331">
        <f>INDEX('Rate Card'!$J:$J,MATCH($T440,'Rate Card'!$F:$F,0))</f>
        <v>225</v>
      </c>
      <c r="W440" s="523">
        <f t="shared" si="367"/>
        <v>225</v>
      </c>
      <c r="X440" s="523">
        <f t="shared" si="368"/>
        <v>0.5</v>
      </c>
      <c r="Y440" s="327" cm="1">
        <f t="array" ref="Y440">_xlfn.IFS(报价场景=服务费底表!$AJ$2,服务费底表!$AJ440,报价场景=服务费底表!$AP$2,服务费底表!$AP440,报价场景=服务费底表!$AK$2,服务费底表!$AK440,报价场景=服务费底表!$AL$2,服务费底表!$AL440,报价场景=服务费底表!$AM$2,服务费底表!$AM440,报价场景=服务费底表!$AN$2,服务费底表!$AN440,报价场景=服务费底表!$AQ$2,服务费底表!$AQ440,报价场景=服务费底表!$AO$2,服务费底表!$AO440)</f>
        <v>0.5</v>
      </c>
      <c r="Z440" s="327"/>
      <c r="AA440" s="332">
        <f t="shared" si="400"/>
        <v>0.5</v>
      </c>
      <c r="AB440" s="333">
        <f t="shared" si="401"/>
        <v>112.5</v>
      </c>
      <c r="AC440" s="328">
        <f t="shared" si="402"/>
        <v>17.5</v>
      </c>
      <c r="AD440" s="334">
        <f t="shared" si="403"/>
        <v>3937.5</v>
      </c>
      <c r="AE440" s="334">
        <f>$AB440*(1-INDEX(项目参数!$D$5:$D$14,MATCH(服务费底表!$S440,项目参数!$B$5:$B$14,0)))</f>
        <v>112.5</v>
      </c>
      <c r="AF440" s="334">
        <f>$AD440*INDEX(项目参数!$D$5:$D$14,MATCH(服务费底表!$S440,项目参数!$B$5:$B$14,0))</f>
        <v>0</v>
      </c>
      <c r="AG440" s="334">
        <f t="shared" si="404"/>
        <v>3937.5</v>
      </c>
      <c r="AH440" s="328"/>
      <c r="AI440" s="328" t="s">
        <v>635</v>
      </c>
      <c r="AJ440" s="327">
        <v>0.5</v>
      </c>
      <c r="AK440" s="327">
        <v>1</v>
      </c>
      <c r="AL440" s="327">
        <v>0.5</v>
      </c>
      <c r="AM440" s="327">
        <v>1</v>
      </c>
      <c r="AN440" s="327">
        <v>0.5</v>
      </c>
      <c r="AO440" s="327">
        <f t="shared" si="366"/>
        <v>0.5</v>
      </c>
      <c r="AP440" s="327">
        <v>0.5</v>
      </c>
      <c r="AQ440" s="327">
        <f t="shared" si="369"/>
        <v>0.75</v>
      </c>
      <c r="AR440" s="338"/>
      <c r="AS440" s="328">
        <f t="shared" si="405"/>
        <v>17.5</v>
      </c>
      <c r="AT440" s="328">
        <f t="shared" si="406"/>
        <v>17.5</v>
      </c>
      <c r="AU440" s="523">
        <v>0.5</v>
      </c>
      <c r="AV440" s="328"/>
      <c r="AW440" s="328"/>
      <c r="AX440" s="332">
        <v>0.5</v>
      </c>
      <c r="AY440" s="328" t="b">
        <f t="shared" si="407"/>
        <v>1</v>
      </c>
      <c r="AZ440" s="328" t="b">
        <f t="shared" si="354"/>
        <v>0</v>
      </c>
    </row>
    <row r="441" ht="27" customHeight="1" spans="1:52">
      <c r="A441" s="326" t="str">
        <f>INDEX('Rate Card'!$A:$A,MATCH(服务费底表!$T441,'Rate Card'!$F:$F,0))</f>
        <v>数统</v>
      </c>
      <c r="B441" s="327" t="str">
        <f>INDEX(二三级标准!$G:$G,MATCH(服务费底表!$K441,二三级标准!B:B,0))</f>
        <v>个</v>
      </c>
      <c r="C441" s="327">
        <f>INDEX(服务费明细!$E:$E,MATCH(服务费底表!$K441,服务费明细!$B:$B,0))</f>
        <v>35</v>
      </c>
      <c r="D441" s="327" t="str">
        <f t="shared" si="398"/>
        <v>A224SA</v>
      </c>
      <c r="E441" s="327" t="str">
        <f t="shared" si="399"/>
        <v>T0350SA</v>
      </c>
      <c r="F441" s="328"/>
      <c r="G441" s="328" t="s">
        <v>684</v>
      </c>
      <c r="H441" s="326" t="str">
        <f>INDEX('Rate Card'!$B:$B,MATCH(服务费底表!$T441,'Rate Card'!$F:$F,0))</f>
        <v>生物统计及分析</v>
      </c>
      <c r="I441" s="328" t="s">
        <v>924</v>
      </c>
      <c r="J441" s="328" t="str">
        <f>INDEX(二三级标准!$Q:$Q,MATCH(服务费底表!I441,二三级标准!$O:$O,0))</f>
        <v>生物统计及分析</v>
      </c>
      <c r="K441" s="328" t="s">
        <v>1074</v>
      </c>
      <c r="L441" s="328" t="str">
        <f>INDEX(二三级标准!C:C,MATCH(服务费底表!K441,二三级标准!$B:$B,0))</f>
        <v>撰写SDTM映射规范</v>
      </c>
      <c r="M441" s="328" t="s">
        <v>1490</v>
      </c>
      <c r="N441" s="328" t="str">
        <f>INDEX(二三级标准!$M:$M,MATCH(服务费底表!$M441,二三级标准!$L:$L,0))</f>
        <v>审核SDTM数据集映射规范</v>
      </c>
      <c r="O441" s="328"/>
      <c r="P441" s="531">
        <f>IF(R441=1,INDEX(服务费明细!$E:$E,MATCH(服务费底表!$K441,服务费明细!$B:$B,0)),0)</f>
        <v>35</v>
      </c>
      <c r="Q441" s="328" t="s">
        <v>1281</v>
      </c>
      <c r="R441" s="520">
        <f>IF(AND(撰写SDTM_CRF注释和映射规范YN=1,统计分析YN=1),1,0)</f>
        <v>1</v>
      </c>
      <c r="S441" s="524" t="str">
        <f>INDEX('Rate Card'!$D:$D,MATCH(服务费底表!$T441,'Rate Card'!F:F,0))</f>
        <v>统计分析</v>
      </c>
      <c r="T441" s="328" t="s">
        <v>635</v>
      </c>
      <c r="U441" s="522" t="str">
        <f>INDEX('Rate Card'!$E:$E,MATCH(服务费底表!$T441,'Rate Card'!$F:$F,0))</f>
        <v>统计分析师</v>
      </c>
      <c r="V441" s="331">
        <f>INDEX('Rate Card'!$J:$J,MATCH($T441,'Rate Card'!$F:$F,0))</f>
        <v>225</v>
      </c>
      <c r="W441" s="523">
        <f t="shared" si="367"/>
        <v>225</v>
      </c>
      <c r="X441" s="523">
        <f t="shared" si="368"/>
        <v>0.5</v>
      </c>
      <c r="Y441" s="327" cm="1">
        <f t="array" ref="Y441">_xlfn.IFS(报价场景=服务费底表!$AJ$2,服务费底表!$AJ441,报价场景=服务费底表!$AP$2,服务费底表!$AP441,报价场景=服务费底表!$AK$2,服务费底表!$AK441,报价场景=服务费底表!$AL$2,服务费底表!$AL441,报价场景=服务费底表!$AM$2,服务费底表!$AM441,报价场景=服务费底表!$AN$2,服务费底表!$AN441,报价场景=服务费底表!$AQ$2,服务费底表!$AQ441,报价场景=服务费底表!$AO$2,服务费底表!$AO441)</f>
        <v>0.5</v>
      </c>
      <c r="Z441" s="327"/>
      <c r="AA441" s="332">
        <f t="shared" si="400"/>
        <v>0.5</v>
      </c>
      <c r="AB441" s="333">
        <f t="shared" si="401"/>
        <v>112.5</v>
      </c>
      <c r="AC441" s="328">
        <f t="shared" si="402"/>
        <v>17.5</v>
      </c>
      <c r="AD441" s="334">
        <f t="shared" si="403"/>
        <v>3937.5</v>
      </c>
      <c r="AE441" s="334">
        <f>$AB441*(1-INDEX(项目参数!$D$5:$D$14,MATCH(服务费底表!$S441,项目参数!$B$5:$B$14,0)))</f>
        <v>112.5</v>
      </c>
      <c r="AF441" s="334">
        <f>$AD441*INDEX(项目参数!$D$5:$D$14,MATCH(服务费底表!$S441,项目参数!$B$5:$B$14,0))</f>
        <v>0</v>
      </c>
      <c r="AG441" s="334">
        <f t="shared" si="404"/>
        <v>3937.5</v>
      </c>
      <c r="AH441" s="328"/>
      <c r="AI441" s="328" t="s">
        <v>635</v>
      </c>
      <c r="AJ441" s="327">
        <v>0.5</v>
      </c>
      <c r="AK441" s="327">
        <v>1</v>
      </c>
      <c r="AL441" s="327">
        <v>0.5</v>
      </c>
      <c r="AM441" s="327">
        <v>1</v>
      </c>
      <c r="AN441" s="327">
        <v>0.5</v>
      </c>
      <c r="AO441" s="327">
        <f t="shared" si="366"/>
        <v>0.5</v>
      </c>
      <c r="AP441" s="327">
        <v>0.5</v>
      </c>
      <c r="AQ441" s="327">
        <f t="shared" si="369"/>
        <v>0.75</v>
      </c>
      <c r="AR441" s="338"/>
      <c r="AS441" s="328">
        <f t="shared" si="405"/>
        <v>17.5</v>
      </c>
      <c r="AT441" s="328">
        <f t="shared" si="406"/>
        <v>17.5</v>
      </c>
      <c r="AU441" s="523">
        <v>0.5</v>
      </c>
      <c r="AV441" s="328"/>
      <c r="AW441" s="328"/>
      <c r="AX441" s="332">
        <v>0.5</v>
      </c>
      <c r="AY441" s="328" t="b">
        <f t="shared" si="407"/>
        <v>1</v>
      </c>
      <c r="AZ441" s="328" t="b">
        <f t="shared" si="354"/>
        <v>0</v>
      </c>
    </row>
    <row r="442" ht="27" customHeight="1" spans="1:52">
      <c r="A442" s="326" t="str">
        <f>INDEX('Rate Card'!$A:$A,MATCH(服务费底表!$T442,'Rate Card'!$F:$F,0))</f>
        <v>数统</v>
      </c>
      <c r="B442" s="327" t="str">
        <f>INDEX(二三级标准!$G:$G,MATCH(服务费底表!$K442,二三级标准!B:B,0))</f>
        <v>个</v>
      </c>
      <c r="C442" s="327">
        <f>INDEX(服务费明细!$E:$E,MATCH(服务费底表!$K442,服务费明细!$B:$B,0))</f>
        <v>35</v>
      </c>
      <c r="D442" s="327" t="str">
        <f t="shared" si="398"/>
        <v>A224SAM</v>
      </c>
      <c r="E442" s="327" t="str">
        <f t="shared" si="399"/>
        <v>T0350SAM</v>
      </c>
      <c r="F442" s="328"/>
      <c r="G442" s="328" t="s">
        <v>684</v>
      </c>
      <c r="H442" s="326" t="str">
        <f>INDEX('Rate Card'!$B:$B,MATCH(服务费底表!$T442,'Rate Card'!$F:$F,0))</f>
        <v>生物统计及分析</v>
      </c>
      <c r="I442" s="328" t="s">
        <v>924</v>
      </c>
      <c r="J442" s="328" t="str">
        <f>INDEX(二三级标准!$Q:$Q,MATCH(服务费底表!I442,二三级标准!$O:$O,0))</f>
        <v>生物统计及分析</v>
      </c>
      <c r="K442" s="328" t="s">
        <v>1074</v>
      </c>
      <c r="L442" s="328" t="str">
        <f>INDEX(二三级标准!C:C,MATCH(服务费底表!K442,二三级标准!$B:$B,0))</f>
        <v>撰写SDTM映射规范</v>
      </c>
      <c r="M442" s="328" t="s">
        <v>1490</v>
      </c>
      <c r="N442" s="328" t="str">
        <f>INDEX(二三级标准!$M:$M,MATCH(服务费底表!$M442,二三级标准!$L:$L,0))</f>
        <v>审核SDTM数据集映射规范</v>
      </c>
      <c r="O442" s="328"/>
      <c r="P442" s="531">
        <f>IF(R442=1,INDEX(服务费明细!$E:$E,MATCH(服务费底表!$K442,服务费明细!$B:$B,0)),0)</f>
        <v>35</v>
      </c>
      <c r="Q442" s="328" t="s">
        <v>1281</v>
      </c>
      <c r="R442" s="520">
        <f>IF(AND(撰写SDTM_CRF注释和映射规范YN=1,统计分析YN=1),1,0)</f>
        <v>1</v>
      </c>
      <c r="S442" s="524" t="str">
        <f>INDEX('Rate Card'!$D:$D,MATCH(服务费底表!$T442,'Rate Card'!F:F,0))</f>
        <v>统计分析</v>
      </c>
      <c r="T442" s="328" t="s">
        <v>638</v>
      </c>
      <c r="U442" s="522" t="str">
        <f>INDEX('Rate Card'!$E:$E,MATCH(服务费底表!$T442,'Rate Card'!$F:$F,0))</f>
        <v>统计分析经理</v>
      </c>
      <c r="V442" s="331">
        <f>INDEX('Rate Card'!$J:$J,MATCH($T442,'Rate Card'!$F:$F,0))</f>
        <v>450</v>
      </c>
      <c r="W442" s="523">
        <f t="shared" si="367"/>
        <v>450</v>
      </c>
      <c r="X442" s="523">
        <f t="shared" si="368"/>
        <v>0.1</v>
      </c>
      <c r="Y442" s="327" cm="1">
        <f t="array" ref="Y442">_xlfn.IFS(报价场景=服务费底表!$AJ$2,服务费底表!$AJ442,报价场景=服务费底表!$AP$2,服务费底表!$AP442,报价场景=服务费底表!$AK$2,服务费底表!$AK442,报价场景=服务费底表!$AL$2,服务费底表!$AL442,报价场景=服务费底表!$AM$2,服务费底表!$AM442,报价场景=服务费底表!$AN$2,服务费底表!$AN442,报价场景=服务费底表!$AQ$2,服务费底表!$AQ442,报价场景=服务费底表!$AO$2,服务费底表!$AO442)</f>
        <v>0.1</v>
      </c>
      <c r="Z442" s="327"/>
      <c r="AA442" s="332">
        <f t="shared" si="400"/>
        <v>0.1</v>
      </c>
      <c r="AB442" s="333">
        <f t="shared" si="401"/>
        <v>45</v>
      </c>
      <c r="AC442" s="328">
        <f t="shared" si="402"/>
        <v>3.5</v>
      </c>
      <c r="AD442" s="334">
        <f t="shared" si="403"/>
        <v>1575</v>
      </c>
      <c r="AE442" s="334">
        <f>$AB442*(1-INDEX(项目参数!$D$5:$D$14,MATCH(服务费底表!$S442,项目参数!$B$5:$B$14,0)))</f>
        <v>45</v>
      </c>
      <c r="AF442" s="334">
        <f>$AD442*INDEX(项目参数!$D$5:$D$14,MATCH(服务费底表!$S442,项目参数!$B$5:$B$14,0))</f>
        <v>0</v>
      </c>
      <c r="AG442" s="334">
        <f t="shared" si="404"/>
        <v>1575</v>
      </c>
      <c r="AH442" s="328"/>
      <c r="AI442" s="328" t="s">
        <v>638</v>
      </c>
      <c r="AJ442" s="327">
        <v>0.1</v>
      </c>
      <c r="AK442" s="327">
        <v>0.2</v>
      </c>
      <c r="AL442" s="327">
        <v>0.1</v>
      </c>
      <c r="AM442" s="327">
        <v>0.2</v>
      </c>
      <c r="AN442" s="327">
        <v>0.1</v>
      </c>
      <c r="AO442" s="327">
        <f t="shared" si="366"/>
        <v>0.1</v>
      </c>
      <c r="AP442" s="327">
        <v>0.1</v>
      </c>
      <c r="AQ442" s="327">
        <f t="shared" si="369"/>
        <v>0.15</v>
      </c>
      <c r="AR442" s="338"/>
      <c r="AS442" s="328">
        <f t="shared" si="405"/>
        <v>3.5</v>
      </c>
      <c r="AT442" s="328">
        <f t="shared" si="406"/>
        <v>3.5</v>
      </c>
      <c r="AU442" s="523">
        <v>0.1</v>
      </c>
      <c r="AV442" s="328"/>
      <c r="AW442" s="328"/>
      <c r="AX442" s="332">
        <v>0.1</v>
      </c>
      <c r="AY442" s="328" t="b">
        <f t="shared" si="407"/>
        <v>1</v>
      </c>
      <c r="AZ442" s="328" t="b">
        <f t="shared" si="354"/>
        <v>0</v>
      </c>
    </row>
    <row r="443" ht="27" customHeight="1" spans="1:52">
      <c r="A443" s="326" t="str">
        <f>INDEX('Rate Card'!$A:$A,MATCH(服务费底表!$T443,'Rate Card'!$F:$F,0))</f>
        <v>数统</v>
      </c>
      <c r="B443" s="327" t="str">
        <f>INDEX(二三级标准!$G:$G,MATCH(服务费底表!$K443,二三级标准!B:B,0))</f>
        <v>个</v>
      </c>
      <c r="C443" s="327">
        <f>INDEX(服务费明细!$E:$E,MATCH(服务费底表!$K443,服务费明细!$B:$B,0))</f>
        <v>35</v>
      </c>
      <c r="D443" s="327" t="str">
        <f t="shared" si="398"/>
        <v>A109SA</v>
      </c>
      <c r="E443" s="327" t="str">
        <f t="shared" si="399"/>
        <v>T0351SA</v>
      </c>
      <c r="F443" s="328"/>
      <c r="G443" s="328" t="s">
        <v>684</v>
      </c>
      <c r="H443" s="326" t="str">
        <f>INDEX('Rate Card'!$B:$B,MATCH(服务费底表!$T443,'Rate Card'!$F:$F,0))</f>
        <v>生物统计及分析</v>
      </c>
      <c r="I443" s="328" t="s">
        <v>924</v>
      </c>
      <c r="J443" s="328" t="str">
        <f>INDEX(二三级标准!$Q:$Q,MATCH(服务费底表!I443,二三级标准!$O:$O,0))</f>
        <v>生物统计及分析</v>
      </c>
      <c r="K443" s="328" t="s">
        <v>323</v>
      </c>
      <c r="L443" s="328" t="str">
        <f>INDEX(二三级标准!C:C,MATCH(服务费底表!K443,二三级标准!$B:$B,0))</f>
        <v>生成SDTM数据集</v>
      </c>
      <c r="M443" s="328" t="s">
        <v>1491</v>
      </c>
      <c r="N443" s="328" t="str">
        <f>INDEX(二三级标准!$M:$M,MATCH(服务费底表!$M443,二三级标准!$L:$L,0))</f>
        <v>产生SDTM数据集</v>
      </c>
      <c r="O443" s="328"/>
      <c r="P443" s="531">
        <f>IF(R443=1,INDEX(服务费明细!$E:$E,MATCH(服务费底表!$K443,服务费明细!$B:$B,0)),0)</f>
        <v>35</v>
      </c>
      <c r="Q443" s="328" t="s">
        <v>1281</v>
      </c>
      <c r="R443" s="520">
        <f>IF(AND(生成SDTM数据集YN=1,统计分析YN=1),1,0)</f>
        <v>1</v>
      </c>
      <c r="S443" s="524" t="str">
        <f>INDEX('Rate Card'!$D:$D,MATCH(服务费底表!$T443,'Rate Card'!F:F,0))</f>
        <v>统计分析</v>
      </c>
      <c r="T443" s="328" t="s">
        <v>635</v>
      </c>
      <c r="U443" s="522" t="str">
        <f>INDEX('Rate Card'!$E:$E,MATCH(服务费底表!$T443,'Rate Card'!$F:$F,0))</f>
        <v>统计分析师</v>
      </c>
      <c r="V443" s="331">
        <f>INDEX('Rate Card'!$J:$J,MATCH($T443,'Rate Card'!$F:$F,0))</f>
        <v>225</v>
      </c>
      <c r="W443" s="523">
        <f t="shared" si="367"/>
        <v>225</v>
      </c>
      <c r="X443" s="523">
        <f t="shared" si="368"/>
        <v>2</v>
      </c>
      <c r="Y443" s="327" cm="1">
        <f t="array" ref="Y443">_xlfn.IFS(报价场景=服务费底表!$AJ$2,服务费底表!$AJ443,报价场景=服务费底表!$AP$2,服务费底表!$AP443,报价场景=服务费底表!$AK$2,服务费底表!$AK443,报价场景=服务费底表!$AL$2,服务费底表!$AL443,报价场景=服务费底表!$AM$2,服务费底表!$AM443,报价场景=服务费底表!$AN$2,服务费底表!$AN443,报价场景=服务费底表!$AQ$2,服务费底表!$AQ443,报价场景=服务费底表!$AO$2,服务费底表!$AO443)</f>
        <v>2</v>
      </c>
      <c r="Z443" s="327"/>
      <c r="AA443" s="332">
        <f t="shared" si="400"/>
        <v>2</v>
      </c>
      <c r="AB443" s="333">
        <f t="shared" si="401"/>
        <v>450</v>
      </c>
      <c r="AC443" s="328">
        <f t="shared" si="402"/>
        <v>70</v>
      </c>
      <c r="AD443" s="334">
        <f t="shared" si="403"/>
        <v>15750</v>
      </c>
      <c r="AE443" s="334">
        <f>$AB443*(1-INDEX(项目参数!$D$5:$D$14,MATCH(服务费底表!$S443,项目参数!$B$5:$B$14,0)))</f>
        <v>450</v>
      </c>
      <c r="AF443" s="334">
        <f>$AD443*INDEX(项目参数!$D$5:$D$14,MATCH(服务费底表!$S443,项目参数!$B$5:$B$14,0))</f>
        <v>0</v>
      </c>
      <c r="AG443" s="334">
        <f t="shared" si="404"/>
        <v>15750</v>
      </c>
      <c r="AH443" s="328"/>
      <c r="AI443" s="328" t="s">
        <v>635</v>
      </c>
      <c r="AJ443" s="327">
        <v>2</v>
      </c>
      <c r="AK443" s="327">
        <v>3</v>
      </c>
      <c r="AL443" s="327">
        <v>1</v>
      </c>
      <c r="AM443" s="327">
        <v>2</v>
      </c>
      <c r="AN443" s="327">
        <v>2</v>
      </c>
      <c r="AO443" s="327">
        <f t="shared" si="366"/>
        <v>1</v>
      </c>
      <c r="AP443" s="327">
        <v>2</v>
      </c>
      <c r="AQ443" s="327">
        <f t="shared" si="369"/>
        <v>3</v>
      </c>
      <c r="AR443" s="338"/>
      <c r="AS443" s="328">
        <f t="shared" si="405"/>
        <v>70</v>
      </c>
      <c r="AT443" s="328">
        <f t="shared" si="406"/>
        <v>70</v>
      </c>
      <c r="AU443" s="523">
        <v>2</v>
      </c>
      <c r="AV443" s="328"/>
      <c r="AW443" s="328"/>
      <c r="AX443" s="332">
        <v>2</v>
      </c>
      <c r="AY443" s="328" t="b">
        <f t="shared" si="407"/>
        <v>1</v>
      </c>
      <c r="AZ443" s="328" t="b">
        <f t="shared" si="354"/>
        <v>1</v>
      </c>
    </row>
    <row r="444" ht="27" customHeight="1" spans="1:52">
      <c r="A444" s="326" t="str">
        <f>INDEX('Rate Card'!$A:$A,MATCH(服务费底表!$T444,'Rate Card'!$F:$F,0))</f>
        <v>数统</v>
      </c>
      <c r="B444" s="327" t="str">
        <f>INDEX(二三级标准!$G:$G,MATCH(服务费底表!$K444,二三级标准!B:B,0))</f>
        <v>个</v>
      </c>
      <c r="C444" s="327">
        <f>INDEX(服务费明细!$E:$E,MATCH(服务费底表!$K444,服务费明细!$B:$B,0))</f>
        <v>35</v>
      </c>
      <c r="D444" s="327" t="str">
        <f t="shared" si="398"/>
        <v>A109SA</v>
      </c>
      <c r="E444" s="327" t="str">
        <f t="shared" si="399"/>
        <v>T0352SA</v>
      </c>
      <c r="F444" s="328"/>
      <c r="G444" s="328" t="s">
        <v>684</v>
      </c>
      <c r="H444" s="326" t="str">
        <f>INDEX('Rate Card'!$B:$B,MATCH(服务费底表!$T444,'Rate Card'!$F:$F,0))</f>
        <v>生物统计及分析</v>
      </c>
      <c r="I444" s="328" t="s">
        <v>924</v>
      </c>
      <c r="J444" s="328" t="str">
        <f>INDEX(二三级标准!$Q:$Q,MATCH(服务费底表!I444,二三级标准!$O:$O,0))</f>
        <v>生物统计及分析</v>
      </c>
      <c r="K444" s="328" t="s">
        <v>323</v>
      </c>
      <c r="L444" s="328" t="str">
        <f>INDEX(二三级标准!C:C,MATCH(服务费底表!K444,二三级标准!$B:$B,0))</f>
        <v>生成SDTM数据集</v>
      </c>
      <c r="M444" s="328" t="s">
        <v>1492</v>
      </c>
      <c r="N444" s="328" t="str">
        <f>INDEX(二三级标准!$M:$M,MATCH(服务费底表!$M444,二三级标准!$L:$L,0))</f>
        <v>验证SDTM数据集</v>
      </c>
      <c r="O444" s="328"/>
      <c r="P444" s="531">
        <f>IF(R444=1,INDEX(服务费明细!$E:$E,MATCH(服务费底表!$K444,服务费明细!$B:$B,0)),0)</f>
        <v>35</v>
      </c>
      <c r="Q444" s="328" t="s">
        <v>1281</v>
      </c>
      <c r="R444" s="520">
        <f>IF(AND(生成SDTM数据集YN=1,统计分析YN=1),1,0)</f>
        <v>1</v>
      </c>
      <c r="S444" s="524" t="str">
        <f>INDEX('Rate Card'!$D:$D,MATCH(服务费底表!$T444,'Rate Card'!F:F,0))</f>
        <v>统计分析</v>
      </c>
      <c r="T444" s="328" t="s">
        <v>635</v>
      </c>
      <c r="U444" s="522" t="str">
        <f>INDEX('Rate Card'!$E:$E,MATCH(服务费底表!$T444,'Rate Card'!$F:$F,0))</f>
        <v>统计分析师</v>
      </c>
      <c r="V444" s="331">
        <f>INDEX('Rate Card'!$J:$J,MATCH($T444,'Rate Card'!$F:$F,0))</f>
        <v>225</v>
      </c>
      <c r="W444" s="523">
        <f t="shared" si="367"/>
        <v>225</v>
      </c>
      <c r="X444" s="523">
        <f t="shared" si="368"/>
        <v>2</v>
      </c>
      <c r="Y444" s="327" cm="1">
        <f t="array" ref="Y444">_xlfn.IFS(报价场景=服务费底表!$AJ$2,服务费底表!$AJ444,报价场景=服务费底表!$AP$2,服务费底表!$AP444,报价场景=服务费底表!$AK$2,服务费底表!$AK444,报价场景=服务费底表!$AL$2,服务费底表!$AL444,报价场景=服务费底表!$AM$2,服务费底表!$AM444,报价场景=服务费底表!$AN$2,服务费底表!$AN444,报价场景=服务费底表!$AQ$2,服务费底表!$AQ444,报价场景=服务费底表!$AO$2,服务费底表!$AO444)</f>
        <v>2</v>
      </c>
      <c r="Z444" s="327"/>
      <c r="AA444" s="332">
        <f t="shared" si="400"/>
        <v>2</v>
      </c>
      <c r="AB444" s="333">
        <f t="shared" si="401"/>
        <v>450</v>
      </c>
      <c r="AC444" s="328">
        <f t="shared" si="402"/>
        <v>70</v>
      </c>
      <c r="AD444" s="334">
        <f t="shared" si="403"/>
        <v>15750</v>
      </c>
      <c r="AE444" s="334">
        <f>$AB444*(1-INDEX(项目参数!$D$5:$D$14,MATCH(服务费底表!$S444,项目参数!$B$5:$B$14,0)))</f>
        <v>450</v>
      </c>
      <c r="AF444" s="334">
        <f>$AD444*INDEX(项目参数!$D$5:$D$14,MATCH(服务费底表!$S444,项目参数!$B$5:$B$14,0))</f>
        <v>0</v>
      </c>
      <c r="AG444" s="334">
        <f t="shared" si="404"/>
        <v>15750</v>
      </c>
      <c r="AH444" s="328"/>
      <c r="AI444" s="328" t="s">
        <v>635</v>
      </c>
      <c r="AJ444" s="327">
        <v>2</v>
      </c>
      <c r="AK444" s="327">
        <v>3</v>
      </c>
      <c r="AL444" s="327">
        <v>1</v>
      </c>
      <c r="AM444" s="327">
        <v>2</v>
      </c>
      <c r="AN444" s="327">
        <v>2</v>
      </c>
      <c r="AO444" s="327">
        <f t="shared" si="366"/>
        <v>1</v>
      </c>
      <c r="AP444" s="327">
        <v>2</v>
      </c>
      <c r="AQ444" s="327">
        <f t="shared" si="369"/>
        <v>3</v>
      </c>
      <c r="AR444" s="338"/>
      <c r="AS444" s="328">
        <f t="shared" si="405"/>
        <v>70</v>
      </c>
      <c r="AT444" s="328">
        <f t="shared" si="406"/>
        <v>70</v>
      </c>
      <c r="AU444" s="523">
        <v>2</v>
      </c>
      <c r="AV444" s="328"/>
      <c r="AW444" s="328"/>
      <c r="AX444" s="332">
        <v>2</v>
      </c>
      <c r="AY444" s="328" t="b">
        <f t="shared" si="407"/>
        <v>1</v>
      </c>
      <c r="AZ444" s="328" t="b">
        <f t="shared" si="354"/>
        <v>1</v>
      </c>
    </row>
    <row r="445" ht="27" customHeight="1" spans="1:52">
      <c r="A445" s="326" t="str">
        <f>INDEX('Rate Card'!$A:$A,MATCH(服务费底表!$T445,'Rate Card'!$F:$F,0))</f>
        <v>数统</v>
      </c>
      <c r="B445" s="327" t="str">
        <f>INDEX(二三级标准!$G:$G,MATCH(服务费底表!$K445,二三级标准!B:B,0))</f>
        <v>个</v>
      </c>
      <c r="C445" s="327">
        <f>INDEX(服务费明细!$E:$E,MATCH(服务费底表!$K445,服务费明细!$B:$B,0))</f>
        <v>35</v>
      </c>
      <c r="D445" s="327" t="str">
        <f t="shared" ref="D445:D463" si="408">K445&amp;T445</f>
        <v>A109SA</v>
      </c>
      <c r="E445" s="327" t="str">
        <f t="shared" ref="E445:E463" si="409">M445&amp;T445</f>
        <v>T0354SA</v>
      </c>
      <c r="F445" s="328"/>
      <c r="G445" s="328" t="s">
        <v>684</v>
      </c>
      <c r="H445" s="326" t="str">
        <f>INDEX('Rate Card'!$B:$B,MATCH(服务费底表!$T445,'Rate Card'!$F:$F,0))</f>
        <v>生物统计及分析</v>
      </c>
      <c r="I445" s="328" t="s">
        <v>924</v>
      </c>
      <c r="J445" s="328" t="str">
        <f>INDEX(二三级标准!$Q:$Q,MATCH(服务费底表!I445,二三级标准!$O:$O,0))</f>
        <v>生物统计及分析</v>
      </c>
      <c r="K445" s="328" t="s">
        <v>323</v>
      </c>
      <c r="L445" s="328" t="str">
        <f>INDEX(二三级标准!C:C,MATCH(服务费底表!K445,二三级标准!$B:$B,0))</f>
        <v>生成SDTM数据集</v>
      </c>
      <c r="M445" s="328" t="s">
        <v>1493</v>
      </c>
      <c r="N445" s="328" t="str">
        <f>INDEX(二三级标准!$M:$M,MATCH(服务费底表!$M445,二三级标准!$L:$L,0))</f>
        <v>转换SDTM数据集 - XPT格式</v>
      </c>
      <c r="O445" s="328"/>
      <c r="P445" s="531">
        <f>IF(R445=1,INDEX(服务费明细!$E:$E,MATCH(服务费底表!$K445,服务费明细!$B:$B,0)),0)</f>
        <v>35</v>
      </c>
      <c r="Q445" s="328" t="s">
        <v>1281</v>
      </c>
      <c r="R445" s="520">
        <f>IF(AND(生成SDTM数据集YN=1,统计分析YN=1),1,0)</f>
        <v>1</v>
      </c>
      <c r="S445" s="524" t="str">
        <f>INDEX('Rate Card'!$D:$D,MATCH(服务费底表!$T445,'Rate Card'!F:F,0))</f>
        <v>统计分析</v>
      </c>
      <c r="T445" s="328" t="s">
        <v>635</v>
      </c>
      <c r="U445" s="522" t="str">
        <f>INDEX('Rate Card'!$E:$E,MATCH(服务费底表!$T445,'Rate Card'!$F:$F,0))</f>
        <v>统计分析师</v>
      </c>
      <c r="V445" s="331">
        <f>INDEX('Rate Card'!$J:$J,MATCH($T445,'Rate Card'!$F:$F,0))</f>
        <v>225</v>
      </c>
      <c r="W445" s="523">
        <f t="shared" si="367"/>
        <v>225</v>
      </c>
      <c r="X445" s="523">
        <f t="shared" si="368"/>
        <v>0.01</v>
      </c>
      <c r="Y445" s="327" cm="1">
        <f t="array" ref="Y445">_xlfn.IFS(报价场景=服务费底表!$AJ$2,服务费底表!$AJ445,报价场景=服务费底表!$AP$2,服务费底表!$AP445,报价场景=服务费底表!$AK$2,服务费底表!$AK445,报价场景=服务费底表!$AL$2,服务费底表!$AL445,报价场景=服务费底表!$AM$2,服务费底表!$AM445,报价场景=服务费底表!$AN$2,服务费底表!$AN445,报价场景=服务费底表!$AQ$2,服务费底表!$AQ445,报价场景=服务费底表!$AO$2,服务费底表!$AO445)</f>
        <v>0.01</v>
      </c>
      <c r="Z445" s="327"/>
      <c r="AA445" s="332">
        <f t="shared" si="400"/>
        <v>0.01</v>
      </c>
      <c r="AB445" s="333">
        <f t="shared" ref="AB445:AB463" si="410">IFERROR(AD445/P445,0)</f>
        <v>2.25</v>
      </c>
      <c r="AC445" s="328">
        <f t="shared" ref="AC445:AC463" si="411">AA445*P445*R445</f>
        <v>0.35</v>
      </c>
      <c r="AD445" s="334">
        <f t="shared" ref="AD445:AD463" si="412">AC445*V445</f>
        <v>78.75</v>
      </c>
      <c r="AE445" s="334">
        <f>$AB445*(1-INDEX(项目参数!$D$5:$D$14,MATCH(服务费底表!$S445,项目参数!$B$5:$B$14,0)))</f>
        <v>2.25</v>
      </c>
      <c r="AF445" s="334">
        <f>$AD445*INDEX(项目参数!$D$5:$D$14,MATCH(服务费底表!$S445,项目参数!$B$5:$B$14,0))</f>
        <v>0</v>
      </c>
      <c r="AG445" s="334">
        <f t="shared" si="404"/>
        <v>78.75</v>
      </c>
      <c r="AH445" s="328"/>
      <c r="AI445" s="328" t="s">
        <v>635</v>
      </c>
      <c r="AJ445" s="327">
        <v>0.01</v>
      </c>
      <c r="AK445" s="327">
        <v>0.06</v>
      </c>
      <c r="AL445" s="327">
        <v>0.01</v>
      </c>
      <c r="AM445" s="327">
        <v>0.05</v>
      </c>
      <c r="AN445" s="327">
        <v>0.01</v>
      </c>
      <c r="AO445" s="327">
        <f t="shared" si="366"/>
        <v>0.01</v>
      </c>
      <c r="AP445" s="327">
        <v>0.01</v>
      </c>
      <c r="AQ445" s="327">
        <f t="shared" si="369"/>
        <v>0.015</v>
      </c>
      <c r="AR445" s="338"/>
      <c r="AS445" s="328">
        <f t="shared" si="405"/>
        <v>0.35</v>
      </c>
      <c r="AT445" s="328">
        <f t="shared" si="406"/>
        <v>0.35</v>
      </c>
      <c r="AU445" s="523">
        <v>0.01</v>
      </c>
      <c r="AV445" s="328"/>
      <c r="AW445" s="328"/>
      <c r="AX445" s="332">
        <v>0.01</v>
      </c>
      <c r="AY445" s="328" t="b">
        <f t="shared" ref="AY445:AY476" si="413">IF(AX445=AJ445,TRUE,FALSE)</f>
        <v>1</v>
      </c>
      <c r="AZ445" s="328" t="b">
        <f t="shared" si="354"/>
        <v>1</v>
      </c>
    </row>
    <row r="446" ht="27" customHeight="1" spans="1:52">
      <c r="A446" s="326" t="str">
        <f>INDEX('Rate Card'!$A:$A,MATCH(服务费底表!$T446,'Rate Card'!$F:$F,0))</f>
        <v>数统</v>
      </c>
      <c r="B446" s="327" t="str">
        <f>INDEX(二三级标准!$G:$G,MATCH(服务费底表!$K446,二三级标准!B:B,0))</f>
        <v>个</v>
      </c>
      <c r="C446" s="327">
        <f>INDEX(服务费明细!$E:$E,MATCH(服务费底表!$K446,服务费明细!$B:$B,0))</f>
        <v>35</v>
      </c>
      <c r="D446" s="327" t="str">
        <f t="shared" si="408"/>
        <v>A109SA</v>
      </c>
      <c r="E446" s="327" t="str">
        <f t="shared" si="409"/>
        <v>T0356SA</v>
      </c>
      <c r="F446" s="328"/>
      <c r="G446" s="328" t="s">
        <v>684</v>
      </c>
      <c r="H446" s="326" t="str">
        <f>INDEX('Rate Card'!$B:$B,MATCH(服务费底表!$T446,'Rate Card'!$F:$F,0))</f>
        <v>生物统计及分析</v>
      </c>
      <c r="I446" s="328" t="s">
        <v>924</v>
      </c>
      <c r="J446" s="328" t="str">
        <f>INDEX(二三级标准!$Q:$Q,MATCH(服务费底表!I446,二三级标准!$O:$O,0))</f>
        <v>生物统计及分析</v>
      </c>
      <c r="K446" s="328" t="s">
        <v>323</v>
      </c>
      <c r="L446" s="328" t="str">
        <f>INDEX(二三级标准!C:C,MATCH(服务费底表!K446,二三级标准!$B:$B,0))</f>
        <v>生成SDTM数据集</v>
      </c>
      <c r="M446" s="328" t="s">
        <v>1494</v>
      </c>
      <c r="N446" s="328" t="str">
        <f>INDEX(二三级标准!$M:$M,MATCH(服务费底表!$M446,二三级标准!$L:$L,0))</f>
        <v>检查SDTM数据集合规</v>
      </c>
      <c r="O446" s="328"/>
      <c r="P446" s="531">
        <f>IF(R446=1,INDEX(服务费明细!$E:$E,MATCH(服务费底表!$K446,服务费明细!$B:$B,0)),0)</f>
        <v>35</v>
      </c>
      <c r="Q446" s="328" t="s">
        <v>1281</v>
      </c>
      <c r="R446" s="520">
        <f>IF(AND(生成SDTM数据集YN=1,统计分析YN=1),1,0)</f>
        <v>1</v>
      </c>
      <c r="S446" s="524" t="str">
        <f>INDEX('Rate Card'!$D:$D,MATCH(服务费底表!$T446,'Rate Card'!F:F,0))</f>
        <v>统计分析</v>
      </c>
      <c r="T446" s="328" t="s">
        <v>635</v>
      </c>
      <c r="U446" s="522" t="str">
        <f>INDEX('Rate Card'!$E:$E,MATCH(服务费底表!$T446,'Rate Card'!$F:$F,0))</f>
        <v>统计分析师</v>
      </c>
      <c r="V446" s="331">
        <f>INDEX('Rate Card'!$J:$J,MATCH($T446,'Rate Card'!$F:$F,0))</f>
        <v>225</v>
      </c>
      <c r="W446" s="523">
        <f t="shared" si="367"/>
        <v>225</v>
      </c>
      <c r="X446" s="523">
        <f t="shared" si="368"/>
        <v>0.5</v>
      </c>
      <c r="Y446" s="327" cm="1">
        <f t="array" ref="Y446">_xlfn.IFS(报价场景=服务费底表!$AJ$2,服务费底表!$AJ446,报价场景=服务费底表!$AP$2,服务费底表!$AP446,报价场景=服务费底表!$AK$2,服务费底表!$AK446,报价场景=服务费底表!$AL$2,服务费底表!$AL446,报价场景=服务费底表!$AM$2,服务费底表!$AM446,报价场景=服务费底表!$AN$2,服务费底表!$AN446,报价场景=服务费底表!$AQ$2,服务费底表!$AQ446,报价场景=服务费底表!$AO$2,服务费底表!$AO446)</f>
        <v>0.5</v>
      </c>
      <c r="Z446" s="327"/>
      <c r="AA446" s="332">
        <f t="shared" si="400"/>
        <v>0.5</v>
      </c>
      <c r="AB446" s="333">
        <f t="shared" si="410"/>
        <v>112.5</v>
      </c>
      <c r="AC446" s="328">
        <f t="shared" si="411"/>
        <v>17.5</v>
      </c>
      <c r="AD446" s="334">
        <f t="shared" si="412"/>
        <v>3937.5</v>
      </c>
      <c r="AE446" s="334">
        <f>$AB446*(1-INDEX(项目参数!$D$5:$D$14,MATCH(服务费底表!$S446,项目参数!$B$5:$B$14,0)))</f>
        <v>112.5</v>
      </c>
      <c r="AF446" s="334">
        <f>$AD446*INDEX(项目参数!$D$5:$D$14,MATCH(服务费底表!$S446,项目参数!$B$5:$B$14,0))</f>
        <v>0</v>
      </c>
      <c r="AG446" s="334">
        <f t="shared" si="404"/>
        <v>3937.5</v>
      </c>
      <c r="AH446" s="328"/>
      <c r="AI446" s="328" t="s">
        <v>635</v>
      </c>
      <c r="AJ446" s="327">
        <v>0.5</v>
      </c>
      <c r="AK446" s="327">
        <v>1</v>
      </c>
      <c r="AL446" s="327">
        <v>0.5</v>
      </c>
      <c r="AM446" s="327">
        <v>1</v>
      </c>
      <c r="AN446" s="327">
        <v>0.5</v>
      </c>
      <c r="AO446" s="327">
        <f t="shared" si="366"/>
        <v>0.5</v>
      </c>
      <c r="AP446" s="327">
        <v>0.5</v>
      </c>
      <c r="AQ446" s="327">
        <f t="shared" si="369"/>
        <v>0.75</v>
      </c>
      <c r="AR446" s="338"/>
      <c r="AS446" s="328">
        <f t="shared" si="405"/>
        <v>17.5</v>
      </c>
      <c r="AT446" s="328">
        <f t="shared" si="406"/>
        <v>17.5</v>
      </c>
      <c r="AU446" s="523">
        <v>0.5</v>
      </c>
      <c r="AV446" s="328"/>
      <c r="AW446" s="328"/>
      <c r="AX446" s="332">
        <v>0.5</v>
      </c>
      <c r="AY446" s="328" t="b">
        <f t="shared" si="413"/>
        <v>1</v>
      </c>
      <c r="AZ446" s="328" t="b">
        <f t="shared" si="354"/>
        <v>1</v>
      </c>
    </row>
    <row r="447" ht="27" customHeight="1" spans="1:52">
      <c r="A447" s="326" t="str">
        <f>INDEX('Rate Card'!$A:$A,MATCH(服务费底表!$T447,'Rate Card'!$F:$F,0))</f>
        <v>数统</v>
      </c>
      <c r="B447" s="327" t="str">
        <f>INDEX(二三级标准!$G:$G,MATCH(服务费底表!$K447,二三级标准!B:B,0))</f>
        <v>个</v>
      </c>
      <c r="C447" s="327">
        <f>INDEX(服务费明细!$E:$E,MATCH(服务费底表!$K447,服务费明细!$B:$B,0))</f>
        <v>15</v>
      </c>
      <c r="D447" s="327" t="str">
        <f t="shared" si="408"/>
        <v>A110SA</v>
      </c>
      <c r="E447" s="327" t="str">
        <f t="shared" si="409"/>
        <v>T0357SA</v>
      </c>
      <c r="F447" s="328"/>
      <c r="G447" s="328" t="s">
        <v>684</v>
      </c>
      <c r="H447" s="326" t="str">
        <f>INDEX('Rate Card'!$B:$B,MATCH(服务费底表!$T447,'Rate Card'!$F:$F,0))</f>
        <v>生物统计及分析</v>
      </c>
      <c r="I447" s="328" t="s">
        <v>924</v>
      </c>
      <c r="J447" s="328" t="str">
        <f>INDEX(二三级标准!$Q:$Q,MATCH(服务费底表!I447,二三级标准!$O:$O,0))</f>
        <v>生物统计及分析</v>
      </c>
      <c r="K447" s="328" t="s">
        <v>325</v>
      </c>
      <c r="L447" s="328" t="str">
        <f>INDEX(二三级标准!C:C,MATCH(服务费底表!K447,二三级标准!$B:$B,0))</f>
        <v>撰写分析数据集衍生规范</v>
      </c>
      <c r="M447" s="328" t="s">
        <v>1495</v>
      </c>
      <c r="N447" s="328" t="str">
        <f>INDEX(二三级标准!$M:$M,MATCH(服务费底表!$M447,二三级标准!$L:$L,0))</f>
        <v>编写分析数据集衍生规范</v>
      </c>
      <c r="O447" s="328"/>
      <c r="P447" s="531">
        <f>IF(R447=1,INDEX(服务费明细!$E:$E,MATCH(服务费底表!$K447,服务费明细!$B:$B,0)),0)</f>
        <v>15</v>
      </c>
      <c r="Q447" s="328" t="s">
        <v>1281</v>
      </c>
      <c r="R447" s="520">
        <f>IF(AND(生成ADaM数据集或衍生数据集YN=1,统计分析YN=1),1,0)</f>
        <v>1</v>
      </c>
      <c r="S447" s="524" t="str">
        <f>INDEX('Rate Card'!$D:$D,MATCH(服务费底表!$T447,'Rate Card'!F:F,0))</f>
        <v>统计分析</v>
      </c>
      <c r="T447" s="328" t="s">
        <v>635</v>
      </c>
      <c r="U447" s="522" t="str">
        <f>INDEX('Rate Card'!$E:$E,MATCH(服务费底表!$T447,'Rate Card'!$F:$F,0))</f>
        <v>统计分析师</v>
      </c>
      <c r="V447" s="331">
        <f>INDEX('Rate Card'!$J:$J,MATCH($T447,'Rate Card'!$F:$F,0))</f>
        <v>225</v>
      </c>
      <c r="W447" s="523">
        <f t="shared" si="367"/>
        <v>225</v>
      </c>
      <c r="X447" s="523">
        <f t="shared" si="368"/>
        <v>1</v>
      </c>
      <c r="Y447" s="327" cm="1">
        <f t="array" ref="Y447">_xlfn.IFS(报价场景=服务费底表!$AJ$2,服务费底表!$AJ447,报价场景=服务费底表!$AP$2,服务费底表!$AP447,报价场景=服务费底表!$AK$2,服务费底表!$AK447,报价场景=服务费底表!$AL$2,服务费底表!$AL447,报价场景=服务费底表!$AM$2,服务费底表!$AM447,报价场景=服务费底表!$AN$2,服务费底表!$AN447,报价场景=服务费底表!$AQ$2,服务费底表!$AQ447,报价场景=服务费底表!$AO$2,服务费底表!$AO447)</f>
        <v>1</v>
      </c>
      <c r="Z447" s="327"/>
      <c r="AA447" s="332">
        <f t="shared" si="400"/>
        <v>1</v>
      </c>
      <c r="AB447" s="333">
        <f t="shared" si="410"/>
        <v>225</v>
      </c>
      <c r="AC447" s="328">
        <f t="shared" si="411"/>
        <v>15</v>
      </c>
      <c r="AD447" s="334">
        <f t="shared" si="412"/>
        <v>3375</v>
      </c>
      <c r="AE447" s="334">
        <f>$AB447*(1-INDEX(项目参数!$D$5:$D$14,MATCH(服务费底表!$S447,项目参数!$B$5:$B$14,0)))</f>
        <v>225</v>
      </c>
      <c r="AF447" s="334">
        <f>$AD447*INDEX(项目参数!$D$5:$D$14,MATCH(服务费底表!$S447,项目参数!$B$5:$B$14,0))</f>
        <v>0</v>
      </c>
      <c r="AG447" s="334">
        <f t="shared" si="404"/>
        <v>3375</v>
      </c>
      <c r="AH447" s="328"/>
      <c r="AI447" s="328" t="s">
        <v>635</v>
      </c>
      <c r="AJ447" s="327">
        <v>1</v>
      </c>
      <c r="AK447" s="327">
        <v>2</v>
      </c>
      <c r="AL447" s="327">
        <v>0.5</v>
      </c>
      <c r="AM447" s="327">
        <v>1</v>
      </c>
      <c r="AN447" s="327">
        <v>1.5</v>
      </c>
      <c r="AO447" s="327">
        <f t="shared" si="366"/>
        <v>0.5</v>
      </c>
      <c r="AP447" s="327">
        <v>1</v>
      </c>
      <c r="AQ447" s="327">
        <f t="shared" si="369"/>
        <v>1.5</v>
      </c>
      <c r="AR447" s="338"/>
      <c r="AS447" s="328">
        <f t="shared" si="405"/>
        <v>15</v>
      </c>
      <c r="AT447" s="328">
        <f t="shared" si="406"/>
        <v>15</v>
      </c>
      <c r="AU447" s="523">
        <v>1</v>
      </c>
      <c r="AV447" s="328"/>
      <c r="AW447" s="328"/>
      <c r="AX447" s="332">
        <v>1</v>
      </c>
      <c r="AY447" s="328" t="b">
        <f t="shared" si="413"/>
        <v>1</v>
      </c>
      <c r="AZ447" s="328" t="b">
        <f t="shared" si="354"/>
        <v>0</v>
      </c>
    </row>
    <row r="448" ht="27" customHeight="1" spans="1:52">
      <c r="A448" s="326" t="str">
        <f>INDEX('Rate Card'!$A:$A,MATCH(服务费底表!$T448,'Rate Card'!$F:$F,0))</f>
        <v>数统</v>
      </c>
      <c r="B448" s="327" t="str">
        <f>INDEX(二三级标准!$G:$G,MATCH(服务费底表!$K448,二三级标准!B:B,0))</f>
        <v>个</v>
      </c>
      <c r="C448" s="327">
        <f>INDEX(服务费明细!$E:$E,MATCH(服务费底表!$K448,服务费明细!$B:$B,0))</f>
        <v>15</v>
      </c>
      <c r="D448" s="327" t="str">
        <f t="shared" si="408"/>
        <v>A110SA</v>
      </c>
      <c r="E448" s="327" t="str">
        <f t="shared" si="409"/>
        <v>T0358SA</v>
      </c>
      <c r="F448" s="328"/>
      <c r="G448" s="328" t="s">
        <v>684</v>
      </c>
      <c r="H448" s="326" t="str">
        <f>INDEX('Rate Card'!$B:$B,MATCH(服务费底表!$T448,'Rate Card'!$F:$F,0))</f>
        <v>生物统计及分析</v>
      </c>
      <c r="I448" s="328" t="s">
        <v>924</v>
      </c>
      <c r="J448" s="328" t="str">
        <f>INDEX(二三级标准!$Q:$Q,MATCH(服务费底表!I448,二三级标准!$O:$O,0))</f>
        <v>生物统计及分析</v>
      </c>
      <c r="K448" s="328" t="s">
        <v>325</v>
      </c>
      <c r="L448" s="328" t="str">
        <f>INDEX(二三级标准!C:C,MATCH(服务费底表!K448,二三级标准!$B:$B,0))</f>
        <v>撰写分析数据集衍生规范</v>
      </c>
      <c r="M448" s="328" t="s">
        <v>1496</v>
      </c>
      <c r="N448" s="328" t="str">
        <f>INDEX(二三级标准!$M:$M,MATCH(服务费底表!$M448,二三级标准!$L:$L,0))</f>
        <v>审核分析数据集衍生规范</v>
      </c>
      <c r="O448" s="328"/>
      <c r="P448" s="531">
        <f>IF(R448=1,INDEX(服务费明细!$E:$E,MATCH(服务费底表!$K448,服务费明细!$B:$B,0)),0)</f>
        <v>15</v>
      </c>
      <c r="Q448" s="328" t="s">
        <v>1281</v>
      </c>
      <c r="R448" s="520">
        <f>IF(AND(生成ADaM数据集或衍生数据集YN=1,统计分析YN=1),1,0)</f>
        <v>1</v>
      </c>
      <c r="S448" s="524" t="str">
        <f>INDEX('Rate Card'!$D:$D,MATCH(服务费底表!$T448,'Rate Card'!F:F,0))</f>
        <v>统计分析</v>
      </c>
      <c r="T448" s="328" t="s">
        <v>635</v>
      </c>
      <c r="U448" s="522" t="str">
        <f>INDEX('Rate Card'!$E:$E,MATCH(服务费底表!$T448,'Rate Card'!$F:$F,0))</f>
        <v>统计分析师</v>
      </c>
      <c r="V448" s="331">
        <f>INDEX('Rate Card'!$J:$J,MATCH($T448,'Rate Card'!$F:$F,0))</f>
        <v>225</v>
      </c>
      <c r="W448" s="523">
        <f t="shared" si="367"/>
        <v>225</v>
      </c>
      <c r="X448" s="523">
        <f t="shared" si="368"/>
        <v>1</v>
      </c>
      <c r="Y448" s="327" cm="1">
        <f t="array" ref="Y448">_xlfn.IFS(报价场景=服务费底表!$AJ$2,服务费底表!$AJ448,报价场景=服务费底表!$AP$2,服务费底表!$AP448,报价场景=服务费底表!$AK$2,服务费底表!$AK448,报价场景=服务费底表!$AL$2,服务费底表!$AL448,报价场景=服务费底表!$AM$2,服务费底表!$AM448,报价场景=服务费底表!$AN$2,服务费底表!$AN448,报价场景=服务费底表!$AQ$2,服务费底表!$AQ448,报价场景=服务费底表!$AO$2,服务费底表!$AO448)</f>
        <v>1</v>
      </c>
      <c r="Z448" s="327"/>
      <c r="AA448" s="332">
        <f t="shared" si="400"/>
        <v>1</v>
      </c>
      <c r="AB448" s="333">
        <f t="shared" si="410"/>
        <v>225</v>
      </c>
      <c r="AC448" s="328">
        <f t="shared" si="411"/>
        <v>15</v>
      </c>
      <c r="AD448" s="334">
        <f t="shared" si="412"/>
        <v>3375</v>
      </c>
      <c r="AE448" s="334">
        <f>$AB448*(1-INDEX(项目参数!$D$5:$D$14,MATCH(服务费底表!$S448,项目参数!$B$5:$B$14,0)))</f>
        <v>225</v>
      </c>
      <c r="AF448" s="334">
        <f>$AD448*INDEX(项目参数!$D$5:$D$14,MATCH(服务费底表!$S448,项目参数!$B$5:$B$14,0))</f>
        <v>0</v>
      </c>
      <c r="AG448" s="334">
        <f t="shared" si="404"/>
        <v>3375</v>
      </c>
      <c r="AH448" s="328"/>
      <c r="AI448" s="328" t="s">
        <v>635</v>
      </c>
      <c r="AJ448" s="327">
        <v>1</v>
      </c>
      <c r="AK448" s="327">
        <v>2</v>
      </c>
      <c r="AL448" s="327">
        <v>0.5</v>
      </c>
      <c r="AM448" s="327">
        <v>1</v>
      </c>
      <c r="AN448" s="327">
        <v>1.5</v>
      </c>
      <c r="AO448" s="327">
        <f t="shared" si="366"/>
        <v>0.5</v>
      </c>
      <c r="AP448" s="327">
        <v>1</v>
      </c>
      <c r="AQ448" s="327">
        <f t="shared" si="369"/>
        <v>1.5</v>
      </c>
      <c r="AR448" s="338"/>
      <c r="AS448" s="328">
        <f t="shared" si="405"/>
        <v>15</v>
      </c>
      <c r="AT448" s="328">
        <f t="shared" si="406"/>
        <v>15</v>
      </c>
      <c r="AU448" s="523">
        <v>1</v>
      </c>
      <c r="AV448" s="328"/>
      <c r="AW448" s="328"/>
      <c r="AX448" s="332">
        <v>1</v>
      </c>
      <c r="AY448" s="328" t="b">
        <f t="shared" si="413"/>
        <v>1</v>
      </c>
      <c r="AZ448" s="328" t="b">
        <f t="shared" si="354"/>
        <v>0</v>
      </c>
    </row>
    <row r="449" ht="27" customHeight="1" spans="1:52">
      <c r="A449" s="326" t="str">
        <f>INDEX('Rate Card'!$A:$A,MATCH(服务费底表!$T449,'Rate Card'!$F:$F,0))</f>
        <v>数统</v>
      </c>
      <c r="B449" s="327" t="str">
        <f>INDEX(二三级标准!$G:$G,MATCH(服务费底表!$K449,二三级标准!B:B,0))</f>
        <v>个</v>
      </c>
      <c r="C449" s="327">
        <f>INDEX(服务费明细!$E:$E,MATCH(服务费底表!$K449,服务费明细!$B:$B,0))</f>
        <v>15</v>
      </c>
      <c r="D449" s="327" t="str">
        <f t="shared" si="408"/>
        <v>A110SAM</v>
      </c>
      <c r="E449" s="327" t="str">
        <f t="shared" si="409"/>
        <v>T0358SAM</v>
      </c>
      <c r="F449" s="328"/>
      <c r="G449" s="328" t="s">
        <v>684</v>
      </c>
      <c r="H449" s="326" t="str">
        <f>INDEX('Rate Card'!$B:$B,MATCH(服务费底表!$T449,'Rate Card'!$F:$F,0))</f>
        <v>生物统计及分析</v>
      </c>
      <c r="I449" s="328" t="s">
        <v>924</v>
      </c>
      <c r="J449" s="328" t="str">
        <f>INDEX(二三级标准!$Q:$Q,MATCH(服务费底表!I449,二三级标准!$O:$O,0))</f>
        <v>生物统计及分析</v>
      </c>
      <c r="K449" s="328" t="s">
        <v>325</v>
      </c>
      <c r="L449" s="328" t="str">
        <f>INDEX(二三级标准!C:C,MATCH(服务费底表!K449,二三级标准!$B:$B,0))</f>
        <v>撰写分析数据集衍生规范</v>
      </c>
      <c r="M449" s="328" t="s">
        <v>1496</v>
      </c>
      <c r="N449" s="328" t="str">
        <f>INDEX(二三级标准!$M:$M,MATCH(服务费底表!$M449,二三级标准!$L:$L,0))</f>
        <v>审核分析数据集衍生规范</v>
      </c>
      <c r="O449" s="328"/>
      <c r="P449" s="531">
        <f>IF(R449=1,INDEX(服务费明细!$E:$E,MATCH(服务费底表!$K449,服务费明细!$B:$B,0)),0)</f>
        <v>15</v>
      </c>
      <c r="Q449" s="328" t="s">
        <v>1281</v>
      </c>
      <c r="R449" s="520">
        <f>IF(AND(生成ADaM数据集或衍生数据集YN=1,统计分析YN=1),1,0)</f>
        <v>1</v>
      </c>
      <c r="S449" s="524" t="str">
        <f>INDEX('Rate Card'!$D:$D,MATCH(服务费底表!$T449,'Rate Card'!F:F,0))</f>
        <v>统计分析</v>
      </c>
      <c r="T449" s="328" t="s">
        <v>638</v>
      </c>
      <c r="U449" s="522" t="str">
        <f>INDEX('Rate Card'!$E:$E,MATCH(服务费底表!$T449,'Rate Card'!$F:$F,0))</f>
        <v>统计分析经理</v>
      </c>
      <c r="V449" s="331">
        <f>INDEX('Rate Card'!$J:$J,MATCH($T449,'Rate Card'!$F:$F,0))</f>
        <v>450</v>
      </c>
      <c r="W449" s="523">
        <f t="shared" si="367"/>
        <v>450</v>
      </c>
      <c r="X449" s="523">
        <f t="shared" si="368"/>
        <v>0.2</v>
      </c>
      <c r="Y449" s="327" cm="1">
        <f t="array" ref="Y449">_xlfn.IFS(报价场景=服务费底表!$AJ$2,服务费底表!$AJ449,报价场景=服务费底表!$AP$2,服务费底表!$AP449,报价场景=服务费底表!$AK$2,服务费底表!$AK449,报价场景=服务费底表!$AL$2,服务费底表!$AL449,报价场景=服务费底表!$AM$2,服务费底表!$AM449,报价场景=服务费底表!$AN$2,服务费底表!$AN449,报价场景=服务费底表!$AQ$2,服务费底表!$AQ449,报价场景=服务费底表!$AO$2,服务费底表!$AO449)</f>
        <v>0.2</v>
      </c>
      <c r="Z449" s="327"/>
      <c r="AA449" s="332">
        <f t="shared" si="400"/>
        <v>0.2</v>
      </c>
      <c r="AB449" s="333">
        <f t="shared" si="410"/>
        <v>90</v>
      </c>
      <c r="AC449" s="328">
        <f t="shared" si="411"/>
        <v>3</v>
      </c>
      <c r="AD449" s="334">
        <f t="shared" si="412"/>
        <v>1350</v>
      </c>
      <c r="AE449" s="334">
        <f>$AB449*(1-INDEX(项目参数!$D$5:$D$14,MATCH(服务费底表!$S449,项目参数!$B$5:$B$14,0)))</f>
        <v>90</v>
      </c>
      <c r="AF449" s="334">
        <f>$AD449*INDEX(项目参数!$D$5:$D$14,MATCH(服务费底表!$S449,项目参数!$B$5:$B$14,0))</f>
        <v>0</v>
      </c>
      <c r="AG449" s="334">
        <f t="shared" si="404"/>
        <v>1350</v>
      </c>
      <c r="AH449" s="328"/>
      <c r="AI449" s="328" t="s">
        <v>638</v>
      </c>
      <c r="AJ449" s="327">
        <v>0.2</v>
      </c>
      <c r="AK449" s="327">
        <v>0.3</v>
      </c>
      <c r="AL449" s="327">
        <v>0.2</v>
      </c>
      <c r="AM449" s="327">
        <v>0.3</v>
      </c>
      <c r="AN449" s="327">
        <v>0.2</v>
      </c>
      <c r="AO449" s="327">
        <f t="shared" si="366"/>
        <v>0.2</v>
      </c>
      <c r="AP449" s="327">
        <v>0.2</v>
      </c>
      <c r="AQ449" s="327">
        <f t="shared" si="369"/>
        <v>0.3</v>
      </c>
      <c r="AR449" s="338"/>
      <c r="AS449" s="328">
        <f t="shared" si="405"/>
        <v>3</v>
      </c>
      <c r="AT449" s="328">
        <f t="shared" si="406"/>
        <v>3</v>
      </c>
      <c r="AU449" s="523">
        <v>0.2</v>
      </c>
      <c r="AV449" s="328"/>
      <c r="AW449" s="328"/>
      <c r="AX449" s="332">
        <v>0.2</v>
      </c>
      <c r="AY449" s="328" t="b">
        <f t="shared" si="413"/>
        <v>1</v>
      </c>
      <c r="AZ449" s="328" t="b">
        <f t="shared" si="354"/>
        <v>0</v>
      </c>
    </row>
    <row r="450" ht="27" customHeight="1" spans="1:52">
      <c r="A450" s="326" t="str">
        <f>INDEX('Rate Card'!$A:$A,MATCH(服务费底表!$T450,'Rate Card'!$F:$F,0))</f>
        <v>数统</v>
      </c>
      <c r="B450" s="327" t="str">
        <f>INDEX(二三级标准!$G:$G,MATCH(服务费底表!$K450,二三级标准!B:B,0))</f>
        <v>个</v>
      </c>
      <c r="C450" s="327">
        <f>INDEX(服务费明细!$E:$E,MATCH(服务费底表!$K450,服务费明细!$B:$B,0))</f>
        <v>15</v>
      </c>
      <c r="D450" s="327" t="str">
        <f t="shared" si="408"/>
        <v>A110ST</v>
      </c>
      <c r="E450" s="327" t="str">
        <f t="shared" si="409"/>
        <v>T0358ST</v>
      </c>
      <c r="F450" s="328"/>
      <c r="G450" s="328" t="s">
        <v>684</v>
      </c>
      <c r="H450" s="326" t="str">
        <f>INDEX('Rate Card'!$B:$B,MATCH(服务费底表!$T450,'Rate Card'!$F:$F,0))</f>
        <v>生物统计及分析</v>
      </c>
      <c r="I450" s="328" t="s">
        <v>924</v>
      </c>
      <c r="J450" s="328" t="str">
        <f>INDEX(二三级标准!$Q:$Q,MATCH(服务费底表!I450,二三级标准!$O:$O,0))</f>
        <v>生物统计及分析</v>
      </c>
      <c r="K450" s="328" t="s">
        <v>325</v>
      </c>
      <c r="L450" s="328" t="str">
        <f>INDEX(二三级标准!C:C,MATCH(服务费底表!K450,二三级标准!$B:$B,0))</f>
        <v>撰写分析数据集衍生规范</v>
      </c>
      <c r="M450" s="328" t="s">
        <v>1496</v>
      </c>
      <c r="N450" s="328" t="str">
        <f>INDEX(二三级标准!$M:$M,MATCH(服务费底表!$M450,二三级标准!$L:$L,0))</f>
        <v>审核分析数据集衍生规范</v>
      </c>
      <c r="O450" s="328"/>
      <c r="P450" s="531">
        <f>IF(R450=1,INDEX(服务费明细!$E:$E,MATCH(服务费底表!$K450,服务费明细!$B:$B,0)),0)</f>
        <v>15</v>
      </c>
      <c r="Q450" s="328" t="s">
        <v>1281</v>
      </c>
      <c r="R450" s="520">
        <f>IF(AND(生成ADaM数据集或衍生数据集YN=1,生物统计YN=1),1,0)</f>
        <v>1</v>
      </c>
      <c r="S450" s="524" t="str">
        <f>INDEX('Rate Card'!$D:$D,MATCH(服务费底表!$T450,'Rate Card'!F:F,0))</f>
        <v>生物统计</v>
      </c>
      <c r="T450" s="328" t="s">
        <v>639</v>
      </c>
      <c r="U450" s="522" t="str">
        <f>INDEX('Rate Card'!$E:$E,MATCH(服务费底表!$T450,'Rate Card'!$F:$F,0))</f>
        <v>生物统计师</v>
      </c>
      <c r="V450" s="331">
        <f>INDEX('Rate Card'!$J:$J,MATCH($T450,'Rate Card'!$F:$F,0))</f>
        <v>400</v>
      </c>
      <c r="W450" s="523">
        <f t="shared" si="367"/>
        <v>400</v>
      </c>
      <c r="X450" s="523">
        <f t="shared" si="368"/>
        <v>0.5</v>
      </c>
      <c r="Y450" s="327" cm="1">
        <f t="array" ref="Y450">_xlfn.IFS(报价场景=服务费底表!$AJ$2,服务费底表!$AJ450,报价场景=服务费底表!$AP$2,服务费底表!$AP450,报价场景=服务费底表!$AK$2,服务费底表!$AK450,报价场景=服务费底表!$AL$2,服务费底表!$AL450,报价场景=服务费底表!$AM$2,服务费底表!$AM450,报价场景=服务费底表!$AN$2,服务费底表!$AN450,报价场景=服务费底表!$AQ$2,服务费底表!$AQ450,报价场景=服务费底表!$AO$2,服务费底表!$AO450)</f>
        <v>0.5</v>
      </c>
      <c r="Z450" s="327"/>
      <c r="AA450" s="332">
        <f t="shared" si="400"/>
        <v>0.5</v>
      </c>
      <c r="AB450" s="333">
        <f t="shared" si="410"/>
        <v>200</v>
      </c>
      <c r="AC450" s="328">
        <f t="shared" si="411"/>
        <v>7.5</v>
      </c>
      <c r="AD450" s="334">
        <f t="shared" si="412"/>
        <v>3000</v>
      </c>
      <c r="AE450" s="334">
        <f>$AB450*(1-INDEX(项目参数!$D$5:$D$14,MATCH(服务费底表!$S450,项目参数!$B$5:$B$14,0)))</f>
        <v>200</v>
      </c>
      <c r="AF450" s="334">
        <f>$AD450*INDEX(项目参数!$D$5:$D$14,MATCH(服务费底表!$S450,项目参数!$B$5:$B$14,0))</f>
        <v>0</v>
      </c>
      <c r="AG450" s="334">
        <f t="shared" si="404"/>
        <v>3000</v>
      </c>
      <c r="AH450" s="328"/>
      <c r="AI450" s="328" t="s">
        <v>639</v>
      </c>
      <c r="AJ450" s="327">
        <v>0.5</v>
      </c>
      <c r="AK450" s="327">
        <v>1</v>
      </c>
      <c r="AL450" s="327">
        <v>0.5</v>
      </c>
      <c r="AM450" s="327">
        <v>0.5</v>
      </c>
      <c r="AN450" s="327">
        <v>0.5</v>
      </c>
      <c r="AO450" s="327">
        <f t="shared" si="366"/>
        <v>0.5</v>
      </c>
      <c r="AP450" s="327">
        <v>0.5</v>
      </c>
      <c r="AQ450" s="327">
        <f t="shared" si="369"/>
        <v>0.75</v>
      </c>
      <c r="AR450" s="338"/>
      <c r="AS450" s="328">
        <f t="shared" si="405"/>
        <v>7.5</v>
      </c>
      <c r="AT450" s="328">
        <f t="shared" si="406"/>
        <v>7.5</v>
      </c>
      <c r="AU450" s="523">
        <v>0.5</v>
      </c>
      <c r="AV450" s="328"/>
      <c r="AW450" s="328"/>
      <c r="AX450" s="332">
        <v>0.5</v>
      </c>
      <c r="AY450" s="328" t="b">
        <f t="shared" si="413"/>
        <v>1</v>
      </c>
      <c r="AZ450" s="328" t="b">
        <f t="shared" si="354"/>
        <v>0</v>
      </c>
    </row>
    <row r="451" ht="27" customHeight="1" spans="1:52">
      <c r="A451" s="326" t="str">
        <f>INDEX('Rate Card'!$A:$A,MATCH(服务费底表!$T451,'Rate Card'!$F:$F,0))</f>
        <v>数统</v>
      </c>
      <c r="B451" s="327" t="str">
        <f>INDEX(二三级标准!$G:$G,MATCH(服务费底表!$K451,二三级标准!B:B,0))</f>
        <v>个</v>
      </c>
      <c r="C451" s="327">
        <f>INDEX(服务费明细!$E:$E,MATCH(服务费底表!$K451,服务费明细!$B:$B,0))</f>
        <v>15</v>
      </c>
      <c r="D451" s="327" t="str">
        <f t="shared" si="408"/>
        <v>A111SA</v>
      </c>
      <c r="E451" s="327" t="str">
        <f t="shared" si="409"/>
        <v>T0359SA</v>
      </c>
      <c r="F451" s="328"/>
      <c r="G451" s="328" t="s">
        <v>684</v>
      </c>
      <c r="H451" s="326" t="str">
        <f>INDEX('Rate Card'!$B:$B,MATCH(服务费底表!$T451,'Rate Card'!$F:$F,0))</f>
        <v>生物统计及分析</v>
      </c>
      <c r="I451" s="328" t="s">
        <v>924</v>
      </c>
      <c r="J451" s="328" t="str">
        <f>INDEX(二三级标准!$Q:$Q,MATCH(服务费底表!I451,二三级标准!$O:$O,0))</f>
        <v>生物统计及分析</v>
      </c>
      <c r="K451" s="328" t="s">
        <v>327</v>
      </c>
      <c r="L451" s="328" t="str">
        <f>INDEX(二三级标准!C:C,MATCH(服务费底表!K451,二三级标准!$B:$B,0))</f>
        <v>生成分析数据集</v>
      </c>
      <c r="M451" s="328" t="s">
        <v>1497</v>
      </c>
      <c r="N451" s="328" t="str">
        <f>INDEX(二三级标准!$M:$M,MATCH(服务费底表!$M451,二三级标准!$L:$L,0))</f>
        <v>产生分析数据集</v>
      </c>
      <c r="O451" s="328"/>
      <c r="P451" s="531">
        <f>IF(R451=1,INDEX(服务费明细!$E:$E,MATCH(服务费底表!$K451,服务费明细!$B:$B,0)),0)</f>
        <v>15</v>
      </c>
      <c r="Q451" s="328" t="s">
        <v>1281</v>
      </c>
      <c r="R451" s="520">
        <f>IF(AND(生成ADaM数据集或衍生数据集YN=1,统计分析YN=1),1,0)</f>
        <v>1</v>
      </c>
      <c r="S451" s="524" t="str">
        <f>INDEX('Rate Card'!$D:$D,MATCH(服务费底表!$T451,'Rate Card'!F:F,0))</f>
        <v>统计分析</v>
      </c>
      <c r="T451" s="328" t="s">
        <v>635</v>
      </c>
      <c r="U451" s="522" t="str">
        <f>INDEX('Rate Card'!$E:$E,MATCH(服务费底表!$T451,'Rate Card'!$F:$F,0))</f>
        <v>统计分析师</v>
      </c>
      <c r="V451" s="331">
        <f>INDEX('Rate Card'!$J:$J,MATCH($T451,'Rate Card'!$F:$F,0))</f>
        <v>225</v>
      </c>
      <c r="W451" s="523">
        <f t="shared" si="367"/>
        <v>225</v>
      </c>
      <c r="X451" s="523">
        <f t="shared" si="368"/>
        <v>2.5</v>
      </c>
      <c r="Y451" s="327" cm="1">
        <f t="array" ref="Y451">_xlfn.IFS(报价场景=服务费底表!$AJ$2,服务费底表!$AJ451,报价场景=服务费底表!$AP$2,服务费底表!$AP451,报价场景=服务费底表!$AK$2,服务费底表!$AK451,报价场景=服务费底表!$AL$2,服务费底表!$AL451,报价场景=服务费底表!$AM$2,服务费底表!$AM451,报价场景=服务费底表!$AN$2,服务费底表!$AN451,报价场景=服务费底表!$AQ$2,服务费底表!$AQ451,报价场景=服务费底表!$AO$2,服务费底表!$AO451)</f>
        <v>2.5</v>
      </c>
      <c r="Z451" s="327"/>
      <c r="AA451" s="332">
        <f t="shared" si="400"/>
        <v>2.5</v>
      </c>
      <c r="AB451" s="333">
        <f t="shared" si="410"/>
        <v>562.5</v>
      </c>
      <c r="AC451" s="328">
        <f t="shared" si="411"/>
        <v>37.5</v>
      </c>
      <c r="AD451" s="334">
        <f t="shared" si="412"/>
        <v>8437.5</v>
      </c>
      <c r="AE451" s="334">
        <f>$AB451*(1-INDEX(项目参数!$D$5:$D$14,MATCH(服务费底表!$S451,项目参数!$B$5:$B$14,0)))</f>
        <v>562.5</v>
      </c>
      <c r="AF451" s="334">
        <f>$AD451*INDEX(项目参数!$D$5:$D$14,MATCH(服务费底表!$S451,项目参数!$B$5:$B$14,0))</f>
        <v>0</v>
      </c>
      <c r="AG451" s="334">
        <f t="shared" si="404"/>
        <v>8437.5</v>
      </c>
      <c r="AH451" s="328"/>
      <c r="AI451" s="328" t="s">
        <v>635</v>
      </c>
      <c r="AJ451" s="327">
        <v>2.5</v>
      </c>
      <c r="AK451" s="327">
        <v>4</v>
      </c>
      <c r="AL451" s="327">
        <v>2</v>
      </c>
      <c r="AM451" s="327">
        <v>3</v>
      </c>
      <c r="AN451" s="327">
        <v>3</v>
      </c>
      <c r="AO451" s="327">
        <f t="shared" si="366"/>
        <v>2</v>
      </c>
      <c r="AP451" s="327">
        <v>2.5</v>
      </c>
      <c r="AQ451" s="327">
        <f t="shared" si="369"/>
        <v>3.75</v>
      </c>
      <c r="AR451" s="338"/>
      <c r="AS451" s="328">
        <f t="shared" si="405"/>
        <v>37.5</v>
      </c>
      <c r="AT451" s="328">
        <f t="shared" si="406"/>
        <v>37.5</v>
      </c>
      <c r="AU451" s="523">
        <v>2.5</v>
      </c>
      <c r="AV451" s="328"/>
      <c r="AW451" s="328"/>
      <c r="AX451" s="332">
        <v>2.5</v>
      </c>
      <c r="AY451" s="328" t="b">
        <f t="shared" si="413"/>
        <v>1</v>
      </c>
      <c r="AZ451" s="328" t="b">
        <f t="shared" si="354"/>
        <v>1</v>
      </c>
    </row>
    <row r="452" ht="27" customHeight="1" spans="1:52">
      <c r="A452" s="326" t="str">
        <f>INDEX('Rate Card'!$A:$A,MATCH(服务费底表!$T452,'Rate Card'!$F:$F,0))</f>
        <v>数统</v>
      </c>
      <c r="B452" s="327" t="str">
        <f>INDEX(二三级标准!$G:$G,MATCH(服务费底表!$K452,二三级标准!B:B,0))</f>
        <v>个</v>
      </c>
      <c r="C452" s="327">
        <f>INDEX(服务费明细!$E:$E,MATCH(服务费底表!$K452,服务费明细!$B:$B,0))</f>
        <v>15</v>
      </c>
      <c r="D452" s="327" t="str">
        <f t="shared" si="408"/>
        <v>A111SA</v>
      </c>
      <c r="E452" s="327" t="str">
        <f t="shared" si="409"/>
        <v>T0360SA</v>
      </c>
      <c r="F452" s="328"/>
      <c r="G452" s="328" t="s">
        <v>684</v>
      </c>
      <c r="H452" s="326" t="str">
        <f>INDEX('Rate Card'!$B:$B,MATCH(服务费底表!$T452,'Rate Card'!$F:$F,0))</f>
        <v>生物统计及分析</v>
      </c>
      <c r="I452" s="328" t="s">
        <v>924</v>
      </c>
      <c r="J452" s="328" t="str">
        <f>INDEX(二三级标准!$Q:$Q,MATCH(服务费底表!I452,二三级标准!$O:$O,0))</f>
        <v>生物统计及分析</v>
      </c>
      <c r="K452" s="328" t="s">
        <v>327</v>
      </c>
      <c r="L452" s="328" t="str">
        <f>INDEX(二三级标准!C:C,MATCH(服务费底表!K452,二三级标准!$B:$B,0))</f>
        <v>生成分析数据集</v>
      </c>
      <c r="M452" s="328" t="s">
        <v>1498</v>
      </c>
      <c r="N452" s="328" t="str">
        <f>INDEX(二三级标准!$M:$M,MATCH(服务费底表!$M452,二三级标准!$L:$L,0))</f>
        <v>验证分析数据集</v>
      </c>
      <c r="O452" s="328"/>
      <c r="P452" s="531">
        <f>IF(R452=1,INDEX(服务费明细!$E:$E,MATCH(服务费底表!$K452,服务费明细!$B:$B,0)),0)</f>
        <v>15</v>
      </c>
      <c r="Q452" s="328" t="s">
        <v>1281</v>
      </c>
      <c r="R452" s="520">
        <f>IF(AND(生成ADaM数据集或衍生数据集YN=1,统计分析YN=1),1,0)</f>
        <v>1</v>
      </c>
      <c r="S452" s="524" t="str">
        <f>INDEX('Rate Card'!$D:$D,MATCH(服务费底表!$T452,'Rate Card'!F:F,0))</f>
        <v>统计分析</v>
      </c>
      <c r="T452" s="328" t="s">
        <v>635</v>
      </c>
      <c r="U452" s="522" t="str">
        <f>INDEX('Rate Card'!$E:$E,MATCH(服务费底表!$T452,'Rate Card'!$F:$F,0))</f>
        <v>统计分析师</v>
      </c>
      <c r="V452" s="331">
        <f>INDEX('Rate Card'!$J:$J,MATCH($T452,'Rate Card'!$F:$F,0))</f>
        <v>225</v>
      </c>
      <c r="W452" s="523">
        <f t="shared" si="367"/>
        <v>225</v>
      </c>
      <c r="X452" s="523">
        <f t="shared" si="368"/>
        <v>2.5</v>
      </c>
      <c r="Y452" s="327" cm="1">
        <f t="array" ref="Y452">_xlfn.IFS(报价场景=服务费底表!$AJ$2,服务费底表!$AJ452,报价场景=服务费底表!$AP$2,服务费底表!$AP452,报价场景=服务费底表!$AK$2,服务费底表!$AK452,报价场景=服务费底表!$AL$2,服务费底表!$AL452,报价场景=服务费底表!$AM$2,服务费底表!$AM452,报价场景=服务费底表!$AN$2,服务费底表!$AN452,报价场景=服务费底表!$AQ$2,服务费底表!$AQ452,报价场景=服务费底表!$AO$2,服务费底表!$AO452)</f>
        <v>2.5</v>
      </c>
      <c r="Z452" s="327"/>
      <c r="AA452" s="332">
        <f t="shared" si="400"/>
        <v>2.5</v>
      </c>
      <c r="AB452" s="333">
        <f t="shared" si="410"/>
        <v>562.5</v>
      </c>
      <c r="AC452" s="328">
        <f t="shared" si="411"/>
        <v>37.5</v>
      </c>
      <c r="AD452" s="334">
        <f t="shared" si="412"/>
        <v>8437.5</v>
      </c>
      <c r="AE452" s="334">
        <f>$AB452*(1-INDEX(项目参数!$D$5:$D$14,MATCH(服务费底表!$S452,项目参数!$B$5:$B$14,0)))</f>
        <v>562.5</v>
      </c>
      <c r="AF452" s="334">
        <f>$AD452*INDEX(项目参数!$D$5:$D$14,MATCH(服务费底表!$S452,项目参数!$B$5:$B$14,0))</f>
        <v>0</v>
      </c>
      <c r="AG452" s="334">
        <f t="shared" si="404"/>
        <v>8437.5</v>
      </c>
      <c r="AH452" s="328"/>
      <c r="AI452" s="328" t="s">
        <v>635</v>
      </c>
      <c r="AJ452" s="327">
        <v>2.5</v>
      </c>
      <c r="AK452" s="327">
        <v>4</v>
      </c>
      <c r="AL452" s="327">
        <v>2</v>
      </c>
      <c r="AM452" s="327">
        <v>3</v>
      </c>
      <c r="AN452" s="327">
        <v>3</v>
      </c>
      <c r="AO452" s="327">
        <f t="shared" si="366"/>
        <v>2</v>
      </c>
      <c r="AP452" s="327">
        <v>2.5</v>
      </c>
      <c r="AQ452" s="327">
        <f t="shared" si="369"/>
        <v>3.75</v>
      </c>
      <c r="AR452" s="338"/>
      <c r="AS452" s="328">
        <f t="shared" si="405"/>
        <v>37.5</v>
      </c>
      <c r="AT452" s="328">
        <f t="shared" si="406"/>
        <v>37.5</v>
      </c>
      <c r="AU452" s="523">
        <v>2.5</v>
      </c>
      <c r="AV452" s="328"/>
      <c r="AW452" s="328"/>
      <c r="AX452" s="332">
        <v>2.5</v>
      </c>
      <c r="AY452" s="328" t="b">
        <f t="shared" si="413"/>
        <v>1</v>
      </c>
      <c r="AZ452" s="328" t="b">
        <f t="shared" ref="AZ452:AZ515" si="414">IF(K452&lt;&gt;K451,IF(AZ451=TRUE,FALSE,TRUE),AZ451)</f>
        <v>1</v>
      </c>
    </row>
    <row r="453" ht="27" customHeight="1" spans="1:52">
      <c r="A453" s="326" t="str">
        <f>INDEX('Rate Card'!$A:$A,MATCH(服务费底表!$T453,'Rate Card'!$F:$F,0))</f>
        <v>数统</v>
      </c>
      <c r="B453" s="327" t="str">
        <f>INDEX(二三级标准!$G:$G,MATCH(服务费底表!$K453,二三级标准!B:B,0))</f>
        <v>个</v>
      </c>
      <c r="C453" s="327">
        <f>INDEX(服务费明细!$E:$E,MATCH(服务费底表!$K453,服务费明细!$B:$B,0))</f>
        <v>15</v>
      </c>
      <c r="D453" s="327" t="str">
        <f t="shared" si="408"/>
        <v>A111ST</v>
      </c>
      <c r="E453" s="327" t="str">
        <f t="shared" si="409"/>
        <v>T0361ST</v>
      </c>
      <c r="F453" s="328"/>
      <c r="G453" s="328" t="s">
        <v>684</v>
      </c>
      <c r="H453" s="326" t="str">
        <f>INDEX('Rate Card'!$B:$B,MATCH(服务费底表!$T453,'Rate Card'!$F:$F,0))</f>
        <v>生物统计及分析</v>
      </c>
      <c r="I453" s="328" t="s">
        <v>924</v>
      </c>
      <c r="J453" s="328" t="str">
        <f>INDEX(二三级标准!$Q:$Q,MATCH(服务费底表!I453,二三级标准!$O:$O,0))</f>
        <v>生物统计及分析</v>
      </c>
      <c r="K453" s="328" t="s">
        <v>327</v>
      </c>
      <c r="L453" s="328" t="str">
        <f>INDEX(二三级标准!C:C,MATCH(服务费底表!K453,二三级标准!$B:$B,0))</f>
        <v>生成分析数据集</v>
      </c>
      <c r="M453" s="328" t="s">
        <v>1499</v>
      </c>
      <c r="N453" s="328" t="str">
        <f>INDEX(二三级标准!$M:$M,MATCH(服务费底表!$M453,二三级标准!$L:$L,0))</f>
        <v>审核分析数据集</v>
      </c>
      <c r="O453" s="328"/>
      <c r="P453" s="531">
        <f>IF(R453=1,INDEX(服务费明细!$E:$E,MATCH(服务费底表!$K453,服务费明细!$B:$B,0)),0)</f>
        <v>15</v>
      </c>
      <c r="Q453" s="328" t="s">
        <v>1281</v>
      </c>
      <c r="R453" s="520">
        <f>IF(AND(生成ADaM数据集或衍生数据集YN=1,生物统计YN=1),1,0)</f>
        <v>1</v>
      </c>
      <c r="S453" s="524" t="str">
        <f>INDEX('Rate Card'!$D:$D,MATCH(服务费底表!$T453,'Rate Card'!F:F,0))</f>
        <v>生物统计</v>
      </c>
      <c r="T453" s="328" t="s">
        <v>639</v>
      </c>
      <c r="U453" s="522" t="str">
        <f>INDEX('Rate Card'!$E:$E,MATCH(服务费底表!$T453,'Rate Card'!$F:$F,0))</f>
        <v>生物统计师</v>
      </c>
      <c r="V453" s="331">
        <f>INDEX('Rate Card'!$J:$J,MATCH($T453,'Rate Card'!$F:$F,0))</f>
        <v>400</v>
      </c>
      <c r="W453" s="523">
        <f t="shared" si="367"/>
        <v>400</v>
      </c>
      <c r="X453" s="523">
        <f t="shared" si="368"/>
        <v>1</v>
      </c>
      <c r="Y453" s="327" cm="1">
        <f t="array" ref="Y453">_xlfn.IFS(报价场景=服务费底表!$AJ$2,服务费底表!$AJ453,报价场景=服务费底表!$AP$2,服务费底表!$AP453,报价场景=服务费底表!$AK$2,服务费底表!$AK453,报价场景=服务费底表!$AL$2,服务费底表!$AL453,报价场景=服务费底表!$AM$2,服务费底表!$AM453,报价场景=服务费底表!$AN$2,服务费底表!$AN453,报价场景=服务费底表!$AQ$2,服务费底表!$AQ453,报价场景=服务费底表!$AO$2,服务费底表!$AO453)</f>
        <v>1</v>
      </c>
      <c r="Z453" s="327"/>
      <c r="AA453" s="332">
        <f t="shared" si="400"/>
        <v>1</v>
      </c>
      <c r="AB453" s="333">
        <f t="shared" si="410"/>
        <v>400</v>
      </c>
      <c r="AC453" s="328">
        <f t="shared" si="411"/>
        <v>15</v>
      </c>
      <c r="AD453" s="334">
        <f t="shared" si="412"/>
        <v>6000</v>
      </c>
      <c r="AE453" s="334">
        <f>$AB453*(1-INDEX(项目参数!$D$5:$D$14,MATCH(服务费底表!$S453,项目参数!$B$5:$B$14,0)))</f>
        <v>400</v>
      </c>
      <c r="AF453" s="334">
        <f>$AD453*INDEX(项目参数!$D$5:$D$14,MATCH(服务费底表!$S453,项目参数!$B$5:$B$14,0))</f>
        <v>0</v>
      </c>
      <c r="AG453" s="334">
        <f t="shared" si="404"/>
        <v>6000</v>
      </c>
      <c r="AH453" s="328"/>
      <c r="AI453" s="328" t="s">
        <v>639</v>
      </c>
      <c r="AJ453" s="327">
        <v>1</v>
      </c>
      <c r="AK453" s="327">
        <v>1</v>
      </c>
      <c r="AL453" s="327">
        <v>0.5</v>
      </c>
      <c r="AM453" s="327">
        <v>1</v>
      </c>
      <c r="AN453" s="327">
        <v>1</v>
      </c>
      <c r="AO453" s="327">
        <f t="shared" si="366"/>
        <v>0.5</v>
      </c>
      <c r="AP453" s="327">
        <v>1</v>
      </c>
      <c r="AQ453" s="327">
        <f t="shared" si="369"/>
        <v>1.5</v>
      </c>
      <c r="AR453" s="338"/>
      <c r="AS453" s="328">
        <f t="shared" si="405"/>
        <v>15</v>
      </c>
      <c r="AT453" s="328">
        <f t="shared" si="406"/>
        <v>15</v>
      </c>
      <c r="AU453" s="523">
        <v>1</v>
      </c>
      <c r="AV453" s="328"/>
      <c r="AW453" s="328"/>
      <c r="AX453" s="332">
        <v>1</v>
      </c>
      <c r="AY453" s="328" t="b">
        <f t="shared" si="413"/>
        <v>1</v>
      </c>
      <c r="AZ453" s="328" t="b">
        <f t="shared" si="414"/>
        <v>1</v>
      </c>
    </row>
    <row r="454" ht="27" customHeight="1" spans="1:52">
      <c r="A454" s="326" t="str">
        <f>INDEX('Rate Card'!$A:$A,MATCH(服务费底表!$T454,'Rate Card'!$F:$F,0))</f>
        <v>数统</v>
      </c>
      <c r="B454" s="327" t="str">
        <f>INDEX(二三级标准!$G:$G,MATCH(服务费底表!$K454,二三级标准!B:B,0))</f>
        <v>个</v>
      </c>
      <c r="C454" s="327">
        <f>INDEX(服务费明细!$E:$E,MATCH(服务费底表!$K454,服务费明细!$B:$B,0))</f>
        <v>15</v>
      </c>
      <c r="D454" s="327" t="str">
        <f t="shared" si="408"/>
        <v>A111SA</v>
      </c>
      <c r="E454" s="327" t="str">
        <f t="shared" si="409"/>
        <v>T0362SA</v>
      </c>
      <c r="F454" s="328"/>
      <c r="G454" s="328" t="s">
        <v>684</v>
      </c>
      <c r="H454" s="326" t="str">
        <f>INDEX('Rate Card'!$B:$B,MATCH(服务费底表!$T454,'Rate Card'!$F:$F,0))</f>
        <v>生物统计及分析</v>
      </c>
      <c r="I454" s="328" t="s">
        <v>924</v>
      </c>
      <c r="J454" s="328" t="str">
        <f>INDEX(二三级标准!$Q:$Q,MATCH(服务费底表!I454,二三级标准!$O:$O,0))</f>
        <v>生物统计及分析</v>
      </c>
      <c r="K454" s="328" t="s">
        <v>327</v>
      </c>
      <c r="L454" s="328" t="str">
        <f>INDEX(二三级标准!C:C,MATCH(服务费底表!K454,二三级标准!$B:$B,0))</f>
        <v>生成分析数据集</v>
      </c>
      <c r="M454" s="328" t="s">
        <v>1500</v>
      </c>
      <c r="N454" s="328" t="str">
        <f>INDEX(二三级标准!$M:$M,MATCH(服务费底表!$M454,二三级标准!$L:$L,0))</f>
        <v>转换分析数据集 - XPT格式</v>
      </c>
      <c r="O454" s="328"/>
      <c r="P454" s="531">
        <f>IF(R454=1,INDEX(服务费明细!$E:$E,MATCH(服务费底表!$K454,服务费明细!$B:$B,0)),0)</f>
        <v>15</v>
      </c>
      <c r="Q454" s="328" t="s">
        <v>1281</v>
      </c>
      <c r="R454" s="520">
        <f>IF(AND(生成ADaM数据集或衍生数据集YN=1,统计分析YN=1),1,0)</f>
        <v>1</v>
      </c>
      <c r="S454" s="524" t="str">
        <f>INDEX('Rate Card'!$D:$D,MATCH(服务费底表!$T454,'Rate Card'!F:F,0))</f>
        <v>统计分析</v>
      </c>
      <c r="T454" s="328" t="s">
        <v>635</v>
      </c>
      <c r="U454" s="522" t="str">
        <f>INDEX('Rate Card'!$E:$E,MATCH(服务费底表!$T454,'Rate Card'!$F:$F,0))</f>
        <v>统计分析师</v>
      </c>
      <c r="V454" s="331">
        <f>INDEX('Rate Card'!$J:$J,MATCH($T454,'Rate Card'!$F:$F,0))</f>
        <v>225</v>
      </c>
      <c r="W454" s="523">
        <f t="shared" si="367"/>
        <v>225</v>
      </c>
      <c r="X454" s="523">
        <f t="shared" si="368"/>
        <v>0.01</v>
      </c>
      <c r="Y454" s="327" cm="1">
        <f t="array" ref="Y454">_xlfn.IFS(报价场景=服务费底表!$AJ$2,服务费底表!$AJ454,报价场景=服务费底表!$AP$2,服务费底表!$AP454,报价场景=服务费底表!$AK$2,服务费底表!$AK454,报价场景=服务费底表!$AL$2,服务费底表!$AL454,报价场景=服务费底表!$AM$2,服务费底表!$AM454,报价场景=服务费底表!$AN$2,服务费底表!$AN454,报价场景=服务费底表!$AQ$2,服务费底表!$AQ454,报价场景=服务费底表!$AO$2,服务费底表!$AO454)</f>
        <v>0.01</v>
      </c>
      <c r="Z454" s="327"/>
      <c r="AA454" s="332">
        <f t="shared" si="400"/>
        <v>0.01</v>
      </c>
      <c r="AB454" s="333">
        <f t="shared" si="410"/>
        <v>2.25</v>
      </c>
      <c r="AC454" s="328">
        <f t="shared" si="411"/>
        <v>0.15</v>
      </c>
      <c r="AD454" s="334">
        <f t="shared" si="412"/>
        <v>33.75</v>
      </c>
      <c r="AE454" s="334">
        <f>$AB454*(1-INDEX(项目参数!$D$5:$D$14,MATCH(服务费底表!$S454,项目参数!$B$5:$B$14,0)))</f>
        <v>2.25</v>
      </c>
      <c r="AF454" s="334">
        <f>$AD454*INDEX(项目参数!$D$5:$D$14,MATCH(服务费底表!$S454,项目参数!$B$5:$B$14,0))</f>
        <v>0</v>
      </c>
      <c r="AG454" s="334">
        <f t="shared" si="404"/>
        <v>33.75</v>
      </c>
      <c r="AH454" s="328"/>
      <c r="AI454" s="328" t="s">
        <v>635</v>
      </c>
      <c r="AJ454" s="327">
        <v>0.01</v>
      </c>
      <c r="AK454" s="327">
        <v>0.05</v>
      </c>
      <c r="AL454" s="327">
        <v>0.01</v>
      </c>
      <c r="AM454" s="327">
        <v>0.05</v>
      </c>
      <c r="AN454" s="327">
        <v>0.01</v>
      </c>
      <c r="AO454" s="327">
        <f t="shared" si="366"/>
        <v>0.01</v>
      </c>
      <c r="AP454" s="327">
        <v>0.01</v>
      </c>
      <c r="AQ454" s="327">
        <f t="shared" si="369"/>
        <v>0.015</v>
      </c>
      <c r="AR454" s="338"/>
      <c r="AS454" s="328">
        <f t="shared" si="405"/>
        <v>0.15</v>
      </c>
      <c r="AT454" s="328">
        <f t="shared" si="406"/>
        <v>0.15</v>
      </c>
      <c r="AU454" s="523">
        <v>0.01</v>
      </c>
      <c r="AV454" s="328"/>
      <c r="AW454" s="328"/>
      <c r="AX454" s="332">
        <v>0.01</v>
      </c>
      <c r="AY454" s="328" t="b">
        <f t="shared" si="413"/>
        <v>1</v>
      </c>
      <c r="AZ454" s="328" t="b">
        <f t="shared" si="414"/>
        <v>1</v>
      </c>
    </row>
    <row r="455" ht="27" customHeight="1" spans="1:52">
      <c r="A455" s="326" t="str">
        <f>INDEX('Rate Card'!$A:$A,MATCH(服务费底表!$T455,'Rate Card'!$F:$F,0))</f>
        <v>数统</v>
      </c>
      <c r="B455" s="327" t="str">
        <f>INDEX(二三级标准!$G:$G,MATCH(服务费底表!$K455,二三级标准!B:B,0))</f>
        <v>个</v>
      </c>
      <c r="C455" s="327">
        <f>INDEX(服务费明细!$E:$E,MATCH(服务费底表!$K455,服务费明细!$B:$B,0))</f>
        <v>15</v>
      </c>
      <c r="D455" s="327" t="str">
        <f t="shared" si="408"/>
        <v>A111SA</v>
      </c>
      <c r="E455" s="327" t="str">
        <f t="shared" si="409"/>
        <v>T0364SA</v>
      </c>
      <c r="F455" s="328"/>
      <c r="G455" s="328" t="s">
        <v>684</v>
      </c>
      <c r="H455" s="326" t="str">
        <f>INDEX('Rate Card'!$B:$B,MATCH(服务费底表!$T455,'Rate Card'!$F:$F,0))</f>
        <v>生物统计及分析</v>
      </c>
      <c r="I455" s="328" t="s">
        <v>924</v>
      </c>
      <c r="J455" s="328" t="str">
        <f>INDEX(二三级标准!$Q:$Q,MATCH(服务费底表!I455,二三级标准!$O:$O,0))</f>
        <v>生物统计及分析</v>
      </c>
      <c r="K455" s="328" t="s">
        <v>327</v>
      </c>
      <c r="L455" s="328" t="str">
        <f>INDEX(二三级标准!C:C,MATCH(服务费底表!K455,二三级标准!$B:$B,0))</f>
        <v>生成分析数据集</v>
      </c>
      <c r="M455" s="328" t="s">
        <v>1501</v>
      </c>
      <c r="N455" s="328" t="str">
        <f>INDEX(二三级标准!$M:$M,MATCH(服务费底表!$M455,二三级标准!$L:$L,0))</f>
        <v>检查ADaM数据集合规</v>
      </c>
      <c r="O455" s="328"/>
      <c r="P455" s="531">
        <f>IF(R455=1,INDEX(服务费明细!$E:$E,MATCH(服务费底表!$K455,服务费明细!$B:$B,0)),0)</f>
        <v>15</v>
      </c>
      <c r="Q455" s="328" t="s">
        <v>1281</v>
      </c>
      <c r="R455" s="520">
        <f>IF(AND(生成ADaM数据集或衍生数据集YN=1,生成SDTM数据集YN=1,统计分析YN=1),1,0)</f>
        <v>1</v>
      </c>
      <c r="S455" s="524" t="str">
        <f>INDEX('Rate Card'!$D:$D,MATCH(服务费底表!$T455,'Rate Card'!F:F,0))</f>
        <v>统计分析</v>
      </c>
      <c r="T455" s="328" t="s">
        <v>635</v>
      </c>
      <c r="U455" s="522" t="str">
        <f>INDEX('Rate Card'!$E:$E,MATCH(服务费底表!$T455,'Rate Card'!$F:$F,0))</f>
        <v>统计分析师</v>
      </c>
      <c r="V455" s="331">
        <f>INDEX('Rate Card'!$J:$J,MATCH($T455,'Rate Card'!$F:$F,0))</f>
        <v>225</v>
      </c>
      <c r="W455" s="523">
        <f t="shared" si="367"/>
        <v>225</v>
      </c>
      <c r="X455" s="523">
        <f t="shared" si="368"/>
        <v>0.5</v>
      </c>
      <c r="Y455" s="327" cm="1">
        <f t="array" ref="Y455">_xlfn.IFS(报价场景=服务费底表!$AJ$2,服务费底表!$AJ455,报价场景=服务费底表!$AP$2,服务费底表!$AP455,报价场景=服务费底表!$AK$2,服务费底表!$AK455,报价场景=服务费底表!$AL$2,服务费底表!$AL455,报价场景=服务费底表!$AM$2,服务费底表!$AM455,报价场景=服务费底表!$AN$2,服务费底表!$AN455,报价场景=服务费底表!$AQ$2,服务费底表!$AQ455,报价场景=服务费底表!$AO$2,服务费底表!$AO455)</f>
        <v>0.5</v>
      </c>
      <c r="Z455" s="327"/>
      <c r="AA455" s="332">
        <f t="shared" si="400"/>
        <v>0.5</v>
      </c>
      <c r="AB455" s="333">
        <f t="shared" si="410"/>
        <v>112.5</v>
      </c>
      <c r="AC455" s="328">
        <f t="shared" si="411"/>
        <v>7.5</v>
      </c>
      <c r="AD455" s="334">
        <f t="shared" si="412"/>
        <v>1687.5</v>
      </c>
      <c r="AE455" s="334">
        <f>$AB455*(1-INDEX(项目参数!$D$5:$D$14,MATCH(服务费底表!$S455,项目参数!$B$5:$B$14,0)))</f>
        <v>112.5</v>
      </c>
      <c r="AF455" s="334">
        <f>$AD455*INDEX(项目参数!$D$5:$D$14,MATCH(服务费底表!$S455,项目参数!$B$5:$B$14,0))</f>
        <v>0</v>
      </c>
      <c r="AG455" s="334">
        <f t="shared" ref="AG455:AG477" si="415">AD455-AF455</f>
        <v>1687.5</v>
      </c>
      <c r="AH455" s="328"/>
      <c r="AI455" s="328" t="s">
        <v>635</v>
      </c>
      <c r="AJ455" s="327">
        <v>0.5</v>
      </c>
      <c r="AK455" s="327">
        <v>1.5</v>
      </c>
      <c r="AL455" s="327">
        <v>0.5</v>
      </c>
      <c r="AM455" s="327">
        <v>1</v>
      </c>
      <c r="AN455" s="327">
        <v>1</v>
      </c>
      <c r="AO455" s="327">
        <f t="shared" si="366"/>
        <v>0.5</v>
      </c>
      <c r="AP455" s="327">
        <v>0.5</v>
      </c>
      <c r="AQ455" s="327">
        <f t="shared" si="369"/>
        <v>0.75</v>
      </c>
      <c r="AR455" s="338"/>
      <c r="AS455" s="328">
        <f t="shared" si="405"/>
        <v>7.5</v>
      </c>
      <c r="AT455" s="328">
        <f t="shared" si="406"/>
        <v>7.5</v>
      </c>
      <c r="AU455" s="523">
        <v>0.5</v>
      </c>
      <c r="AV455" s="328"/>
      <c r="AW455" s="328"/>
      <c r="AX455" s="332">
        <v>0.5</v>
      </c>
      <c r="AY455" s="328" t="b">
        <f t="shared" si="413"/>
        <v>1</v>
      </c>
      <c r="AZ455" s="328" t="b">
        <f t="shared" si="414"/>
        <v>1</v>
      </c>
    </row>
    <row r="456" ht="27" customHeight="1" spans="1:52">
      <c r="A456" s="326" t="str">
        <f>INDEX('Rate Card'!$A:$A,MATCH(服务费底表!$T456,'Rate Card'!$F:$F,0))</f>
        <v>数统</v>
      </c>
      <c r="B456" s="327" t="str">
        <f>INDEX(二三级标准!$G:$G,MATCH(服务费底表!$K456,二三级标准!B:B,0))</f>
        <v>个</v>
      </c>
      <c r="C456" s="327">
        <f>INDEX(服务费明细!$E:$E,MATCH(服务费底表!$K456,服务费明细!$B:$B,0))</f>
        <v>30</v>
      </c>
      <c r="D456" s="327" t="str">
        <f t="shared" si="408"/>
        <v>A258SA</v>
      </c>
      <c r="E456" s="327" t="str">
        <f t="shared" si="409"/>
        <v>T0745SA</v>
      </c>
      <c r="F456" s="328"/>
      <c r="G456" s="328" t="s">
        <v>684</v>
      </c>
      <c r="H456" s="326" t="str">
        <f>INDEX('Rate Card'!$B:$B,MATCH(服务费底表!$T456,'Rate Card'!$F:$F,0))</f>
        <v>生物统计及分析</v>
      </c>
      <c r="I456" s="328" t="s">
        <v>924</v>
      </c>
      <c r="J456" s="328" t="str">
        <f>INDEX(二三级标准!$Q:$Q,MATCH(服务费底表!I456,二三级标准!$O:$O,0))</f>
        <v>生物统计及分析</v>
      </c>
      <c r="K456" s="328" t="s">
        <v>1075</v>
      </c>
      <c r="L456" s="328" t="str">
        <f>INDEX(二三级标准!C:C,MATCH(服务费底表!K456,二三级标准!$B:$B,0))</f>
        <v>生成统计表格/图表 - Unique</v>
      </c>
      <c r="M456" s="328" t="s">
        <v>1502</v>
      </c>
      <c r="N456" s="328" t="str">
        <f>INDEX(二三级标准!$M:$M,MATCH(服务费底表!$M456,二三级标准!$L:$L,0))</f>
        <v>生成统计表格/图表 - Unique</v>
      </c>
      <c r="O456" s="328"/>
      <c r="P456" s="531">
        <f>IF(R456=1,INDEX(服务费明细!$E:$E,MATCH(服务费底表!$K456,服务费明细!$B:$B,0)),0)</f>
        <v>30</v>
      </c>
      <c r="Q456" s="328" t="s">
        <v>1281</v>
      </c>
      <c r="R456" s="520">
        <f>IF(AND(生成统计TLFs_YN=1,统计分析YN=1),1,0)</f>
        <v>1</v>
      </c>
      <c r="S456" s="524" t="str">
        <f>INDEX('Rate Card'!$D:$D,MATCH(服务费底表!$T456,'Rate Card'!F:F,0))</f>
        <v>统计分析</v>
      </c>
      <c r="T456" s="328" t="s">
        <v>635</v>
      </c>
      <c r="U456" s="522" t="str">
        <f>INDEX('Rate Card'!$E:$E,MATCH(服务费底表!$T456,'Rate Card'!$F:$F,0))</f>
        <v>统计分析师</v>
      </c>
      <c r="V456" s="331">
        <f>INDEX('Rate Card'!$J:$J,MATCH($T456,'Rate Card'!$F:$F,0))</f>
        <v>225</v>
      </c>
      <c r="W456" s="523">
        <f t="shared" si="367"/>
        <v>225</v>
      </c>
      <c r="X456" s="523">
        <f t="shared" si="368"/>
        <v>2.5</v>
      </c>
      <c r="Y456" s="327" cm="1">
        <f t="array" ref="Y456">_xlfn.IFS(报价场景=服务费底表!$AJ$2,服务费底表!$AJ456,报价场景=服务费底表!$AP$2,服务费底表!$AP456,报价场景=服务费底表!$AK$2,服务费底表!$AK456,报价场景=服务费底表!$AL$2,服务费底表!$AL456,报价场景=服务费底表!$AM$2,服务费底表!$AM456,报价场景=服务费底表!$AN$2,服务费底表!$AN456,报价场景=服务费底表!$AQ$2,服务费底表!$AQ456,报价场景=服务费底表!$AO$2,服务费底表!$AO456)</f>
        <v>2.5</v>
      </c>
      <c r="Z456" s="327"/>
      <c r="AA456" s="332">
        <f t="shared" si="400"/>
        <v>2.5</v>
      </c>
      <c r="AB456" s="333">
        <f t="shared" si="410"/>
        <v>562.5</v>
      </c>
      <c r="AC456" s="328">
        <f t="shared" si="411"/>
        <v>75</v>
      </c>
      <c r="AD456" s="334">
        <f t="shared" si="412"/>
        <v>16875</v>
      </c>
      <c r="AE456" s="334">
        <f>$AB456*(1-INDEX(项目参数!$D$5:$D$14,MATCH(服务费底表!$S456,项目参数!$B$5:$B$14,0)))</f>
        <v>562.5</v>
      </c>
      <c r="AF456" s="334">
        <f>$AD456*INDEX(项目参数!$D$5:$D$14,MATCH(服务费底表!$S456,项目参数!$B$5:$B$14,0))</f>
        <v>0</v>
      </c>
      <c r="AG456" s="334">
        <f t="shared" si="415"/>
        <v>16875</v>
      </c>
      <c r="AH456" s="328"/>
      <c r="AI456" s="328" t="s">
        <v>635</v>
      </c>
      <c r="AJ456" s="327">
        <v>2.5</v>
      </c>
      <c r="AK456" s="327">
        <v>3</v>
      </c>
      <c r="AL456" s="327">
        <v>2.5</v>
      </c>
      <c r="AM456" s="327">
        <v>3</v>
      </c>
      <c r="AN456" s="327">
        <v>2.5</v>
      </c>
      <c r="AO456" s="327">
        <f t="shared" si="366"/>
        <v>2.5</v>
      </c>
      <c r="AP456" s="327">
        <v>2.5</v>
      </c>
      <c r="AQ456" s="327">
        <f t="shared" si="369"/>
        <v>3.75</v>
      </c>
      <c r="AR456" s="338"/>
      <c r="AS456" s="328">
        <f t="shared" si="405"/>
        <v>75</v>
      </c>
      <c r="AT456" s="328">
        <f t="shared" si="406"/>
        <v>75</v>
      </c>
      <c r="AU456" s="523">
        <v>2.5</v>
      </c>
      <c r="AV456" s="328"/>
      <c r="AW456" s="328"/>
      <c r="AX456" s="332">
        <v>2.5</v>
      </c>
      <c r="AY456" s="328" t="b">
        <f t="shared" si="413"/>
        <v>1</v>
      </c>
      <c r="AZ456" s="328" t="b">
        <f t="shared" si="414"/>
        <v>0</v>
      </c>
    </row>
    <row r="457" ht="27" customHeight="1" spans="1:52">
      <c r="A457" s="326" t="str">
        <f>INDEX('Rate Card'!$A:$A,MATCH(服务费底表!$T457,'Rate Card'!$F:$F,0))</f>
        <v>数统</v>
      </c>
      <c r="B457" s="327" t="str">
        <f>INDEX(二三级标准!$G:$G,MATCH(服务费底表!$K457,二三级标准!B:B,0))</f>
        <v>个</v>
      </c>
      <c r="C457" s="327">
        <f>INDEX(服务费明细!$E:$E,MATCH(服务费底表!$K457,服务费明细!$B:$B,0))</f>
        <v>30</v>
      </c>
      <c r="D457" s="327" t="str">
        <f t="shared" si="408"/>
        <v>A258SA</v>
      </c>
      <c r="E457" s="327" t="str">
        <f t="shared" si="409"/>
        <v>T0746SA</v>
      </c>
      <c r="F457" s="328"/>
      <c r="G457" s="328" t="s">
        <v>684</v>
      </c>
      <c r="H457" s="326" t="str">
        <f>INDEX('Rate Card'!$B:$B,MATCH(服务费底表!$T457,'Rate Card'!$F:$F,0))</f>
        <v>生物统计及分析</v>
      </c>
      <c r="I457" s="328" t="s">
        <v>924</v>
      </c>
      <c r="J457" s="328" t="str">
        <f>INDEX(二三级标准!$Q:$Q,MATCH(服务费底表!I457,二三级标准!$O:$O,0))</f>
        <v>生物统计及分析</v>
      </c>
      <c r="K457" s="328" t="s">
        <v>1075</v>
      </c>
      <c r="L457" s="328" t="str">
        <f>INDEX(二三级标准!C:C,MATCH(服务费底表!K457,二三级标准!$B:$B,0))</f>
        <v>生成统计表格/图表 - Unique</v>
      </c>
      <c r="M457" s="328" t="s">
        <v>1503</v>
      </c>
      <c r="N457" s="328" t="str">
        <f>INDEX(二三级标准!$M:$M,MATCH(服务费底表!$M457,二三级标准!$L:$L,0))</f>
        <v>验证统计表格/图表 - Unique</v>
      </c>
      <c r="O457" s="328"/>
      <c r="P457" s="531">
        <f>IF(R457=1,INDEX(服务费明细!$E:$E,MATCH(服务费底表!$K457,服务费明细!$B:$B,0)),0)</f>
        <v>30</v>
      </c>
      <c r="Q457" s="328" t="s">
        <v>1281</v>
      </c>
      <c r="R457" s="520">
        <f>IF(AND(生成统计TLFs_YN=1,统计分析YN=1),1,0)</f>
        <v>1</v>
      </c>
      <c r="S457" s="524" t="str">
        <f>INDEX('Rate Card'!$D:$D,MATCH(服务费底表!$T457,'Rate Card'!F:F,0))</f>
        <v>统计分析</v>
      </c>
      <c r="T457" s="328" t="s">
        <v>635</v>
      </c>
      <c r="U457" s="522" t="str">
        <f>INDEX('Rate Card'!$E:$E,MATCH(服务费底表!$T457,'Rate Card'!$F:$F,0))</f>
        <v>统计分析师</v>
      </c>
      <c r="V457" s="331">
        <f>INDEX('Rate Card'!$J:$J,MATCH($T457,'Rate Card'!$F:$F,0))</f>
        <v>225</v>
      </c>
      <c r="W457" s="523">
        <f t="shared" si="367"/>
        <v>225</v>
      </c>
      <c r="X457" s="523">
        <f t="shared" si="368"/>
        <v>2.5</v>
      </c>
      <c r="Y457" s="327" cm="1">
        <f t="array" ref="Y457">_xlfn.IFS(报价场景=服务费底表!$AJ$2,服务费底表!$AJ457,报价场景=服务费底表!$AP$2,服务费底表!$AP457,报价场景=服务费底表!$AK$2,服务费底表!$AK457,报价场景=服务费底表!$AL$2,服务费底表!$AL457,报价场景=服务费底表!$AM$2,服务费底表!$AM457,报价场景=服务费底表!$AN$2,服务费底表!$AN457,报价场景=服务费底表!$AQ$2,服务费底表!$AQ457,报价场景=服务费底表!$AO$2,服务费底表!$AO457)</f>
        <v>2.5</v>
      </c>
      <c r="Z457" s="327"/>
      <c r="AA457" s="332">
        <f t="shared" si="400"/>
        <v>2.5</v>
      </c>
      <c r="AB457" s="333">
        <f t="shared" si="410"/>
        <v>562.5</v>
      </c>
      <c r="AC457" s="328">
        <f t="shared" si="411"/>
        <v>75</v>
      </c>
      <c r="AD457" s="334">
        <f t="shared" si="412"/>
        <v>16875</v>
      </c>
      <c r="AE457" s="334">
        <f>$AB457*(1-INDEX(项目参数!$D$5:$D$14,MATCH(服务费底表!$S457,项目参数!$B$5:$B$14,0)))</f>
        <v>562.5</v>
      </c>
      <c r="AF457" s="334">
        <f>$AD457*INDEX(项目参数!$D$5:$D$14,MATCH(服务费底表!$S457,项目参数!$B$5:$B$14,0))</f>
        <v>0</v>
      </c>
      <c r="AG457" s="334">
        <f t="shared" si="415"/>
        <v>16875</v>
      </c>
      <c r="AH457" s="328"/>
      <c r="AI457" s="328" t="s">
        <v>635</v>
      </c>
      <c r="AJ457" s="327">
        <v>2.5</v>
      </c>
      <c r="AK457" s="327">
        <v>3</v>
      </c>
      <c r="AL457" s="327">
        <v>2.5</v>
      </c>
      <c r="AM457" s="327">
        <v>3</v>
      </c>
      <c r="AN457" s="327">
        <v>2.5</v>
      </c>
      <c r="AO457" s="327">
        <f t="shared" si="366"/>
        <v>2.5</v>
      </c>
      <c r="AP457" s="327">
        <v>2.5</v>
      </c>
      <c r="AQ457" s="327">
        <f t="shared" si="369"/>
        <v>3.75</v>
      </c>
      <c r="AR457" s="338"/>
      <c r="AS457" s="328">
        <f t="shared" si="405"/>
        <v>75</v>
      </c>
      <c r="AT457" s="328">
        <f t="shared" si="406"/>
        <v>75</v>
      </c>
      <c r="AU457" s="523">
        <v>2.5</v>
      </c>
      <c r="AV457" s="328"/>
      <c r="AW457" s="328"/>
      <c r="AX457" s="332">
        <v>2.5</v>
      </c>
      <c r="AY457" s="328" t="b">
        <f t="shared" si="413"/>
        <v>1</v>
      </c>
      <c r="AZ457" s="328" t="b">
        <f t="shared" si="414"/>
        <v>0</v>
      </c>
    </row>
    <row r="458" ht="27" customHeight="1" spans="1:52">
      <c r="A458" s="326" t="str">
        <f>INDEX('Rate Card'!$A:$A,MATCH(服务费底表!$T458,'Rate Card'!$F:$F,0))</f>
        <v>数统</v>
      </c>
      <c r="B458" s="327" t="str">
        <f>INDEX(二三级标准!$G:$G,MATCH(服务费底表!$K458,二三级标准!B:B,0))</f>
        <v>个</v>
      </c>
      <c r="C458" s="327">
        <f>INDEX(服务费明细!$E:$E,MATCH(服务费底表!$K458,服务费明细!$B:$B,0))</f>
        <v>30</v>
      </c>
      <c r="D458" s="327" t="str">
        <f t="shared" si="408"/>
        <v>A258SAM</v>
      </c>
      <c r="E458" s="327" t="str">
        <f t="shared" si="409"/>
        <v>T0747SAM</v>
      </c>
      <c r="F458" s="328"/>
      <c r="G458" s="328" t="s">
        <v>684</v>
      </c>
      <c r="H458" s="326" t="str">
        <f>INDEX('Rate Card'!$B:$B,MATCH(服务费底表!$T458,'Rate Card'!$F:$F,0))</f>
        <v>生物统计及分析</v>
      </c>
      <c r="I458" s="328" t="s">
        <v>924</v>
      </c>
      <c r="J458" s="328" t="str">
        <f>INDEX(二三级标准!$Q:$Q,MATCH(服务费底表!I458,二三级标准!$O:$O,0))</f>
        <v>生物统计及分析</v>
      </c>
      <c r="K458" s="328" t="s">
        <v>1075</v>
      </c>
      <c r="L458" s="328" t="str">
        <f>INDEX(二三级标准!C:C,MATCH(服务费底表!K458,二三级标准!$B:$B,0))</f>
        <v>生成统计表格/图表 - Unique</v>
      </c>
      <c r="M458" s="328" t="s">
        <v>1504</v>
      </c>
      <c r="N458" s="328" t="str">
        <f>INDEX(二三级标准!$M:$M,MATCH(服务费底表!$M458,二三级标准!$L:$L,0))</f>
        <v>审核统计表格/图表 - Unique</v>
      </c>
      <c r="O458" s="328"/>
      <c r="P458" s="531">
        <f>IF(R458=1,INDEX(服务费明细!$E:$E,MATCH(服务费底表!$K458,服务费明细!$B:$B,0)),0)</f>
        <v>30</v>
      </c>
      <c r="Q458" s="328" t="s">
        <v>1281</v>
      </c>
      <c r="R458" s="520">
        <f>IF(AND(生成统计TLFs_YN=1,统计分析YN=1),1,0)</f>
        <v>1</v>
      </c>
      <c r="S458" s="524" t="str">
        <f>INDEX('Rate Card'!$D:$D,MATCH(服务费底表!$T458,'Rate Card'!F:F,0))</f>
        <v>统计分析</v>
      </c>
      <c r="T458" s="328" t="s">
        <v>638</v>
      </c>
      <c r="U458" s="522" t="str">
        <f>INDEX('Rate Card'!$E:$E,MATCH(服务费底表!$T458,'Rate Card'!$F:$F,0))</f>
        <v>统计分析经理</v>
      </c>
      <c r="V458" s="331">
        <f>INDEX('Rate Card'!$J:$J,MATCH($T458,'Rate Card'!$F:$F,0))</f>
        <v>450</v>
      </c>
      <c r="W458" s="523">
        <f t="shared" si="367"/>
        <v>450</v>
      </c>
      <c r="X458" s="523">
        <f t="shared" si="368"/>
        <v>0.2</v>
      </c>
      <c r="Y458" s="327" cm="1">
        <f t="array" ref="Y458">_xlfn.IFS(报价场景=服务费底表!$AJ$2,服务费底表!$AJ458,报价场景=服务费底表!$AP$2,服务费底表!$AP458,报价场景=服务费底表!$AK$2,服务费底表!$AK458,报价场景=服务费底表!$AL$2,服务费底表!$AL458,报价场景=服务费底表!$AM$2,服务费底表!$AM458,报价场景=服务费底表!$AN$2,服务费底表!$AN458,报价场景=服务费底表!$AQ$2,服务费底表!$AQ458,报价场景=服务费底表!$AO$2,服务费底表!$AO458)</f>
        <v>0.2</v>
      </c>
      <c r="Z458" s="327"/>
      <c r="AA458" s="332">
        <f t="shared" si="400"/>
        <v>0.2</v>
      </c>
      <c r="AB458" s="333">
        <f t="shared" si="410"/>
        <v>90</v>
      </c>
      <c r="AC458" s="328">
        <f t="shared" si="411"/>
        <v>6</v>
      </c>
      <c r="AD458" s="334">
        <f t="shared" si="412"/>
        <v>2700</v>
      </c>
      <c r="AE458" s="334">
        <f>$AB458*(1-INDEX(项目参数!$D$5:$D$14,MATCH(服务费底表!$S458,项目参数!$B$5:$B$14,0)))</f>
        <v>90</v>
      </c>
      <c r="AF458" s="334">
        <f>$AD458*INDEX(项目参数!$D$5:$D$14,MATCH(服务费底表!$S458,项目参数!$B$5:$B$14,0))</f>
        <v>0</v>
      </c>
      <c r="AG458" s="334">
        <f t="shared" si="415"/>
        <v>2700</v>
      </c>
      <c r="AH458" s="328"/>
      <c r="AI458" s="328" t="s">
        <v>638</v>
      </c>
      <c r="AJ458" s="327">
        <v>0.2</v>
      </c>
      <c r="AK458" s="327">
        <v>0.3</v>
      </c>
      <c r="AL458" s="327">
        <v>0.2</v>
      </c>
      <c r="AM458" s="336">
        <v>0.3</v>
      </c>
      <c r="AN458" s="327">
        <v>0.2</v>
      </c>
      <c r="AO458" s="327">
        <f t="shared" ref="AO458:AO521" si="416">AL458</f>
        <v>0.2</v>
      </c>
      <c r="AP458" s="327">
        <v>0.2</v>
      </c>
      <c r="AQ458" s="327">
        <f t="shared" si="369"/>
        <v>0.3</v>
      </c>
      <c r="AR458" s="338"/>
      <c r="AS458" s="328">
        <f t="shared" si="405"/>
        <v>6</v>
      </c>
      <c r="AT458" s="328">
        <f t="shared" si="406"/>
        <v>6</v>
      </c>
      <c r="AU458" s="523">
        <v>0.2</v>
      </c>
      <c r="AV458" s="328"/>
      <c r="AW458" s="328"/>
      <c r="AX458" s="332">
        <v>0.2</v>
      </c>
      <c r="AY458" s="328" t="b">
        <f t="shared" si="413"/>
        <v>1</v>
      </c>
      <c r="AZ458" s="328" t="b">
        <f t="shared" si="414"/>
        <v>0</v>
      </c>
    </row>
    <row r="459" ht="27" customHeight="1" spans="1:52">
      <c r="A459" s="326" t="str">
        <f>INDEX('Rate Card'!$A:$A,MATCH(服务费底表!$T459,'Rate Card'!$F:$F,0))</f>
        <v>数统</v>
      </c>
      <c r="B459" s="327" t="str">
        <f>INDEX(二三级标准!$G:$G,MATCH(服务费底表!$K459,二三级标准!B:B,0))</f>
        <v>个</v>
      </c>
      <c r="C459" s="327">
        <f>INDEX(服务费明细!$E:$E,MATCH(服务费底表!$K459,服务费明细!$B:$B,0))</f>
        <v>30</v>
      </c>
      <c r="D459" s="327" t="str">
        <f t="shared" si="408"/>
        <v>A258ST</v>
      </c>
      <c r="E459" s="327" t="str">
        <f t="shared" si="409"/>
        <v>T0747ST</v>
      </c>
      <c r="F459" s="328"/>
      <c r="G459" s="328" t="s">
        <v>684</v>
      </c>
      <c r="H459" s="326" t="str">
        <f>INDEX('Rate Card'!$B:$B,MATCH(服务费底表!$T459,'Rate Card'!$F:$F,0))</f>
        <v>生物统计及分析</v>
      </c>
      <c r="I459" s="328" t="s">
        <v>924</v>
      </c>
      <c r="J459" s="328" t="str">
        <f>INDEX(二三级标准!$Q:$Q,MATCH(服务费底表!I459,二三级标准!$O:$O,0))</f>
        <v>生物统计及分析</v>
      </c>
      <c r="K459" s="328" t="s">
        <v>1075</v>
      </c>
      <c r="L459" s="328" t="str">
        <f>INDEX(二三级标准!C:C,MATCH(服务费底表!K459,二三级标准!$B:$B,0))</f>
        <v>生成统计表格/图表 - Unique</v>
      </c>
      <c r="M459" s="328" t="s">
        <v>1504</v>
      </c>
      <c r="N459" s="328" t="str">
        <f>INDEX(二三级标准!$M:$M,MATCH(服务费底表!$M459,二三级标准!$L:$L,0))</f>
        <v>审核统计表格/图表 - Unique</v>
      </c>
      <c r="O459" s="328"/>
      <c r="P459" s="531">
        <f>IF(R459=1,INDEX(服务费明细!$E:$E,MATCH(服务费底表!$K459,服务费明细!$B:$B,0)),0)</f>
        <v>30</v>
      </c>
      <c r="Q459" s="328" t="s">
        <v>1281</v>
      </c>
      <c r="R459" s="520">
        <f>IF(AND(生成统计TLFs_YN=1,生物统计YN=1),1,0)</f>
        <v>1</v>
      </c>
      <c r="S459" s="524" t="str">
        <f>INDEX('Rate Card'!$D:$D,MATCH(服务费底表!$T459,'Rate Card'!F:F,0))</f>
        <v>生物统计</v>
      </c>
      <c r="T459" s="328" t="s">
        <v>639</v>
      </c>
      <c r="U459" s="522" t="str">
        <f>INDEX('Rate Card'!$E:$E,MATCH(服务费底表!$T459,'Rate Card'!$F:$F,0))</f>
        <v>生物统计师</v>
      </c>
      <c r="V459" s="331">
        <f>INDEX('Rate Card'!$J:$J,MATCH($T459,'Rate Card'!$F:$F,0))</f>
        <v>400</v>
      </c>
      <c r="W459" s="523">
        <f t="shared" si="367"/>
        <v>400</v>
      </c>
      <c r="X459" s="523">
        <f t="shared" si="368"/>
        <v>0.5</v>
      </c>
      <c r="Y459" s="327" cm="1">
        <f t="array" ref="Y459">_xlfn.IFS(报价场景=服务费底表!$AJ$2,服务费底表!$AJ459,报价场景=服务费底表!$AP$2,服务费底表!$AP459,报价场景=服务费底表!$AK$2,服务费底表!$AK459,报价场景=服务费底表!$AL$2,服务费底表!$AL459,报价场景=服务费底表!$AM$2,服务费底表!$AM459,报价场景=服务费底表!$AN$2,服务费底表!$AN459,报价场景=服务费底表!$AQ$2,服务费底表!$AQ459,报价场景=服务费底表!$AO$2,服务费底表!$AO459)</f>
        <v>0.5</v>
      </c>
      <c r="Z459" s="327"/>
      <c r="AA459" s="332">
        <f t="shared" si="400"/>
        <v>0.5</v>
      </c>
      <c r="AB459" s="333">
        <f t="shared" si="410"/>
        <v>200</v>
      </c>
      <c r="AC459" s="328">
        <f t="shared" si="411"/>
        <v>15</v>
      </c>
      <c r="AD459" s="334">
        <f t="shared" si="412"/>
        <v>6000</v>
      </c>
      <c r="AE459" s="334">
        <f>$AB459*(1-INDEX(项目参数!$D$5:$D$14,MATCH(服务费底表!$S459,项目参数!$B$5:$B$14,0)))</f>
        <v>200</v>
      </c>
      <c r="AF459" s="334">
        <f>$AD459*INDEX(项目参数!$D$5:$D$14,MATCH(服务费底表!$S459,项目参数!$B$5:$B$14,0))</f>
        <v>0</v>
      </c>
      <c r="AG459" s="334">
        <f t="shared" si="415"/>
        <v>6000</v>
      </c>
      <c r="AH459" s="328"/>
      <c r="AI459" s="328" t="s">
        <v>639</v>
      </c>
      <c r="AJ459" s="327">
        <v>0.5</v>
      </c>
      <c r="AK459" s="327">
        <v>0.5</v>
      </c>
      <c r="AL459" s="327">
        <v>0.4</v>
      </c>
      <c r="AM459" s="327">
        <v>0.5</v>
      </c>
      <c r="AN459" s="327">
        <v>0.5</v>
      </c>
      <c r="AO459" s="327">
        <f t="shared" si="416"/>
        <v>0.4</v>
      </c>
      <c r="AP459" s="327">
        <v>0.5</v>
      </c>
      <c r="AQ459" s="327">
        <f t="shared" si="369"/>
        <v>0.75</v>
      </c>
      <c r="AR459" s="338"/>
      <c r="AS459" s="328">
        <f t="shared" si="405"/>
        <v>15</v>
      </c>
      <c r="AT459" s="328">
        <f t="shared" si="406"/>
        <v>15</v>
      </c>
      <c r="AU459" s="523">
        <v>0.5</v>
      </c>
      <c r="AV459" s="328"/>
      <c r="AW459" s="328"/>
      <c r="AX459" s="332">
        <v>0.5</v>
      </c>
      <c r="AY459" s="328" t="b">
        <f t="shared" si="413"/>
        <v>1</v>
      </c>
      <c r="AZ459" s="328" t="b">
        <f t="shared" si="414"/>
        <v>0</v>
      </c>
    </row>
    <row r="460" ht="27" customHeight="1" spans="1:52">
      <c r="A460" s="326" t="str">
        <f>INDEX('Rate Card'!$A:$A,MATCH(服务费底表!$T460,'Rate Card'!$F:$F,0))</f>
        <v>数统</v>
      </c>
      <c r="B460" s="327" t="str">
        <f>INDEX(二三级标准!$G:$G,MATCH(服务费底表!$K460,二三级标准!B:B,0))</f>
        <v>个</v>
      </c>
      <c r="C460" s="327">
        <f>INDEX(服务费明细!$E:$E,MATCH(服务费底表!$K460,服务费明细!$B:$B,0))</f>
        <v>35</v>
      </c>
      <c r="D460" s="327" t="str">
        <f t="shared" si="408"/>
        <v>A259SA</v>
      </c>
      <c r="E460" s="327" t="str">
        <f t="shared" si="409"/>
        <v>T0748SA</v>
      </c>
      <c r="F460" s="328"/>
      <c r="G460" s="328" t="s">
        <v>684</v>
      </c>
      <c r="H460" s="326" t="str">
        <f>INDEX('Rate Card'!$B:$B,MATCH(服务费底表!$T460,'Rate Card'!$F:$F,0))</f>
        <v>生物统计及分析</v>
      </c>
      <c r="I460" s="328" t="s">
        <v>924</v>
      </c>
      <c r="J460" s="328" t="str">
        <f>INDEX(二三级标准!$Q:$Q,MATCH(服务费底表!I460,二三级标准!$O:$O,0))</f>
        <v>生物统计及分析</v>
      </c>
      <c r="K460" s="328" t="s">
        <v>1077</v>
      </c>
      <c r="L460" s="328" t="str">
        <f>INDEX(二三级标准!C:C,MATCH(服务费底表!K460,二三级标准!$B:$B,0))</f>
        <v>生成统计表格/图表 - Repeat</v>
      </c>
      <c r="M460" s="328" t="s">
        <v>1505</v>
      </c>
      <c r="N460" s="328" t="str">
        <f>INDEX(二三级标准!$M:$M,MATCH(服务费底表!$M460,二三级标准!$L:$L,0))</f>
        <v>产生统计表格/图表 - Repeated</v>
      </c>
      <c r="O460" s="328"/>
      <c r="P460" s="531">
        <f>IF(R460=1,INDEX(服务费明细!$E:$E,MATCH(服务费底表!$K460,服务费明细!$B:$B,0)),0)</f>
        <v>35</v>
      </c>
      <c r="Q460" s="328" t="s">
        <v>1281</v>
      </c>
      <c r="R460" s="520">
        <f>IF(AND(生成统计TLFs_YN=1,统计分析YN=1),1,0)</f>
        <v>1</v>
      </c>
      <c r="S460" s="524" t="str">
        <f>INDEX('Rate Card'!$D:$D,MATCH(服务费底表!$T460,'Rate Card'!F:F,0))</f>
        <v>统计分析</v>
      </c>
      <c r="T460" s="328" t="s">
        <v>635</v>
      </c>
      <c r="U460" s="522" t="str">
        <f>INDEX('Rate Card'!$E:$E,MATCH(服务费底表!$T460,'Rate Card'!$F:$F,0))</f>
        <v>统计分析师</v>
      </c>
      <c r="V460" s="331">
        <f>INDEX('Rate Card'!$J:$J,MATCH($T460,'Rate Card'!$F:$F,0))</f>
        <v>225</v>
      </c>
      <c r="W460" s="523">
        <f t="shared" si="367"/>
        <v>225</v>
      </c>
      <c r="X460" s="523">
        <f t="shared" si="368"/>
        <v>0.4</v>
      </c>
      <c r="Y460" s="327" cm="1">
        <f t="array" ref="Y460">_xlfn.IFS(报价场景=服务费底表!$AJ$2,服务费底表!$AJ460,报价场景=服务费底表!$AP$2,服务费底表!$AP460,报价场景=服务费底表!$AK$2,服务费底表!$AK460,报价场景=服务费底表!$AL$2,服务费底表!$AL460,报价场景=服务费底表!$AM$2,服务费底表!$AM460,报价场景=服务费底表!$AN$2,服务费底表!$AN460,报价场景=服务费底表!$AQ$2,服务费底表!$AQ460,报价场景=服务费底表!$AO$2,服务费底表!$AO460)</f>
        <v>0.4</v>
      </c>
      <c r="Z460" s="327"/>
      <c r="AA460" s="332">
        <f t="shared" si="400"/>
        <v>0.4</v>
      </c>
      <c r="AB460" s="333">
        <f t="shared" si="410"/>
        <v>90</v>
      </c>
      <c r="AC460" s="328">
        <f t="shared" si="411"/>
        <v>14</v>
      </c>
      <c r="AD460" s="334">
        <f t="shared" si="412"/>
        <v>3150</v>
      </c>
      <c r="AE460" s="334">
        <f>$AB460*(1-INDEX(项目参数!$D$5:$D$14,MATCH(服务费底表!$S460,项目参数!$B$5:$B$14,0)))</f>
        <v>90</v>
      </c>
      <c r="AF460" s="334">
        <f>$AD460*INDEX(项目参数!$D$5:$D$14,MATCH(服务费底表!$S460,项目参数!$B$5:$B$14,0))</f>
        <v>0</v>
      </c>
      <c r="AG460" s="334">
        <f t="shared" si="415"/>
        <v>3150</v>
      </c>
      <c r="AH460" s="328"/>
      <c r="AI460" s="328" t="s">
        <v>635</v>
      </c>
      <c r="AJ460" s="327">
        <v>0.4</v>
      </c>
      <c r="AK460" s="327">
        <v>0.5</v>
      </c>
      <c r="AL460" s="327">
        <v>0.4</v>
      </c>
      <c r="AM460" s="327">
        <v>0.5</v>
      </c>
      <c r="AN460" s="327">
        <v>0.4</v>
      </c>
      <c r="AO460" s="327">
        <f t="shared" si="416"/>
        <v>0.4</v>
      </c>
      <c r="AP460" s="327">
        <v>0.4</v>
      </c>
      <c r="AQ460" s="327">
        <f t="shared" si="369"/>
        <v>0.6</v>
      </c>
      <c r="AR460" s="338"/>
      <c r="AS460" s="328">
        <f t="shared" si="405"/>
        <v>14</v>
      </c>
      <c r="AT460" s="328">
        <f t="shared" si="406"/>
        <v>14</v>
      </c>
      <c r="AU460" s="523">
        <v>0.4</v>
      </c>
      <c r="AV460" s="328"/>
      <c r="AW460" s="328"/>
      <c r="AX460" s="332">
        <v>0.4</v>
      </c>
      <c r="AY460" s="328" t="b">
        <f t="shared" si="413"/>
        <v>1</v>
      </c>
      <c r="AZ460" s="328" t="b">
        <f t="shared" si="414"/>
        <v>1</v>
      </c>
    </row>
    <row r="461" ht="27" customHeight="1" spans="1:52">
      <c r="A461" s="326" t="str">
        <f>INDEX('Rate Card'!$A:$A,MATCH(服务费底表!$T461,'Rate Card'!$F:$F,0))</f>
        <v>数统</v>
      </c>
      <c r="B461" s="327" t="str">
        <f>INDEX(二三级标准!$G:$G,MATCH(服务费底表!$K461,二三级标准!B:B,0))</f>
        <v>个</v>
      </c>
      <c r="C461" s="327">
        <f>INDEX(服务费明细!$E:$E,MATCH(服务费底表!$K461,服务费明细!$B:$B,0))</f>
        <v>35</v>
      </c>
      <c r="D461" s="327" t="str">
        <f t="shared" si="408"/>
        <v>A259SA</v>
      </c>
      <c r="E461" s="327" t="str">
        <f t="shared" si="409"/>
        <v>T0749SA</v>
      </c>
      <c r="F461" s="328"/>
      <c r="G461" s="328" t="s">
        <v>684</v>
      </c>
      <c r="H461" s="326" t="str">
        <f>INDEX('Rate Card'!$B:$B,MATCH(服务费底表!$T461,'Rate Card'!$F:$F,0))</f>
        <v>生物统计及分析</v>
      </c>
      <c r="I461" s="328" t="s">
        <v>924</v>
      </c>
      <c r="J461" s="328" t="str">
        <f>INDEX(二三级标准!$Q:$Q,MATCH(服务费底表!I461,二三级标准!$O:$O,0))</f>
        <v>生物统计及分析</v>
      </c>
      <c r="K461" s="328" t="s">
        <v>1077</v>
      </c>
      <c r="L461" s="328" t="str">
        <f>INDEX(二三级标准!C:C,MATCH(服务费底表!K461,二三级标准!$B:$B,0))</f>
        <v>生成统计表格/图表 - Repeat</v>
      </c>
      <c r="M461" s="328" t="s">
        <v>1506</v>
      </c>
      <c r="N461" s="328" t="str">
        <f>INDEX(二三级标准!$M:$M,MATCH(服务费底表!$M461,二三级标准!$L:$L,0))</f>
        <v>验证统计表格/图表 - Repeated</v>
      </c>
      <c r="O461" s="328"/>
      <c r="P461" s="531">
        <f>IF(R461=1,INDEX(服务费明细!$E:$E,MATCH(服务费底表!$K461,服务费明细!$B:$B,0)),0)</f>
        <v>35</v>
      </c>
      <c r="Q461" s="328" t="s">
        <v>1281</v>
      </c>
      <c r="R461" s="520">
        <f>IF(AND(生成统计TLFs_YN=1,统计分析YN=1),1,0)</f>
        <v>1</v>
      </c>
      <c r="S461" s="524" t="str">
        <f>INDEX('Rate Card'!$D:$D,MATCH(服务费底表!$T461,'Rate Card'!F:F,0))</f>
        <v>统计分析</v>
      </c>
      <c r="T461" s="328" t="s">
        <v>635</v>
      </c>
      <c r="U461" s="522" t="str">
        <f>INDEX('Rate Card'!$E:$E,MATCH(服务费底表!$T461,'Rate Card'!$F:$F,0))</f>
        <v>统计分析师</v>
      </c>
      <c r="V461" s="331">
        <f>INDEX('Rate Card'!$J:$J,MATCH($T461,'Rate Card'!$F:$F,0))</f>
        <v>225</v>
      </c>
      <c r="W461" s="523">
        <f t="shared" si="367"/>
        <v>225</v>
      </c>
      <c r="X461" s="523">
        <f t="shared" si="368"/>
        <v>0.4</v>
      </c>
      <c r="Y461" s="327" cm="1">
        <f t="array" ref="Y461">_xlfn.IFS(报价场景=服务费底表!$AJ$2,服务费底表!$AJ461,报价场景=服务费底表!$AP$2,服务费底表!$AP461,报价场景=服务费底表!$AK$2,服务费底表!$AK461,报价场景=服务费底表!$AL$2,服务费底表!$AL461,报价场景=服务费底表!$AM$2,服务费底表!$AM461,报价场景=服务费底表!$AN$2,服务费底表!$AN461,报价场景=服务费底表!$AQ$2,服务费底表!$AQ461,报价场景=服务费底表!$AO$2,服务费底表!$AO461)</f>
        <v>0.4</v>
      </c>
      <c r="Z461" s="327"/>
      <c r="AA461" s="332">
        <f t="shared" si="400"/>
        <v>0.4</v>
      </c>
      <c r="AB461" s="333">
        <f t="shared" si="410"/>
        <v>90</v>
      </c>
      <c r="AC461" s="328">
        <f t="shared" si="411"/>
        <v>14</v>
      </c>
      <c r="AD461" s="334">
        <f t="shared" si="412"/>
        <v>3150</v>
      </c>
      <c r="AE461" s="334">
        <f>$AB461*(1-INDEX(项目参数!$D$5:$D$14,MATCH(服务费底表!$S461,项目参数!$B$5:$B$14,0)))</f>
        <v>90</v>
      </c>
      <c r="AF461" s="334">
        <f>$AD461*INDEX(项目参数!$D$5:$D$14,MATCH(服务费底表!$S461,项目参数!$B$5:$B$14,0))</f>
        <v>0</v>
      </c>
      <c r="AG461" s="334">
        <f t="shared" si="415"/>
        <v>3150</v>
      </c>
      <c r="AH461" s="328"/>
      <c r="AI461" s="328" t="s">
        <v>635</v>
      </c>
      <c r="AJ461" s="327">
        <v>0.4</v>
      </c>
      <c r="AK461" s="327">
        <v>0.5</v>
      </c>
      <c r="AL461" s="327">
        <v>0.4</v>
      </c>
      <c r="AM461" s="327">
        <v>0.5</v>
      </c>
      <c r="AN461" s="327">
        <v>0.4</v>
      </c>
      <c r="AO461" s="327">
        <f t="shared" si="416"/>
        <v>0.4</v>
      </c>
      <c r="AP461" s="327">
        <v>0.4</v>
      </c>
      <c r="AQ461" s="327">
        <f t="shared" si="369"/>
        <v>0.6</v>
      </c>
      <c r="AR461" s="338"/>
      <c r="AS461" s="328">
        <f t="shared" si="405"/>
        <v>14</v>
      </c>
      <c r="AT461" s="328">
        <f t="shared" si="406"/>
        <v>14</v>
      </c>
      <c r="AU461" s="523">
        <v>0.4</v>
      </c>
      <c r="AV461" s="328"/>
      <c r="AW461" s="328"/>
      <c r="AX461" s="332">
        <v>0.4</v>
      </c>
      <c r="AY461" s="328" t="b">
        <f t="shared" si="413"/>
        <v>1</v>
      </c>
      <c r="AZ461" s="328" t="b">
        <f t="shared" si="414"/>
        <v>1</v>
      </c>
    </row>
    <row r="462" ht="27" customHeight="1" spans="1:52">
      <c r="A462" s="326" t="str">
        <f>INDEX('Rate Card'!$A:$A,MATCH(服务费底表!$T462,'Rate Card'!$F:$F,0))</f>
        <v>数统</v>
      </c>
      <c r="B462" s="327" t="str">
        <f>INDEX(二三级标准!$G:$G,MATCH(服务费底表!$K462,二三级标准!B:B,0))</f>
        <v>个</v>
      </c>
      <c r="C462" s="327">
        <f>INDEX(服务费明细!$E:$E,MATCH(服务费底表!$K462,服务费明细!$B:$B,0))</f>
        <v>35</v>
      </c>
      <c r="D462" s="327" t="str">
        <f t="shared" si="408"/>
        <v>A259SAM</v>
      </c>
      <c r="E462" s="327" t="str">
        <f t="shared" si="409"/>
        <v>T0750SAM</v>
      </c>
      <c r="F462" s="328"/>
      <c r="G462" s="328" t="s">
        <v>684</v>
      </c>
      <c r="H462" s="326" t="str">
        <f>INDEX('Rate Card'!$B:$B,MATCH(服务费底表!$T462,'Rate Card'!$F:$F,0))</f>
        <v>生物统计及分析</v>
      </c>
      <c r="I462" s="328" t="s">
        <v>924</v>
      </c>
      <c r="J462" s="328" t="str">
        <f>INDEX(二三级标准!$Q:$Q,MATCH(服务费底表!I462,二三级标准!$O:$O,0))</f>
        <v>生物统计及分析</v>
      </c>
      <c r="K462" s="328" t="s">
        <v>1077</v>
      </c>
      <c r="L462" s="328" t="str">
        <f>INDEX(二三级标准!C:C,MATCH(服务费底表!K462,二三级标准!$B:$B,0))</f>
        <v>生成统计表格/图表 - Repeat</v>
      </c>
      <c r="M462" s="328" t="s">
        <v>1507</v>
      </c>
      <c r="N462" s="328" t="str">
        <f>INDEX(二三级标准!$M:$M,MATCH(服务费底表!$M462,二三级标准!$L:$L,0))</f>
        <v>审核统计表格/图表 - Repeated</v>
      </c>
      <c r="O462" s="328"/>
      <c r="P462" s="531">
        <f>IF(R462=1,INDEX(服务费明细!$E:$E,MATCH(服务费底表!$K462,服务费明细!$B:$B,0)),0)</f>
        <v>35</v>
      </c>
      <c r="Q462" s="328" t="s">
        <v>1281</v>
      </c>
      <c r="R462" s="520">
        <f>IF(AND(生成统计TLFs_YN=1,统计分析YN=1),1,0)</f>
        <v>1</v>
      </c>
      <c r="S462" s="524" t="str">
        <f>INDEX('Rate Card'!$D:$D,MATCH(服务费底表!$T462,'Rate Card'!F:F,0))</f>
        <v>统计分析</v>
      </c>
      <c r="T462" s="328" t="s">
        <v>638</v>
      </c>
      <c r="U462" s="522" t="str">
        <f>INDEX('Rate Card'!$E:$E,MATCH(服务费底表!$T462,'Rate Card'!$F:$F,0))</f>
        <v>统计分析经理</v>
      </c>
      <c r="V462" s="331">
        <f>INDEX('Rate Card'!$J:$J,MATCH($T462,'Rate Card'!$F:$F,0))</f>
        <v>450</v>
      </c>
      <c r="W462" s="523">
        <f t="shared" si="367"/>
        <v>450</v>
      </c>
      <c r="X462" s="523">
        <f t="shared" si="368"/>
        <v>0.1</v>
      </c>
      <c r="Y462" s="327" cm="1">
        <f t="array" ref="Y462">_xlfn.IFS(报价场景=服务费底表!$AJ$2,服务费底表!$AJ462,报价场景=服务费底表!$AP$2,服务费底表!$AP462,报价场景=服务费底表!$AK$2,服务费底表!$AK462,报价场景=服务费底表!$AL$2,服务费底表!$AL462,报价场景=服务费底表!$AM$2,服务费底表!$AM462,报价场景=服务费底表!$AN$2,服务费底表!$AN462,报价场景=服务费底表!$AQ$2,服务费底表!$AQ462,报价场景=服务费底表!$AO$2,服务费底表!$AO462)</f>
        <v>0.1</v>
      </c>
      <c r="Z462" s="327"/>
      <c r="AA462" s="332">
        <f t="shared" si="400"/>
        <v>0.1</v>
      </c>
      <c r="AB462" s="333">
        <f t="shared" si="410"/>
        <v>45</v>
      </c>
      <c r="AC462" s="328">
        <f t="shared" si="411"/>
        <v>3.5</v>
      </c>
      <c r="AD462" s="334">
        <f t="shared" si="412"/>
        <v>1575</v>
      </c>
      <c r="AE462" s="334">
        <f>$AB462*(1-INDEX(项目参数!$D$5:$D$14,MATCH(服务费底表!$S462,项目参数!$B$5:$B$14,0)))</f>
        <v>45</v>
      </c>
      <c r="AF462" s="334">
        <f>$AD462*INDEX(项目参数!$D$5:$D$14,MATCH(服务费底表!$S462,项目参数!$B$5:$B$14,0))</f>
        <v>0</v>
      </c>
      <c r="AG462" s="334">
        <f t="shared" si="415"/>
        <v>1575</v>
      </c>
      <c r="AH462" s="328"/>
      <c r="AI462" s="328" t="s">
        <v>638</v>
      </c>
      <c r="AJ462" s="327">
        <v>0.1</v>
      </c>
      <c r="AK462" s="327">
        <v>0.15</v>
      </c>
      <c r="AL462" s="327">
        <v>0.1</v>
      </c>
      <c r="AM462" s="327">
        <v>0.1</v>
      </c>
      <c r="AN462" s="327">
        <v>0.1</v>
      </c>
      <c r="AO462" s="327">
        <f t="shared" si="416"/>
        <v>0.1</v>
      </c>
      <c r="AP462" s="327">
        <v>0.1</v>
      </c>
      <c r="AQ462" s="327">
        <f t="shared" si="369"/>
        <v>0.15</v>
      </c>
      <c r="AR462" s="338"/>
      <c r="AS462" s="328">
        <f t="shared" si="405"/>
        <v>3.5</v>
      </c>
      <c r="AT462" s="328">
        <f t="shared" si="406"/>
        <v>3.5</v>
      </c>
      <c r="AU462" s="523">
        <v>0.1</v>
      </c>
      <c r="AV462" s="328"/>
      <c r="AW462" s="328"/>
      <c r="AX462" s="332">
        <v>0.1</v>
      </c>
      <c r="AY462" s="328" t="b">
        <f t="shared" si="413"/>
        <v>1</v>
      </c>
      <c r="AZ462" s="328" t="b">
        <f t="shared" si="414"/>
        <v>1</v>
      </c>
    </row>
    <row r="463" ht="27" customHeight="1" spans="1:52">
      <c r="A463" s="326" t="str">
        <f>INDEX('Rate Card'!$A:$A,MATCH(服务费底表!$T463,'Rate Card'!$F:$F,0))</f>
        <v>数统</v>
      </c>
      <c r="B463" s="327" t="str">
        <f>INDEX(二三级标准!$G:$G,MATCH(服务费底表!$K463,二三级标准!B:B,0))</f>
        <v>个</v>
      </c>
      <c r="C463" s="327">
        <f>INDEX(服务费明细!$E:$E,MATCH(服务费底表!$K463,服务费明细!$B:$B,0))</f>
        <v>35</v>
      </c>
      <c r="D463" s="327" t="str">
        <f t="shared" si="408"/>
        <v>A259ST</v>
      </c>
      <c r="E463" s="327" t="str">
        <f t="shared" si="409"/>
        <v>T0750ST</v>
      </c>
      <c r="F463" s="328"/>
      <c r="G463" s="328" t="s">
        <v>684</v>
      </c>
      <c r="H463" s="326" t="str">
        <f>INDEX('Rate Card'!$B:$B,MATCH(服务费底表!$T463,'Rate Card'!$F:$F,0))</f>
        <v>生物统计及分析</v>
      </c>
      <c r="I463" s="328" t="s">
        <v>924</v>
      </c>
      <c r="J463" s="328" t="str">
        <f>INDEX(二三级标准!$Q:$Q,MATCH(服务费底表!I463,二三级标准!$O:$O,0))</f>
        <v>生物统计及分析</v>
      </c>
      <c r="K463" s="328" t="s">
        <v>1077</v>
      </c>
      <c r="L463" s="328" t="str">
        <f>INDEX(二三级标准!C:C,MATCH(服务费底表!K463,二三级标准!$B:$B,0))</f>
        <v>生成统计表格/图表 - Repeat</v>
      </c>
      <c r="M463" s="328" t="s">
        <v>1507</v>
      </c>
      <c r="N463" s="328" t="str">
        <f>INDEX(二三级标准!$M:$M,MATCH(服务费底表!$M463,二三级标准!$L:$L,0))</f>
        <v>审核统计表格/图表 - Repeated</v>
      </c>
      <c r="O463" s="328"/>
      <c r="P463" s="531">
        <f>IF(R463=1,INDEX(服务费明细!$E:$E,MATCH(服务费底表!$K463,服务费明细!$B:$B,0)),0)</f>
        <v>35</v>
      </c>
      <c r="Q463" s="328" t="s">
        <v>1281</v>
      </c>
      <c r="R463" s="520">
        <f>IF(AND(生成统计TLFs_YN=1,生物统计YN=1),1,0)</f>
        <v>1</v>
      </c>
      <c r="S463" s="524" t="str">
        <f>INDEX('Rate Card'!$D:$D,MATCH(服务费底表!$T463,'Rate Card'!F:F,0))</f>
        <v>生物统计</v>
      </c>
      <c r="T463" s="328" t="s">
        <v>639</v>
      </c>
      <c r="U463" s="522" t="str">
        <f>INDEX('Rate Card'!$E:$E,MATCH(服务费底表!$T463,'Rate Card'!$F:$F,0))</f>
        <v>生物统计师</v>
      </c>
      <c r="V463" s="331">
        <f>INDEX('Rate Card'!$J:$J,MATCH($T463,'Rate Card'!$F:$F,0))</f>
        <v>400</v>
      </c>
      <c r="W463" s="523">
        <f t="shared" si="367"/>
        <v>400</v>
      </c>
      <c r="X463" s="523">
        <f t="shared" si="368"/>
        <v>0.1</v>
      </c>
      <c r="Y463" s="327" cm="1">
        <f t="array" ref="Y463">_xlfn.IFS(报价场景=服务费底表!$AJ$2,服务费底表!$AJ463,报价场景=服务费底表!$AP$2,服务费底表!$AP463,报价场景=服务费底表!$AK$2,服务费底表!$AK463,报价场景=服务费底表!$AL$2,服务费底表!$AL463,报价场景=服务费底表!$AM$2,服务费底表!$AM463,报价场景=服务费底表!$AN$2,服务费底表!$AN463,报价场景=服务费底表!$AQ$2,服务费底表!$AQ463,报价场景=服务费底表!$AO$2,服务费底表!$AO463)</f>
        <v>0.1</v>
      </c>
      <c r="Z463" s="327"/>
      <c r="AA463" s="332">
        <f t="shared" si="400"/>
        <v>0.1</v>
      </c>
      <c r="AB463" s="333">
        <f t="shared" si="410"/>
        <v>40</v>
      </c>
      <c r="AC463" s="328">
        <f t="shared" si="411"/>
        <v>3.5</v>
      </c>
      <c r="AD463" s="334">
        <f t="shared" si="412"/>
        <v>1400</v>
      </c>
      <c r="AE463" s="334">
        <f>$AB463*(1-INDEX(项目参数!$D$5:$D$14,MATCH(服务费底表!$S463,项目参数!$B$5:$B$14,0)))</f>
        <v>40</v>
      </c>
      <c r="AF463" s="334">
        <f>$AD463*INDEX(项目参数!$D$5:$D$14,MATCH(服务费底表!$S463,项目参数!$B$5:$B$14,0))</f>
        <v>0</v>
      </c>
      <c r="AG463" s="334">
        <f t="shared" si="415"/>
        <v>1400</v>
      </c>
      <c r="AH463" s="328"/>
      <c r="AI463" s="328" t="s">
        <v>639</v>
      </c>
      <c r="AJ463" s="327">
        <v>0.1</v>
      </c>
      <c r="AK463" s="327">
        <v>0.15</v>
      </c>
      <c r="AL463" s="327">
        <v>0.1</v>
      </c>
      <c r="AM463" s="327">
        <v>0.1</v>
      </c>
      <c r="AN463" s="327">
        <v>0.1</v>
      </c>
      <c r="AO463" s="327">
        <f t="shared" si="416"/>
        <v>0.1</v>
      </c>
      <c r="AP463" s="327">
        <v>0.1</v>
      </c>
      <c r="AQ463" s="327">
        <f t="shared" si="369"/>
        <v>0.15</v>
      </c>
      <c r="AR463" s="338"/>
      <c r="AS463" s="328">
        <f t="shared" si="405"/>
        <v>3.5</v>
      </c>
      <c r="AT463" s="328">
        <f t="shared" si="406"/>
        <v>3.5</v>
      </c>
      <c r="AU463" s="523">
        <v>0.1</v>
      </c>
      <c r="AV463" s="328"/>
      <c r="AW463" s="328"/>
      <c r="AX463" s="332">
        <v>0.1</v>
      </c>
      <c r="AY463" s="328" t="b">
        <f t="shared" si="413"/>
        <v>1</v>
      </c>
      <c r="AZ463" s="328" t="b">
        <f t="shared" si="414"/>
        <v>1</v>
      </c>
    </row>
    <row r="464" ht="27" customHeight="1" spans="1:52">
      <c r="A464" s="326" t="str">
        <f>INDEX('Rate Card'!$A:$A,MATCH(服务费底表!$T464,'Rate Card'!$F:$F,0))</f>
        <v>数统</v>
      </c>
      <c r="B464" s="327" t="str">
        <f>INDEX(二三级标准!$G:$G,MATCH(服务费底表!$K464,二三级标准!B:B,0))</f>
        <v>个</v>
      </c>
      <c r="C464" s="327">
        <f>INDEX(服务费明细!$E:$E,MATCH(服务费底表!$K464,服务费明细!$B:$B,0))</f>
        <v>40</v>
      </c>
      <c r="D464" s="327" t="str">
        <f t="shared" ref="D464:D476" si="417">K464&amp;T464</f>
        <v>A260SA</v>
      </c>
      <c r="E464" s="327" t="str">
        <f t="shared" ref="E464:E470" si="418">M464&amp;T464</f>
        <v>T0751SA</v>
      </c>
      <c r="F464" s="328"/>
      <c r="G464" s="328" t="s">
        <v>684</v>
      </c>
      <c r="H464" s="326" t="str">
        <f>INDEX('Rate Card'!$B:$B,MATCH(服务费底表!$T464,'Rate Card'!$F:$F,0))</f>
        <v>生物统计及分析</v>
      </c>
      <c r="I464" s="328" t="s">
        <v>924</v>
      </c>
      <c r="J464" s="328" t="str">
        <f>INDEX(二三级标准!$Q:$Q,MATCH(服务费底表!I464,二三级标准!$O:$O,0))</f>
        <v>生物统计及分析</v>
      </c>
      <c r="K464" s="328" t="s">
        <v>1078</v>
      </c>
      <c r="L464" s="328" t="str">
        <f>INDEX(二三级标准!C:C,MATCH(服务费底表!K464,二三级标准!$B:$B,0))</f>
        <v>生成统计列表 - Listings</v>
      </c>
      <c r="M464" s="328" t="s">
        <v>1508</v>
      </c>
      <c r="N464" s="328" t="str">
        <f>INDEX(二三级标准!$M:$M,MATCH(服务费底表!$M464,二三级标准!$L:$L,0))</f>
        <v>产生统计列表</v>
      </c>
      <c r="O464" s="328"/>
      <c r="P464" s="531">
        <f>IF(R464=1,INDEX(服务费明细!$E:$E,MATCH(服务费底表!$K464,服务费明细!$B:$B,0)),0)</f>
        <v>40</v>
      </c>
      <c r="Q464" s="328" t="s">
        <v>1281</v>
      </c>
      <c r="R464" s="520">
        <f>IF(AND(生成统计TLFs_YN=1,统计分析YN=1),1,0)</f>
        <v>1</v>
      </c>
      <c r="S464" s="524" t="str">
        <f>INDEX('Rate Card'!$D:$D,MATCH(服务费底表!$T464,'Rate Card'!F:F,0))</f>
        <v>统计分析</v>
      </c>
      <c r="T464" s="328" t="s">
        <v>635</v>
      </c>
      <c r="U464" s="522" t="str">
        <f>INDEX('Rate Card'!$E:$E,MATCH(服务费底表!$T464,'Rate Card'!$F:$F,0))</f>
        <v>统计分析师</v>
      </c>
      <c r="V464" s="331">
        <f>INDEX('Rate Card'!$J:$J,MATCH($T464,'Rate Card'!$F:$F,0))</f>
        <v>225</v>
      </c>
      <c r="W464" s="523">
        <f t="shared" si="367"/>
        <v>225</v>
      </c>
      <c r="X464" s="523">
        <f t="shared" si="368"/>
        <v>0.5</v>
      </c>
      <c r="Y464" s="327" cm="1">
        <f t="array" ref="Y464">_xlfn.IFS(报价场景=服务费底表!$AJ$2,服务费底表!$AJ464,报价场景=服务费底表!$AP$2,服务费底表!$AP464,报价场景=服务费底表!$AK$2,服务费底表!$AK464,报价场景=服务费底表!$AL$2,服务费底表!$AL464,报价场景=服务费底表!$AM$2,服务费底表!$AM464,报价场景=服务费底表!$AN$2,服务费底表!$AN464,报价场景=服务费底表!$AQ$2,服务费底表!$AQ464,报价场景=服务费底表!$AO$2,服务费底表!$AO464)</f>
        <v>0.5</v>
      </c>
      <c r="Z464" s="327"/>
      <c r="AA464" s="332">
        <f t="shared" si="400"/>
        <v>0.5</v>
      </c>
      <c r="AB464" s="333">
        <f t="shared" ref="AB464:AB476" si="419">IFERROR(AD464/P464,0)</f>
        <v>112.5</v>
      </c>
      <c r="AC464" s="328">
        <f t="shared" ref="AC464:AC476" si="420">AA464*P464*R464</f>
        <v>20</v>
      </c>
      <c r="AD464" s="334">
        <f t="shared" ref="AD464:AD476" si="421">AC464*V464</f>
        <v>4500</v>
      </c>
      <c r="AE464" s="334">
        <f>$AB464*(1-INDEX(项目参数!$D$5:$D$14,MATCH(服务费底表!$S464,项目参数!$B$5:$B$14,0)))</f>
        <v>112.5</v>
      </c>
      <c r="AF464" s="334">
        <f>$AD464*INDEX(项目参数!$D$5:$D$14,MATCH(服务费底表!$S464,项目参数!$B$5:$B$14,0))</f>
        <v>0</v>
      </c>
      <c r="AG464" s="334">
        <f t="shared" ref="AG464:AG476" si="422">AD464-AF464</f>
        <v>4500</v>
      </c>
      <c r="AH464" s="328"/>
      <c r="AI464" s="328" t="s">
        <v>635</v>
      </c>
      <c r="AJ464" s="327">
        <v>0.5</v>
      </c>
      <c r="AK464" s="327">
        <v>1</v>
      </c>
      <c r="AL464" s="327">
        <v>0.5</v>
      </c>
      <c r="AM464" s="327">
        <v>0.6</v>
      </c>
      <c r="AN464" s="327">
        <v>0.5</v>
      </c>
      <c r="AO464" s="327">
        <f t="shared" si="416"/>
        <v>0.5</v>
      </c>
      <c r="AP464" s="327">
        <v>0.5</v>
      </c>
      <c r="AQ464" s="327">
        <f t="shared" si="369"/>
        <v>0.75</v>
      </c>
      <c r="AR464" s="338"/>
      <c r="AS464" s="328">
        <f t="shared" si="405"/>
        <v>20</v>
      </c>
      <c r="AT464" s="328">
        <f t="shared" si="406"/>
        <v>20</v>
      </c>
      <c r="AU464" s="523">
        <v>0.5</v>
      </c>
      <c r="AV464" s="328"/>
      <c r="AW464" s="328"/>
      <c r="AX464" s="332">
        <v>0.5</v>
      </c>
      <c r="AY464" s="328" t="b">
        <f t="shared" si="413"/>
        <v>1</v>
      </c>
      <c r="AZ464" s="328" t="b">
        <f t="shared" si="414"/>
        <v>0</v>
      </c>
    </row>
    <row r="465" ht="27" customHeight="1" spans="1:52">
      <c r="A465" s="326" t="str">
        <f>INDEX('Rate Card'!$A:$A,MATCH(服务费底表!$T465,'Rate Card'!$F:$F,0))</f>
        <v>数统</v>
      </c>
      <c r="B465" s="327" t="str">
        <f>INDEX(二三级标准!$G:$G,MATCH(服务费底表!$K465,二三级标准!B:B,0))</f>
        <v>个</v>
      </c>
      <c r="C465" s="327">
        <f>INDEX(服务费明细!$E:$E,MATCH(服务费底表!$K465,服务费明细!$B:$B,0))</f>
        <v>40</v>
      </c>
      <c r="D465" s="327" t="str">
        <f t="shared" si="417"/>
        <v>A260SA</v>
      </c>
      <c r="E465" s="327" t="str">
        <f t="shared" si="418"/>
        <v>T0752SA</v>
      </c>
      <c r="F465" s="328"/>
      <c r="G465" s="328" t="s">
        <v>684</v>
      </c>
      <c r="H465" s="326" t="str">
        <f>INDEX('Rate Card'!$B:$B,MATCH(服务费底表!$T465,'Rate Card'!$F:$F,0))</f>
        <v>生物统计及分析</v>
      </c>
      <c r="I465" s="328" t="s">
        <v>924</v>
      </c>
      <c r="J465" s="328" t="str">
        <f>INDEX(二三级标准!$Q:$Q,MATCH(服务费底表!I465,二三级标准!$O:$O,0))</f>
        <v>生物统计及分析</v>
      </c>
      <c r="K465" s="328" t="s">
        <v>1078</v>
      </c>
      <c r="L465" s="328" t="str">
        <f>INDEX(二三级标准!C:C,MATCH(服务费底表!K465,二三级标准!$B:$B,0))</f>
        <v>生成统计列表 - Listings</v>
      </c>
      <c r="M465" s="328" t="s">
        <v>1509</v>
      </c>
      <c r="N465" s="328" t="str">
        <f>INDEX(二三级标准!$M:$M,MATCH(服务费底表!$M465,二三级标准!$L:$L,0))</f>
        <v>验证统计列表 </v>
      </c>
      <c r="O465" s="328"/>
      <c r="P465" s="531">
        <f>IF(R465=1,INDEX(服务费明细!$E:$E,MATCH(服务费底表!$K465,服务费明细!$B:$B,0)),0)</f>
        <v>40</v>
      </c>
      <c r="Q465" s="328" t="s">
        <v>1281</v>
      </c>
      <c r="R465" s="520">
        <f>IF(AND(生成统计TLFs_YN=1,统计分析YN=1),1,0)</f>
        <v>1</v>
      </c>
      <c r="S465" s="524" t="str">
        <f>INDEX('Rate Card'!$D:$D,MATCH(服务费底表!$T465,'Rate Card'!F:F,0))</f>
        <v>统计分析</v>
      </c>
      <c r="T465" s="328" t="s">
        <v>635</v>
      </c>
      <c r="U465" s="522" t="str">
        <f>INDEX('Rate Card'!$E:$E,MATCH(服务费底表!$T465,'Rate Card'!$F:$F,0))</f>
        <v>统计分析师</v>
      </c>
      <c r="V465" s="331">
        <f>INDEX('Rate Card'!$J:$J,MATCH($T465,'Rate Card'!$F:$F,0))</f>
        <v>225</v>
      </c>
      <c r="W465" s="523">
        <f t="shared" si="367"/>
        <v>225</v>
      </c>
      <c r="X465" s="523">
        <f t="shared" si="368"/>
        <v>0.5</v>
      </c>
      <c r="Y465" s="327" cm="1">
        <f t="array" ref="Y465">_xlfn.IFS(报价场景=服务费底表!$AJ$2,服务费底表!$AJ465,报价场景=服务费底表!$AP$2,服务费底表!$AP465,报价场景=服务费底表!$AK$2,服务费底表!$AK465,报价场景=服务费底表!$AL$2,服务费底表!$AL465,报价场景=服务费底表!$AM$2,服务费底表!$AM465,报价场景=服务费底表!$AN$2,服务费底表!$AN465,报价场景=服务费底表!$AQ$2,服务费底表!$AQ465,报价场景=服务费底表!$AO$2,服务费底表!$AO465)</f>
        <v>0.5</v>
      </c>
      <c r="Z465" s="327"/>
      <c r="AA465" s="332">
        <f t="shared" si="400"/>
        <v>0.5</v>
      </c>
      <c r="AB465" s="333">
        <f t="shared" si="419"/>
        <v>112.5</v>
      </c>
      <c r="AC465" s="328">
        <f t="shared" si="420"/>
        <v>20</v>
      </c>
      <c r="AD465" s="334">
        <f t="shared" si="421"/>
        <v>4500</v>
      </c>
      <c r="AE465" s="334">
        <f>$AB465*(1-INDEX(项目参数!$D$5:$D$14,MATCH(服务费底表!$S465,项目参数!$B$5:$B$14,0)))</f>
        <v>112.5</v>
      </c>
      <c r="AF465" s="334">
        <f>$AD465*INDEX(项目参数!$D$5:$D$14,MATCH(服务费底表!$S465,项目参数!$B$5:$B$14,0))</f>
        <v>0</v>
      </c>
      <c r="AG465" s="334">
        <f t="shared" si="422"/>
        <v>4500</v>
      </c>
      <c r="AH465" s="328"/>
      <c r="AI465" s="328" t="s">
        <v>635</v>
      </c>
      <c r="AJ465" s="327">
        <v>0.5</v>
      </c>
      <c r="AK465" s="327">
        <v>1</v>
      </c>
      <c r="AL465" s="327">
        <v>0.5</v>
      </c>
      <c r="AM465" s="327">
        <v>0.6</v>
      </c>
      <c r="AN465" s="327">
        <v>0.5</v>
      </c>
      <c r="AO465" s="327">
        <f t="shared" si="416"/>
        <v>0.5</v>
      </c>
      <c r="AP465" s="327">
        <v>0.5</v>
      </c>
      <c r="AQ465" s="327">
        <f t="shared" si="369"/>
        <v>0.75</v>
      </c>
      <c r="AR465" s="338"/>
      <c r="AS465" s="328">
        <f t="shared" si="405"/>
        <v>20</v>
      </c>
      <c r="AT465" s="328">
        <f t="shared" si="406"/>
        <v>20</v>
      </c>
      <c r="AU465" s="523">
        <v>0.5</v>
      </c>
      <c r="AV465" s="328"/>
      <c r="AW465" s="328"/>
      <c r="AX465" s="332">
        <v>0.5</v>
      </c>
      <c r="AY465" s="328" t="b">
        <f t="shared" si="413"/>
        <v>1</v>
      </c>
      <c r="AZ465" s="328" t="b">
        <f t="shared" si="414"/>
        <v>0</v>
      </c>
    </row>
    <row r="466" ht="27" customHeight="1" spans="1:52">
      <c r="A466" s="326" t="str">
        <f>INDEX('Rate Card'!$A:$A,MATCH(服务费底表!$T466,'Rate Card'!$F:$F,0))</f>
        <v>数统</v>
      </c>
      <c r="B466" s="327" t="str">
        <f>INDEX(二三级标准!$G:$G,MATCH(服务费底表!$K466,二三级标准!B:B,0))</f>
        <v>个</v>
      </c>
      <c r="C466" s="327">
        <f>INDEX(服务费明细!$E:$E,MATCH(服务费底表!$K466,服务费明细!$B:$B,0))</f>
        <v>40</v>
      </c>
      <c r="D466" s="327" t="str">
        <f t="shared" si="417"/>
        <v>A260SAM</v>
      </c>
      <c r="E466" s="327" t="str">
        <f t="shared" si="418"/>
        <v>T0753SAM</v>
      </c>
      <c r="F466" s="328"/>
      <c r="G466" s="328" t="s">
        <v>684</v>
      </c>
      <c r="H466" s="326" t="str">
        <f>INDEX('Rate Card'!$B:$B,MATCH(服务费底表!$T466,'Rate Card'!$F:$F,0))</f>
        <v>生物统计及分析</v>
      </c>
      <c r="I466" s="328" t="s">
        <v>924</v>
      </c>
      <c r="J466" s="328" t="str">
        <f>INDEX(二三级标准!$Q:$Q,MATCH(服务费底表!I466,二三级标准!$O:$O,0))</f>
        <v>生物统计及分析</v>
      </c>
      <c r="K466" s="328" t="s">
        <v>1078</v>
      </c>
      <c r="L466" s="328" t="str">
        <f>INDEX(二三级标准!C:C,MATCH(服务费底表!K466,二三级标准!$B:$B,0))</f>
        <v>生成统计列表 - Listings</v>
      </c>
      <c r="M466" s="328" t="s">
        <v>1510</v>
      </c>
      <c r="N466" s="328" t="str">
        <f>INDEX(二三级标准!$M:$M,MATCH(服务费底表!$M466,二三级标准!$L:$L,0))</f>
        <v>审核统计列表</v>
      </c>
      <c r="O466" s="328"/>
      <c r="P466" s="531">
        <f>IF(R466=1,INDEX(服务费明细!$E:$E,MATCH(服务费底表!$K466,服务费明细!$B:$B,0)),0)</f>
        <v>40</v>
      </c>
      <c r="Q466" s="328" t="s">
        <v>1281</v>
      </c>
      <c r="R466" s="520">
        <f>IF(AND(生成统计TLFs_YN=1,统计分析YN=1),1,0)</f>
        <v>1</v>
      </c>
      <c r="S466" s="524" t="str">
        <f>INDEX('Rate Card'!$D:$D,MATCH(服务费底表!$T466,'Rate Card'!F:F,0))</f>
        <v>统计分析</v>
      </c>
      <c r="T466" s="328" t="s">
        <v>638</v>
      </c>
      <c r="U466" s="522" t="str">
        <f>INDEX('Rate Card'!$E:$E,MATCH(服务费底表!$T466,'Rate Card'!$F:$F,0))</f>
        <v>统计分析经理</v>
      </c>
      <c r="V466" s="331">
        <f>INDEX('Rate Card'!$J:$J,MATCH($T466,'Rate Card'!$F:$F,0))</f>
        <v>450</v>
      </c>
      <c r="W466" s="523">
        <f t="shared" ref="W466:W476" si="423">V466*(1-$W$1)</f>
        <v>450</v>
      </c>
      <c r="X466" s="523">
        <f t="shared" ref="X466:X476" si="424">Y466*$X$1</f>
        <v>0.1</v>
      </c>
      <c r="Y466" s="327" cm="1">
        <f t="array" ref="Y466">_xlfn.IFS(报价场景=服务费底表!$AJ$2,服务费底表!$AJ466,报价场景=服务费底表!$AP$2,服务费底表!$AP466,报价场景=服务费底表!$AK$2,服务费底表!$AK466,报价场景=服务费底表!$AL$2,服务费底表!$AL466,报价场景=服务费底表!$AM$2,服务费底表!$AM466,报价场景=服务费底表!$AN$2,服务费底表!$AN466,报价场景=服务费底表!$AQ$2,服务费底表!$AQ466,报价场景=服务费底表!$AO$2,服务费底表!$AO466)</f>
        <v>0.1</v>
      </c>
      <c r="Z466" s="327"/>
      <c r="AA466" s="332">
        <f t="shared" si="400"/>
        <v>0.1</v>
      </c>
      <c r="AB466" s="333">
        <f t="shared" si="419"/>
        <v>45</v>
      </c>
      <c r="AC466" s="328">
        <f t="shared" si="420"/>
        <v>4</v>
      </c>
      <c r="AD466" s="334">
        <f t="shared" si="421"/>
        <v>1800</v>
      </c>
      <c r="AE466" s="334">
        <f>$AB466*(1-INDEX(项目参数!$D$5:$D$14,MATCH(服务费底表!$S466,项目参数!$B$5:$B$14,0)))</f>
        <v>45</v>
      </c>
      <c r="AF466" s="334">
        <f>$AD466*INDEX(项目参数!$D$5:$D$14,MATCH(服务费底表!$S466,项目参数!$B$5:$B$14,0))</f>
        <v>0</v>
      </c>
      <c r="AG466" s="334">
        <f t="shared" si="422"/>
        <v>1800</v>
      </c>
      <c r="AH466" s="328"/>
      <c r="AI466" s="328" t="s">
        <v>638</v>
      </c>
      <c r="AJ466" s="327">
        <v>0.1</v>
      </c>
      <c r="AK466" s="327">
        <v>0.2</v>
      </c>
      <c r="AL466" s="327">
        <v>0.1</v>
      </c>
      <c r="AM466" s="327">
        <v>0.2</v>
      </c>
      <c r="AN466" s="327">
        <v>0.1</v>
      </c>
      <c r="AO466" s="327">
        <f t="shared" si="416"/>
        <v>0.1</v>
      </c>
      <c r="AP466" s="327">
        <v>0.1</v>
      </c>
      <c r="AQ466" s="327">
        <f t="shared" ref="AQ466:AQ476" si="425">AJ466*$AQ$1</f>
        <v>0.15</v>
      </c>
      <c r="AR466" s="338"/>
      <c r="AS466" s="328">
        <f t="shared" si="405"/>
        <v>4</v>
      </c>
      <c r="AT466" s="328">
        <f t="shared" si="406"/>
        <v>4</v>
      </c>
      <c r="AU466" s="523">
        <v>0.1</v>
      </c>
      <c r="AV466" s="328"/>
      <c r="AW466" s="328"/>
      <c r="AX466" s="332">
        <v>0.1</v>
      </c>
      <c r="AY466" s="328" t="b">
        <f t="shared" si="413"/>
        <v>1</v>
      </c>
      <c r="AZ466" s="328" t="b">
        <f t="shared" si="414"/>
        <v>0</v>
      </c>
    </row>
    <row r="467" ht="27" customHeight="1" spans="1:52">
      <c r="A467" s="326" t="str">
        <f>INDEX('Rate Card'!$A:$A,MATCH(服务费底表!$T467,'Rate Card'!$F:$F,0))</f>
        <v>数统</v>
      </c>
      <c r="B467" s="327" t="str">
        <f>INDEX(二三级标准!$G:$G,MATCH(服务费底表!$K467,二三级标准!B:B,0))</f>
        <v>个</v>
      </c>
      <c r="C467" s="327">
        <f>INDEX(服务费明细!$E:$E,MATCH(服务费底表!$K467,服务费明细!$B:$B,0))</f>
        <v>40</v>
      </c>
      <c r="D467" s="327" t="str">
        <f t="shared" si="417"/>
        <v>A260ST</v>
      </c>
      <c r="E467" s="327" t="str">
        <f t="shared" si="418"/>
        <v>T0753ST</v>
      </c>
      <c r="F467" s="328"/>
      <c r="G467" s="328" t="s">
        <v>684</v>
      </c>
      <c r="H467" s="326" t="str">
        <f>INDEX('Rate Card'!$B:$B,MATCH(服务费底表!$T467,'Rate Card'!$F:$F,0))</f>
        <v>生物统计及分析</v>
      </c>
      <c r="I467" s="328" t="s">
        <v>924</v>
      </c>
      <c r="J467" s="328" t="str">
        <f>INDEX(二三级标准!$Q:$Q,MATCH(服务费底表!I467,二三级标准!$O:$O,0))</f>
        <v>生物统计及分析</v>
      </c>
      <c r="K467" s="328" t="s">
        <v>1078</v>
      </c>
      <c r="L467" s="328" t="str">
        <f>INDEX(二三级标准!C:C,MATCH(服务费底表!K467,二三级标准!$B:$B,0))</f>
        <v>生成统计列表 - Listings</v>
      </c>
      <c r="M467" s="328" t="s">
        <v>1510</v>
      </c>
      <c r="N467" s="328" t="str">
        <f>INDEX(二三级标准!$M:$M,MATCH(服务费底表!$M467,二三级标准!$L:$L,0))</f>
        <v>审核统计列表</v>
      </c>
      <c r="O467" s="328"/>
      <c r="P467" s="531">
        <f>IF(R467=1,INDEX(服务费明细!$E:$E,MATCH(服务费底表!$K467,服务费明细!$B:$B,0)),0)</f>
        <v>40</v>
      </c>
      <c r="Q467" s="328" t="s">
        <v>1281</v>
      </c>
      <c r="R467" s="520">
        <f>IF(AND(生成统计TLFs_YN=1,生物统计YN=1),1,0)</f>
        <v>1</v>
      </c>
      <c r="S467" s="524" t="str">
        <f>INDEX('Rate Card'!$D:$D,MATCH(服务费底表!$T467,'Rate Card'!F:F,0))</f>
        <v>生物统计</v>
      </c>
      <c r="T467" s="328" t="s">
        <v>639</v>
      </c>
      <c r="U467" s="522" t="str">
        <f>INDEX('Rate Card'!$E:$E,MATCH(服务费底表!$T467,'Rate Card'!$F:$F,0))</f>
        <v>生物统计师</v>
      </c>
      <c r="V467" s="331">
        <f>INDEX('Rate Card'!$J:$J,MATCH($T467,'Rate Card'!$F:$F,0))</f>
        <v>400</v>
      </c>
      <c r="W467" s="523">
        <f t="shared" si="423"/>
        <v>400</v>
      </c>
      <c r="X467" s="523">
        <f t="shared" si="424"/>
        <v>0.1</v>
      </c>
      <c r="Y467" s="327" cm="1">
        <f t="array" ref="Y467">_xlfn.IFS(报价场景=服务费底表!$AJ$2,服务费底表!$AJ467,报价场景=服务费底表!$AP$2,服务费底表!$AP467,报价场景=服务费底表!$AK$2,服务费底表!$AK467,报价场景=服务费底表!$AL$2,服务费底表!$AL467,报价场景=服务费底表!$AM$2,服务费底表!$AM467,报价场景=服务费底表!$AN$2,服务费底表!$AN467,报价场景=服务费底表!$AQ$2,服务费底表!$AQ467,报价场景=服务费底表!$AO$2,服务费底表!$AO467)</f>
        <v>0.1</v>
      </c>
      <c r="Z467" s="327"/>
      <c r="AA467" s="332">
        <f t="shared" si="400"/>
        <v>0.1</v>
      </c>
      <c r="AB467" s="333">
        <f t="shared" si="419"/>
        <v>40</v>
      </c>
      <c r="AC467" s="328">
        <f t="shared" si="420"/>
        <v>4</v>
      </c>
      <c r="AD467" s="334">
        <f t="shared" si="421"/>
        <v>1600</v>
      </c>
      <c r="AE467" s="334">
        <f>$AB467*(1-INDEX(项目参数!$D$5:$D$14,MATCH(服务费底表!$S467,项目参数!$B$5:$B$14,0)))</f>
        <v>40</v>
      </c>
      <c r="AF467" s="334">
        <f>$AD467*INDEX(项目参数!$D$5:$D$14,MATCH(服务费底表!$S467,项目参数!$B$5:$B$14,0))</f>
        <v>0</v>
      </c>
      <c r="AG467" s="334">
        <f t="shared" si="422"/>
        <v>1600</v>
      </c>
      <c r="AH467" s="328"/>
      <c r="AI467" s="328" t="s">
        <v>639</v>
      </c>
      <c r="AJ467" s="327">
        <v>0.1</v>
      </c>
      <c r="AK467" s="327">
        <v>0.2</v>
      </c>
      <c r="AL467" s="327">
        <v>0.1</v>
      </c>
      <c r="AM467" s="327">
        <v>0.2</v>
      </c>
      <c r="AN467" s="327">
        <v>0.1</v>
      </c>
      <c r="AO467" s="327">
        <f t="shared" si="416"/>
        <v>0.1</v>
      </c>
      <c r="AP467" s="327">
        <v>0.1</v>
      </c>
      <c r="AQ467" s="327">
        <f t="shared" si="425"/>
        <v>0.15</v>
      </c>
      <c r="AR467" s="338"/>
      <c r="AS467" s="328">
        <f t="shared" si="405"/>
        <v>4</v>
      </c>
      <c r="AT467" s="328">
        <f t="shared" si="406"/>
        <v>4</v>
      </c>
      <c r="AU467" s="523">
        <v>0.1</v>
      </c>
      <c r="AV467" s="328"/>
      <c r="AW467" s="328"/>
      <c r="AX467" s="332">
        <v>0.1</v>
      </c>
      <c r="AY467" s="328" t="b">
        <f t="shared" si="413"/>
        <v>1</v>
      </c>
      <c r="AZ467" s="328" t="b">
        <f t="shared" si="414"/>
        <v>0</v>
      </c>
    </row>
    <row r="468" ht="27" customHeight="1" spans="1:52">
      <c r="A468" s="326" t="str">
        <f>INDEX('Rate Card'!$A:$A,MATCH(服务费底表!$T468,'Rate Card'!$F:$F,0))</f>
        <v>数统</v>
      </c>
      <c r="B468" s="327" t="str">
        <f>INDEX(二三级标准!$G:$G,MATCH(服务费底表!$K468,二三级标准!B:B,0))</f>
        <v>个</v>
      </c>
      <c r="C468" s="327">
        <f>INDEX(服务费明细!$E:$E,MATCH(服务费底表!$K468,服务费明细!$B:$B,0))</f>
        <v>10</v>
      </c>
      <c r="D468" s="327" t="str">
        <f t="shared" si="417"/>
        <v>A261SA</v>
      </c>
      <c r="E468" s="327" t="str">
        <f t="shared" si="418"/>
        <v>T0754SA</v>
      </c>
      <c r="F468" s="328"/>
      <c r="G468" s="328" t="s">
        <v>684</v>
      </c>
      <c r="H468" s="326" t="str">
        <f>INDEX('Rate Card'!$B:$B,MATCH(服务费底表!$T468,'Rate Card'!$F:$F,0))</f>
        <v>生物统计及分析</v>
      </c>
      <c r="I468" s="328" t="s">
        <v>925</v>
      </c>
      <c r="J468" s="328" t="str">
        <f>INDEX(二三级标准!$Q:$Q,MATCH(服务费底表!I468,二三级标准!$O:$O,0))</f>
        <v>临床药理</v>
      </c>
      <c r="K468" s="328" t="s">
        <v>1108</v>
      </c>
      <c r="L468" s="328" t="str">
        <f>INDEX(二三级标准!C:C,MATCH(服务费底表!K468,二三级标准!$B:$B,0))</f>
        <v>生成PK/PD统计表格/图表 - Unique</v>
      </c>
      <c r="M468" s="328" t="s">
        <v>1511</v>
      </c>
      <c r="N468" s="328" t="str">
        <f>INDEX(二三级标准!$M:$M,MATCH(服务费底表!$M468,二三级标准!$L:$L,0))</f>
        <v>产生PK统计表格/图表- Unique</v>
      </c>
      <c r="O468" s="328"/>
      <c r="P468" s="531">
        <f>IF(R468=1,INDEX(服务费明细!$E:$E,MATCH(服务费底表!$K468,服务费明细!$B:$B,0)),0)</f>
        <v>10</v>
      </c>
      <c r="Q468" s="328" t="s">
        <v>1281</v>
      </c>
      <c r="R468" s="520">
        <f>IF(AND(生成PK_PD统计TFLs_YN=1,统计分析YN=1),1,0)</f>
        <v>1</v>
      </c>
      <c r="S468" s="524" t="str">
        <f>INDEX('Rate Card'!$D:$D,MATCH(服务费底表!$T468,'Rate Card'!F:F,0))</f>
        <v>统计分析</v>
      </c>
      <c r="T468" s="328" t="s">
        <v>635</v>
      </c>
      <c r="U468" s="522" t="str">
        <f>INDEX('Rate Card'!$E:$E,MATCH(服务费底表!$T468,'Rate Card'!$F:$F,0))</f>
        <v>统计分析师</v>
      </c>
      <c r="V468" s="331">
        <f>INDEX('Rate Card'!$J:$J,MATCH($T468,'Rate Card'!$F:$F,0))</f>
        <v>225</v>
      </c>
      <c r="W468" s="523">
        <f t="shared" si="423"/>
        <v>225</v>
      </c>
      <c r="X468" s="523">
        <f t="shared" si="424"/>
        <v>2.5</v>
      </c>
      <c r="Y468" s="327" cm="1">
        <f t="array" ref="Y468">_xlfn.IFS(报价场景=服务费底表!$AJ$2,服务费底表!$AJ468,报价场景=服务费底表!$AP$2,服务费底表!$AP468,报价场景=服务费底表!$AK$2,服务费底表!$AK468,报价场景=服务费底表!$AL$2,服务费底表!$AL468,报价场景=服务费底表!$AM$2,服务费底表!$AM468,报价场景=服务费底表!$AN$2,服务费底表!$AN468,报价场景=服务费底表!$AQ$2,服务费底表!$AQ468,报价场景=服务费底表!$AO$2,服务费底表!$AO468)</f>
        <v>2.5</v>
      </c>
      <c r="Z468" s="327"/>
      <c r="AA468" s="332">
        <f t="shared" si="400"/>
        <v>2.5</v>
      </c>
      <c r="AB468" s="333">
        <f t="shared" si="419"/>
        <v>562.5</v>
      </c>
      <c r="AC468" s="328">
        <f t="shared" si="420"/>
        <v>25</v>
      </c>
      <c r="AD468" s="334">
        <f t="shared" si="421"/>
        <v>5625</v>
      </c>
      <c r="AE468" s="334">
        <f>$AB468*(1-INDEX(项目参数!$D$5:$D$14,MATCH(服务费底表!$S468,项目参数!$B$5:$B$14,0)))</f>
        <v>562.5</v>
      </c>
      <c r="AF468" s="334">
        <f>$AD468*INDEX(项目参数!$D$5:$D$14,MATCH(服务费底表!$S468,项目参数!$B$5:$B$14,0))</f>
        <v>0</v>
      </c>
      <c r="AG468" s="334">
        <f t="shared" si="422"/>
        <v>5625</v>
      </c>
      <c r="AH468" s="328"/>
      <c r="AI468" s="328" t="s">
        <v>635</v>
      </c>
      <c r="AJ468" s="327">
        <v>2.5</v>
      </c>
      <c r="AK468" s="327">
        <v>3</v>
      </c>
      <c r="AL468" s="327">
        <v>2.5</v>
      </c>
      <c r="AM468" s="327">
        <v>3</v>
      </c>
      <c r="AN468" s="327">
        <v>2.5</v>
      </c>
      <c r="AO468" s="327">
        <f t="shared" si="416"/>
        <v>2.5</v>
      </c>
      <c r="AP468" s="327">
        <v>2.5</v>
      </c>
      <c r="AQ468" s="327">
        <f t="shared" si="425"/>
        <v>3.75</v>
      </c>
      <c r="AR468" s="338"/>
      <c r="AS468" s="328">
        <f t="shared" si="405"/>
        <v>25</v>
      </c>
      <c r="AT468" s="328">
        <f t="shared" si="406"/>
        <v>25</v>
      </c>
      <c r="AU468" s="523">
        <v>2.5</v>
      </c>
      <c r="AV468" s="328"/>
      <c r="AW468" s="328"/>
      <c r="AX468" s="332">
        <v>2.5</v>
      </c>
      <c r="AY468" s="328" t="b">
        <f t="shared" si="413"/>
        <v>1</v>
      </c>
      <c r="AZ468" s="328" t="b">
        <f t="shared" si="414"/>
        <v>1</v>
      </c>
    </row>
    <row r="469" ht="27" customHeight="1" spans="1:52">
      <c r="A469" s="326" t="str">
        <f>INDEX('Rate Card'!$A:$A,MATCH(服务费底表!$T469,'Rate Card'!$F:$F,0))</f>
        <v>数统</v>
      </c>
      <c r="B469" s="327" t="str">
        <f>INDEX(二三级标准!$G:$G,MATCH(服务费底表!$K469,二三级标准!B:B,0))</f>
        <v>个</v>
      </c>
      <c r="C469" s="327">
        <f>INDEX(服务费明细!$E:$E,MATCH(服务费底表!$K469,服务费明细!$B:$B,0))</f>
        <v>10</v>
      </c>
      <c r="D469" s="327" t="str">
        <f t="shared" si="417"/>
        <v>A261SA</v>
      </c>
      <c r="E469" s="327" t="str">
        <f t="shared" si="418"/>
        <v>T0755SA</v>
      </c>
      <c r="F469" s="328"/>
      <c r="G469" s="328" t="s">
        <v>684</v>
      </c>
      <c r="H469" s="326" t="str">
        <f>INDEX('Rate Card'!$B:$B,MATCH(服务费底表!$T469,'Rate Card'!$F:$F,0))</f>
        <v>生物统计及分析</v>
      </c>
      <c r="I469" s="328" t="s">
        <v>925</v>
      </c>
      <c r="J469" s="328" t="str">
        <f>INDEX(二三级标准!$Q:$Q,MATCH(服务费底表!I469,二三级标准!$O:$O,0))</f>
        <v>临床药理</v>
      </c>
      <c r="K469" s="328" t="s">
        <v>1108</v>
      </c>
      <c r="L469" s="328" t="str">
        <f>INDEX(二三级标准!C:C,MATCH(服务费底表!K469,二三级标准!$B:$B,0))</f>
        <v>生成PK/PD统计表格/图表 - Unique</v>
      </c>
      <c r="M469" s="328" t="s">
        <v>1512</v>
      </c>
      <c r="N469" s="328" t="str">
        <f>INDEX(二三级标准!$M:$M,MATCH(服务费底表!$M469,二三级标准!$L:$L,0))</f>
        <v>验证PK统计表格/图表 - Unique</v>
      </c>
      <c r="O469" s="328"/>
      <c r="P469" s="531">
        <f>IF(R469=1,INDEX(服务费明细!$E:$E,MATCH(服务费底表!$K469,服务费明细!$B:$B,0)),0)</f>
        <v>10</v>
      </c>
      <c r="Q469" s="328" t="s">
        <v>1281</v>
      </c>
      <c r="R469" s="520">
        <f>IF(AND(生成PK_PD统计TFLs_YN=1,统计分析YN=1),1,0)</f>
        <v>1</v>
      </c>
      <c r="S469" s="524" t="str">
        <f>INDEX('Rate Card'!$D:$D,MATCH(服务费底表!$T469,'Rate Card'!F:F,0))</f>
        <v>统计分析</v>
      </c>
      <c r="T469" s="328" t="s">
        <v>635</v>
      </c>
      <c r="U469" s="522" t="str">
        <f>INDEX('Rate Card'!$E:$E,MATCH(服务费底表!$T469,'Rate Card'!$F:$F,0))</f>
        <v>统计分析师</v>
      </c>
      <c r="V469" s="331">
        <f>INDEX('Rate Card'!$J:$J,MATCH($T469,'Rate Card'!$F:$F,0))</f>
        <v>225</v>
      </c>
      <c r="W469" s="523">
        <f t="shared" si="423"/>
        <v>225</v>
      </c>
      <c r="X469" s="523">
        <f t="shared" si="424"/>
        <v>2.5</v>
      </c>
      <c r="Y469" s="327" cm="1">
        <f t="array" ref="Y469">_xlfn.IFS(报价场景=服务费底表!$AJ$2,服务费底表!$AJ469,报价场景=服务费底表!$AP$2,服务费底表!$AP469,报价场景=服务费底表!$AK$2,服务费底表!$AK469,报价场景=服务费底表!$AL$2,服务费底表!$AL469,报价场景=服务费底表!$AM$2,服务费底表!$AM469,报价场景=服务费底表!$AN$2,服务费底表!$AN469,报价场景=服务费底表!$AQ$2,服务费底表!$AQ469,报价场景=服务费底表!$AO$2,服务费底表!$AO469)</f>
        <v>2.5</v>
      </c>
      <c r="Z469" s="327"/>
      <c r="AA469" s="332">
        <f t="shared" si="400"/>
        <v>2.5</v>
      </c>
      <c r="AB469" s="333">
        <f t="shared" si="419"/>
        <v>562.5</v>
      </c>
      <c r="AC469" s="328">
        <f t="shared" si="420"/>
        <v>25</v>
      </c>
      <c r="AD469" s="334">
        <f t="shared" si="421"/>
        <v>5625</v>
      </c>
      <c r="AE469" s="334">
        <f>$AB469*(1-INDEX(项目参数!$D$5:$D$14,MATCH(服务费底表!$S469,项目参数!$B$5:$B$14,0)))</f>
        <v>562.5</v>
      </c>
      <c r="AF469" s="334">
        <f>$AD469*INDEX(项目参数!$D$5:$D$14,MATCH(服务费底表!$S469,项目参数!$B$5:$B$14,0))</f>
        <v>0</v>
      </c>
      <c r="AG469" s="334">
        <f t="shared" si="422"/>
        <v>5625</v>
      </c>
      <c r="AH469" s="328"/>
      <c r="AI469" s="328" t="s">
        <v>635</v>
      </c>
      <c r="AJ469" s="327">
        <v>2.5</v>
      </c>
      <c r="AK469" s="327">
        <v>3</v>
      </c>
      <c r="AL469" s="327">
        <v>2.5</v>
      </c>
      <c r="AM469" s="327">
        <v>3</v>
      </c>
      <c r="AN469" s="327">
        <v>2.5</v>
      </c>
      <c r="AO469" s="327">
        <f t="shared" si="416"/>
        <v>2.5</v>
      </c>
      <c r="AP469" s="327">
        <v>2.5</v>
      </c>
      <c r="AQ469" s="327">
        <f t="shared" si="425"/>
        <v>3.75</v>
      </c>
      <c r="AR469" s="338"/>
      <c r="AS469" s="328">
        <f t="shared" si="405"/>
        <v>25</v>
      </c>
      <c r="AT469" s="328">
        <f t="shared" si="406"/>
        <v>25</v>
      </c>
      <c r="AU469" s="523">
        <v>2.5</v>
      </c>
      <c r="AV469" s="328"/>
      <c r="AW469" s="328"/>
      <c r="AX469" s="332">
        <v>2.5</v>
      </c>
      <c r="AY469" s="328" t="b">
        <f t="shared" si="413"/>
        <v>1</v>
      </c>
      <c r="AZ469" s="328" t="b">
        <f t="shared" si="414"/>
        <v>1</v>
      </c>
    </row>
    <row r="470" ht="27" customHeight="1" spans="1:52">
      <c r="A470" s="326" t="str">
        <f>INDEX('Rate Card'!$A:$A,MATCH(服务费底表!$T470,'Rate Card'!$F:$F,0))</f>
        <v>数统</v>
      </c>
      <c r="B470" s="327" t="str">
        <f>INDEX(二三级标准!$G:$G,MATCH(服务费底表!$K470,二三级标准!B:B,0))</f>
        <v>个</v>
      </c>
      <c r="C470" s="327">
        <f>INDEX(服务费明细!$E:$E,MATCH(服务费底表!$K470,服务费明细!$B:$B,0))</f>
        <v>10</v>
      </c>
      <c r="D470" s="327" t="str">
        <f t="shared" si="417"/>
        <v>A261SAM</v>
      </c>
      <c r="E470" s="327" t="str">
        <f t="shared" si="418"/>
        <v>T0756SAM</v>
      </c>
      <c r="F470" s="328"/>
      <c r="G470" s="328" t="s">
        <v>684</v>
      </c>
      <c r="H470" s="326" t="str">
        <f>INDEX('Rate Card'!$B:$B,MATCH(服务费底表!$T470,'Rate Card'!$F:$F,0))</f>
        <v>生物统计及分析</v>
      </c>
      <c r="I470" s="328" t="s">
        <v>925</v>
      </c>
      <c r="J470" s="328" t="str">
        <f>INDEX(二三级标准!$Q:$Q,MATCH(服务费底表!I470,二三级标准!$O:$O,0))</f>
        <v>临床药理</v>
      </c>
      <c r="K470" s="328" t="s">
        <v>1108</v>
      </c>
      <c r="L470" s="328" t="str">
        <f>INDEX(二三级标准!C:C,MATCH(服务费底表!K470,二三级标准!$B:$B,0))</f>
        <v>生成PK/PD统计表格/图表 - Unique</v>
      </c>
      <c r="M470" s="328" t="s">
        <v>1513</v>
      </c>
      <c r="N470" s="328" t="str">
        <f>INDEX(二三级标准!$M:$M,MATCH(服务费底表!$M470,二三级标准!$L:$L,0))</f>
        <v>审核PK统计表格/图表 - Unique</v>
      </c>
      <c r="O470" s="328"/>
      <c r="P470" s="531">
        <f>IF(R470=1,INDEX(服务费明细!$E:$E,MATCH(服务费底表!$K470,服务费明细!$B:$B,0)),0)</f>
        <v>10</v>
      </c>
      <c r="Q470" s="328" t="s">
        <v>1281</v>
      </c>
      <c r="R470" s="520">
        <f>IF(AND(生成PK_PD统计TFLs_YN=1,统计分析YN=1),1,0)</f>
        <v>1</v>
      </c>
      <c r="S470" s="524" t="str">
        <f>INDEX('Rate Card'!$D:$D,MATCH(服务费底表!$T470,'Rate Card'!F:F,0))</f>
        <v>统计分析</v>
      </c>
      <c r="T470" s="328" t="s">
        <v>638</v>
      </c>
      <c r="U470" s="522" t="str">
        <f>INDEX('Rate Card'!$E:$E,MATCH(服务费底表!$T470,'Rate Card'!$F:$F,0))</f>
        <v>统计分析经理</v>
      </c>
      <c r="V470" s="331">
        <f>INDEX('Rate Card'!$J:$J,MATCH($T470,'Rate Card'!$F:$F,0))</f>
        <v>450</v>
      </c>
      <c r="W470" s="523">
        <f t="shared" si="423"/>
        <v>450</v>
      </c>
      <c r="X470" s="523">
        <f t="shared" si="424"/>
        <v>0.2</v>
      </c>
      <c r="Y470" s="327" cm="1">
        <f t="array" ref="Y470">_xlfn.IFS(报价场景=服务费底表!$AJ$2,服务费底表!$AJ470,报价场景=服务费底表!$AP$2,服务费底表!$AP470,报价场景=服务费底表!$AK$2,服务费底表!$AK470,报价场景=服务费底表!$AL$2,服务费底表!$AL470,报价场景=服务费底表!$AM$2,服务费底表!$AM470,报价场景=服务费底表!$AN$2,服务费底表!$AN470,报价场景=服务费底表!$AQ$2,服务费底表!$AQ470,报价场景=服务费底表!$AO$2,服务费底表!$AO470)</f>
        <v>0.2</v>
      </c>
      <c r="Z470" s="327"/>
      <c r="AA470" s="332">
        <f t="shared" si="400"/>
        <v>0.2</v>
      </c>
      <c r="AB470" s="333">
        <f t="shared" si="419"/>
        <v>90</v>
      </c>
      <c r="AC470" s="328">
        <f t="shared" si="420"/>
        <v>2</v>
      </c>
      <c r="AD470" s="334">
        <f t="shared" si="421"/>
        <v>900</v>
      </c>
      <c r="AE470" s="334">
        <f>$AB470*(1-INDEX(项目参数!$D$5:$D$14,MATCH(服务费底表!$S470,项目参数!$B$5:$B$14,0)))</f>
        <v>90</v>
      </c>
      <c r="AF470" s="334">
        <f>$AD470*INDEX(项目参数!$D$5:$D$14,MATCH(服务费底表!$S470,项目参数!$B$5:$B$14,0))</f>
        <v>0</v>
      </c>
      <c r="AG470" s="334">
        <f t="shared" si="422"/>
        <v>900</v>
      </c>
      <c r="AH470" s="328"/>
      <c r="AI470" s="328" t="s">
        <v>638</v>
      </c>
      <c r="AJ470" s="327">
        <v>0.2</v>
      </c>
      <c r="AK470" s="327">
        <v>0.3</v>
      </c>
      <c r="AL470" s="327">
        <v>0.2</v>
      </c>
      <c r="AM470" s="327">
        <v>0.3</v>
      </c>
      <c r="AN470" s="327">
        <v>0.2</v>
      </c>
      <c r="AO470" s="327">
        <f t="shared" si="416"/>
        <v>0.2</v>
      </c>
      <c r="AP470" s="327">
        <v>0.2</v>
      </c>
      <c r="AQ470" s="327">
        <f t="shared" si="425"/>
        <v>0.3</v>
      </c>
      <c r="AR470" s="338"/>
      <c r="AS470" s="328">
        <f t="shared" si="405"/>
        <v>2</v>
      </c>
      <c r="AT470" s="328">
        <f t="shared" si="406"/>
        <v>2</v>
      </c>
      <c r="AU470" s="523">
        <v>0.2</v>
      </c>
      <c r="AV470" s="328"/>
      <c r="AW470" s="328"/>
      <c r="AX470" s="332">
        <v>0.2</v>
      </c>
      <c r="AY470" s="328" t="b">
        <f t="shared" si="413"/>
        <v>1</v>
      </c>
      <c r="AZ470" s="328" t="b">
        <f t="shared" si="414"/>
        <v>1</v>
      </c>
    </row>
    <row r="471" ht="27" customHeight="1" spans="1:52">
      <c r="A471" s="326" t="str">
        <f>INDEX('Rate Card'!$A:$A,MATCH(服务费底表!$T471,'Rate Card'!$F:$F,0))</f>
        <v>数统</v>
      </c>
      <c r="B471" s="327" t="str">
        <f>INDEX(二三级标准!$G:$G,MATCH(服务费底表!$K471,二三级标准!B:B,0))</f>
        <v>个</v>
      </c>
      <c r="C471" s="327">
        <f>INDEX(服务费明细!$E:$E,MATCH(服务费底表!$K471,服务费明细!$B:$B,0))</f>
        <v>4</v>
      </c>
      <c r="D471" s="327" t="str">
        <f t="shared" si="417"/>
        <v>A262SA</v>
      </c>
      <c r="E471" s="327" t="str">
        <f>M472&amp;T471</f>
        <v>T0758SA</v>
      </c>
      <c r="F471" s="328"/>
      <c r="G471" s="328" t="s">
        <v>684</v>
      </c>
      <c r="H471" s="326" t="str">
        <f>INDEX('Rate Card'!$B:$B,MATCH(服务费底表!$T471,'Rate Card'!$F:$F,0))</f>
        <v>生物统计及分析</v>
      </c>
      <c r="I471" s="328" t="s">
        <v>925</v>
      </c>
      <c r="J471" s="328" t="str">
        <f>INDEX(二三级标准!$Q:$Q,MATCH(服务费底表!I471,二三级标准!$O:$O,0))</f>
        <v>临床药理</v>
      </c>
      <c r="K471" s="328" t="s">
        <v>1109</v>
      </c>
      <c r="L471" s="328" t="str">
        <f>INDEX(二三级标准!C:C,MATCH(服务费底表!K471,二三级标准!$B:$B,0))</f>
        <v>生成PK/PD统计表格/图表 - Repeat</v>
      </c>
      <c r="M471" s="328" t="s">
        <v>1514</v>
      </c>
      <c r="N471" s="328" t="str">
        <f>INDEX(二三级标准!$M:$M,MATCH(服务费底表!$M471,二三级标准!$L:$L,0))</f>
        <v>产生PK统计表格/图表 - Repeated</v>
      </c>
      <c r="O471" s="328"/>
      <c r="P471" s="531">
        <f>IF(R471=1,INDEX(服务费明细!$E:$E,MATCH(服务费底表!$K471,服务费明细!$B:$B,0)),0)</f>
        <v>4</v>
      </c>
      <c r="Q471" s="328" t="s">
        <v>1281</v>
      </c>
      <c r="R471" s="520">
        <f>IF(AND(生成PK_PD统计TFLs_YN=1,统计分析YN=1),1,0)</f>
        <v>1</v>
      </c>
      <c r="S471" s="524" t="str">
        <f>INDEX('Rate Card'!$D:$D,MATCH(服务费底表!$T471,'Rate Card'!F:F,0))</f>
        <v>统计分析</v>
      </c>
      <c r="T471" s="328" t="s">
        <v>635</v>
      </c>
      <c r="U471" s="522" t="str">
        <f>INDEX('Rate Card'!$E:$E,MATCH(服务费底表!$T471,'Rate Card'!$F:$F,0))</f>
        <v>统计分析师</v>
      </c>
      <c r="V471" s="331">
        <f>INDEX('Rate Card'!$J:$J,MATCH($T471,'Rate Card'!$F:$F,0))</f>
        <v>225</v>
      </c>
      <c r="W471" s="523">
        <f t="shared" si="423"/>
        <v>225</v>
      </c>
      <c r="X471" s="523">
        <f t="shared" si="424"/>
        <v>0.4</v>
      </c>
      <c r="Y471" s="327" cm="1">
        <f t="array" ref="Y471">_xlfn.IFS(报价场景=服务费底表!$AJ$2,服务费底表!$AJ471,报价场景=服务费底表!$AP$2,服务费底表!$AP471,报价场景=服务费底表!$AK$2,服务费底表!$AK471,报价场景=服务费底表!$AL$2,服务费底表!$AL471,报价场景=服务费底表!$AM$2,服务费底表!$AM471,报价场景=服务费底表!$AN$2,服务费底表!$AN471,报价场景=服务费底表!$AQ$2,服务费底表!$AQ471,报价场景=服务费底表!$AO$2,服务费底表!$AO471)</f>
        <v>0.4</v>
      </c>
      <c r="Z471" s="327"/>
      <c r="AA471" s="332">
        <f t="shared" si="400"/>
        <v>0.4</v>
      </c>
      <c r="AB471" s="333">
        <f t="shared" si="419"/>
        <v>90</v>
      </c>
      <c r="AC471" s="328">
        <f t="shared" si="420"/>
        <v>1.6</v>
      </c>
      <c r="AD471" s="334">
        <f t="shared" si="421"/>
        <v>360</v>
      </c>
      <c r="AE471" s="334">
        <f>$AB471*(1-INDEX(项目参数!$D$5:$D$14,MATCH(服务费底表!$S471,项目参数!$B$5:$B$14,0)))</f>
        <v>90</v>
      </c>
      <c r="AF471" s="334">
        <f>$AD471*INDEX(项目参数!$D$5:$D$14,MATCH(服务费底表!$S471,项目参数!$B$5:$B$14,0))</f>
        <v>0</v>
      </c>
      <c r="AG471" s="334">
        <f t="shared" si="422"/>
        <v>360</v>
      </c>
      <c r="AH471" s="328"/>
      <c r="AI471" s="328" t="s">
        <v>635</v>
      </c>
      <c r="AJ471" s="327">
        <v>0.4</v>
      </c>
      <c r="AK471" s="327">
        <v>0.5</v>
      </c>
      <c r="AL471" s="327">
        <v>0.4</v>
      </c>
      <c r="AM471" s="327">
        <v>0.5</v>
      </c>
      <c r="AN471" s="327">
        <v>0.4</v>
      </c>
      <c r="AO471" s="327">
        <f t="shared" si="416"/>
        <v>0.4</v>
      </c>
      <c r="AP471" s="327">
        <v>0.4</v>
      </c>
      <c r="AQ471" s="327">
        <f t="shared" si="425"/>
        <v>0.6</v>
      </c>
      <c r="AR471" s="338"/>
      <c r="AS471" s="328">
        <f t="shared" si="405"/>
        <v>1.6</v>
      </c>
      <c r="AT471" s="328">
        <f t="shared" si="406"/>
        <v>1.6</v>
      </c>
      <c r="AU471" s="523">
        <v>0.4</v>
      </c>
      <c r="AV471" s="328"/>
      <c r="AW471" s="328"/>
      <c r="AX471" s="332">
        <v>0.4</v>
      </c>
      <c r="AY471" s="328" t="b">
        <f t="shared" si="413"/>
        <v>1</v>
      </c>
      <c r="AZ471" s="328" t="b">
        <f t="shared" si="414"/>
        <v>0</v>
      </c>
    </row>
    <row r="472" ht="27" customHeight="1" spans="1:52">
      <c r="A472" s="326" t="str">
        <f>INDEX('Rate Card'!$A:$A,MATCH(服务费底表!$T472,'Rate Card'!$F:$F,0))</f>
        <v>数统</v>
      </c>
      <c r="B472" s="327" t="str">
        <f>INDEX(二三级标准!$G:$G,MATCH(服务费底表!$K472,二三级标准!B:B,0))</f>
        <v>个</v>
      </c>
      <c r="C472" s="327">
        <f>INDEX(服务费明细!$E:$E,MATCH(服务费底表!$K472,服务费明细!$B:$B,0))</f>
        <v>4</v>
      </c>
      <c r="D472" s="327" t="str">
        <f t="shared" si="417"/>
        <v>A262SA</v>
      </c>
      <c r="E472" s="327" t="str">
        <f>M473&amp;T472</f>
        <v>T0759SA</v>
      </c>
      <c r="F472" s="328"/>
      <c r="G472" s="328" t="s">
        <v>684</v>
      </c>
      <c r="H472" s="326" t="str">
        <f>INDEX('Rate Card'!$B:$B,MATCH(服务费底表!$T472,'Rate Card'!$F:$F,0))</f>
        <v>生物统计及分析</v>
      </c>
      <c r="I472" s="328" t="s">
        <v>925</v>
      </c>
      <c r="J472" s="328" t="str">
        <f>INDEX(二三级标准!$Q:$Q,MATCH(服务费底表!I472,二三级标准!$O:$O,0))</f>
        <v>临床药理</v>
      </c>
      <c r="K472" s="328" t="s">
        <v>1109</v>
      </c>
      <c r="L472" s="328" t="str">
        <f>INDEX(二三级标准!C:C,MATCH(服务费底表!K472,二三级标准!$B:$B,0))</f>
        <v>生成PK/PD统计表格/图表 - Repeat</v>
      </c>
      <c r="M472" s="328" t="s">
        <v>1515</v>
      </c>
      <c r="N472" s="328" t="str">
        <f>INDEX(二三级标准!$M:$M,MATCH(服务费底表!$M472,二三级标准!$L:$L,0))</f>
        <v>验证PK统计表格/图表 - Repeated</v>
      </c>
      <c r="O472" s="328"/>
      <c r="P472" s="531">
        <f>IF(R472=1,INDEX(服务费明细!$E:$E,MATCH(服务费底表!$K472,服务费明细!$B:$B,0)),0)</f>
        <v>4</v>
      </c>
      <c r="Q472" s="328" t="s">
        <v>1281</v>
      </c>
      <c r="R472" s="520">
        <f>IF(AND(生成PK_PD统计TFLs_YN=1,统计分析YN=1),1,0)</f>
        <v>1</v>
      </c>
      <c r="S472" s="524" t="str">
        <f>INDEX('Rate Card'!$D:$D,MATCH(服务费底表!$T472,'Rate Card'!F:F,0))</f>
        <v>统计分析</v>
      </c>
      <c r="T472" s="328" t="s">
        <v>635</v>
      </c>
      <c r="U472" s="522" t="str">
        <f>INDEX('Rate Card'!$E:$E,MATCH(服务费底表!$T472,'Rate Card'!$F:$F,0))</f>
        <v>统计分析师</v>
      </c>
      <c r="V472" s="331">
        <f>INDEX('Rate Card'!$J:$J,MATCH($T472,'Rate Card'!$F:$F,0))</f>
        <v>225</v>
      </c>
      <c r="W472" s="523">
        <f t="shared" si="423"/>
        <v>225</v>
      </c>
      <c r="X472" s="523">
        <f t="shared" si="424"/>
        <v>0.4</v>
      </c>
      <c r="Y472" s="327" cm="1">
        <f t="array" ref="Y472">_xlfn.IFS(报价场景=服务费底表!$AJ$2,服务费底表!$AJ472,报价场景=服务费底表!$AP$2,服务费底表!$AP472,报价场景=服务费底表!$AK$2,服务费底表!$AK472,报价场景=服务费底表!$AL$2,服务费底表!$AL472,报价场景=服务费底表!$AM$2,服务费底表!$AM472,报价场景=服务费底表!$AN$2,服务费底表!$AN472,报价场景=服务费底表!$AQ$2,服务费底表!$AQ472,报价场景=服务费底表!$AO$2,服务费底表!$AO472)</f>
        <v>0.4</v>
      </c>
      <c r="Z472" s="327"/>
      <c r="AA472" s="332">
        <f t="shared" si="400"/>
        <v>0.4</v>
      </c>
      <c r="AB472" s="333">
        <f t="shared" si="419"/>
        <v>90</v>
      </c>
      <c r="AC472" s="328">
        <f t="shared" si="420"/>
        <v>1.6</v>
      </c>
      <c r="AD472" s="334">
        <f t="shared" si="421"/>
        <v>360</v>
      </c>
      <c r="AE472" s="334">
        <f>$AB472*(1-INDEX(项目参数!$D$5:$D$14,MATCH(服务费底表!$S472,项目参数!$B$5:$B$14,0)))</f>
        <v>90</v>
      </c>
      <c r="AF472" s="334">
        <f>$AD472*INDEX(项目参数!$D$5:$D$14,MATCH(服务费底表!$S472,项目参数!$B$5:$B$14,0))</f>
        <v>0</v>
      </c>
      <c r="AG472" s="334">
        <f t="shared" si="422"/>
        <v>360</v>
      </c>
      <c r="AH472" s="328"/>
      <c r="AI472" s="328" t="s">
        <v>635</v>
      </c>
      <c r="AJ472" s="327">
        <v>0.4</v>
      </c>
      <c r="AK472" s="327">
        <v>0.5</v>
      </c>
      <c r="AL472" s="327">
        <v>0.4</v>
      </c>
      <c r="AM472" s="327">
        <v>0.5</v>
      </c>
      <c r="AN472" s="327">
        <v>0.4</v>
      </c>
      <c r="AO472" s="327">
        <f t="shared" si="416"/>
        <v>0.4</v>
      </c>
      <c r="AP472" s="327">
        <v>0.4</v>
      </c>
      <c r="AQ472" s="327">
        <f t="shared" si="425"/>
        <v>0.6</v>
      </c>
      <c r="AR472" s="338"/>
      <c r="AS472" s="328">
        <f t="shared" si="405"/>
        <v>1.6</v>
      </c>
      <c r="AT472" s="328">
        <f t="shared" si="406"/>
        <v>1.6</v>
      </c>
      <c r="AU472" s="523">
        <v>0.4</v>
      </c>
      <c r="AV472" s="328"/>
      <c r="AW472" s="328"/>
      <c r="AX472" s="332">
        <v>0.4</v>
      </c>
      <c r="AY472" s="328" t="b">
        <f t="shared" si="413"/>
        <v>1</v>
      </c>
      <c r="AZ472" s="328" t="b">
        <f t="shared" si="414"/>
        <v>0</v>
      </c>
    </row>
    <row r="473" ht="27" customHeight="1" spans="1:52">
      <c r="A473" s="326" t="str">
        <f>INDEX('Rate Card'!$A:$A,MATCH(服务费底表!$T473,'Rate Card'!$F:$F,0))</f>
        <v>数统</v>
      </c>
      <c r="B473" s="327" t="str">
        <f>INDEX(二三级标准!$G:$G,MATCH(服务费底表!$K473,二三级标准!B:B,0))</f>
        <v>个</v>
      </c>
      <c r="C473" s="327">
        <f>INDEX(服务费明细!$E:$E,MATCH(服务费底表!$K473,服务费明细!$B:$B,0))</f>
        <v>4</v>
      </c>
      <c r="D473" s="327" t="str">
        <f t="shared" si="417"/>
        <v>A262SAM</v>
      </c>
      <c r="E473" s="327" t="e">
        <f>#REF!&amp;T473</f>
        <v>#REF!</v>
      </c>
      <c r="F473" s="328"/>
      <c r="G473" s="328" t="s">
        <v>684</v>
      </c>
      <c r="H473" s="326" t="str">
        <f>INDEX('Rate Card'!$B:$B,MATCH(服务费底表!$T473,'Rate Card'!$F:$F,0))</f>
        <v>生物统计及分析</v>
      </c>
      <c r="I473" s="328" t="s">
        <v>925</v>
      </c>
      <c r="J473" s="328" t="str">
        <f>INDEX(二三级标准!$Q:$Q,MATCH(服务费底表!I473,二三级标准!$O:$O,0))</f>
        <v>临床药理</v>
      </c>
      <c r="K473" s="328" t="s">
        <v>1109</v>
      </c>
      <c r="L473" s="328" t="str">
        <f>INDEX(二三级标准!C:C,MATCH(服务费底表!K473,二三级标准!$B:$B,0))</f>
        <v>生成PK/PD统计表格/图表 - Repeat</v>
      </c>
      <c r="M473" s="328" t="s">
        <v>1516</v>
      </c>
      <c r="N473" s="328" t="str">
        <f>INDEX(二三级标准!$M:$M,MATCH(服务费底表!$M473,二三级标准!$L:$L,0))</f>
        <v>审核PK统计表格/图表 - Repeated</v>
      </c>
      <c r="O473" s="328"/>
      <c r="P473" s="531">
        <f>IF(R473=1,INDEX(服务费明细!$E:$E,MATCH(服务费底表!$K473,服务费明细!$B:$B,0)),0)</f>
        <v>4</v>
      </c>
      <c r="Q473" s="328" t="s">
        <v>1281</v>
      </c>
      <c r="R473" s="520">
        <f>IF(AND(生成PK_PD统计TFLs_YN=1,统计分析YN=1),1,0)</f>
        <v>1</v>
      </c>
      <c r="S473" s="524" t="str">
        <f>INDEX('Rate Card'!$D:$D,MATCH(服务费底表!$T473,'Rate Card'!F:F,0))</f>
        <v>统计分析</v>
      </c>
      <c r="T473" s="328" t="s">
        <v>638</v>
      </c>
      <c r="U473" s="522" t="str">
        <f>INDEX('Rate Card'!$E:$E,MATCH(服务费底表!$T473,'Rate Card'!$F:$F,0))</f>
        <v>统计分析经理</v>
      </c>
      <c r="V473" s="331">
        <f>INDEX('Rate Card'!$J:$J,MATCH($T473,'Rate Card'!$F:$F,0))</f>
        <v>450</v>
      </c>
      <c r="W473" s="523">
        <f t="shared" si="423"/>
        <v>450</v>
      </c>
      <c r="X473" s="523">
        <f t="shared" si="424"/>
        <v>0.1</v>
      </c>
      <c r="Y473" s="327" cm="1">
        <f t="array" ref="Y473">_xlfn.IFS(报价场景=服务费底表!$AJ$2,服务费底表!$AJ473,报价场景=服务费底表!$AP$2,服务费底表!$AP473,报价场景=服务费底表!$AK$2,服务费底表!$AK473,报价场景=服务费底表!$AL$2,服务费底表!$AL473,报价场景=服务费底表!$AM$2,服务费底表!$AM473,报价场景=服务费底表!$AN$2,服务费底表!$AN473,报价场景=服务费底表!$AQ$2,服务费底表!$AQ473,报价场景=服务费底表!$AO$2,服务费底表!$AO473)</f>
        <v>0.1</v>
      </c>
      <c r="Z473" s="327"/>
      <c r="AA473" s="332">
        <f t="shared" si="400"/>
        <v>0.1</v>
      </c>
      <c r="AB473" s="333">
        <f t="shared" si="419"/>
        <v>45</v>
      </c>
      <c r="AC473" s="328">
        <f t="shared" si="420"/>
        <v>0.4</v>
      </c>
      <c r="AD473" s="334">
        <f t="shared" si="421"/>
        <v>180</v>
      </c>
      <c r="AE473" s="334">
        <f>$AB473*(1-INDEX(项目参数!$D$5:$D$14,MATCH(服务费底表!$S473,项目参数!$B$5:$B$14,0)))</f>
        <v>45</v>
      </c>
      <c r="AF473" s="334">
        <f>$AD473*INDEX(项目参数!$D$5:$D$14,MATCH(服务费底表!$S473,项目参数!$B$5:$B$14,0))</f>
        <v>0</v>
      </c>
      <c r="AG473" s="334">
        <f t="shared" si="422"/>
        <v>180</v>
      </c>
      <c r="AH473" s="328"/>
      <c r="AI473" s="328" t="s">
        <v>638</v>
      </c>
      <c r="AJ473" s="327">
        <v>0.1</v>
      </c>
      <c r="AK473" s="327">
        <v>0.15</v>
      </c>
      <c r="AL473" s="327">
        <v>0.1</v>
      </c>
      <c r="AM473" s="327">
        <v>0.15</v>
      </c>
      <c r="AN473" s="327">
        <v>0.1</v>
      </c>
      <c r="AO473" s="327">
        <f t="shared" si="416"/>
        <v>0.1</v>
      </c>
      <c r="AP473" s="327">
        <v>0.1</v>
      </c>
      <c r="AQ473" s="327">
        <f t="shared" si="425"/>
        <v>0.15</v>
      </c>
      <c r="AR473" s="338"/>
      <c r="AS473" s="328">
        <f t="shared" si="405"/>
        <v>0.4</v>
      </c>
      <c r="AT473" s="328">
        <f t="shared" si="406"/>
        <v>0.4</v>
      </c>
      <c r="AU473" s="523">
        <v>0.1</v>
      </c>
      <c r="AV473" s="328"/>
      <c r="AW473" s="328"/>
      <c r="AX473" s="332">
        <v>0.1</v>
      </c>
      <c r="AY473" s="328" t="b">
        <f t="shared" si="413"/>
        <v>1</v>
      </c>
      <c r="AZ473" s="328" t="b">
        <f t="shared" si="414"/>
        <v>0</v>
      </c>
    </row>
    <row r="474" ht="27" customHeight="1" spans="1:52">
      <c r="A474" s="326" t="str">
        <f>INDEX('Rate Card'!$A:$A,MATCH(服务费底表!$T474,'Rate Card'!$F:$F,0))</f>
        <v>数统</v>
      </c>
      <c r="B474" s="327" t="str">
        <f>INDEX(二三级标准!$G:$G,MATCH(服务费底表!$K474,二三级标准!B:B,0))</f>
        <v>个</v>
      </c>
      <c r="C474" s="327">
        <f>INDEX(服务费明细!$E:$E,MATCH(服务费底表!$K474,服务费明细!$B:$B,0))</f>
        <v>3</v>
      </c>
      <c r="D474" s="327" t="str">
        <f t="shared" si="417"/>
        <v>A263SA</v>
      </c>
      <c r="E474" s="327" t="str">
        <f>M475&amp;T474</f>
        <v>T0761SA</v>
      </c>
      <c r="F474" s="328"/>
      <c r="G474" s="328" t="s">
        <v>684</v>
      </c>
      <c r="H474" s="326" t="str">
        <f>INDEX('Rate Card'!$B:$B,MATCH(服务费底表!$T474,'Rate Card'!$F:$F,0))</f>
        <v>生物统计及分析</v>
      </c>
      <c r="I474" s="328" t="s">
        <v>925</v>
      </c>
      <c r="J474" s="328" t="str">
        <f>INDEX(二三级标准!$Q:$Q,MATCH(服务费底表!I474,二三级标准!$O:$O,0))</f>
        <v>临床药理</v>
      </c>
      <c r="K474" s="328" t="s">
        <v>1110</v>
      </c>
      <c r="L474" s="328" t="str">
        <f>INDEX(二三级标准!C:C,MATCH(服务费底表!K474,二三级标准!$B:$B,0))</f>
        <v>生成PK/PD统计列表 - Listings</v>
      </c>
      <c r="M474" s="328" t="s">
        <v>1517</v>
      </c>
      <c r="N474" s="328" t="str">
        <f>INDEX(二三级标准!$M:$M,MATCH(服务费底表!$M474,二三级标准!$L:$L,0))</f>
        <v>产生PK统计列表</v>
      </c>
      <c r="O474" s="328"/>
      <c r="P474" s="531">
        <f>IF(R474=1,INDEX(服务费明细!$E:$E,MATCH(服务费底表!$K474,服务费明细!$B:$B,0)),0)</f>
        <v>3</v>
      </c>
      <c r="Q474" s="328" t="s">
        <v>1281</v>
      </c>
      <c r="R474" s="520">
        <f>IF(AND(生成PK_PD统计TFLs_YN=1,统计分析YN=1),1,0)</f>
        <v>1</v>
      </c>
      <c r="S474" s="524" t="str">
        <f>INDEX('Rate Card'!$D:$D,MATCH(服务费底表!$T474,'Rate Card'!F:F,0))</f>
        <v>统计分析</v>
      </c>
      <c r="T474" s="328" t="s">
        <v>635</v>
      </c>
      <c r="U474" s="522" t="str">
        <f>INDEX('Rate Card'!$E:$E,MATCH(服务费底表!$T474,'Rate Card'!$F:$F,0))</f>
        <v>统计分析师</v>
      </c>
      <c r="V474" s="331">
        <f>INDEX('Rate Card'!$J:$J,MATCH($T474,'Rate Card'!$F:$F,0))</f>
        <v>225</v>
      </c>
      <c r="W474" s="523">
        <f t="shared" si="423"/>
        <v>225</v>
      </c>
      <c r="X474" s="523">
        <f t="shared" si="424"/>
        <v>0.5</v>
      </c>
      <c r="Y474" s="327" cm="1">
        <f t="array" ref="Y474">_xlfn.IFS(报价场景=服务费底表!$AJ$2,服务费底表!$AJ474,报价场景=服务费底表!$AP$2,服务费底表!$AP474,报价场景=服务费底表!$AK$2,服务费底表!$AK474,报价场景=服务费底表!$AL$2,服务费底表!$AL474,报价场景=服务费底表!$AM$2,服务费底表!$AM474,报价场景=服务费底表!$AN$2,服务费底表!$AN474,报价场景=服务费底表!$AQ$2,服务费底表!$AQ474,报价场景=服务费底表!$AO$2,服务费底表!$AO474)</f>
        <v>0.5</v>
      </c>
      <c r="Z474" s="327"/>
      <c r="AA474" s="332">
        <f t="shared" si="400"/>
        <v>0.5</v>
      </c>
      <c r="AB474" s="333">
        <f t="shared" si="419"/>
        <v>112.5</v>
      </c>
      <c r="AC474" s="328">
        <f t="shared" si="420"/>
        <v>1.5</v>
      </c>
      <c r="AD474" s="334">
        <f t="shared" si="421"/>
        <v>337.5</v>
      </c>
      <c r="AE474" s="334">
        <f>$AB474*(1-INDEX(项目参数!$D$5:$D$14,MATCH(服务费底表!$S474,项目参数!$B$5:$B$14,0)))</f>
        <v>112.5</v>
      </c>
      <c r="AF474" s="334">
        <f>$AD474*INDEX(项目参数!$D$5:$D$14,MATCH(服务费底表!$S474,项目参数!$B$5:$B$14,0))</f>
        <v>0</v>
      </c>
      <c r="AG474" s="334">
        <f t="shared" si="422"/>
        <v>337.5</v>
      </c>
      <c r="AH474" s="328"/>
      <c r="AI474" s="328" t="s">
        <v>635</v>
      </c>
      <c r="AJ474" s="327">
        <v>0.5</v>
      </c>
      <c r="AK474" s="327">
        <v>1</v>
      </c>
      <c r="AL474" s="327">
        <v>0.5</v>
      </c>
      <c r="AM474" s="327">
        <v>0.7</v>
      </c>
      <c r="AN474" s="327">
        <v>0.5</v>
      </c>
      <c r="AO474" s="327">
        <f t="shared" si="416"/>
        <v>0.5</v>
      </c>
      <c r="AP474" s="327">
        <v>0.5</v>
      </c>
      <c r="AQ474" s="327">
        <f t="shared" si="425"/>
        <v>0.75</v>
      </c>
      <c r="AR474" s="338"/>
      <c r="AS474" s="328">
        <f t="shared" si="405"/>
        <v>1.5</v>
      </c>
      <c r="AT474" s="328">
        <f t="shared" si="406"/>
        <v>1.5</v>
      </c>
      <c r="AU474" s="523">
        <v>0.5</v>
      </c>
      <c r="AV474" s="328"/>
      <c r="AW474" s="328"/>
      <c r="AX474" s="332">
        <v>0.5</v>
      </c>
      <c r="AY474" s="328" t="b">
        <f t="shared" si="413"/>
        <v>1</v>
      </c>
      <c r="AZ474" s="328" t="b">
        <f t="shared" si="414"/>
        <v>1</v>
      </c>
    </row>
    <row r="475" ht="27" customHeight="1" spans="1:52">
      <c r="A475" s="326" t="str">
        <f>INDEX('Rate Card'!$A:$A,MATCH(服务费底表!$T475,'Rate Card'!$F:$F,0))</f>
        <v>数统</v>
      </c>
      <c r="B475" s="327" t="str">
        <f>INDEX(二三级标准!$G:$G,MATCH(服务费底表!$K475,二三级标准!B:B,0))</f>
        <v>个</v>
      </c>
      <c r="C475" s="327">
        <f>INDEX(服务费明细!$E:$E,MATCH(服务费底表!$K475,服务费明细!$B:$B,0))</f>
        <v>3</v>
      </c>
      <c r="D475" s="327" t="str">
        <f t="shared" si="417"/>
        <v>A263SA</v>
      </c>
      <c r="E475" s="327" t="e">
        <f>#REF!&amp;T475</f>
        <v>#REF!</v>
      </c>
      <c r="F475" s="328"/>
      <c r="G475" s="328" t="s">
        <v>684</v>
      </c>
      <c r="H475" s="326" t="str">
        <f>INDEX('Rate Card'!$B:$B,MATCH(服务费底表!$T475,'Rate Card'!$F:$F,0))</f>
        <v>生物统计及分析</v>
      </c>
      <c r="I475" s="328" t="s">
        <v>925</v>
      </c>
      <c r="J475" s="328" t="str">
        <f>INDEX(二三级标准!$Q:$Q,MATCH(服务费底表!I475,二三级标准!$O:$O,0))</f>
        <v>临床药理</v>
      </c>
      <c r="K475" s="328" t="s">
        <v>1110</v>
      </c>
      <c r="L475" s="328" t="str">
        <f>INDEX(二三级标准!C:C,MATCH(服务费底表!K475,二三级标准!$B:$B,0))</f>
        <v>生成PK/PD统计列表 - Listings</v>
      </c>
      <c r="M475" s="328" t="s">
        <v>1518</v>
      </c>
      <c r="N475" s="328" t="str">
        <f>INDEX(二三级标准!$M:$M,MATCH(服务费底表!$M475,二三级标准!$L:$L,0))</f>
        <v>验证PK统计列表</v>
      </c>
      <c r="O475" s="328"/>
      <c r="P475" s="531">
        <f>IF(R475=1,INDEX(服务费明细!$E:$E,MATCH(服务费底表!$K475,服务费明细!$B:$B,0)),0)</f>
        <v>3</v>
      </c>
      <c r="Q475" s="328" t="s">
        <v>1281</v>
      </c>
      <c r="R475" s="520">
        <f>IF(AND(生成PK_PD统计TFLs_YN=1,统计分析YN=1),1,0)</f>
        <v>1</v>
      </c>
      <c r="S475" s="524" t="str">
        <f>INDEX('Rate Card'!$D:$D,MATCH(服务费底表!$T475,'Rate Card'!F:F,0))</f>
        <v>统计分析</v>
      </c>
      <c r="T475" s="328" t="s">
        <v>635</v>
      </c>
      <c r="U475" s="522" t="str">
        <f>INDEX('Rate Card'!$E:$E,MATCH(服务费底表!$T475,'Rate Card'!$F:$F,0))</f>
        <v>统计分析师</v>
      </c>
      <c r="V475" s="331">
        <f>INDEX('Rate Card'!$J:$J,MATCH($T475,'Rate Card'!$F:$F,0))</f>
        <v>225</v>
      </c>
      <c r="W475" s="523">
        <f t="shared" si="423"/>
        <v>225</v>
      </c>
      <c r="X475" s="523">
        <f t="shared" si="424"/>
        <v>0.5</v>
      </c>
      <c r="Y475" s="327" cm="1">
        <f t="array" ref="Y475">_xlfn.IFS(报价场景=服务费底表!$AJ$2,服务费底表!$AJ475,报价场景=服务费底表!$AP$2,服务费底表!$AP475,报价场景=服务费底表!$AK$2,服务费底表!$AK475,报价场景=服务费底表!$AL$2,服务费底表!$AL475,报价场景=服务费底表!$AM$2,服务费底表!$AM475,报价场景=服务费底表!$AN$2,服务费底表!$AN475,报价场景=服务费底表!$AQ$2,服务费底表!$AQ475,报价场景=服务费底表!$AO$2,服务费底表!$AO475)</f>
        <v>0.5</v>
      </c>
      <c r="Z475" s="327"/>
      <c r="AA475" s="332">
        <f t="shared" si="400"/>
        <v>0.5</v>
      </c>
      <c r="AB475" s="333">
        <f t="shared" si="419"/>
        <v>112.5</v>
      </c>
      <c r="AC475" s="328">
        <f t="shared" si="420"/>
        <v>1.5</v>
      </c>
      <c r="AD475" s="334">
        <f t="shared" si="421"/>
        <v>337.5</v>
      </c>
      <c r="AE475" s="334">
        <f>$AB475*(1-INDEX(项目参数!$D$5:$D$14,MATCH(服务费底表!$S475,项目参数!$B$5:$B$14,0)))</f>
        <v>112.5</v>
      </c>
      <c r="AF475" s="334">
        <f>$AD475*INDEX(项目参数!$D$5:$D$14,MATCH(服务费底表!$S475,项目参数!$B$5:$B$14,0))</f>
        <v>0</v>
      </c>
      <c r="AG475" s="334">
        <f t="shared" si="422"/>
        <v>337.5</v>
      </c>
      <c r="AH475" s="328"/>
      <c r="AI475" s="328" t="s">
        <v>635</v>
      </c>
      <c r="AJ475" s="327">
        <v>0.5</v>
      </c>
      <c r="AK475" s="327">
        <v>1</v>
      </c>
      <c r="AL475" s="327">
        <v>0.5</v>
      </c>
      <c r="AM475" s="327">
        <v>0.7</v>
      </c>
      <c r="AN475" s="327">
        <v>0.5</v>
      </c>
      <c r="AO475" s="327">
        <f t="shared" si="416"/>
        <v>0.5</v>
      </c>
      <c r="AP475" s="327">
        <v>0.5</v>
      </c>
      <c r="AQ475" s="327">
        <f t="shared" si="425"/>
        <v>0.75</v>
      </c>
      <c r="AR475" s="338"/>
      <c r="AS475" s="328">
        <f t="shared" si="405"/>
        <v>1.5</v>
      </c>
      <c r="AT475" s="328">
        <f t="shared" si="406"/>
        <v>1.5</v>
      </c>
      <c r="AU475" s="523">
        <v>0.5</v>
      </c>
      <c r="AV475" s="328"/>
      <c r="AW475" s="328"/>
      <c r="AX475" s="332">
        <v>0.5</v>
      </c>
      <c r="AY475" s="328" t="b">
        <f t="shared" si="413"/>
        <v>1</v>
      </c>
      <c r="AZ475" s="328" t="b">
        <f t="shared" si="414"/>
        <v>1</v>
      </c>
    </row>
    <row r="476" ht="27" customHeight="1" spans="1:52">
      <c r="A476" s="326" t="str">
        <f>INDEX('Rate Card'!$A:$A,MATCH(服务费底表!$T476,'Rate Card'!$F:$F,0))</f>
        <v>数统</v>
      </c>
      <c r="B476" s="327" t="str">
        <f>INDEX(二三级标准!$G:$G,MATCH(服务费底表!$K476,二三级标准!B:B,0))</f>
        <v>个</v>
      </c>
      <c r="C476" s="327">
        <f>INDEX(服务费明细!$E:$E,MATCH(服务费底表!$K476,服务费明细!$B:$B,0))</f>
        <v>3</v>
      </c>
      <c r="D476" s="327" t="str">
        <f t="shared" si="417"/>
        <v>A263SAM</v>
      </c>
      <c r="E476" s="327" t="str">
        <f>M476&amp;T476</f>
        <v>T0762SAM</v>
      </c>
      <c r="F476" s="328"/>
      <c r="G476" s="328" t="s">
        <v>684</v>
      </c>
      <c r="H476" s="326" t="str">
        <f>INDEX('Rate Card'!$B:$B,MATCH(服务费底表!$T476,'Rate Card'!$F:$F,0))</f>
        <v>生物统计及分析</v>
      </c>
      <c r="I476" s="328" t="s">
        <v>925</v>
      </c>
      <c r="J476" s="328" t="str">
        <f>INDEX(二三级标准!$Q:$Q,MATCH(服务费底表!I476,二三级标准!$O:$O,0))</f>
        <v>临床药理</v>
      </c>
      <c r="K476" s="328" t="s">
        <v>1110</v>
      </c>
      <c r="L476" s="328" t="str">
        <f>INDEX(二三级标准!C:C,MATCH(服务费底表!K476,二三级标准!$B:$B,0))</f>
        <v>生成PK/PD统计列表 - Listings</v>
      </c>
      <c r="M476" s="328" t="s">
        <v>1519</v>
      </c>
      <c r="N476" s="328" t="str">
        <f>INDEX(二三级标准!$M:$M,MATCH(服务费底表!$M476,二三级标准!$L:$L,0))</f>
        <v>审核PK统计列表</v>
      </c>
      <c r="O476" s="328"/>
      <c r="P476" s="531">
        <f>IF(R476=1,INDEX(服务费明细!$E:$E,MATCH(服务费底表!$K476,服务费明细!$B:$B,0)),0)</f>
        <v>3</v>
      </c>
      <c r="Q476" s="328" t="s">
        <v>1281</v>
      </c>
      <c r="R476" s="520">
        <f>IF(AND(生成PK_PD统计TFLs_YN=1,统计分析YN=1),1,0)</f>
        <v>1</v>
      </c>
      <c r="S476" s="524" t="str">
        <f>INDEX('Rate Card'!$D:$D,MATCH(服务费底表!$T476,'Rate Card'!F:F,0))</f>
        <v>统计分析</v>
      </c>
      <c r="T476" s="328" t="s">
        <v>638</v>
      </c>
      <c r="U476" s="522" t="str">
        <f>INDEX('Rate Card'!$E:$E,MATCH(服务费底表!$T476,'Rate Card'!$F:$F,0))</f>
        <v>统计分析经理</v>
      </c>
      <c r="V476" s="331">
        <f>INDEX('Rate Card'!$J:$J,MATCH($T476,'Rate Card'!$F:$F,0))</f>
        <v>450</v>
      </c>
      <c r="W476" s="523">
        <f t="shared" si="423"/>
        <v>450</v>
      </c>
      <c r="X476" s="523">
        <f t="shared" si="424"/>
        <v>0.1</v>
      </c>
      <c r="Y476" s="327" cm="1">
        <f t="array" ref="Y476">_xlfn.IFS(报价场景=服务费底表!$AJ$2,服务费底表!$AJ476,报价场景=服务费底表!$AP$2,服务费底表!$AP476,报价场景=服务费底表!$AK$2,服务费底表!$AK476,报价场景=服务费底表!$AL$2,服务费底表!$AL476,报价场景=服务费底表!$AM$2,服务费底表!$AM476,报价场景=服务费底表!$AN$2,服务费底表!$AN476,报价场景=服务费底表!$AQ$2,服务费底表!$AQ476,报价场景=服务费底表!$AO$2,服务费底表!$AO476)</f>
        <v>0.1</v>
      </c>
      <c r="Z476" s="327"/>
      <c r="AA476" s="332">
        <f t="shared" si="400"/>
        <v>0.1</v>
      </c>
      <c r="AB476" s="333">
        <f t="shared" si="419"/>
        <v>45</v>
      </c>
      <c r="AC476" s="328">
        <f t="shared" si="420"/>
        <v>0.3</v>
      </c>
      <c r="AD476" s="334">
        <f t="shared" si="421"/>
        <v>135</v>
      </c>
      <c r="AE476" s="334">
        <f>$AB476*(1-INDEX(项目参数!$D$5:$D$14,MATCH(服务费底表!$S476,项目参数!$B$5:$B$14,0)))</f>
        <v>45</v>
      </c>
      <c r="AF476" s="334">
        <f>$AD476*INDEX(项目参数!$D$5:$D$14,MATCH(服务费底表!$S476,项目参数!$B$5:$B$14,0))</f>
        <v>0</v>
      </c>
      <c r="AG476" s="334">
        <f t="shared" si="422"/>
        <v>135</v>
      </c>
      <c r="AH476" s="328"/>
      <c r="AI476" s="328" t="s">
        <v>638</v>
      </c>
      <c r="AJ476" s="327">
        <v>0.1</v>
      </c>
      <c r="AK476" s="327">
        <v>0.2</v>
      </c>
      <c r="AL476" s="327">
        <v>0.1</v>
      </c>
      <c r="AM476" s="327">
        <v>0.2</v>
      </c>
      <c r="AN476" s="327">
        <v>0.1</v>
      </c>
      <c r="AO476" s="327">
        <f t="shared" si="416"/>
        <v>0.1</v>
      </c>
      <c r="AP476" s="327">
        <v>0.1</v>
      </c>
      <c r="AQ476" s="327">
        <f t="shared" si="425"/>
        <v>0.15</v>
      </c>
      <c r="AR476" s="338"/>
      <c r="AS476" s="328">
        <f t="shared" si="405"/>
        <v>0.3</v>
      </c>
      <c r="AT476" s="328">
        <f t="shared" si="406"/>
        <v>0.3</v>
      </c>
      <c r="AU476" s="523">
        <v>0.1</v>
      </c>
      <c r="AV476" s="328"/>
      <c r="AW476" s="328"/>
      <c r="AX476" s="332">
        <v>0.1</v>
      </c>
      <c r="AY476" s="328" t="b">
        <f t="shared" si="413"/>
        <v>1</v>
      </c>
      <c r="AZ476" s="328" t="b">
        <f t="shared" si="414"/>
        <v>1</v>
      </c>
    </row>
    <row r="477" ht="27" customHeight="1" spans="1:52">
      <c r="A477" s="326" t="str">
        <f>INDEX('Rate Card'!$A:$A,MATCH(服务费底表!$T477,'Rate Card'!$F:$F,0))</f>
        <v>数统</v>
      </c>
      <c r="B477" s="327" t="str">
        <f>INDEX(二三级标准!$G:$G,MATCH(服务费底表!$K477,二三级标准!B:B,0))</f>
        <v>次</v>
      </c>
      <c r="C477" s="327">
        <f>INDEX(服务费明细!$E:$E,MATCH(服务费底表!$K477,服务费明细!$B:$B,0))</f>
        <v>1</v>
      </c>
      <c r="D477" s="327" t="str">
        <f t="shared" ref="D477:D520" si="426">K477&amp;T477</f>
        <v>A115SA</v>
      </c>
      <c r="E477" s="327" t="str">
        <f t="shared" ref="E477:E520" si="427">M477&amp;T477</f>
        <v>T0384SA</v>
      </c>
      <c r="F477" s="328"/>
      <c r="G477" s="328" t="s">
        <v>684</v>
      </c>
      <c r="H477" s="326" t="str">
        <f>INDEX('Rate Card'!$B:$B,MATCH(服务费底表!$T477,'Rate Card'!$F:$F,0))</f>
        <v>生物统计及分析</v>
      </c>
      <c r="I477" s="328" t="s">
        <v>924</v>
      </c>
      <c r="J477" s="328" t="str">
        <f>INDEX(二三级标准!$Q:$Q,MATCH(服务费底表!I477,二三级标准!$O:$O,0))</f>
        <v>生物统计及分析</v>
      </c>
      <c r="K477" s="328" t="s">
        <v>335</v>
      </c>
      <c r="L477" s="328" t="str">
        <f>INDEX(二三级标准!C:C,MATCH(服务费底表!K477,二三级标准!$B:$B,0))</f>
        <v>Dry Run</v>
      </c>
      <c r="M477" s="328" t="s">
        <v>1520</v>
      </c>
      <c r="N477" s="328" t="str">
        <f>INDEX(二三级标准!$M:$M,MATCH(服务费底表!$M477,二三级标准!$L:$L,0))</f>
        <v>Dry Run的程序运行</v>
      </c>
      <c r="O477" s="328"/>
      <c r="P477" s="531">
        <f>IF(R477=1,INDEX(服务费明细!$E:$E,MATCH(服务费底表!$K477,服务费明细!$B:$B,0)),0)</f>
        <v>1</v>
      </c>
      <c r="Q477" s="328" t="s">
        <v>1178</v>
      </c>
      <c r="R477" s="520">
        <f>IF(AND(Dry_Run_YN=1,统计分析YN=1),1,0)</f>
        <v>1</v>
      </c>
      <c r="S477" s="524" t="str">
        <f>INDEX('Rate Card'!$D:$D,MATCH(服务费底表!$T477,'Rate Card'!F:F,0))</f>
        <v>统计分析</v>
      </c>
      <c r="T477" s="328" t="s">
        <v>635</v>
      </c>
      <c r="U477" s="522" t="str">
        <f>INDEX('Rate Card'!$E:$E,MATCH(服务费底表!$T477,'Rate Card'!$F:$F,0))</f>
        <v>统计分析师</v>
      </c>
      <c r="V477" s="331">
        <f>INDEX('Rate Card'!$J:$J,MATCH($T477,'Rate Card'!$F:$F,0))</f>
        <v>225</v>
      </c>
      <c r="W477" s="523">
        <f t="shared" ref="W477:W526" si="428">V477*(1-$W$1)</f>
        <v>225</v>
      </c>
      <c r="X477" s="523">
        <f t="shared" ref="X477:X526" si="429">Y477*$X$1</f>
        <v>6</v>
      </c>
      <c r="Y477" s="327" cm="1">
        <f t="array" ref="Y477">_xlfn.IFS(报价场景=服务费底表!$AJ$2,服务费底表!$AJ477,报价场景=服务费底表!$AP$2,服务费底表!$AP477,报价场景=服务费底表!$AK$2,服务费底表!$AK477,报价场景=服务费底表!$AL$2,服务费底表!$AL477,报价场景=服务费底表!$AM$2,服务费底表!$AM477,报价场景=服务费底表!$AN$2,服务费底表!$AN477,报价场景=服务费底表!$AQ$2,服务费底表!$AQ477,报价场景=服务费底表!$AO$2,服务费底表!$AO477)</f>
        <v>6</v>
      </c>
      <c r="Z477" s="327"/>
      <c r="AA477" s="332">
        <f t="shared" ref="AA477:AA502" si="430">IF(ISBLANK($Z477),$Y477,$Z477)</f>
        <v>6</v>
      </c>
      <c r="AB477" s="333">
        <f t="shared" ref="AB477:AB520" si="431">IFERROR(AD477/P477,0)</f>
        <v>1350</v>
      </c>
      <c r="AC477" s="328">
        <f t="shared" ref="AC477:AC520" si="432">AA477*P477*R477</f>
        <v>6</v>
      </c>
      <c r="AD477" s="334">
        <f t="shared" ref="AD477:AD516" si="433">AC477*V477</f>
        <v>1350</v>
      </c>
      <c r="AE477" s="334">
        <f>$AB477*(1-INDEX(项目参数!$D$5:$D$14,MATCH(服务费底表!$S477,项目参数!$B$5:$B$14,0)))</f>
        <v>1350</v>
      </c>
      <c r="AF477" s="334">
        <f>$AD477*INDEX(项目参数!$D$5:$D$14,MATCH(服务费底表!$S477,项目参数!$B$5:$B$14,0))</f>
        <v>0</v>
      </c>
      <c r="AG477" s="334">
        <f t="shared" ref="AG477:AG503" si="434">AD477-AF477</f>
        <v>1350</v>
      </c>
      <c r="AH477" s="328"/>
      <c r="AI477" s="328" t="s">
        <v>635</v>
      </c>
      <c r="AJ477" s="327">
        <v>6</v>
      </c>
      <c r="AK477" s="327">
        <v>8</v>
      </c>
      <c r="AL477" s="327">
        <v>4</v>
      </c>
      <c r="AM477" s="327">
        <v>8</v>
      </c>
      <c r="AN477" s="327">
        <v>4</v>
      </c>
      <c r="AO477" s="327">
        <f t="shared" si="416"/>
        <v>4</v>
      </c>
      <c r="AP477" s="327">
        <v>6</v>
      </c>
      <c r="AQ477" s="327">
        <f t="shared" ref="AQ477:AQ526" si="435">AJ477*$AQ$1</f>
        <v>9</v>
      </c>
      <c r="AR477" s="338"/>
      <c r="AS477" s="328">
        <f t="shared" ref="AS477:AS505" si="436">AC477</f>
        <v>6</v>
      </c>
      <c r="AT477" s="328">
        <f t="shared" ref="AT477:AT505" si="437">Y477*P477</f>
        <v>6</v>
      </c>
      <c r="AU477" s="523">
        <v>6</v>
      </c>
      <c r="AV477" s="328"/>
      <c r="AW477" s="328"/>
      <c r="AX477" s="332">
        <v>6</v>
      </c>
      <c r="AY477" s="328" t="b">
        <f t="shared" ref="AY477:AY520" si="438">IF(AX477=AJ477,TRUE,FALSE)</f>
        <v>1</v>
      </c>
      <c r="AZ477" s="328" t="b">
        <f t="shared" si="414"/>
        <v>0</v>
      </c>
    </row>
    <row r="478" ht="27" customHeight="1" spans="1:52">
      <c r="A478" s="326" t="str">
        <f>INDEX('Rate Card'!$A:$A,MATCH(服务费底表!$T478,'Rate Card'!$F:$F,0))</f>
        <v>数统</v>
      </c>
      <c r="B478" s="327" t="str">
        <f>INDEX(二三级标准!$G:$G,MATCH(服务费底表!$K478,二三级标准!B:B,0))</f>
        <v>次</v>
      </c>
      <c r="C478" s="327">
        <f>INDEX(服务费明细!$E:$E,MATCH(服务费底表!$K478,服务费明细!$B:$B,0))</f>
        <v>1</v>
      </c>
      <c r="D478" s="327" t="str">
        <f t="shared" si="426"/>
        <v>A115SA</v>
      </c>
      <c r="E478" s="327" t="str">
        <f t="shared" si="427"/>
        <v>T0385SA</v>
      </c>
      <c r="F478" s="328"/>
      <c r="G478" s="328" t="s">
        <v>684</v>
      </c>
      <c r="H478" s="326" t="str">
        <f>INDEX('Rate Card'!$B:$B,MATCH(服务费底表!$T478,'Rate Card'!$F:$F,0))</f>
        <v>生物统计及分析</v>
      </c>
      <c r="I478" s="328" t="s">
        <v>924</v>
      </c>
      <c r="J478" s="328" t="str">
        <f>INDEX(二三级标准!$Q:$Q,MATCH(服务费底表!I478,二三级标准!$O:$O,0))</f>
        <v>生物统计及分析</v>
      </c>
      <c r="K478" s="328" t="s">
        <v>335</v>
      </c>
      <c r="L478" s="328" t="str">
        <f>INDEX(二三级标准!C:C,MATCH(服务费底表!K478,二三级标准!$B:$B,0))</f>
        <v>Dry Run</v>
      </c>
      <c r="M478" s="328" t="s">
        <v>1521</v>
      </c>
      <c r="N478" s="328" t="str">
        <f>INDEX(二三级标准!$M:$M,MATCH(服务费底表!$M478,二三级标准!$L:$L,0))</f>
        <v>Dry Run程序的验证和修订</v>
      </c>
      <c r="O478" s="328"/>
      <c r="P478" s="531">
        <f>IF(R478=1,INDEX(服务费明细!$E:$E,MATCH(服务费底表!$K478,服务费明细!$B:$B,0)),0)</f>
        <v>1</v>
      </c>
      <c r="Q478" s="328" t="s">
        <v>1178</v>
      </c>
      <c r="R478" s="520">
        <f t="shared" ref="R477:R481" si="439">IF(AND(Dry_Run_YN=1,统计分析YN=1),1,0)</f>
        <v>1</v>
      </c>
      <c r="S478" s="524" t="str">
        <f>INDEX('Rate Card'!$D:$D,MATCH(服务费底表!$T478,'Rate Card'!F:F,0))</f>
        <v>统计分析</v>
      </c>
      <c r="T478" s="328" t="s">
        <v>635</v>
      </c>
      <c r="U478" s="522" t="str">
        <f>INDEX('Rate Card'!$E:$E,MATCH(服务费底表!$T478,'Rate Card'!$F:$F,0))</f>
        <v>统计分析师</v>
      </c>
      <c r="V478" s="331">
        <f>INDEX('Rate Card'!$J:$J,MATCH($T478,'Rate Card'!$F:$F,0))</f>
        <v>225</v>
      </c>
      <c r="W478" s="523">
        <f t="shared" si="428"/>
        <v>225</v>
      </c>
      <c r="X478" s="523">
        <f t="shared" si="429"/>
        <v>32</v>
      </c>
      <c r="Y478" s="327" cm="1">
        <f t="array" ref="Y478">_xlfn.IFS(报价场景=服务费底表!$AJ$2,服务费底表!$AJ478,报价场景=服务费底表!$AP$2,服务费底表!$AP478,报价场景=服务费底表!$AK$2,服务费底表!$AK478,报价场景=服务费底表!$AL$2,服务费底表!$AL478,报价场景=服务费底表!$AM$2,服务费底表!$AM478,报价场景=服务费底表!$AN$2,服务费底表!$AN478,报价场景=服务费底表!$AQ$2,服务费底表!$AQ478,报价场景=服务费底表!$AO$2,服务费底表!$AO478)</f>
        <v>32</v>
      </c>
      <c r="Z478" s="327"/>
      <c r="AA478" s="332">
        <f t="shared" si="430"/>
        <v>32</v>
      </c>
      <c r="AB478" s="333">
        <f t="shared" si="431"/>
        <v>7200</v>
      </c>
      <c r="AC478" s="328">
        <f t="shared" si="432"/>
        <v>32</v>
      </c>
      <c r="AD478" s="334">
        <f t="shared" si="433"/>
        <v>7200</v>
      </c>
      <c r="AE478" s="334">
        <f>$AB478*(1-INDEX(项目参数!$D$5:$D$14,MATCH(服务费底表!$S478,项目参数!$B$5:$B$14,0)))</f>
        <v>7200</v>
      </c>
      <c r="AF478" s="334">
        <f>$AD478*INDEX(项目参数!$D$5:$D$14,MATCH(服务费底表!$S478,项目参数!$B$5:$B$14,0))</f>
        <v>0</v>
      </c>
      <c r="AG478" s="334">
        <f t="shared" si="434"/>
        <v>7200</v>
      </c>
      <c r="AH478" s="328"/>
      <c r="AI478" s="328" t="s">
        <v>635</v>
      </c>
      <c r="AJ478" s="327">
        <v>32</v>
      </c>
      <c r="AK478" s="327">
        <v>40</v>
      </c>
      <c r="AL478" s="327">
        <v>32</v>
      </c>
      <c r="AM478" s="327">
        <v>40</v>
      </c>
      <c r="AN478" s="327">
        <v>32</v>
      </c>
      <c r="AO478" s="327">
        <f t="shared" si="416"/>
        <v>32</v>
      </c>
      <c r="AP478" s="327">
        <v>28</v>
      </c>
      <c r="AQ478" s="327">
        <f t="shared" si="435"/>
        <v>48</v>
      </c>
      <c r="AR478" s="338"/>
      <c r="AS478" s="328">
        <f t="shared" si="436"/>
        <v>32</v>
      </c>
      <c r="AT478" s="328">
        <f t="shared" si="437"/>
        <v>32</v>
      </c>
      <c r="AU478" s="523">
        <v>32</v>
      </c>
      <c r="AV478" s="328"/>
      <c r="AW478" s="328"/>
      <c r="AX478" s="332">
        <v>32</v>
      </c>
      <c r="AY478" s="328" t="b">
        <f t="shared" si="438"/>
        <v>1</v>
      </c>
      <c r="AZ478" s="328" t="b">
        <f t="shared" si="414"/>
        <v>0</v>
      </c>
    </row>
    <row r="479" ht="27" customHeight="1" spans="1:52">
      <c r="A479" s="326" t="str">
        <f>INDEX('Rate Card'!$A:$A,MATCH(服务费底表!$T479,'Rate Card'!$F:$F,0))</f>
        <v>数统</v>
      </c>
      <c r="B479" s="327" t="str">
        <f>INDEX(二三级标准!$G:$G,MATCH(服务费底表!$K479,二三级标准!B:B,0))</f>
        <v>次</v>
      </c>
      <c r="C479" s="327">
        <f>INDEX(服务费明细!$E:$E,MATCH(服务费底表!$K479,服务费明细!$B:$B,0))</f>
        <v>1</v>
      </c>
      <c r="D479" s="327" t="str">
        <f t="shared" si="426"/>
        <v>A115SA</v>
      </c>
      <c r="E479" s="327" t="str">
        <f t="shared" si="427"/>
        <v>T0386SA</v>
      </c>
      <c r="F479" s="328"/>
      <c r="G479" s="328" t="s">
        <v>684</v>
      </c>
      <c r="H479" s="326" t="str">
        <f>INDEX('Rate Card'!$B:$B,MATCH(服务费底表!$T479,'Rate Card'!$F:$F,0))</f>
        <v>生物统计及分析</v>
      </c>
      <c r="I479" s="328" t="s">
        <v>924</v>
      </c>
      <c r="J479" s="328" t="str">
        <f>INDEX(二三级标准!$Q:$Q,MATCH(服务费底表!I479,二三级标准!$O:$O,0))</f>
        <v>生物统计及分析</v>
      </c>
      <c r="K479" s="328" t="s">
        <v>335</v>
      </c>
      <c r="L479" s="328" t="str">
        <f>INDEX(二三级标准!C:C,MATCH(服务费底表!K479,二三级标准!$B:$B,0))</f>
        <v>Dry Run</v>
      </c>
      <c r="M479" s="328" t="s">
        <v>1522</v>
      </c>
      <c r="N479" s="328" t="str">
        <f>INDEX(二三级标准!$M:$M,MATCH(服务费底表!$M479,二三级标准!$L:$L,0))</f>
        <v>Dry Run的数据集合规性检查</v>
      </c>
      <c r="O479" s="328"/>
      <c r="P479" s="531">
        <f>IF(R479=1,INDEX(服务费明细!$E:$E,MATCH(服务费底表!$K479,服务费明细!$B:$B,0)),0)</f>
        <v>1</v>
      </c>
      <c r="Q479" s="328" t="s">
        <v>1178</v>
      </c>
      <c r="R479" s="520">
        <f>IF(AND(Dry_Run_YN=1,生成SDTM数据集YN=1,统计分析YN=1),1,0)</f>
        <v>1</v>
      </c>
      <c r="S479" s="524" t="str">
        <f>INDEX('Rate Card'!$D:$D,MATCH(服务费底表!$T479,'Rate Card'!F:F,0))</f>
        <v>统计分析</v>
      </c>
      <c r="T479" s="328" t="s">
        <v>635</v>
      </c>
      <c r="U479" s="522" t="str">
        <f>INDEX('Rate Card'!$E:$E,MATCH(服务费底表!$T479,'Rate Card'!$F:$F,0))</f>
        <v>统计分析师</v>
      </c>
      <c r="V479" s="331">
        <f>INDEX('Rate Card'!$J:$J,MATCH($T479,'Rate Card'!$F:$F,0))</f>
        <v>225</v>
      </c>
      <c r="W479" s="523">
        <f t="shared" si="428"/>
        <v>225</v>
      </c>
      <c r="X479" s="523">
        <f t="shared" si="429"/>
        <v>4</v>
      </c>
      <c r="Y479" s="327" cm="1">
        <f t="array" ref="Y479">_xlfn.IFS(报价场景=服务费底表!$AJ$2,服务费底表!$AJ479,报价场景=服务费底表!$AP$2,服务费底表!$AP479,报价场景=服务费底表!$AK$2,服务费底表!$AK479,报价场景=服务费底表!$AL$2,服务费底表!$AL479,报价场景=服务费底表!$AM$2,服务费底表!$AM479,报价场景=服务费底表!$AN$2,服务费底表!$AN479,报价场景=服务费底表!$AQ$2,服务费底表!$AQ479,报价场景=服务费底表!$AO$2,服务费底表!$AO479)</f>
        <v>4</v>
      </c>
      <c r="Z479" s="327"/>
      <c r="AA479" s="332">
        <f t="shared" si="430"/>
        <v>4</v>
      </c>
      <c r="AB479" s="333">
        <f t="shared" si="431"/>
        <v>900</v>
      </c>
      <c r="AC479" s="328">
        <f t="shared" si="432"/>
        <v>4</v>
      </c>
      <c r="AD479" s="334">
        <f t="shared" si="433"/>
        <v>900</v>
      </c>
      <c r="AE479" s="334">
        <f>$AB479*(1-INDEX(项目参数!$D$5:$D$14,MATCH(服务费底表!$S479,项目参数!$B$5:$B$14,0)))</f>
        <v>900</v>
      </c>
      <c r="AF479" s="334">
        <f>$AD479*INDEX(项目参数!$D$5:$D$14,MATCH(服务费底表!$S479,项目参数!$B$5:$B$14,0))</f>
        <v>0</v>
      </c>
      <c r="AG479" s="334">
        <f t="shared" si="434"/>
        <v>900</v>
      </c>
      <c r="AH479" s="328"/>
      <c r="AI479" s="328" t="s">
        <v>635</v>
      </c>
      <c r="AJ479" s="327">
        <v>4</v>
      </c>
      <c r="AK479" s="327">
        <v>6</v>
      </c>
      <c r="AL479" s="327">
        <v>3</v>
      </c>
      <c r="AM479" s="327">
        <v>6</v>
      </c>
      <c r="AN479" s="327">
        <v>3</v>
      </c>
      <c r="AO479" s="327">
        <f t="shared" si="416"/>
        <v>3</v>
      </c>
      <c r="AP479" s="327">
        <v>4</v>
      </c>
      <c r="AQ479" s="327">
        <f t="shared" si="435"/>
        <v>6</v>
      </c>
      <c r="AR479" s="338"/>
      <c r="AS479" s="328">
        <f t="shared" si="436"/>
        <v>4</v>
      </c>
      <c r="AT479" s="328">
        <f t="shared" si="437"/>
        <v>4</v>
      </c>
      <c r="AU479" s="523">
        <v>4</v>
      </c>
      <c r="AV479" s="328"/>
      <c r="AW479" s="328"/>
      <c r="AX479" s="332">
        <v>4</v>
      </c>
      <c r="AY479" s="328" t="b">
        <f t="shared" si="438"/>
        <v>1</v>
      </c>
      <c r="AZ479" s="328" t="b">
        <f t="shared" si="414"/>
        <v>0</v>
      </c>
    </row>
    <row r="480" ht="27" customHeight="1" spans="1:52">
      <c r="A480" s="326" t="str">
        <f>INDEX('Rate Card'!$A:$A,MATCH(服务费底表!$T480,'Rate Card'!$F:$F,0))</f>
        <v>数统</v>
      </c>
      <c r="B480" s="327" t="str">
        <f>INDEX(二三级标准!$G:$G,MATCH(服务费底表!$K480,二三级标准!B:B,0))</f>
        <v>次</v>
      </c>
      <c r="C480" s="327">
        <f>INDEX(服务费明细!$E:$E,MATCH(服务费底表!$K480,服务费明细!$B:$B,0))</f>
        <v>1</v>
      </c>
      <c r="D480" s="327" t="str">
        <f t="shared" si="426"/>
        <v>A115SA</v>
      </c>
      <c r="E480" s="327" t="str">
        <f t="shared" si="427"/>
        <v>T0387SA</v>
      </c>
      <c r="F480" s="328"/>
      <c r="G480" s="328" t="s">
        <v>684</v>
      </c>
      <c r="H480" s="326" t="str">
        <f>INDEX('Rate Card'!$B:$B,MATCH(服务费底表!$T480,'Rate Card'!$F:$F,0))</f>
        <v>生物统计及分析</v>
      </c>
      <c r="I480" s="328" t="s">
        <v>924</v>
      </c>
      <c r="J480" s="328" t="str">
        <f>INDEX(二三级标准!$Q:$Q,MATCH(服务费底表!I480,二三级标准!$O:$O,0))</f>
        <v>生物统计及分析</v>
      </c>
      <c r="K480" s="328" t="s">
        <v>335</v>
      </c>
      <c r="L480" s="328" t="str">
        <f>INDEX(二三级标准!C:C,MATCH(服务费底表!K480,二三级标准!$B:$B,0))</f>
        <v>Dry Run</v>
      </c>
      <c r="M480" s="328" t="s">
        <v>1523</v>
      </c>
      <c r="N480" s="328" t="str">
        <f>INDEX(二三级标准!$M:$M,MATCH(服务费底表!$M480,二三级标准!$L:$L,0))</f>
        <v>Dry Run的TFLs合并</v>
      </c>
      <c r="O480" s="328"/>
      <c r="P480" s="531">
        <f>IF(R480=1,INDEX(服务费明细!$E:$E,MATCH(服务费底表!$K480,服务费明细!$B:$B,0)),0)</f>
        <v>1</v>
      </c>
      <c r="Q480" s="328" t="s">
        <v>1178</v>
      </c>
      <c r="R480" s="520">
        <f t="shared" si="439"/>
        <v>1</v>
      </c>
      <c r="S480" s="524" t="str">
        <f>INDEX('Rate Card'!$D:$D,MATCH(服务费底表!$T480,'Rate Card'!F:F,0))</f>
        <v>统计分析</v>
      </c>
      <c r="T480" s="328" t="s">
        <v>635</v>
      </c>
      <c r="U480" s="522" t="str">
        <f>INDEX('Rate Card'!$E:$E,MATCH(服务费底表!$T480,'Rate Card'!$F:$F,0))</f>
        <v>统计分析师</v>
      </c>
      <c r="V480" s="331">
        <f>INDEX('Rate Card'!$J:$J,MATCH($T480,'Rate Card'!$F:$F,0))</f>
        <v>225</v>
      </c>
      <c r="W480" s="523">
        <f t="shared" si="428"/>
        <v>225</v>
      </c>
      <c r="X480" s="523">
        <f t="shared" si="429"/>
        <v>4</v>
      </c>
      <c r="Y480" s="327" cm="1">
        <f t="array" ref="Y480">_xlfn.IFS(报价场景=服务费底表!$AJ$2,服务费底表!$AJ480,报价场景=服务费底表!$AP$2,服务费底表!$AP480,报价场景=服务费底表!$AK$2,服务费底表!$AK480,报价场景=服务费底表!$AL$2,服务费底表!$AL480,报价场景=服务费底表!$AM$2,服务费底表!$AM480,报价场景=服务费底表!$AN$2,服务费底表!$AN480,报价场景=服务费底表!$AQ$2,服务费底表!$AQ480,报价场景=服务费底表!$AO$2,服务费底表!$AO480)</f>
        <v>4</v>
      </c>
      <c r="Z480" s="327"/>
      <c r="AA480" s="332">
        <f t="shared" si="430"/>
        <v>4</v>
      </c>
      <c r="AB480" s="333">
        <f t="shared" si="431"/>
        <v>900</v>
      </c>
      <c r="AC480" s="328">
        <f t="shared" si="432"/>
        <v>4</v>
      </c>
      <c r="AD480" s="334">
        <f t="shared" si="433"/>
        <v>900</v>
      </c>
      <c r="AE480" s="334">
        <f>$AB480*(1-INDEX(项目参数!$D$5:$D$14,MATCH(服务费底表!$S480,项目参数!$B$5:$B$14,0)))</f>
        <v>900</v>
      </c>
      <c r="AF480" s="334">
        <f>$AD480*INDEX(项目参数!$D$5:$D$14,MATCH(服务费底表!$S480,项目参数!$B$5:$B$14,0))</f>
        <v>0</v>
      </c>
      <c r="AG480" s="334">
        <f t="shared" si="434"/>
        <v>900</v>
      </c>
      <c r="AH480" s="328"/>
      <c r="AI480" s="328" t="s">
        <v>635</v>
      </c>
      <c r="AJ480" s="327">
        <v>4</v>
      </c>
      <c r="AK480" s="327">
        <v>6</v>
      </c>
      <c r="AL480" s="327">
        <v>4</v>
      </c>
      <c r="AM480" s="327">
        <v>6</v>
      </c>
      <c r="AN480" s="327">
        <v>4</v>
      </c>
      <c r="AO480" s="327">
        <f t="shared" si="416"/>
        <v>4</v>
      </c>
      <c r="AP480" s="327">
        <v>4</v>
      </c>
      <c r="AQ480" s="327">
        <f t="shared" si="435"/>
        <v>6</v>
      </c>
      <c r="AR480" s="338"/>
      <c r="AS480" s="328">
        <f t="shared" si="436"/>
        <v>4</v>
      </c>
      <c r="AT480" s="328">
        <f t="shared" si="437"/>
        <v>4</v>
      </c>
      <c r="AU480" s="523">
        <v>4</v>
      </c>
      <c r="AV480" s="328"/>
      <c r="AW480" s="328"/>
      <c r="AX480" s="332">
        <v>4</v>
      </c>
      <c r="AY480" s="328" t="b">
        <f t="shared" si="438"/>
        <v>1</v>
      </c>
      <c r="AZ480" s="328" t="b">
        <f t="shared" si="414"/>
        <v>0</v>
      </c>
    </row>
    <row r="481" ht="27" customHeight="1" spans="1:52">
      <c r="A481" s="326" t="str">
        <f>INDEX('Rate Card'!$A:$A,MATCH(服务费底表!$T481,'Rate Card'!$F:$F,0))</f>
        <v>数统</v>
      </c>
      <c r="B481" s="327" t="str">
        <f>INDEX(二三级标准!$G:$G,MATCH(服务费底表!$K481,二三级标准!B:B,0))</f>
        <v>次</v>
      </c>
      <c r="C481" s="327">
        <f>INDEX(服务费明细!$E:$E,MATCH(服务费底表!$K481,服务费明细!$B:$B,0))</f>
        <v>1</v>
      </c>
      <c r="D481" s="327" t="str">
        <f t="shared" si="426"/>
        <v>A115SAM</v>
      </c>
      <c r="E481" s="327" t="str">
        <f t="shared" si="427"/>
        <v>T0388SAM</v>
      </c>
      <c r="F481" s="328"/>
      <c r="G481" s="328" t="s">
        <v>684</v>
      </c>
      <c r="H481" s="326" t="str">
        <f>INDEX('Rate Card'!$B:$B,MATCH(服务费底表!$T481,'Rate Card'!$F:$F,0))</f>
        <v>生物统计及分析</v>
      </c>
      <c r="I481" s="328" t="s">
        <v>924</v>
      </c>
      <c r="J481" s="328" t="str">
        <f>INDEX(二三级标准!$Q:$Q,MATCH(服务费底表!I481,二三级标准!$O:$O,0))</f>
        <v>生物统计及分析</v>
      </c>
      <c r="K481" s="328" t="s">
        <v>335</v>
      </c>
      <c r="L481" s="328" t="str">
        <f>INDEX(二三级标准!C:C,MATCH(服务费底表!K481,二三级标准!$B:$B,0))</f>
        <v>Dry Run</v>
      </c>
      <c r="M481" s="328" t="s">
        <v>1524</v>
      </c>
      <c r="N481" s="328" t="str">
        <f>INDEX(二三级标准!$M:$M,MATCH(服务费底表!$M481,二三级标准!$L:$L,0))</f>
        <v>Dry Run的结果审核</v>
      </c>
      <c r="O481" s="328"/>
      <c r="P481" s="531">
        <f>IF(R481=1,INDEX(服务费明细!$E:$E,MATCH(服务费底表!$K481,服务费明细!$B:$B,0)),0)</f>
        <v>1</v>
      </c>
      <c r="Q481" s="328" t="s">
        <v>1178</v>
      </c>
      <c r="R481" s="520">
        <f t="shared" si="439"/>
        <v>1</v>
      </c>
      <c r="S481" s="524" t="str">
        <f>INDEX('Rate Card'!$D:$D,MATCH(服务费底表!$T481,'Rate Card'!F:F,0))</f>
        <v>统计分析</v>
      </c>
      <c r="T481" s="328" t="s">
        <v>638</v>
      </c>
      <c r="U481" s="522" t="str">
        <f>INDEX('Rate Card'!$E:$E,MATCH(服务费底表!$T481,'Rate Card'!$F:$F,0))</f>
        <v>统计分析经理</v>
      </c>
      <c r="V481" s="331">
        <f>INDEX('Rate Card'!$J:$J,MATCH($T481,'Rate Card'!$F:$F,0))</f>
        <v>450</v>
      </c>
      <c r="W481" s="523">
        <f t="shared" si="428"/>
        <v>450</v>
      </c>
      <c r="X481" s="523">
        <f t="shared" si="429"/>
        <v>4</v>
      </c>
      <c r="Y481" s="327" cm="1">
        <f t="array" ref="Y481">_xlfn.IFS(报价场景=服务费底表!$AJ$2,服务费底表!$AJ481,报价场景=服务费底表!$AP$2,服务费底表!$AP481,报价场景=服务费底表!$AK$2,服务费底表!$AK481,报价场景=服务费底表!$AL$2,服务费底表!$AL481,报价场景=服务费底表!$AM$2,服务费底表!$AM481,报价场景=服务费底表!$AN$2,服务费底表!$AN481,报价场景=服务费底表!$AQ$2,服务费底表!$AQ481,报价场景=服务费底表!$AO$2,服务费底表!$AO481)</f>
        <v>4</v>
      </c>
      <c r="Z481" s="327"/>
      <c r="AA481" s="332">
        <f t="shared" si="430"/>
        <v>4</v>
      </c>
      <c r="AB481" s="333">
        <f t="shared" si="431"/>
        <v>1800</v>
      </c>
      <c r="AC481" s="328">
        <f t="shared" si="432"/>
        <v>4</v>
      </c>
      <c r="AD481" s="334">
        <f t="shared" si="433"/>
        <v>1800</v>
      </c>
      <c r="AE481" s="334">
        <f>$AB481*(1-INDEX(项目参数!$D$5:$D$14,MATCH(服务费底表!$S481,项目参数!$B$5:$B$14,0)))</f>
        <v>1800</v>
      </c>
      <c r="AF481" s="334">
        <f>$AD481*INDEX(项目参数!$D$5:$D$14,MATCH(服务费底表!$S481,项目参数!$B$5:$B$14,0))</f>
        <v>0</v>
      </c>
      <c r="AG481" s="334">
        <f t="shared" si="434"/>
        <v>1800</v>
      </c>
      <c r="AH481" s="328"/>
      <c r="AI481" s="328" t="s">
        <v>638</v>
      </c>
      <c r="AJ481" s="327">
        <v>4</v>
      </c>
      <c r="AK481" s="327">
        <v>8</v>
      </c>
      <c r="AL481" s="327">
        <v>4</v>
      </c>
      <c r="AM481" s="327">
        <v>8</v>
      </c>
      <c r="AN481" s="327">
        <v>4</v>
      </c>
      <c r="AO481" s="327">
        <f t="shared" si="416"/>
        <v>4</v>
      </c>
      <c r="AP481" s="327">
        <v>4</v>
      </c>
      <c r="AQ481" s="327">
        <f t="shared" si="435"/>
        <v>6</v>
      </c>
      <c r="AR481" s="338"/>
      <c r="AS481" s="328">
        <f t="shared" si="436"/>
        <v>4</v>
      </c>
      <c r="AT481" s="328">
        <f t="shared" si="437"/>
        <v>4</v>
      </c>
      <c r="AU481" s="523">
        <v>4</v>
      </c>
      <c r="AV481" s="328"/>
      <c r="AW481" s="328"/>
      <c r="AX481" s="332">
        <v>4</v>
      </c>
      <c r="AY481" s="328" t="b">
        <f t="shared" si="438"/>
        <v>1</v>
      </c>
      <c r="AZ481" s="328" t="b">
        <f t="shared" si="414"/>
        <v>0</v>
      </c>
    </row>
    <row r="482" ht="27" customHeight="1" spans="1:52">
      <c r="A482" s="326" t="str">
        <f>INDEX('Rate Card'!$A:$A,MATCH(服务费底表!$T482,'Rate Card'!$F:$F,0))</f>
        <v>数统</v>
      </c>
      <c r="B482" s="327" t="str">
        <f>INDEX(二三级标准!$G:$G,MATCH(服务费底表!$K482,二三级标准!B:B,0))</f>
        <v>次</v>
      </c>
      <c r="C482" s="327">
        <f>INDEX(服务费明细!$E:$E,MATCH(服务费底表!$K482,服务费明细!$B:$B,0))</f>
        <v>1</v>
      </c>
      <c r="D482" s="327" t="str">
        <f t="shared" si="426"/>
        <v>A115ST</v>
      </c>
      <c r="E482" s="327" t="str">
        <f t="shared" si="427"/>
        <v>T0388ST</v>
      </c>
      <c r="F482" s="328"/>
      <c r="G482" s="328" t="s">
        <v>684</v>
      </c>
      <c r="H482" s="326" t="str">
        <f>INDEX('Rate Card'!$B:$B,MATCH(服务费底表!$T482,'Rate Card'!$F:$F,0))</f>
        <v>生物统计及分析</v>
      </c>
      <c r="I482" s="328" t="s">
        <v>924</v>
      </c>
      <c r="J482" s="328" t="str">
        <f>INDEX(二三级标准!$Q:$Q,MATCH(服务费底表!I482,二三级标准!$O:$O,0))</f>
        <v>生物统计及分析</v>
      </c>
      <c r="K482" s="328" t="s">
        <v>335</v>
      </c>
      <c r="L482" s="328" t="str">
        <f>INDEX(二三级标准!C:C,MATCH(服务费底表!K482,二三级标准!$B:$B,0))</f>
        <v>Dry Run</v>
      </c>
      <c r="M482" s="328" t="s">
        <v>1524</v>
      </c>
      <c r="N482" s="328" t="str">
        <f>INDEX(二三级标准!$M:$M,MATCH(服务费底表!$M482,二三级标准!$L:$L,0))</f>
        <v>Dry Run的结果审核</v>
      </c>
      <c r="O482" s="328"/>
      <c r="P482" s="531">
        <f>IF(R482=1,INDEX(服务费明细!$E:$E,MATCH(服务费底表!$K482,服务费明细!$B:$B,0)),0)</f>
        <v>1</v>
      </c>
      <c r="Q482" s="328" t="s">
        <v>1178</v>
      </c>
      <c r="R482" s="520">
        <f>IF(AND(Dry_Run_YN=1,生物统计YN=1),1,0)</f>
        <v>1</v>
      </c>
      <c r="S482" s="524" t="str">
        <f>INDEX('Rate Card'!$D:$D,MATCH(服务费底表!$T482,'Rate Card'!F:F,0))</f>
        <v>生物统计</v>
      </c>
      <c r="T482" s="328" t="s">
        <v>639</v>
      </c>
      <c r="U482" s="522" t="str">
        <f>INDEX('Rate Card'!$E:$E,MATCH(服务费底表!$T482,'Rate Card'!$F:$F,0))</f>
        <v>生物统计师</v>
      </c>
      <c r="V482" s="331">
        <f>INDEX('Rate Card'!$J:$J,MATCH($T482,'Rate Card'!$F:$F,0))</f>
        <v>400</v>
      </c>
      <c r="W482" s="523">
        <f t="shared" si="428"/>
        <v>400</v>
      </c>
      <c r="X482" s="523">
        <f t="shared" si="429"/>
        <v>16</v>
      </c>
      <c r="Y482" s="327" cm="1">
        <f t="array" ref="Y482">_xlfn.IFS(报价场景=服务费底表!$AJ$2,服务费底表!$AJ482,报价场景=服务费底表!$AP$2,服务费底表!$AP482,报价场景=服务费底表!$AK$2,服务费底表!$AK482,报价场景=服务费底表!$AL$2,服务费底表!$AL482,报价场景=服务费底表!$AM$2,服务费底表!$AM482,报价场景=服务费底表!$AN$2,服务费底表!$AN482,报价场景=服务费底表!$AQ$2,服务费底表!$AQ482,报价场景=服务费底表!$AO$2,服务费底表!$AO482)</f>
        <v>16</v>
      </c>
      <c r="Z482" s="327"/>
      <c r="AA482" s="332">
        <f t="shared" si="430"/>
        <v>16</v>
      </c>
      <c r="AB482" s="333">
        <f t="shared" si="431"/>
        <v>6400</v>
      </c>
      <c r="AC482" s="328">
        <f t="shared" si="432"/>
        <v>16</v>
      </c>
      <c r="AD482" s="334">
        <f t="shared" si="433"/>
        <v>6400</v>
      </c>
      <c r="AE482" s="334">
        <f>$AB482*(1-INDEX(项目参数!$D$5:$D$14,MATCH(服务费底表!$S482,项目参数!$B$5:$B$14,0)))</f>
        <v>6400</v>
      </c>
      <c r="AF482" s="334">
        <f>$AD482*INDEX(项目参数!$D$5:$D$14,MATCH(服务费底表!$S482,项目参数!$B$5:$B$14,0))</f>
        <v>0</v>
      </c>
      <c r="AG482" s="334">
        <f t="shared" si="434"/>
        <v>6400</v>
      </c>
      <c r="AH482" s="328"/>
      <c r="AI482" s="328" t="s">
        <v>639</v>
      </c>
      <c r="AJ482" s="327">
        <v>16</v>
      </c>
      <c r="AK482" s="327">
        <v>24</v>
      </c>
      <c r="AL482" s="327">
        <v>12</v>
      </c>
      <c r="AM482" s="327">
        <v>24</v>
      </c>
      <c r="AN482" s="327">
        <v>12</v>
      </c>
      <c r="AO482" s="327">
        <f t="shared" si="416"/>
        <v>12</v>
      </c>
      <c r="AP482" s="327">
        <v>16</v>
      </c>
      <c r="AQ482" s="327">
        <f t="shared" si="435"/>
        <v>24</v>
      </c>
      <c r="AR482" s="338"/>
      <c r="AS482" s="328">
        <f t="shared" si="436"/>
        <v>16</v>
      </c>
      <c r="AT482" s="328">
        <f t="shared" si="437"/>
        <v>16</v>
      </c>
      <c r="AU482" s="523">
        <v>16</v>
      </c>
      <c r="AV482" s="328"/>
      <c r="AW482" s="328"/>
      <c r="AX482" s="332">
        <v>16</v>
      </c>
      <c r="AY482" s="328" t="b">
        <f t="shared" si="438"/>
        <v>1</v>
      </c>
      <c r="AZ482" s="328" t="b">
        <f t="shared" si="414"/>
        <v>0</v>
      </c>
    </row>
    <row r="483" ht="27" customHeight="1" spans="1:52">
      <c r="A483" s="326" t="str">
        <f>INDEX('Rate Card'!$A:$A,MATCH(服务费底表!$T483,'Rate Card'!$F:$F,0))</f>
        <v>临床药理</v>
      </c>
      <c r="B483" s="327" t="str">
        <f>INDEX(二三级标准!$G:$G,MATCH(服务费底表!$K483,二三级标准!B:B,0))</f>
        <v>次</v>
      </c>
      <c r="C483" s="327">
        <f>INDEX(服务费明细!$E:$E,MATCH(服务费底表!$K483,服务费明细!$B:$B,0))</f>
        <v>1</v>
      </c>
      <c r="D483" s="327" t="str">
        <f t="shared" si="426"/>
        <v>A115CPSS</v>
      </c>
      <c r="E483" s="327" t="str">
        <f t="shared" si="427"/>
        <v>T0388CPSS</v>
      </c>
      <c r="F483" s="328"/>
      <c r="G483" s="328" t="s">
        <v>684</v>
      </c>
      <c r="H483" s="326" t="str">
        <f>INDEX('Rate Card'!$B:$B,MATCH(服务费底表!$T483,'Rate Card'!$F:$F,0))</f>
        <v>临床药理</v>
      </c>
      <c r="I483" s="328" t="s">
        <v>924</v>
      </c>
      <c r="J483" s="328" t="str">
        <f>INDEX(二三级标准!$Q:$Q,MATCH(服务费底表!I483,二三级标准!$O:$O,0))</f>
        <v>生物统计及分析</v>
      </c>
      <c r="K483" s="328" t="s">
        <v>335</v>
      </c>
      <c r="L483" s="328" t="str">
        <f>INDEX(二三级标准!C:C,MATCH(服务费底表!K483,二三级标准!$B:$B,0))</f>
        <v>Dry Run</v>
      </c>
      <c r="M483" s="328" t="s">
        <v>1524</v>
      </c>
      <c r="N483" s="328" t="str">
        <f>INDEX(二三级标准!$M:$M,MATCH(服务费底表!$M483,二三级标准!$L:$L,0))</f>
        <v>Dry Run的结果审核</v>
      </c>
      <c r="O483" s="328"/>
      <c r="P483" s="531">
        <f>IF(R483=1,INDEX(服务费明细!$E:$E,MATCH(服务费底表!$K483,服务费明细!$B:$B,0)),0)</f>
        <v>1</v>
      </c>
      <c r="Q483" s="328" t="s">
        <v>1178</v>
      </c>
      <c r="R483" s="520">
        <f>IF(AND(Dry_Run_YN=1,临床药理YN=1),1,0)</f>
        <v>1</v>
      </c>
      <c r="S483" s="328" t="str">
        <f>INDEX('Rate Card'!$D:$D,MATCH(服务费底表!$T483,'Rate Card'!F:F,0))</f>
        <v>临床药理</v>
      </c>
      <c r="T483" s="328" t="s">
        <v>654</v>
      </c>
      <c r="U483" s="522" t="str">
        <f>INDEX('Rate Card'!$E:$E,MATCH(服务费底表!$T483,'Rate Card'!$F:$F,0))</f>
        <v>临床药理高级专员</v>
      </c>
      <c r="V483" s="331">
        <f>INDEX('Rate Card'!$J:$J,MATCH($T483,'Rate Card'!$F:$F,0))</f>
        <v>700</v>
      </c>
      <c r="W483" s="523">
        <f t="shared" si="428"/>
        <v>700</v>
      </c>
      <c r="X483" s="523">
        <f t="shared" si="429"/>
        <v>8</v>
      </c>
      <c r="Y483" s="327" cm="1">
        <f t="array" ref="Y483">_xlfn.IFS(报价场景=服务费底表!$AJ$2,服务费底表!$AJ483,报价场景=服务费底表!$AP$2,服务费底表!$AP483,报价场景=服务费底表!$AK$2,服务费底表!$AK483,报价场景=服务费底表!$AL$2,服务费底表!$AL483,报价场景=服务费底表!$AM$2,服务费底表!$AM483,报价场景=服务费底表!$AN$2,服务费底表!$AN483,报价场景=服务费底表!$AQ$2,服务费底表!$AQ483,报价场景=服务费底表!$AO$2,服务费底表!$AO483)</f>
        <v>8</v>
      </c>
      <c r="Z483" s="327"/>
      <c r="AA483" s="332">
        <f t="shared" si="430"/>
        <v>8</v>
      </c>
      <c r="AB483" s="333">
        <f t="shared" si="431"/>
        <v>5600</v>
      </c>
      <c r="AC483" s="328">
        <f t="shared" si="432"/>
        <v>8</v>
      </c>
      <c r="AD483" s="334">
        <f t="shared" si="433"/>
        <v>5600</v>
      </c>
      <c r="AE483" s="334">
        <f>$AB483*(1-INDEX(项目参数!$D$5:$D$14,MATCH(服务费底表!$S483,项目参数!$B$5:$B$14,0)))</f>
        <v>5600</v>
      </c>
      <c r="AF483" s="334">
        <f>$AD483*INDEX(项目参数!$D$5:$D$14,MATCH(服务费底表!$S483,项目参数!$B$5:$B$14,0))</f>
        <v>0</v>
      </c>
      <c r="AG483" s="334">
        <f t="shared" si="434"/>
        <v>5600</v>
      </c>
      <c r="AH483" s="328"/>
      <c r="AI483" s="328" t="s">
        <v>654</v>
      </c>
      <c r="AJ483" s="336">
        <v>8</v>
      </c>
      <c r="AK483" s="336">
        <v>8</v>
      </c>
      <c r="AL483" s="327">
        <v>8</v>
      </c>
      <c r="AM483" s="327">
        <v>8</v>
      </c>
      <c r="AN483" s="327">
        <v>8</v>
      </c>
      <c r="AO483" s="327">
        <f t="shared" si="416"/>
        <v>8</v>
      </c>
      <c r="AP483" s="327">
        <v>8</v>
      </c>
      <c r="AQ483" s="327">
        <f t="shared" si="435"/>
        <v>12</v>
      </c>
      <c r="AR483" s="338"/>
      <c r="AS483" s="328">
        <f t="shared" si="436"/>
        <v>8</v>
      </c>
      <c r="AT483" s="328">
        <f t="shared" si="437"/>
        <v>8</v>
      </c>
      <c r="AU483" s="523">
        <v>8</v>
      </c>
      <c r="AV483" s="328"/>
      <c r="AW483" s="328"/>
      <c r="AX483" s="332">
        <v>8</v>
      </c>
      <c r="AY483" s="328" t="b">
        <f t="shared" si="438"/>
        <v>1</v>
      </c>
      <c r="AZ483" s="328" t="b">
        <f t="shared" si="414"/>
        <v>0</v>
      </c>
    </row>
    <row r="484" ht="27" customHeight="1" spans="1:52">
      <c r="A484" s="326" t="str">
        <f>INDEX('Rate Card'!$A:$A,MATCH(服务费底表!$T484,'Rate Card'!$F:$F,0))</f>
        <v>医学</v>
      </c>
      <c r="B484" s="327" t="str">
        <f>INDEX(二三级标准!$G:$G,MATCH(服务费底表!$K484,二三级标准!B:B,0))</f>
        <v>次</v>
      </c>
      <c r="C484" s="327">
        <f>INDEX(服务费明细!$E:$E,MATCH(服务费底表!$K484,服务费明细!$B:$B,0))</f>
        <v>1</v>
      </c>
      <c r="D484" s="327" t="str">
        <f t="shared" si="426"/>
        <v>A115MM</v>
      </c>
      <c r="E484" s="327" t="str">
        <f t="shared" si="427"/>
        <v>T0388MM</v>
      </c>
      <c r="F484" s="328"/>
      <c r="G484" s="328" t="s">
        <v>684</v>
      </c>
      <c r="H484" s="326" t="str">
        <f>INDEX('Rate Card'!$B:$B,MATCH(服务费底表!$T484,'Rate Card'!$F:$F,0))</f>
        <v>医学</v>
      </c>
      <c r="I484" s="328" t="s">
        <v>924</v>
      </c>
      <c r="J484" s="328" t="str">
        <f>INDEX(二三级标准!$Q:$Q,MATCH(服务费底表!I484,二三级标准!$O:$O,0))</f>
        <v>生物统计及分析</v>
      </c>
      <c r="K484" s="328" t="s">
        <v>335</v>
      </c>
      <c r="L484" s="328" t="str">
        <f>INDEX(二三级标准!C:C,MATCH(服务费底表!K484,二三级标准!$B:$B,0))</f>
        <v>Dry Run</v>
      </c>
      <c r="M484" s="328" t="s">
        <v>1524</v>
      </c>
      <c r="N484" s="328" t="str">
        <f>INDEX(二三级标准!$M:$M,MATCH(服务费底表!$M484,二三级标准!$L:$L,0))</f>
        <v>Dry Run的结果审核</v>
      </c>
      <c r="O484" s="328"/>
      <c r="P484" s="531">
        <f>IF(R484=1,INDEX(服务费明细!$E:$E,MATCH(服务费底表!$K484,服务费明细!$B:$B,0)),0)</f>
        <v>1</v>
      </c>
      <c r="Q484" s="328" t="s">
        <v>1178</v>
      </c>
      <c r="R484" s="520">
        <f>IF(AND(Dry_Run_YN=1,医学监查YN=1),1,0)</f>
        <v>1</v>
      </c>
      <c r="S484" s="521" t="str">
        <f>IF(AND(H484="医学",OR(I484=二三级标准!$A$4,I484=二三级标准!$A$153)),"医学撰写","医学监查")</f>
        <v>医学监查</v>
      </c>
      <c r="T484" s="328" t="s">
        <v>615</v>
      </c>
      <c r="U484" s="522" t="str">
        <f>INDEX('Rate Card'!$E:$E,MATCH(服务费底表!$T484,'Rate Card'!$F:$F,0))</f>
        <v>医学经理</v>
      </c>
      <c r="V484" s="331">
        <f>INDEX('Rate Card'!$J:$J,MATCH($T484,'Rate Card'!$F:$F,0))</f>
        <v>650</v>
      </c>
      <c r="W484" s="523">
        <f t="shared" si="428"/>
        <v>650</v>
      </c>
      <c r="X484" s="523">
        <f t="shared" si="429"/>
        <v>4</v>
      </c>
      <c r="Y484" s="327" cm="1">
        <f t="array" ref="Y484">_xlfn.IFS(报价场景=服务费底表!$AJ$2,服务费底表!$AJ484,报价场景=服务费底表!$AP$2,服务费底表!$AP484,报价场景=服务费底表!$AK$2,服务费底表!$AK484,报价场景=服务费底表!$AL$2,服务费底表!$AL484,报价场景=服务费底表!$AM$2,服务费底表!$AM484,报价场景=服务费底表!$AN$2,服务费底表!$AN484,报价场景=服务费底表!$AQ$2,服务费底表!$AQ484,报价场景=服务费底表!$AO$2,服务费底表!$AO484)</f>
        <v>4</v>
      </c>
      <c r="Z484" s="327"/>
      <c r="AA484" s="332">
        <f t="shared" si="430"/>
        <v>4</v>
      </c>
      <c r="AB484" s="333">
        <f t="shared" si="431"/>
        <v>2600</v>
      </c>
      <c r="AC484" s="328">
        <f t="shared" si="432"/>
        <v>4</v>
      </c>
      <c r="AD484" s="334">
        <f t="shared" si="433"/>
        <v>2600</v>
      </c>
      <c r="AE484" s="334">
        <f>$AB484*(1-INDEX(项目参数!$D$5:$D$14,MATCH(服务费底表!$S484,项目参数!$B$5:$B$14,0)))</f>
        <v>2600</v>
      </c>
      <c r="AF484" s="334">
        <f>$AD484*INDEX(项目参数!$D$5:$D$14,MATCH(服务费底表!$S484,项目参数!$B$5:$B$14,0))</f>
        <v>0</v>
      </c>
      <c r="AG484" s="334">
        <f t="shared" si="434"/>
        <v>2600</v>
      </c>
      <c r="AH484" s="328"/>
      <c r="AI484" s="328" t="s">
        <v>615</v>
      </c>
      <c r="AJ484" s="336">
        <v>4</v>
      </c>
      <c r="AK484" s="327">
        <f>AJ484*1.5</f>
        <v>6</v>
      </c>
      <c r="AL484" s="327">
        <v>2.5</v>
      </c>
      <c r="AM484" s="327">
        <v>5.5</v>
      </c>
      <c r="AN484" s="327">
        <f>AL484</f>
        <v>2.5</v>
      </c>
      <c r="AO484" s="327">
        <f t="shared" si="416"/>
        <v>2.5</v>
      </c>
      <c r="AP484" s="327">
        <v>4</v>
      </c>
      <c r="AQ484" s="327">
        <f t="shared" si="435"/>
        <v>6</v>
      </c>
      <c r="AR484" s="338"/>
      <c r="AS484" s="328">
        <f t="shared" si="436"/>
        <v>4</v>
      </c>
      <c r="AT484" s="328">
        <f t="shared" si="437"/>
        <v>4</v>
      </c>
      <c r="AU484" s="523">
        <v>4</v>
      </c>
      <c r="AV484" s="328"/>
      <c r="AW484" s="328"/>
      <c r="AX484" s="332">
        <v>4</v>
      </c>
      <c r="AY484" s="328" t="b">
        <f t="shared" si="438"/>
        <v>1</v>
      </c>
      <c r="AZ484" s="328" t="b">
        <f t="shared" si="414"/>
        <v>0</v>
      </c>
    </row>
    <row r="485" ht="27" customHeight="1" spans="1:52">
      <c r="A485" s="326" t="str">
        <f>INDEX('Rate Card'!$A:$A,MATCH(服务费底表!$T485,'Rate Card'!$F:$F,0))</f>
        <v>数统</v>
      </c>
      <c r="B485" s="327" t="str">
        <f>INDEX(二三级标准!$G:$G,MATCH(服务费底表!$K485,二三级标准!B:B,0))</f>
        <v>次</v>
      </c>
      <c r="C485" s="327">
        <f>INDEX(服务费明细!$E:$E,MATCH(服务费底表!$K485,服务费明细!$B:$B,0))</f>
        <v>1</v>
      </c>
      <c r="D485" s="327" t="str">
        <f t="shared" si="426"/>
        <v>A115ST</v>
      </c>
      <c r="E485" s="327" t="str">
        <f t="shared" si="427"/>
        <v>T0389ST</v>
      </c>
      <c r="F485" s="328"/>
      <c r="G485" s="328" t="s">
        <v>684</v>
      </c>
      <c r="H485" s="326" t="str">
        <f>INDEX('Rate Card'!$B:$B,MATCH(服务费底表!$T485,'Rate Card'!$F:$F,0))</f>
        <v>生物统计及分析</v>
      </c>
      <c r="I485" s="328" t="s">
        <v>924</v>
      </c>
      <c r="J485" s="328" t="str">
        <f>INDEX(二三级标准!$Q:$Q,MATCH(服务费底表!I485,二三级标准!$O:$O,0))</f>
        <v>生物统计及分析</v>
      </c>
      <c r="K485" s="328" t="s">
        <v>335</v>
      </c>
      <c r="L485" s="328" t="str">
        <f>INDEX(二三级标准!C:C,MATCH(服务费底表!K485,二三级标准!$B:$B,0))</f>
        <v>Dry Run</v>
      </c>
      <c r="M485" s="328" t="s">
        <v>1525</v>
      </c>
      <c r="N485" s="328" t="str">
        <f>INDEX(二三级标准!$M:$M,MATCH(服务费底表!$M485,二三级标准!$L:$L,0))</f>
        <v>Dry Run的TFLs交付</v>
      </c>
      <c r="O485" s="328"/>
      <c r="P485" s="531">
        <f>IF(R485=1,INDEX(服务费明细!$E:$E,MATCH(服务费底表!$K485,服务费明细!$B:$B,0)),0)</f>
        <v>1</v>
      </c>
      <c r="Q485" s="328" t="s">
        <v>1178</v>
      </c>
      <c r="R485" s="520">
        <f>IF(AND(Dry_Run_YN=1,生物统计YN=1),1,0)</f>
        <v>1</v>
      </c>
      <c r="S485" s="524" t="str">
        <f>INDEX('Rate Card'!$D:$D,MATCH(服务费底表!$T485,'Rate Card'!F:F,0))</f>
        <v>生物统计</v>
      </c>
      <c r="T485" s="328" t="s">
        <v>639</v>
      </c>
      <c r="U485" s="522" t="str">
        <f>INDEX('Rate Card'!$E:$E,MATCH(服务费底表!$T485,'Rate Card'!$F:$F,0))</f>
        <v>生物统计师</v>
      </c>
      <c r="V485" s="331">
        <f>INDEX('Rate Card'!$J:$J,MATCH($T485,'Rate Card'!$F:$F,0))</f>
        <v>400</v>
      </c>
      <c r="W485" s="523">
        <f t="shared" si="428"/>
        <v>400</v>
      </c>
      <c r="X485" s="523">
        <f t="shared" si="429"/>
        <v>1</v>
      </c>
      <c r="Y485" s="327" cm="1">
        <f t="array" ref="Y485">_xlfn.IFS(报价场景=服务费底表!$AJ$2,服务费底表!$AJ485,报价场景=服务费底表!$AP$2,服务费底表!$AP485,报价场景=服务费底表!$AK$2,服务费底表!$AK485,报价场景=服务费底表!$AL$2,服务费底表!$AL485,报价场景=服务费底表!$AM$2,服务费底表!$AM485,报价场景=服务费底表!$AN$2,服务费底表!$AN485,报价场景=服务费底表!$AQ$2,服务费底表!$AQ485,报价场景=服务费底表!$AO$2,服务费底表!$AO485)</f>
        <v>1</v>
      </c>
      <c r="Z485" s="327"/>
      <c r="AA485" s="332">
        <f t="shared" si="430"/>
        <v>1</v>
      </c>
      <c r="AB485" s="333">
        <f t="shared" si="431"/>
        <v>400</v>
      </c>
      <c r="AC485" s="328">
        <f t="shared" si="432"/>
        <v>1</v>
      </c>
      <c r="AD485" s="334">
        <f t="shared" si="433"/>
        <v>400</v>
      </c>
      <c r="AE485" s="334">
        <f>$AB485*(1-INDEX(项目参数!$D$5:$D$14,MATCH(服务费底表!$S485,项目参数!$B$5:$B$14,0)))</f>
        <v>400</v>
      </c>
      <c r="AF485" s="334">
        <f>$AD485*INDEX(项目参数!$D$5:$D$14,MATCH(服务费底表!$S485,项目参数!$B$5:$B$14,0))</f>
        <v>0</v>
      </c>
      <c r="AG485" s="334">
        <f t="shared" si="434"/>
        <v>400</v>
      </c>
      <c r="AH485" s="328"/>
      <c r="AI485" s="328" t="s">
        <v>639</v>
      </c>
      <c r="AJ485" s="327">
        <v>1</v>
      </c>
      <c r="AK485" s="327">
        <v>1.5</v>
      </c>
      <c r="AL485" s="327">
        <v>1</v>
      </c>
      <c r="AM485" s="327">
        <v>1</v>
      </c>
      <c r="AN485" s="327">
        <v>1</v>
      </c>
      <c r="AO485" s="327">
        <f t="shared" si="416"/>
        <v>1</v>
      </c>
      <c r="AP485" s="327">
        <v>1</v>
      </c>
      <c r="AQ485" s="327">
        <f t="shared" si="435"/>
        <v>1.5</v>
      </c>
      <c r="AR485" s="338"/>
      <c r="AS485" s="328">
        <f t="shared" si="436"/>
        <v>1</v>
      </c>
      <c r="AT485" s="328">
        <f t="shared" si="437"/>
        <v>1</v>
      </c>
      <c r="AU485" s="523">
        <v>1</v>
      </c>
      <c r="AV485" s="328"/>
      <c r="AW485" s="328"/>
      <c r="AX485" s="332">
        <v>1</v>
      </c>
      <c r="AY485" s="328" t="b">
        <f t="shared" si="438"/>
        <v>1</v>
      </c>
      <c r="AZ485" s="328" t="b">
        <f t="shared" si="414"/>
        <v>0</v>
      </c>
    </row>
    <row r="486" ht="27" customHeight="1" spans="1:52">
      <c r="A486" s="326" t="str">
        <f>INDEX('Rate Card'!$A:$A,MATCH(服务费底表!$T486,'Rate Card'!$F:$F,0))</f>
        <v>数统</v>
      </c>
      <c r="B486" s="327" t="str">
        <f>INDEX(二三级标准!$G:$G,MATCH(服务费底表!$K486,二三级标准!B:B,0))</f>
        <v>次</v>
      </c>
      <c r="C486" s="327">
        <f>INDEX(服务费明细!$E:$E,MATCH(服务费底表!$K486,服务费明细!$B:$B,0))</f>
        <v>0</v>
      </c>
      <c r="D486" s="327" t="str">
        <f t="shared" si="426"/>
        <v>A116DM</v>
      </c>
      <c r="E486" s="327" t="str">
        <f t="shared" si="427"/>
        <v>T0390DM</v>
      </c>
      <c r="F486" s="328"/>
      <c r="G486" s="328" t="s">
        <v>684</v>
      </c>
      <c r="H486" s="326" t="str">
        <f>INDEX('Rate Card'!$B:$B,MATCH(服务费底表!$T486,'Rate Card'!$F:$F,0))</f>
        <v>数据管理</v>
      </c>
      <c r="I486" s="328" t="s">
        <v>924</v>
      </c>
      <c r="J486" s="328" t="str">
        <f>INDEX(二三级标准!$Q:$Q,MATCH(服务费底表!I486,二三级标准!$O:$O,0))</f>
        <v>生物统计及分析</v>
      </c>
      <c r="K486" s="328" t="s">
        <v>337</v>
      </c>
      <c r="L486" s="328" t="str">
        <f>INDEX(二三级标准!C:C,MATCH(服务费底表!K486,二三级标准!$B:$B,0))</f>
        <v>期中分析</v>
      </c>
      <c r="M486" s="328" t="s">
        <v>1526</v>
      </c>
      <c r="N486" s="328" t="str">
        <f>INDEX(二三级标准!$M:$M,MATCH(服务费底表!$M486,二三级标准!$L:$L,0))</f>
        <v>期中分析的集中质疑清理</v>
      </c>
      <c r="O486" s="328"/>
      <c r="P486" s="531">
        <f>IF(R486=1,INDEX(服务费明细!$E:$E,MATCH(服务费底表!$K486,服务费明细!$B:$B,0)),0)</f>
        <v>0</v>
      </c>
      <c r="Q486" s="328" t="s">
        <v>1178</v>
      </c>
      <c r="R486" s="520">
        <f t="shared" ref="R486" si="440">IF(AND(期中分析YN=1,数据管理YN=1),1,0)</f>
        <v>0</v>
      </c>
      <c r="S486" s="524" t="str">
        <f>INDEX('Rate Card'!$D:$D,MATCH(服务费底表!$T486,'Rate Card'!F:F,0))</f>
        <v>数据管理</v>
      </c>
      <c r="T486" s="328" t="s">
        <v>631</v>
      </c>
      <c r="U486" s="522" t="str">
        <f>INDEX('Rate Card'!$E:$E,MATCH(服务费底表!$T486,'Rate Card'!$F:$F,0))</f>
        <v>数据管理专员</v>
      </c>
      <c r="V486" s="331">
        <f>INDEX('Rate Card'!$J:$J,MATCH($T486,'Rate Card'!$F:$F,0))</f>
        <v>200</v>
      </c>
      <c r="W486" s="523">
        <f t="shared" si="428"/>
        <v>200</v>
      </c>
      <c r="X486" s="523">
        <f t="shared" si="429"/>
        <v>24</v>
      </c>
      <c r="Y486" s="327" cm="1">
        <f t="array" ref="Y486">_xlfn.IFS(报价场景=服务费底表!$AJ$2,服务费底表!$AJ486,报价场景=服务费底表!$AP$2,服务费底表!$AP486,报价场景=服务费底表!$AK$2,服务费底表!$AK486,报价场景=服务费底表!$AL$2,服务费底表!$AL486,报价场景=服务费底表!$AM$2,服务费底表!$AM486,报价场景=服务费底表!$AN$2,服务费底表!$AN486,报价场景=服务费底表!$AQ$2,服务费底表!$AQ486,报价场景=服务费底表!$AO$2,服务费底表!$AO486)</f>
        <v>24</v>
      </c>
      <c r="Z486" s="327"/>
      <c r="AA486" s="332">
        <f t="shared" si="430"/>
        <v>24</v>
      </c>
      <c r="AB486" s="333">
        <f t="shared" si="431"/>
        <v>0</v>
      </c>
      <c r="AC486" s="328">
        <f t="shared" si="432"/>
        <v>0</v>
      </c>
      <c r="AD486" s="334">
        <f t="shared" si="433"/>
        <v>0</v>
      </c>
      <c r="AE486" s="334">
        <f>$AB486*(1-INDEX(项目参数!$D$5:$D$14,MATCH(服务费底表!$S486,项目参数!$B$5:$B$14,0)))</f>
        <v>0</v>
      </c>
      <c r="AF486" s="334">
        <f>$AD486*INDEX(项目参数!$D$5:$D$14,MATCH(服务费底表!$S486,项目参数!$B$5:$B$14,0))</f>
        <v>0</v>
      </c>
      <c r="AG486" s="334">
        <f t="shared" si="434"/>
        <v>0</v>
      </c>
      <c r="AH486" s="328"/>
      <c r="AI486" s="328" t="s">
        <v>631</v>
      </c>
      <c r="AJ486" s="327">
        <v>24</v>
      </c>
      <c r="AK486" s="327">
        <v>40</v>
      </c>
      <c r="AL486" s="327">
        <v>16</v>
      </c>
      <c r="AM486" s="327">
        <v>32</v>
      </c>
      <c r="AN486" s="327">
        <v>24</v>
      </c>
      <c r="AO486" s="327">
        <f t="shared" si="416"/>
        <v>16</v>
      </c>
      <c r="AP486" s="327">
        <v>24</v>
      </c>
      <c r="AQ486" s="327">
        <f t="shared" si="435"/>
        <v>36</v>
      </c>
      <c r="AR486" s="338"/>
      <c r="AS486" s="328">
        <f t="shared" si="436"/>
        <v>0</v>
      </c>
      <c r="AT486" s="328">
        <f t="shared" si="437"/>
        <v>0</v>
      </c>
      <c r="AU486" s="523">
        <v>24</v>
      </c>
      <c r="AV486" s="328"/>
      <c r="AW486" s="328"/>
      <c r="AX486" s="332">
        <v>24</v>
      </c>
      <c r="AY486" s="328" t="b">
        <f t="shared" si="438"/>
        <v>1</v>
      </c>
      <c r="AZ486" s="328" t="b">
        <f t="shared" si="414"/>
        <v>1</v>
      </c>
    </row>
    <row r="487" ht="27" customHeight="1" spans="1:52">
      <c r="A487" s="326" t="str">
        <f>INDEX('Rate Card'!$A:$A,MATCH(服务费底表!$T487,'Rate Card'!$F:$F,0))</f>
        <v>数统</v>
      </c>
      <c r="B487" s="327" t="str">
        <f>INDEX(二三级标准!$G:$G,MATCH(服务费底表!$K487,二三级标准!B:B,0))</f>
        <v>次</v>
      </c>
      <c r="C487" s="327">
        <f>INDEX(服务费明细!$E:$E,MATCH(服务费底表!$K487,服务费明细!$B:$B,0))</f>
        <v>0</v>
      </c>
      <c r="D487" s="327" t="str">
        <f t="shared" si="426"/>
        <v>A116ST</v>
      </c>
      <c r="E487" s="327" t="str">
        <f t="shared" si="427"/>
        <v>T0394ST</v>
      </c>
      <c r="F487" s="328"/>
      <c r="G487" s="328" t="s">
        <v>684</v>
      </c>
      <c r="H487" s="326" t="str">
        <f>INDEX('Rate Card'!$B:$B,MATCH(服务费底表!$T487,'Rate Card'!$F:$F,0))</f>
        <v>生物统计及分析</v>
      </c>
      <c r="I487" s="328" t="s">
        <v>924</v>
      </c>
      <c r="J487" s="328" t="str">
        <f>INDEX(二三级标准!$Q:$Q,MATCH(服务费底表!I487,二三级标准!$O:$O,0))</f>
        <v>生物统计及分析</v>
      </c>
      <c r="K487" s="328" t="s">
        <v>337</v>
      </c>
      <c r="L487" s="328" t="str">
        <f>INDEX(二三级标准!C:C,MATCH(服务费底表!K487,二三级标准!$B:$B,0))</f>
        <v>期中分析</v>
      </c>
      <c r="M487" s="328" t="s">
        <v>1527</v>
      </c>
      <c r="N487" s="328" t="str">
        <f>INDEX(二三级标准!$M:$M,MATCH(服务费底表!$M487,二三级标准!$L:$L,0))</f>
        <v>SAP/TFL Shells, 如适用</v>
      </c>
      <c r="O487" s="328"/>
      <c r="P487" s="531">
        <f>IF(R487=1,INDEX(服务费明细!$E:$E,MATCH(服务费底表!$K487,服务费明细!$B:$B,0)),0)</f>
        <v>0</v>
      </c>
      <c r="Q487" s="328" t="s">
        <v>1178</v>
      </c>
      <c r="R487" s="520">
        <v>0</v>
      </c>
      <c r="S487" s="524" t="str">
        <f>INDEX('Rate Card'!$D:$D,MATCH(服务费底表!$T487,'Rate Card'!F:F,0))</f>
        <v>生物统计</v>
      </c>
      <c r="T487" s="328" t="s">
        <v>639</v>
      </c>
      <c r="U487" s="522" t="str">
        <f>INDEX('Rate Card'!$E:$E,MATCH(服务费底表!$T487,'Rate Card'!$F:$F,0))</f>
        <v>生物统计师</v>
      </c>
      <c r="V487" s="331">
        <f>INDEX('Rate Card'!$J:$J,MATCH($T487,'Rate Card'!$F:$F,0))</f>
        <v>400</v>
      </c>
      <c r="W487" s="523">
        <f t="shared" si="428"/>
        <v>400</v>
      </c>
      <c r="X487" s="523">
        <f t="shared" si="429"/>
        <v>16</v>
      </c>
      <c r="Y487" s="327" cm="1">
        <f t="array" ref="Y487">_xlfn.IFS(报价场景=服务费底表!$AJ$2,服务费底表!$AJ487,报价场景=服务费底表!$AP$2,服务费底表!$AP487,报价场景=服务费底表!$AK$2,服务费底表!$AK487,报价场景=服务费底表!$AL$2,服务费底表!$AL487,报价场景=服务费底表!$AM$2,服务费底表!$AM487,报价场景=服务费底表!$AN$2,服务费底表!$AN487,报价场景=服务费底表!$AQ$2,服务费底表!$AQ487,报价场景=服务费底表!$AO$2,服务费底表!$AO487)</f>
        <v>16</v>
      </c>
      <c r="Z487" s="327"/>
      <c r="AA487" s="332">
        <f t="shared" si="430"/>
        <v>16</v>
      </c>
      <c r="AB487" s="333">
        <f t="shared" si="431"/>
        <v>0</v>
      </c>
      <c r="AC487" s="328">
        <f t="shared" si="432"/>
        <v>0</v>
      </c>
      <c r="AD487" s="334">
        <f t="shared" si="433"/>
        <v>0</v>
      </c>
      <c r="AE487" s="334">
        <f>$AB487*(1-INDEX(项目参数!$D$5:$D$14,MATCH(服务费底表!$S487,项目参数!$B$5:$B$14,0)))</f>
        <v>0</v>
      </c>
      <c r="AF487" s="334">
        <f>$AD487*INDEX(项目参数!$D$5:$D$14,MATCH(服务费底表!$S487,项目参数!$B$5:$B$14,0))</f>
        <v>0</v>
      </c>
      <c r="AG487" s="334">
        <f t="shared" si="434"/>
        <v>0</v>
      </c>
      <c r="AH487" s="328"/>
      <c r="AI487" s="328" t="s">
        <v>639</v>
      </c>
      <c r="AJ487" s="327">
        <v>16</v>
      </c>
      <c r="AK487" s="327">
        <v>24</v>
      </c>
      <c r="AL487" s="327">
        <v>12</v>
      </c>
      <c r="AM487" s="327">
        <v>24</v>
      </c>
      <c r="AN487" s="327">
        <v>12</v>
      </c>
      <c r="AO487" s="327">
        <f t="shared" si="416"/>
        <v>12</v>
      </c>
      <c r="AP487" s="327">
        <v>16</v>
      </c>
      <c r="AQ487" s="327">
        <f t="shared" si="435"/>
        <v>24</v>
      </c>
      <c r="AR487" s="338"/>
      <c r="AS487" s="328">
        <f t="shared" si="436"/>
        <v>0</v>
      </c>
      <c r="AT487" s="328">
        <f t="shared" si="437"/>
        <v>0</v>
      </c>
      <c r="AU487" s="523">
        <v>16</v>
      </c>
      <c r="AV487" s="328"/>
      <c r="AW487" s="328"/>
      <c r="AX487" s="332">
        <v>16</v>
      </c>
      <c r="AY487" s="328" t="b">
        <f t="shared" si="438"/>
        <v>1</v>
      </c>
      <c r="AZ487" s="328" t="b">
        <f t="shared" si="414"/>
        <v>1</v>
      </c>
    </row>
    <row r="488" ht="27" customHeight="1" spans="1:52">
      <c r="A488" s="326" t="str">
        <f>INDEX('Rate Card'!$A:$A,MATCH(服务费底表!$T488,'Rate Card'!$F:$F,0))</f>
        <v>数统</v>
      </c>
      <c r="B488" s="327" t="str">
        <f>INDEX(二三级标准!$G:$G,MATCH(服务费底表!$K488,二三级标准!B:B,0))</f>
        <v>次</v>
      </c>
      <c r="C488" s="327">
        <f>INDEX(服务费明细!$E:$E,MATCH(服务费底表!$K488,服务费明细!$B:$B,0))</f>
        <v>0</v>
      </c>
      <c r="D488" s="327" t="str">
        <f t="shared" si="426"/>
        <v>A116SA</v>
      </c>
      <c r="E488" s="327" t="str">
        <f t="shared" si="427"/>
        <v>T0396SA</v>
      </c>
      <c r="F488" s="328"/>
      <c r="G488" s="328" t="s">
        <v>684</v>
      </c>
      <c r="H488" s="326" t="str">
        <f>INDEX('Rate Card'!$B:$B,MATCH(服务费底表!$T488,'Rate Card'!$F:$F,0))</f>
        <v>生物统计及分析</v>
      </c>
      <c r="I488" s="328" t="s">
        <v>924</v>
      </c>
      <c r="J488" s="328" t="str">
        <f>INDEX(二三级标准!$Q:$Q,MATCH(服务费底表!I488,二三级标准!$O:$O,0))</f>
        <v>生物统计及分析</v>
      </c>
      <c r="K488" s="328" t="s">
        <v>337</v>
      </c>
      <c r="L488" s="328" t="str">
        <f>INDEX(二三级标准!C:C,MATCH(服务费底表!K488,二三级标准!$B:$B,0))</f>
        <v>期中分析</v>
      </c>
      <c r="M488" s="328" t="s">
        <v>1528</v>
      </c>
      <c r="N488" s="328" t="str">
        <f>INDEX(二三级标准!$M:$M,MATCH(服务费底表!$M488,二三级标准!$L:$L,0))</f>
        <v>期中分析的程序运行</v>
      </c>
      <c r="O488" s="328"/>
      <c r="P488" s="531">
        <f>IF(R488=1,INDEX(服务费明细!$E:$E,MATCH(服务费底表!$K488,服务费明细!$B:$B,0)),0)</f>
        <v>0</v>
      </c>
      <c r="Q488" s="328" t="s">
        <v>1178</v>
      </c>
      <c r="R488" s="520">
        <f t="shared" ref="R488:R492" si="441">IF(AND(期中分析YN=1,统计分析YN=1),1,0)</f>
        <v>0</v>
      </c>
      <c r="S488" s="524" t="str">
        <f>INDEX('Rate Card'!$D:$D,MATCH(服务费底表!$T488,'Rate Card'!F:F,0))</f>
        <v>统计分析</v>
      </c>
      <c r="T488" s="328" t="s">
        <v>635</v>
      </c>
      <c r="U488" s="522" t="str">
        <f>INDEX('Rate Card'!$E:$E,MATCH(服务费底表!$T488,'Rate Card'!$F:$F,0))</f>
        <v>统计分析师</v>
      </c>
      <c r="V488" s="331">
        <f>INDEX('Rate Card'!$J:$J,MATCH($T488,'Rate Card'!$F:$F,0))</f>
        <v>225</v>
      </c>
      <c r="W488" s="523">
        <f t="shared" si="428"/>
        <v>225</v>
      </c>
      <c r="X488" s="523">
        <f t="shared" si="429"/>
        <v>6</v>
      </c>
      <c r="Y488" s="327" cm="1">
        <f t="array" ref="Y488">_xlfn.IFS(报价场景=服务费底表!$AJ$2,服务费底表!$AJ488,报价场景=服务费底表!$AP$2,服务费底表!$AP488,报价场景=服务费底表!$AK$2,服务费底表!$AK488,报价场景=服务费底表!$AL$2,服务费底表!$AL488,报价场景=服务费底表!$AM$2,服务费底表!$AM488,报价场景=服务费底表!$AN$2,服务费底表!$AN488,报价场景=服务费底表!$AQ$2,服务费底表!$AQ488,报价场景=服务费底表!$AO$2,服务费底表!$AO488)</f>
        <v>6</v>
      </c>
      <c r="Z488" s="327"/>
      <c r="AA488" s="332">
        <f t="shared" si="430"/>
        <v>6</v>
      </c>
      <c r="AB488" s="333">
        <f t="shared" si="431"/>
        <v>0</v>
      </c>
      <c r="AC488" s="328">
        <f t="shared" si="432"/>
        <v>0</v>
      </c>
      <c r="AD488" s="334">
        <f t="shared" si="433"/>
        <v>0</v>
      </c>
      <c r="AE488" s="334">
        <f>$AB488*(1-INDEX(项目参数!$D$5:$D$14,MATCH(服务费底表!$S488,项目参数!$B$5:$B$14,0)))</f>
        <v>0</v>
      </c>
      <c r="AF488" s="334">
        <f>$AD488*INDEX(项目参数!$D$5:$D$14,MATCH(服务费底表!$S488,项目参数!$B$5:$B$14,0))</f>
        <v>0</v>
      </c>
      <c r="AG488" s="334">
        <f t="shared" si="434"/>
        <v>0</v>
      </c>
      <c r="AH488" s="328"/>
      <c r="AI488" s="328" t="s">
        <v>635</v>
      </c>
      <c r="AJ488" s="327">
        <v>6</v>
      </c>
      <c r="AK488" s="327">
        <v>8</v>
      </c>
      <c r="AL488" s="327">
        <v>6</v>
      </c>
      <c r="AM488" s="327">
        <v>8</v>
      </c>
      <c r="AN488" s="327">
        <v>6</v>
      </c>
      <c r="AO488" s="327">
        <f t="shared" si="416"/>
        <v>6</v>
      </c>
      <c r="AP488" s="327">
        <v>6</v>
      </c>
      <c r="AQ488" s="327">
        <f t="shared" si="435"/>
        <v>9</v>
      </c>
      <c r="AR488" s="338"/>
      <c r="AS488" s="328">
        <f t="shared" si="436"/>
        <v>0</v>
      </c>
      <c r="AT488" s="328">
        <f t="shared" si="437"/>
        <v>0</v>
      </c>
      <c r="AU488" s="523">
        <v>6</v>
      </c>
      <c r="AV488" s="328"/>
      <c r="AW488" s="328"/>
      <c r="AX488" s="332">
        <v>6</v>
      </c>
      <c r="AY488" s="328" t="b">
        <f t="shared" si="438"/>
        <v>1</v>
      </c>
      <c r="AZ488" s="328" t="b">
        <f t="shared" si="414"/>
        <v>1</v>
      </c>
    </row>
    <row r="489" ht="27" customHeight="1" spans="1:52">
      <c r="A489" s="326" t="str">
        <f>INDEX('Rate Card'!$A:$A,MATCH(服务费底表!$T489,'Rate Card'!$F:$F,0))</f>
        <v>数统</v>
      </c>
      <c r="B489" s="327" t="str">
        <f>INDEX(二三级标准!$G:$G,MATCH(服务费底表!$K489,二三级标准!B:B,0))</f>
        <v>次</v>
      </c>
      <c r="C489" s="327">
        <f>INDEX(服务费明细!$E:$E,MATCH(服务费底表!$K489,服务费明细!$B:$B,0))</f>
        <v>0</v>
      </c>
      <c r="D489" s="327" t="str">
        <f t="shared" si="426"/>
        <v>A116SA</v>
      </c>
      <c r="E489" s="327" t="str">
        <f t="shared" si="427"/>
        <v>T0397SA</v>
      </c>
      <c r="F489" s="328"/>
      <c r="G489" s="328" t="s">
        <v>684</v>
      </c>
      <c r="H489" s="326" t="str">
        <f>INDEX('Rate Card'!$B:$B,MATCH(服务费底表!$T489,'Rate Card'!$F:$F,0))</f>
        <v>生物统计及分析</v>
      </c>
      <c r="I489" s="328" t="s">
        <v>924</v>
      </c>
      <c r="J489" s="328" t="str">
        <f>INDEX(二三级标准!$Q:$Q,MATCH(服务费底表!I489,二三级标准!$O:$O,0))</f>
        <v>生物统计及分析</v>
      </c>
      <c r="K489" s="328" t="s">
        <v>337</v>
      </c>
      <c r="L489" s="328" t="str">
        <f>INDEX(二三级标准!C:C,MATCH(服务费底表!K489,二三级标准!$B:$B,0))</f>
        <v>期中分析</v>
      </c>
      <c r="M489" s="328" t="s">
        <v>1529</v>
      </c>
      <c r="N489" s="328" t="str">
        <f>INDEX(二三级标准!$M:$M,MATCH(服务费底表!$M489,二三级标准!$L:$L,0))</f>
        <v>期中分析程序的验证和修订</v>
      </c>
      <c r="O489" s="328"/>
      <c r="P489" s="531">
        <f>IF(R489=1,INDEX(服务费明细!$E:$E,MATCH(服务费底表!$K489,服务费明细!$B:$B,0)),0)</f>
        <v>0</v>
      </c>
      <c r="Q489" s="328" t="s">
        <v>1178</v>
      </c>
      <c r="R489" s="520">
        <f t="shared" si="441"/>
        <v>0</v>
      </c>
      <c r="S489" s="524" t="str">
        <f>INDEX('Rate Card'!$D:$D,MATCH(服务费底表!$T489,'Rate Card'!F:F,0))</f>
        <v>统计分析</v>
      </c>
      <c r="T489" s="328" t="s">
        <v>635</v>
      </c>
      <c r="U489" s="522" t="str">
        <f>INDEX('Rate Card'!$E:$E,MATCH(服务费底表!$T489,'Rate Card'!$F:$F,0))</f>
        <v>统计分析师</v>
      </c>
      <c r="V489" s="331">
        <f>INDEX('Rate Card'!$J:$J,MATCH($T489,'Rate Card'!$F:$F,0))</f>
        <v>225</v>
      </c>
      <c r="W489" s="523">
        <f t="shared" si="428"/>
        <v>225</v>
      </c>
      <c r="X489" s="523">
        <f t="shared" si="429"/>
        <v>28</v>
      </c>
      <c r="Y489" s="327" cm="1">
        <f t="array" ref="Y489">_xlfn.IFS(报价场景=服务费底表!$AJ$2,服务费底表!$AJ489,报价场景=服务费底表!$AP$2,服务费底表!$AP489,报价场景=服务费底表!$AK$2,服务费底表!$AK489,报价场景=服务费底表!$AL$2,服务费底表!$AL489,报价场景=服务费底表!$AM$2,服务费底表!$AM489,报价场景=服务费底表!$AN$2,服务费底表!$AN489,报价场景=服务费底表!$AQ$2,服务费底表!$AQ489,报价场景=服务费底表!$AO$2,服务费底表!$AO489)</f>
        <v>28</v>
      </c>
      <c r="Z489" s="327"/>
      <c r="AA489" s="332">
        <f t="shared" si="430"/>
        <v>28</v>
      </c>
      <c r="AB489" s="333">
        <f t="shared" si="431"/>
        <v>0</v>
      </c>
      <c r="AC489" s="328">
        <f t="shared" si="432"/>
        <v>0</v>
      </c>
      <c r="AD489" s="334">
        <f t="shared" si="433"/>
        <v>0</v>
      </c>
      <c r="AE489" s="334">
        <f>$AB489*(1-INDEX(项目参数!$D$5:$D$14,MATCH(服务费底表!$S489,项目参数!$B$5:$B$14,0)))</f>
        <v>0</v>
      </c>
      <c r="AF489" s="334">
        <f>$AD489*INDEX(项目参数!$D$5:$D$14,MATCH(服务费底表!$S489,项目参数!$B$5:$B$14,0))</f>
        <v>0</v>
      </c>
      <c r="AG489" s="334">
        <f t="shared" si="434"/>
        <v>0</v>
      </c>
      <c r="AH489" s="328"/>
      <c r="AI489" s="328" t="s">
        <v>635</v>
      </c>
      <c r="AJ489" s="327">
        <v>28</v>
      </c>
      <c r="AK489" s="327">
        <v>40</v>
      </c>
      <c r="AL489" s="327">
        <v>24</v>
      </c>
      <c r="AM489" s="327">
        <v>40</v>
      </c>
      <c r="AN489" s="327">
        <v>24</v>
      </c>
      <c r="AO489" s="327">
        <f t="shared" si="416"/>
        <v>24</v>
      </c>
      <c r="AP489" s="327">
        <v>28</v>
      </c>
      <c r="AQ489" s="327">
        <f t="shared" si="435"/>
        <v>42</v>
      </c>
      <c r="AR489" s="338"/>
      <c r="AS489" s="328">
        <f t="shared" si="436"/>
        <v>0</v>
      </c>
      <c r="AT489" s="328">
        <f t="shared" si="437"/>
        <v>0</v>
      </c>
      <c r="AU489" s="523">
        <v>28</v>
      </c>
      <c r="AV489" s="328"/>
      <c r="AW489" s="328"/>
      <c r="AX489" s="332">
        <v>28</v>
      </c>
      <c r="AY489" s="328" t="b">
        <f t="shared" si="438"/>
        <v>1</v>
      </c>
      <c r="AZ489" s="328" t="b">
        <f t="shared" si="414"/>
        <v>1</v>
      </c>
    </row>
    <row r="490" ht="27" customHeight="1" spans="1:52">
      <c r="A490" s="326" t="str">
        <f>INDEX('Rate Card'!$A:$A,MATCH(服务费底表!$T490,'Rate Card'!$F:$F,0))</f>
        <v>数统</v>
      </c>
      <c r="B490" s="327" t="str">
        <f>INDEX(二三级标准!$G:$G,MATCH(服务费底表!$K490,二三级标准!B:B,0))</f>
        <v>次</v>
      </c>
      <c r="C490" s="327">
        <f>INDEX(服务费明细!$E:$E,MATCH(服务费底表!$K490,服务费明细!$B:$B,0))</f>
        <v>0</v>
      </c>
      <c r="D490" s="327" t="str">
        <f t="shared" si="426"/>
        <v>A116SA</v>
      </c>
      <c r="E490" s="327" t="str">
        <f t="shared" si="427"/>
        <v>T0398SA</v>
      </c>
      <c r="F490" s="328"/>
      <c r="G490" s="328" t="s">
        <v>684</v>
      </c>
      <c r="H490" s="326" t="str">
        <f>INDEX('Rate Card'!$B:$B,MATCH(服务费底表!$T490,'Rate Card'!$F:$F,0))</f>
        <v>生物统计及分析</v>
      </c>
      <c r="I490" s="328" t="s">
        <v>924</v>
      </c>
      <c r="J490" s="328" t="str">
        <f>INDEX(二三级标准!$Q:$Q,MATCH(服务费底表!I490,二三级标准!$O:$O,0))</f>
        <v>生物统计及分析</v>
      </c>
      <c r="K490" s="328" t="s">
        <v>337</v>
      </c>
      <c r="L490" s="328" t="str">
        <f>INDEX(二三级标准!C:C,MATCH(服务费底表!K490,二三级标准!$B:$B,0))</f>
        <v>期中分析</v>
      </c>
      <c r="M490" s="328" t="s">
        <v>1530</v>
      </c>
      <c r="N490" s="328" t="str">
        <f>INDEX(二三级标准!$M:$M,MATCH(服务费底表!$M490,二三级标准!$L:$L,0))</f>
        <v>期中分析的数据集合规性检查</v>
      </c>
      <c r="O490" s="328"/>
      <c r="P490" s="531">
        <f>IF(R490=1,INDEX(服务费明细!$E:$E,MATCH(服务费底表!$K490,服务费明细!$B:$B,0)),0)</f>
        <v>0</v>
      </c>
      <c r="Q490" s="328" t="s">
        <v>1178</v>
      </c>
      <c r="R490" s="520">
        <f>IF(AND(期中分析YN=1,生成SDTM数据集YN=1,统计分析YN=1),1,0)</f>
        <v>0</v>
      </c>
      <c r="S490" s="524" t="str">
        <f>INDEX('Rate Card'!$D:$D,MATCH(服务费底表!$T490,'Rate Card'!F:F,0))</f>
        <v>统计分析</v>
      </c>
      <c r="T490" s="328" t="s">
        <v>635</v>
      </c>
      <c r="U490" s="522" t="str">
        <f>INDEX('Rate Card'!$E:$E,MATCH(服务费底表!$T490,'Rate Card'!$F:$F,0))</f>
        <v>统计分析师</v>
      </c>
      <c r="V490" s="331">
        <f>INDEX('Rate Card'!$J:$J,MATCH($T490,'Rate Card'!$F:$F,0))</f>
        <v>225</v>
      </c>
      <c r="W490" s="523">
        <f t="shared" si="428"/>
        <v>225</v>
      </c>
      <c r="X490" s="523">
        <f t="shared" si="429"/>
        <v>2</v>
      </c>
      <c r="Y490" s="327" cm="1">
        <f t="array" ref="Y490">_xlfn.IFS(报价场景=服务费底表!$AJ$2,服务费底表!$AJ490,报价场景=服务费底表!$AP$2,服务费底表!$AP490,报价场景=服务费底表!$AK$2,服务费底表!$AK490,报价场景=服务费底表!$AL$2,服务费底表!$AL490,报价场景=服务费底表!$AM$2,服务费底表!$AM490,报价场景=服务费底表!$AN$2,服务费底表!$AN490,报价场景=服务费底表!$AQ$2,服务费底表!$AQ490,报价场景=服务费底表!$AO$2,服务费底表!$AO490)</f>
        <v>2</v>
      </c>
      <c r="Z490" s="327"/>
      <c r="AA490" s="332">
        <f t="shared" si="430"/>
        <v>2</v>
      </c>
      <c r="AB490" s="333">
        <f t="shared" si="431"/>
        <v>0</v>
      </c>
      <c r="AC490" s="328">
        <f t="shared" si="432"/>
        <v>0</v>
      </c>
      <c r="AD490" s="334">
        <f t="shared" si="433"/>
        <v>0</v>
      </c>
      <c r="AE490" s="334">
        <f>$AB490*(1-INDEX(项目参数!$D$5:$D$14,MATCH(服务费底表!$S490,项目参数!$B$5:$B$14,0)))</f>
        <v>0</v>
      </c>
      <c r="AF490" s="334">
        <f>$AD490*INDEX(项目参数!$D$5:$D$14,MATCH(服务费底表!$S490,项目参数!$B$5:$B$14,0))</f>
        <v>0</v>
      </c>
      <c r="AG490" s="334">
        <f t="shared" si="434"/>
        <v>0</v>
      </c>
      <c r="AH490" s="328"/>
      <c r="AI490" s="328" t="s">
        <v>635</v>
      </c>
      <c r="AJ490" s="327">
        <v>2</v>
      </c>
      <c r="AK490" s="327">
        <v>6</v>
      </c>
      <c r="AL490" s="327">
        <v>2</v>
      </c>
      <c r="AM490" s="327">
        <v>6</v>
      </c>
      <c r="AN490" s="327">
        <v>3</v>
      </c>
      <c r="AO490" s="327">
        <f t="shared" si="416"/>
        <v>2</v>
      </c>
      <c r="AP490" s="327">
        <v>2</v>
      </c>
      <c r="AQ490" s="327">
        <f t="shared" si="435"/>
        <v>3</v>
      </c>
      <c r="AR490" s="338"/>
      <c r="AS490" s="328">
        <f t="shared" si="436"/>
        <v>0</v>
      </c>
      <c r="AT490" s="328">
        <f t="shared" si="437"/>
        <v>0</v>
      </c>
      <c r="AU490" s="523">
        <v>2</v>
      </c>
      <c r="AV490" s="328"/>
      <c r="AW490" s="328"/>
      <c r="AX490" s="332">
        <v>2</v>
      </c>
      <c r="AY490" s="328" t="b">
        <f t="shared" si="438"/>
        <v>1</v>
      </c>
      <c r="AZ490" s="328" t="b">
        <f t="shared" si="414"/>
        <v>1</v>
      </c>
    </row>
    <row r="491" ht="27" customHeight="1" spans="1:52">
      <c r="A491" s="326" t="str">
        <f>INDEX('Rate Card'!$A:$A,MATCH(服务费底表!$T491,'Rate Card'!$F:$F,0))</f>
        <v>数统</v>
      </c>
      <c r="B491" s="327" t="str">
        <f>INDEX(二三级标准!$G:$G,MATCH(服务费底表!$K491,二三级标准!B:B,0))</f>
        <v>次</v>
      </c>
      <c r="C491" s="327">
        <f>INDEX(服务费明细!$E:$E,MATCH(服务费底表!$K491,服务费明细!$B:$B,0))</f>
        <v>0</v>
      </c>
      <c r="D491" s="327" t="str">
        <f t="shared" si="426"/>
        <v>A116SA</v>
      </c>
      <c r="E491" s="327" t="str">
        <f t="shared" si="427"/>
        <v>T0399SA</v>
      </c>
      <c r="F491" s="328"/>
      <c r="G491" s="328" t="s">
        <v>684</v>
      </c>
      <c r="H491" s="326" t="str">
        <f>INDEX('Rate Card'!$B:$B,MATCH(服务费底表!$T491,'Rate Card'!$F:$F,0))</f>
        <v>生物统计及分析</v>
      </c>
      <c r="I491" s="328" t="s">
        <v>924</v>
      </c>
      <c r="J491" s="328" t="str">
        <f>INDEX(二三级标准!$Q:$Q,MATCH(服务费底表!I491,二三级标准!$O:$O,0))</f>
        <v>生物统计及分析</v>
      </c>
      <c r="K491" s="328" t="s">
        <v>337</v>
      </c>
      <c r="L491" s="328" t="str">
        <f>INDEX(二三级标准!C:C,MATCH(服务费底表!K491,二三级标准!$B:$B,0))</f>
        <v>期中分析</v>
      </c>
      <c r="M491" s="328" t="s">
        <v>1531</v>
      </c>
      <c r="N491" s="328" t="str">
        <f>INDEX(二三级标准!$M:$M,MATCH(服务费底表!$M491,二三级标准!$L:$L,0))</f>
        <v>期中分析的TFLs合并</v>
      </c>
      <c r="O491" s="328"/>
      <c r="P491" s="531">
        <f>IF(R491=1,INDEX(服务费明细!$E:$E,MATCH(服务费底表!$K491,服务费明细!$B:$B,0)),0)</f>
        <v>0</v>
      </c>
      <c r="Q491" s="328" t="s">
        <v>1178</v>
      </c>
      <c r="R491" s="520">
        <f t="shared" si="441"/>
        <v>0</v>
      </c>
      <c r="S491" s="524" t="str">
        <f>INDEX('Rate Card'!$D:$D,MATCH(服务费底表!$T491,'Rate Card'!F:F,0))</f>
        <v>统计分析</v>
      </c>
      <c r="T491" s="328" t="s">
        <v>635</v>
      </c>
      <c r="U491" s="522" t="str">
        <f>INDEX('Rate Card'!$E:$E,MATCH(服务费底表!$T491,'Rate Card'!$F:$F,0))</f>
        <v>统计分析师</v>
      </c>
      <c r="V491" s="331">
        <f>INDEX('Rate Card'!$J:$J,MATCH($T491,'Rate Card'!$F:$F,0))</f>
        <v>225</v>
      </c>
      <c r="W491" s="523">
        <f t="shared" si="428"/>
        <v>225</v>
      </c>
      <c r="X491" s="523">
        <f t="shared" si="429"/>
        <v>4</v>
      </c>
      <c r="Y491" s="327" cm="1">
        <f t="array" ref="Y491">_xlfn.IFS(报价场景=服务费底表!$AJ$2,服务费底表!$AJ491,报价场景=服务费底表!$AP$2,服务费底表!$AP491,报价场景=服务费底表!$AK$2,服务费底表!$AK491,报价场景=服务费底表!$AL$2,服务费底表!$AL491,报价场景=服务费底表!$AM$2,服务费底表!$AM491,报价场景=服务费底表!$AN$2,服务费底表!$AN491,报价场景=服务费底表!$AQ$2,服务费底表!$AQ491,报价场景=服务费底表!$AO$2,服务费底表!$AO491)</f>
        <v>4</v>
      </c>
      <c r="Z491" s="327"/>
      <c r="AA491" s="332">
        <f t="shared" si="430"/>
        <v>4</v>
      </c>
      <c r="AB491" s="333">
        <f t="shared" si="431"/>
        <v>0</v>
      </c>
      <c r="AC491" s="328">
        <f t="shared" si="432"/>
        <v>0</v>
      </c>
      <c r="AD491" s="334">
        <f t="shared" si="433"/>
        <v>0</v>
      </c>
      <c r="AE491" s="334">
        <f>$AB491*(1-INDEX(项目参数!$D$5:$D$14,MATCH(服务费底表!$S491,项目参数!$B$5:$B$14,0)))</f>
        <v>0</v>
      </c>
      <c r="AF491" s="334">
        <f>$AD491*INDEX(项目参数!$D$5:$D$14,MATCH(服务费底表!$S491,项目参数!$B$5:$B$14,0))</f>
        <v>0</v>
      </c>
      <c r="AG491" s="334">
        <f t="shared" si="434"/>
        <v>0</v>
      </c>
      <c r="AH491" s="328"/>
      <c r="AI491" s="328" t="s">
        <v>635</v>
      </c>
      <c r="AJ491" s="327">
        <v>4</v>
      </c>
      <c r="AK491" s="327">
        <v>6</v>
      </c>
      <c r="AL491" s="327">
        <v>4</v>
      </c>
      <c r="AM491" s="327">
        <v>6</v>
      </c>
      <c r="AN491" s="327">
        <v>4</v>
      </c>
      <c r="AO491" s="327">
        <f t="shared" si="416"/>
        <v>4</v>
      </c>
      <c r="AP491" s="327">
        <v>4</v>
      </c>
      <c r="AQ491" s="327">
        <f t="shared" si="435"/>
        <v>6</v>
      </c>
      <c r="AR491" s="338"/>
      <c r="AS491" s="328">
        <f t="shared" si="436"/>
        <v>0</v>
      </c>
      <c r="AT491" s="328">
        <f t="shared" si="437"/>
        <v>0</v>
      </c>
      <c r="AU491" s="523">
        <v>4</v>
      </c>
      <c r="AV491" s="328"/>
      <c r="AW491" s="328"/>
      <c r="AX491" s="332">
        <v>4</v>
      </c>
      <c r="AY491" s="328" t="b">
        <f t="shared" si="438"/>
        <v>1</v>
      </c>
      <c r="AZ491" s="328" t="b">
        <f t="shared" si="414"/>
        <v>1</v>
      </c>
    </row>
    <row r="492" ht="27" customHeight="1" spans="1:52">
      <c r="A492" s="326" t="str">
        <f>INDEX('Rate Card'!$A:$A,MATCH(服务费底表!$T492,'Rate Card'!$F:$F,0))</f>
        <v>数统</v>
      </c>
      <c r="B492" s="327" t="str">
        <f>INDEX(二三级标准!$G:$G,MATCH(服务费底表!$K492,二三级标准!B:B,0))</f>
        <v>次</v>
      </c>
      <c r="C492" s="327">
        <f>INDEX(服务费明细!$E:$E,MATCH(服务费底表!$K492,服务费明细!$B:$B,0))</f>
        <v>0</v>
      </c>
      <c r="D492" s="327" t="str">
        <f t="shared" si="426"/>
        <v>A116SAM</v>
      </c>
      <c r="E492" s="327" t="str">
        <f t="shared" si="427"/>
        <v>T0400SAM</v>
      </c>
      <c r="F492" s="328"/>
      <c r="G492" s="328" t="s">
        <v>684</v>
      </c>
      <c r="H492" s="326" t="str">
        <f>INDEX('Rate Card'!$B:$B,MATCH(服务费底表!$T492,'Rate Card'!$F:$F,0))</f>
        <v>生物统计及分析</v>
      </c>
      <c r="I492" s="328" t="s">
        <v>924</v>
      </c>
      <c r="J492" s="328" t="str">
        <f>INDEX(二三级标准!$Q:$Q,MATCH(服务费底表!I492,二三级标准!$O:$O,0))</f>
        <v>生物统计及分析</v>
      </c>
      <c r="K492" s="328" t="s">
        <v>337</v>
      </c>
      <c r="L492" s="328" t="str">
        <f>INDEX(二三级标准!C:C,MATCH(服务费底表!K492,二三级标准!$B:$B,0))</f>
        <v>期中分析</v>
      </c>
      <c r="M492" s="328" t="s">
        <v>1532</v>
      </c>
      <c r="N492" s="328" t="str">
        <f>INDEX(二三级标准!$M:$M,MATCH(服务费底表!$M492,二三级标准!$L:$L,0))</f>
        <v>期中分析的结果审核</v>
      </c>
      <c r="O492" s="328"/>
      <c r="P492" s="531">
        <f>IF(R492=1,INDEX(服务费明细!$E:$E,MATCH(服务费底表!$K492,服务费明细!$B:$B,0)),0)</f>
        <v>0</v>
      </c>
      <c r="Q492" s="328" t="s">
        <v>1178</v>
      </c>
      <c r="R492" s="520">
        <f t="shared" si="441"/>
        <v>0</v>
      </c>
      <c r="S492" s="524" t="str">
        <f>INDEX('Rate Card'!$D:$D,MATCH(服务费底表!$T492,'Rate Card'!F:F,0))</f>
        <v>统计分析</v>
      </c>
      <c r="T492" s="328" t="s">
        <v>638</v>
      </c>
      <c r="U492" s="522" t="str">
        <f>INDEX('Rate Card'!$E:$E,MATCH(服务费底表!$T492,'Rate Card'!$F:$F,0))</f>
        <v>统计分析经理</v>
      </c>
      <c r="V492" s="331">
        <f>INDEX('Rate Card'!$J:$J,MATCH($T492,'Rate Card'!$F:$F,0))</f>
        <v>450</v>
      </c>
      <c r="W492" s="523">
        <f t="shared" si="428"/>
        <v>450</v>
      </c>
      <c r="X492" s="523">
        <f t="shared" si="429"/>
        <v>4</v>
      </c>
      <c r="Y492" s="327" cm="1">
        <f t="array" ref="Y492">_xlfn.IFS(报价场景=服务费底表!$AJ$2,服务费底表!$AJ492,报价场景=服务费底表!$AP$2,服务费底表!$AP492,报价场景=服务费底表!$AK$2,服务费底表!$AK492,报价场景=服务费底表!$AL$2,服务费底表!$AL492,报价场景=服务费底表!$AM$2,服务费底表!$AM492,报价场景=服务费底表!$AN$2,服务费底表!$AN492,报价场景=服务费底表!$AQ$2,服务费底表!$AQ492,报价场景=服务费底表!$AO$2,服务费底表!$AO492)</f>
        <v>4</v>
      </c>
      <c r="Z492" s="327"/>
      <c r="AA492" s="332">
        <f t="shared" si="430"/>
        <v>4</v>
      </c>
      <c r="AB492" s="333">
        <f t="shared" si="431"/>
        <v>0</v>
      </c>
      <c r="AC492" s="328">
        <f t="shared" si="432"/>
        <v>0</v>
      </c>
      <c r="AD492" s="334">
        <f t="shared" si="433"/>
        <v>0</v>
      </c>
      <c r="AE492" s="334">
        <f>$AB492*(1-INDEX(项目参数!$D$5:$D$14,MATCH(服务费底表!$S492,项目参数!$B$5:$B$14,0)))</f>
        <v>0</v>
      </c>
      <c r="AF492" s="334">
        <f>$AD492*INDEX(项目参数!$D$5:$D$14,MATCH(服务费底表!$S492,项目参数!$B$5:$B$14,0))</f>
        <v>0</v>
      </c>
      <c r="AG492" s="334">
        <f t="shared" si="434"/>
        <v>0</v>
      </c>
      <c r="AH492" s="328"/>
      <c r="AI492" s="328" t="s">
        <v>638</v>
      </c>
      <c r="AJ492" s="327">
        <v>4</v>
      </c>
      <c r="AK492" s="327">
        <v>8</v>
      </c>
      <c r="AL492" s="327">
        <v>4</v>
      </c>
      <c r="AM492" s="327">
        <v>8</v>
      </c>
      <c r="AN492" s="327">
        <v>4</v>
      </c>
      <c r="AO492" s="327">
        <f t="shared" si="416"/>
        <v>4</v>
      </c>
      <c r="AP492" s="327">
        <v>4</v>
      </c>
      <c r="AQ492" s="327">
        <f t="shared" si="435"/>
        <v>6</v>
      </c>
      <c r="AR492" s="338"/>
      <c r="AS492" s="328">
        <f t="shared" si="436"/>
        <v>0</v>
      </c>
      <c r="AT492" s="328">
        <f t="shared" si="437"/>
        <v>0</v>
      </c>
      <c r="AU492" s="523">
        <v>4</v>
      </c>
      <c r="AV492" s="328"/>
      <c r="AW492" s="328"/>
      <c r="AX492" s="332">
        <v>4</v>
      </c>
      <c r="AY492" s="328" t="b">
        <f t="shared" si="438"/>
        <v>1</v>
      </c>
      <c r="AZ492" s="328" t="b">
        <f t="shared" si="414"/>
        <v>1</v>
      </c>
    </row>
    <row r="493" ht="27" customHeight="1" spans="1:52">
      <c r="A493" s="326" t="str">
        <f>INDEX('Rate Card'!$A:$A,MATCH(服务费底表!$T493,'Rate Card'!$F:$F,0))</f>
        <v>数统</v>
      </c>
      <c r="B493" s="327" t="str">
        <f>INDEX(二三级标准!$G:$G,MATCH(服务费底表!$K493,二三级标准!B:B,0))</f>
        <v>次</v>
      </c>
      <c r="C493" s="327">
        <f>INDEX(服务费明细!$E:$E,MATCH(服务费底表!$K493,服务费明细!$B:$B,0))</f>
        <v>0</v>
      </c>
      <c r="D493" s="327" t="str">
        <f t="shared" si="426"/>
        <v>A116ST</v>
      </c>
      <c r="E493" s="327" t="str">
        <f t="shared" si="427"/>
        <v>T0400ST</v>
      </c>
      <c r="F493" s="328"/>
      <c r="G493" s="328" t="s">
        <v>684</v>
      </c>
      <c r="H493" s="326" t="str">
        <f>INDEX('Rate Card'!$B:$B,MATCH(服务费底表!$T493,'Rate Card'!$F:$F,0))</f>
        <v>生物统计及分析</v>
      </c>
      <c r="I493" s="328" t="s">
        <v>924</v>
      </c>
      <c r="J493" s="328" t="str">
        <f>INDEX(二三级标准!$Q:$Q,MATCH(服务费底表!I493,二三级标准!$O:$O,0))</f>
        <v>生物统计及分析</v>
      </c>
      <c r="K493" s="328" t="s">
        <v>337</v>
      </c>
      <c r="L493" s="328" t="str">
        <f>INDEX(二三级标准!C:C,MATCH(服务费底表!K493,二三级标准!$B:$B,0))</f>
        <v>期中分析</v>
      </c>
      <c r="M493" s="328" t="s">
        <v>1532</v>
      </c>
      <c r="N493" s="328" t="str">
        <f>INDEX(二三级标准!$M:$M,MATCH(服务费底表!$M493,二三级标准!$L:$L,0))</f>
        <v>期中分析的结果审核</v>
      </c>
      <c r="O493" s="328"/>
      <c r="P493" s="531">
        <f>IF(R493=1,INDEX(服务费明细!$E:$E,MATCH(服务费底表!$K493,服务费明细!$B:$B,0)),0)</f>
        <v>0</v>
      </c>
      <c r="Q493" s="328" t="s">
        <v>1178</v>
      </c>
      <c r="R493" s="520">
        <f>IF(AND(期中分析YN=1,生物统计YN=1),1,0)</f>
        <v>0</v>
      </c>
      <c r="S493" s="524" t="str">
        <f>INDEX('Rate Card'!$D:$D,MATCH(服务费底表!$T493,'Rate Card'!F:F,0))</f>
        <v>生物统计</v>
      </c>
      <c r="T493" s="328" t="s">
        <v>639</v>
      </c>
      <c r="U493" s="522" t="str">
        <f>INDEX('Rate Card'!$E:$E,MATCH(服务费底表!$T493,'Rate Card'!$F:$F,0))</f>
        <v>生物统计师</v>
      </c>
      <c r="V493" s="331">
        <f>INDEX('Rate Card'!$J:$J,MATCH($T493,'Rate Card'!$F:$F,0))</f>
        <v>400</v>
      </c>
      <c r="W493" s="523">
        <f t="shared" si="428"/>
        <v>400</v>
      </c>
      <c r="X493" s="523">
        <f t="shared" si="429"/>
        <v>12</v>
      </c>
      <c r="Y493" s="327" cm="1">
        <f t="array" ref="Y493">_xlfn.IFS(报价场景=服务费底表!$AJ$2,服务费底表!$AJ493,报价场景=服务费底表!$AP$2,服务费底表!$AP493,报价场景=服务费底表!$AK$2,服务费底表!$AK493,报价场景=服务费底表!$AL$2,服务费底表!$AL493,报价场景=服务费底表!$AM$2,服务费底表!$AM493,报价场景=服务费底表!$AN$2,服务费底表!$AN493,报价场景=服务费底表!$AQ$2,服务费底表!$AQ493,报价场景=服务费底表!$AO$2,服务费底表!$AO493)</f>
        <v>12</v>
      </c>
      <c r="Z493" s="327"/>
      <c r="AA493" s="332">
        <f t="shared" si="430"/>
        <v>12</v>
      </c>
      <c r="AB493" s="333">
        <f t="shared" si="431"/>
        <v>0</v>
      </c>
      <c r="AC493" s="328">
        <f t="shared" si="432"/>
        <v>0</v>
      </c>
      <c r="AD493" s="334">
        <f t="shared" si="433"/>
        <v>0</v>
      </c>
      <c r="AE493" s="334">
        <f>$AB493*(1-INDEX(项目参数!$D$5:$D$14,MATCH(服务费底表!$S493,项目参数!$B$5:$B$14,0)))</f>
        <v>0</v>
      </c>
      <c r="AF493" s="334">
        <f>$AD493*INDEX(项目参数!$D$5:$D$14,MATCH(服务费底表!$S493,项目参数!$B$5:$B$14,0))</f>
        <v>0</v>
      </c>
      <c r="AG493" s="334">
        <f t="shared" si="434"/>
        <v>0</v>
      </c>
      <c r="AH493" s="328"/>
      <c r="AI493" s="328" t="s">
        <v>639</v>
      </c>
      <c r="AJ493" s="327">
        <v>12</v>
      </c>
      <c r="AK493" s="327">
        <v>16</v>
      </c>
      <c r="AL493" s="327">
        <v>12</v>
      </c>
      <c r="AM493" s="327">
        <v>16</v>
      </c>
      <c r="AN493" s="327">
        <v>12</v>
      </c>
      <c r="AO493" s="327">
        <f t="shared" si="416"/>
        <v>12</v>
      </c>
      <c r="AP493" s="327">
        <v>12</v>
      </c>
      <c r="AQ493" s="327">
        <f t="shared" si="435"/>
        <v>18</v>
      </c>
      <c r="AR493" s="338"/>
      <c r="AS493" s="328">
        <f t="shared" si="436"/>
        <v>0</v>
      </c>
      <c r="AT493" s="328">
        <f t="shared" si="437"/>
        <v>0</v>
      </c>
      <c r="AU493" s="523">
        <v>12</v>
      </c>
      <c r="AV493" s="328"/>
      <c r="AW493" s="328"/>
      <c r="AX493" s="332">
        <v>12</v>
      </c>
      <c r="AY493" s="328" t="b">
        <f t="shared" si="438"/>
        <v>1</v>
      </c>
      <c r="AZ493" s="328" t="b">
        <f t="shared" si="414"/>
        <v>1</v>
      </c>
    </row>
    <row r="494" ht="27" customHeight="1" spans="1:52">
      <c r="A494" s="326" t="str">
        <f>INDEX('Rate Card'!$A:$A,MATCH(服务费底表!$T494,'Rate Card'!$F:$F,0))</f>
        <v>临床药理</v>
      </c>
      <c r="B494" s="327" t="str">
        <f>INDEX(二三级标准!$G:$G,MATCH(服务费底表!$K494,二三级标准!B:B,0))</f>
        <v>次</v>
      </c>
      <c r="C494" s="327">
        <f>INDEX(服务费明细!$E:$E,MATCH(服务费底表!$K494,服务费明细!$B:$B,0))</f>
        <v>0</v>
      </c>
      <c r="D494" s="327" t="str">
        <f t="shared" si="426"/>
        <v>A116CPSS</v>
      </c>
      <c r="E494" s="327" t="str">
        <f t="shared" si="427"/>
        <v>T0400CPSS</v>
      </c>
      <c r="F494" s="328"/>
      <c r="G494" s="328" t="s">
        <v>684</v>
      </c>
      <c r="H494" s="326" t="str">
        <f>INDEX('Rate Card'!$B:$B,MATCH(服务费底表!$T494,'Rate Card'!$F:$F,0))</f>
        <v>临床药理</v>
      </c>
      <c r="I494" s="328" t="s">
        <v>924</v>
      </c>
      <c r="J494" s="328" t="str">
        <f>INDEX(二三级标准!$Q:$Q,MATCH(服务费底表!I494,二三级标准!$O:$O,0))</f>
        <v>生物统计及分析</v>
      </c>
      <c r="K494" s="328" t="s">
        <v>337</v>
      </c>
      <c r="L494" s="328" t="str">
        <f>INDEX(二三级标准!C:C,MATCH(服务费底表!K494,二三级标准!$B:$B,0))</f>
        <v>期中分析</v>
      </c>
      <c r="M494" s="328" t="s">
        <v>1532</v>
      </c>
      <c r="N494" s="328" t="str">
        <f>INDEX(二三级标准!$M:$M,MATCH(服务费底表!$M494,二三级标准!$L:$L,0))</f>
        <v>期中分析的结果审核</v>
      </c>
      <c r="O494" s="328"/>
      <c r="P494" s="531">
        <f>IF(R494=1,INDEX(服务费明细!$E:$E,MATCH(服务费底表!$K494,服务费明细!$B:$B,0)),0)</f>
        <v>0</v>
      </c>
      <c r="Q494" s="328" t="s">
        <v>1178</v>
      </c>
      <c r="R494" s="520">
        <f>IF(AND(期中分析YN=1,临床药理YN=1),1,0)</f>
        <v>0</v>
      </c>
      <c r="S494" s="328" t="str">
        <f>INDEX('Rate Card'!$D:$D,MATCH(服务费底表!$T494,'Rate Card'!F:F,0))</f>
        <v>临床药理</v>
      </c>
      <c r="T494" s="328" t="s">
        <v>654</v>
      </c>
      <c r="U494" s="522" t="str">
        <f>INDEX('Rate Card'!$E:$E,MATCH(服务费底表!$T494,'Rate Card'!$F:$F,0))</f>
        <v>临床药理高级专员</v>
      </c>
      <c r="V494" s="331">
        <f>INDEX('Rate Card'!$J:$J,MATCH($T494,'Rate Card'!$F:$F,0))</f>
        <v>700</v>
      </c>
      <c r="W494" s="523">
        <f t="shared" si="428"/>
        <v>700</v>
      </c>
      <c r="X494" s="523">
        <f t="shared" si="429"/>
        <v>1</v>
      </c>
      <c r="Y494" s="327" cm="1">
        <f t="array" ref="Y494">_xlfn.IFS(报价场景=服务费底表!$AJ$2,服务费底表!$AJ494,报价场景=服务费底表!$AP$2,服务费底表!$AP494,报价场景=服务费底表!$AK$2,服务费底表!$AK494,报价场景=服务费底表!$AL$2,服务费底表!$AL494,报价场景=服务费底表!$AM$2,服务费底表!$AM494,报价场景=服务费底表!$AN$2,服务费底表!$AN494,报价场景=服务费底表!$AQ$2,服务费底表!$AQ494,报价场景=服务费底表!$AO$2,服务费底表!$AO494)</f>
        <v>1</v>
      </c>
      <c r="Z494" s="327"/>
      <c r="AA494" s="332">
        <f t="shared" si="430"/>
        <v>1</v>
      </c>
      <c r="AB494" s="333">
        <f t="shared" si="431"/>
        <v>0</v>
      </c>
      <c r="AC494" s="328">
        <f t="shared" si="432"/>
        <v>0</v>
      </c>
      <c r="AD494" s="334">
        <f t="shared" si="433"/>
        <v>0</v>
      </c>
      <c r="AE494" s="334">
        <f>$AB494*(1-INDEX(项目参数!$D$5:$D$14,MATCH(服务费底表!$S494,项目参数!$B$5:$B$14,0)))</f>
        <v>0</v>
      </c>
      <c r="AF494" s="334">
        <f>$AD494*INDEX(项目参数!$D$5:$D$14,MATCH(服务费底表!$S494,项目参数!$B$5:$B$14,0))</f>
        <v>0</v>
      </c>
      <c r="AG494" s="334">
        <f t="shared" si="434"/>
        <v>0</v>
      </c>
      <c r="AH494" s="328"/>
      <c r="AI494" s="328" t="s">
        <v>654</v>
      </c>
      <c r="AJ494" s="536">
        <v>1</v>
      </c>
      <c r="AK494" s="536">
        <v>1</v>
      </c>
      <c r="AL494" s="536">
        <v>1</v>
      </c>
      <c r="AM494" s="536">
        <v>1</v>
      </c>
      <c r="AN494" s="536">
        <v>1</v>
      </c>
      <c r="AO494" s="327">
        <f t="shared" si="416"/>
        <v>1</v>
      </c>
      <c r="AP494" s="327">
        <v>1</v>
      </c>
      <c r="AQ494" s="327">
        <f t="shared" si="435"/>
        <v>1.5</v>
      </c>
      <c r="AR494" s="338"/>
      <c r="AS494" s="328">
        <f t="shared" si="436"/>
        <v>0</v>
      </c>
      <c r="AT494" s="328">
        <f t="shared" si="437"/>
        <v>0</v>
      </c>
      <c r="AU494" s="523">
        <v>1</v>
      </c>
      <c r="AV494" s="328"/>
      <c r="AW494" s="328"/>
      <c r="AX494" s="332">
        <v>1</v>
      </c>
      <c r="AY494" s="328" t="b">
        <f t="shared" si="438"/>
        <v>1</v>
      </c>
      <c r="AZ494" s="328" t="b">
        <f t="shared" si="414"/>
        <v>1</v>
      </c>
    </row>
    <row r="495" ht="27" customHeight="1" spans="1:52">
      <c r="A495" s="326" t="str">
        <f>INDEX('Rate Card'!$A:$A,MATCH(服务费底表!$T495,'Rate Card'!$F:$F,0))</f>
        <v>数统</v>
      </c>
      <c r="B495" s="327" t="str">
        <f>INDEX(二三级标准!$G:$G,MATCH(服务费底表!$K495,二三级标准!B:B,0))</f>
        <v>次</v>
      </c>
      <c r="C495" s="327">
        <f>INDEX(服务费明细!$E:$E,MATCH(服务费底表!$K495,服务费明细!$B:$B,0))</f>
        <v>0</v>
      </c>
      <c r="D495" s="327" t="str">
        <f t="shared" si="426"/>
        <v>A116ST</v>
      </c>
      <c r="E495" s="327" t="str">
        <f t="shared" si="427"/>
        <v>T0401ST</v>
      </c>
      <c r="F495" s="328"/>
      <c r="G495" s="328" t="s">
        <v>684</v>
      </c>
      <c r="H495" s="326" t="str">
        <f>INDEX('Rate Card'!$B:$B,MATCH(服务费底表!$T495,'Rate Card'!$F:$F,0))</f>
        <v>生物统计及分析</v>
      </c>
      <c r="I495" s="328" t="s">
        <v>924</v>
      </c>
      <c r="J495" s="328" t="str">
        <f>INDEX(二三级标准!$Q:$Q,MATCH(服务费底表!I495,二三级标准!$O:$O,0))</f>
        <v>生物统计及分析</v>
      </c>
      <c r="K495" s="328" t="s">
        <v>337</v>
      </c>
      <c r="L495" s="328" t="str">
        <f>INDEX(二三级标准!C:C,MATCH(服务费底表!K495,二三级标准!$B:$B,0))</f>
        <v>期中分析</v>
      </c>
      <c r="M495" s="328" t="s">
        <v>1533</v>
      </c>
      <c r="N495" s="328" t="str">
        <f>INDEX(二三级标准!$M:$M,MATCH(服务费底表!$M495,二三级标准!$L:$L,0))</f>
        <v>期中分析的TFLs交付</v>
      </c>
      <c r="O495" s="328"/>
      <c r="P495" s="531">
        <f>IF(R495=1,INDEX(服务费明细!$E:$E,MATCH(服务费底表!$K495,服务费明细!$B:$B,0)),0)</f>
        <v>0</v>
      </c>
      <c r="Q495" s="328" t="s">
        <v>1178</v>
      </c>
      <c r="R495" s="520">
        <f>IF(AND(期中分析YN=1,生物统计YN=1),1,0)</f>
        <v>0</v>
      </c>
      <c r="S495" s="524" t="str">
        <f>INDEX('Rate Card'!$D:$D,MATCH(服务费底表!$T495,'Rate Card'!F:F,0))</f>
        <v>生物统计</v>
      </c>
      <c r="T495" s="328" t="s">
        <v>639</v>
      </c>
      <c r="U495" s="522" t="str">
        <f>INDEX('Rate Card'!$E:$E,MATCH(服务费底表!$T495,'Rate Card'!$F:$F,0))</f>
        <v>生物统计师</v>
      </c>
      <c r="V495" s="331">
        <f>INDEX('Rate Card'!$J:$J,MATCH($T495,'Rate Card'!$F:$F,0))</f>
        <v>400</v>
      </c>
      <c r="W495" s="523">
        <f t="shared" si="428"/>
        <v>400</v>
      </c>
      <c r="X495" s="523">
        <f t="shared" si="429"/>
        <v>1</v>
      </c>
      <c r="Y495" s="327" cm="1">
        <f t="array" ref="Y495">_xlfn.IFS(报价场景=服务费底表!$AJ$2,服务费底表!$AJ495,报价场景=服务费底表!$AP$2,服务费底表!$AP495,报价场景=服务费底表!$AK$2,服务费底表!$AK495,报价场景=服务费底表!$AL$2,服务费底表!$AL495,报价场景=服务费底表!$AM$2,服务费底表!$AM495,报价场景=服务费底表!$AN$2,服务费底表!$AN495,报价场景=服务费底表!$AQ$2,服务费底表!$AQ495,报价场景=服务费底表!$AO$2,服务费底表!$AO495)</f>
        <v>1</v>
      </c>
      <c r="Z495" s="327"/>
      <c r="AA495" s="332">
        <f t="shared" si="430"/>
        <v>1</v>
      </c>
      <c r="AB495" s="333">
        <f t="shared" si="431"/>
        <v>0</v>
      </c>
      <c r="AC495" s="328">
        <f t="shared" si="432"/>
        <v>0</v>
      </c>
      <c r="AD495" s="334">
        <f t="shared" si="433"/>
        <v>0</v>
      </c>
      <c r="AE495" s="334">
        <f>$AB495*(1-INDEX(项目参数!$D$5:$D$14,MATCH(服务费底表!$S495,项目参数!$B$5:$B$14,0)))</f>
        <v>0</v>
      </c>
      <c r="AF495" s="334">
        <f>$AD495*INDEX(项目参数!$D$5:$D$14,MATCH(服务费底表!$S495,项目参数!$B$5:$B$14,0))</f>
        <v>0</v>
      </c>
      <c r="AG495" s="334">
        <f t="shared" si="434"/>
        <v>0</v>
      </c>
      <c r="AH495" s="328"/>
      <c r="AI495" s="328" t="s">
        <v>639</v>
      </c>
      <c r="AJ495" s="327">
        <v>1</v>
      </c>
      <c r="AK495" s="327">
        <v>1</v>
      </c>
      <c r="AL495" s="327">
        <v>1</v>
      </c>
      <c r="AM495" s="327">
        <v>1</v>
      </c>
      <c r="AN495" s="327">
        <v>1</v>
      </c>
      <c r="AO495" s="327">
        <f t="shared" si="416"/>
        <v>1</v>
      </c>
      <c r="AP495" s="327">
        <v>1</v>
      </c>
      <c r="AQ495" s="327">
        <f t="shared" si="435"/>
        <v>1.5</v>
      </c>
      <c r="AR495" s="338"/>
      <c r="AS495" s="328">
        <f t="shared" si="436"/>
        <v>0</v>
      </c>
      <c r="AT495" s="328">
        <f t="shared" si="437"/>
        <v>0</v>
      </c>
      <c r="AU495" s="523">
        <v>1</v>
      </c>
      <c r="AV495" s="328"/>
      <c r="AW495" s="328"/>
      <c r="AX495" s="332">
        <v>1</v>
      </c>
      <c r="AY495" s="328" t="b">
        <f t="shared" si="438"/>
        <v>1</v>
      </c>
      <c r="AZ495" s="328" t="b">
        <f t="shared" si="414"/>
        <v>1</v>
      </c>
    </row>
    <row r="496" ht="27" customHeight="1" spans="1:52">
      <c r="A496" s="326" t="str">
        <f>INDEX('Rate Card'!$A:$A,MATCH(服务费底表!$T496,'Rate Card'!$F:$F,0))</f>
        <v>数统</v>
      </c>
      <c r="B496" s="327" t="str">
        <f>INDEX(二三级标准!$G:$G,MATCH(服务费底表!$K496,二三级标准!B:B,0))</f>
        <v>次</v>
      </c>
      <c r="C496" s="327">
        <f>INDEX(服务费明细!$E:$E,MATCH(服务费底表!$K496,服务费明细!$B:$B,0))</f>
        <v>1</v>
      </c>
      <c r="D496" s="327" t="str">
        <f t="shared" si="426"/>
        <v>A117SA</v>
      </c>
      <c r="E496" s="327" t="str">
        <f t="shared" si="427"/>
        <v>T0403SA</v>
      </c>
      <c r="F496" s="328"/>
      <c r="G496" s="328" t="s">
        <v>684</v>
      </c>
      <c r="H496" s="326" t="str">
        <f>INDEX('Rate Card'!$B:$B,MATCH(服务费底表!$T496,'Rate Card'!$F:$F,0))</f>
        <v>生物统计及分析</v>
      </c>
      <c r="I496" s="328" t="s">
        <v>924</v>
      </c>
      <c r="J496" s="328" t="str">
        <f>INDEX(二三级标准!$Q:$Q,MATCH(服务费底表!I496,二三级标准!$O:$O,0))</f>
        <v>生物统计及分析</v>
      </c>
      <c r="K496" s="328" t="s">
        <v>339</v>
      </c>
      <c r="L496" s="328" t="str">
        <f>INDEX(二三级标准!C:C,MATCH(服务费底表!K496,二三级标准!$B:$B,0))</f>
        <v>最终分析</v>
      </c>
      <c r="M496" s="328" t="s">
        <v>1534</v>
      </c>
      <c r="N496" s="328" t="str">
        <f>INDEX(二三级标准!$M:$M,MATCH(服务费底表!$M496,二三级标准!$L:$L,0))</f>
        <v>最终分析的程序运行</v>
      </c>
      <c r="O496" s="328"/>
      <c r="P496" s="531">
        <f>IF(R496=1,INDEX(服务费明细!$E:$E,MATCH(服务费底表!$K496,服务费明细!$B:$B,0)),0)</f>
        <v>1</v>
      </c>
      <c r="Q496" s="328" t="s">
        <v>1178</v>
      </c>
      <c r="R496" s="520">
        <f>IF(AND(最终分析YN=1,统计分析YN=1),1,0)</f>
        <v>1</v>
      </c>
      <c r="S496" s="524" t="str">
        <f>INDEX('Rate Card'!$D:$D,MATCH(服务费底表!$T496,'Rate Card'!F:F,0))</f>
        <v>统计分析</v>
      </c>
      <c r="T496" s="328" t="s">
        <v>635</v>
      </c>
      <c r="U496" s="522" t="str">
        <f>INDEX('Rate Card'!$E:$E,MATCH(服务费底表!$T496,'Rate Card'!$F:$F,0))</f>
        <v>统计分析师</v>
      </c>
      <c r="V496" s="331">
        <f>INDEX('Rate Card'!$J:$J,MATCH($T496,'Rate Card'!$F:$F,0))</f>
        <v>225</v>
      </c>
      <c r="W496" s="523">
        <f t="shared" si="428"/>
        <v>225</v>
      </c>
      <c r="X496" s="523">
        <f t="shared" si="429"/>
        <v>6</v>
      </c>
      <c r="Y496" s="327" cm="1">
        <f t="array" ref="Y496">_xlfn.IFS(报价场景=服务费底表!$AJ$2,服务费底表!$AJ496,报价场景=服务费底表!$AP$2,服务费底表!$AP496,报价场景=服务费底表!$AK$2,服务费底表!$AK496,报价场景=服务费底表!$AL$2,服务费底表!$AL496,报价场景=服务费底表!$AM$2,服务费底表!$AM496,报价场景=服务费底表!$AN$2,服务费底表!$AN496,报价场景=服务费底表!$AQ$2,服务费底表!$AQ496,报价场景=服务费底表!$AO$2,服务费底表!$AO496)</f>
        <v>6</v>
      </c>
      <c r="Z496" s="327"/>
      <c r="AA496" s="332">
        <f t="shared" si="430"/>
        <v>6</v>
      </c>
      <c r="AB496" s="333">
        <f t="shared" si="431"/>
        <v>1350</v>
      </c>
      <c r="AC496" s="328">
        <f t="shared" si="432"/>
        <v>6</v>
      </c>
      <c r="AD496" s="334">
        <f t="shared" si="433"/>
        <v>1350</v>
      </c>
      <c r="AE496" s="334">
        <f>$AB496*(1-INDEX(项目参数!$D$5:$D$14,MATCH(服务费底表!$S496,项目参数!$B$5:$B$14,0)))</f>
        <v>1350</v>
      </c>
      <c r="AF496" s="334">
        <f>$AD496*INDEX(项目参数!$D$5:$D$14,MATCH(服务费底表!$S496,项目参数!$B$5:$B$14,0))</f>
        <v>0</v>
      </c>
      <c r="AG496" s="334">
        <f t="shared" si="434"/>
        <v>1350</v>
      </c>
      <c r="AH496" s="328"/>
      <c r="AI496" s="328" t="s">
        <v>635</v>
      </c>
      <c r="AJ496" s="327">
        <v>6</v>
      </c>
      <c r="AK496" s="327">
        <v>8</v>
      </c>
      <c r="AL496" s="327">
        <v>4</v>
      </c>
      <c r="AM496" s="327">
        <v>8</v>
      </c>
      <c r="AN496" s="327">
        <v>4</v>
      </c>
      <c r="AO496" s="327">
        <f t="shared" si="416"/>
        <v>4</v>
      </c>
      <c r="AP496" s="327">
        <v>6</v>
      </c>
      <c r="AQ496" s="327">
        <f t="shared" si="435"/>
        <v>9</v>
      </c>
      <c r="AR496" s="338"/>
      <c r="AS496" s="328">
        <f t="shared" si="436"/>
        <v>6</v>
      </c>
      <c r="AT496" s="328">
        <f t="shared" si="437"/>
        <v>6</v>
      </c>
      <c r="AU496" s="523">
        <v>6</v>
      </c>
      <c r="AV496" s="328"/>
      <c r="AW496" s="328"/>
      <c r="AX496" s="332">
        <v>6</v>
      </c>
      <c r="AY496" s="328" t="b">
        <f t="shared" si="438"/>
        <v>1</v>
      </c>
      <c r="AZ496" s="328" t="b">
        <f t="shared" si="414"/>
        <v>0</v>
      </c>
    </row>
    <row r="497" ht="27" customHeight="1" spans="1:52">
      <c r="A497" s="326" t="str">
        <f>INDEX('Rate Card'!$A:$A,MATCH(服务费底表!$T497,'Rate Card'!$F:$F,0))</f>
        <v>数统</v>
      </c>
      <c r="B497" s="327" t="str">
        <f>INDEX(二三级标准!$G:$G,MATCH(服务费底表!$K497,二三级标准!B:B,0))</f>
        <v>次</v>
      </c>
      <c r="C497" s="327">
        <f>INDEX(服务费明细!$E:$E,MATCH(服务费底表!$K497,服务费明细!$B:$B,0))</f>
        <v>1</v>
      </c>
      <c r="D497" s="327" t="str">
        <f t="shared" si="426"/>
        <v>A117SA</v>
      </c>
      <c r="E497" s="327" t="str">
        <f t="shared" si="427"/>
        <v>T0404SA</v>
      </c>
      <c r="F497" s="328"/>
      <c r="G497" s="328" t="s">
        <v>684</v>
      </c>
      <c r="H497" s="326" t="str">
        <f>INDEX('Rate Card'!$B:$B,MATCH(服务费底表!$T497,'Rate Card'!$F:$F,0))</f>
        <v>生物统计及分析</v>
      </c>
      <c r="I497" s="328" t="s">
        <v>924</v>
      </c>
      <c r="J497" s="328" t="str">
        <f>INDEX(二三级标准!$Q:$Q,MATCH(服务费底表!I497,二三级标准!$O:$O,0))</f>
        <v>生物统计及分析</v>
      </c>
      <c r="K497" s="328" t="s">
        <v>339</v>
      </c>
      <c r="L497" s="328" t="str">
        <f>INDEX(二三级标准!C:C,MATCH(服务费底表!K497,二三级标准!$B:$B,0))</f>
        <v>最终分析</v>
      </c>
      <c r="M497" s="328" t="s">
        <v>1535</v>
      </c>
      <c r="N497" s="328" t="str">
        <f>INDEX(二三级标准!$M:$M,MATCH(服务费底表!$M497,二三级标准!$L:$L,0))</f>
        <v>最终分析程序的验证和修订</v>
      </c>
      <c r="O497" s="328"/>
      <c r="P497" s="531">
        <f>IF(R497=1,INDEX(服务费明细!$E:$E,MATCH(服务费底表!$K497,服务费明细!$B:$B,0)),0)</f>
        <v>1</v>
      </c>
      <c r="Q497" s="328" t="s">
        <v>1178</v>
      </c>
      <c r="R497" s="520">
        <f>IF(AND(最终分析YN=1,统计分析YN=1),1,0)</f>
        <v>1</v>
      </c>
      <c r="S497" s="524" t="str">
        <f>INDEX('Rate Card'!$D:$D,MATCH(服务费底表!$T497,'Rate Card'!F:F,0))</f>
        <v>统计分析</v>
      </c>
      <c r="T497" s="328" t="s">
        <v>635</v>
      </c>
      <c r="U497" s="522" t="str">
        <f>INDEX('Rate Card'!$E:$E,MATCH(服务费底表!$T497,'Rate Card'!$F:$F,0))</f>
        <v>统计分析师</v>
      </c>
      <c r="V497" s="331">
        <f>INDEX('Rate Card'!$J:$J,MATCH($T497,'Rate Card'!$F:$F,0))</f>
        <v>225</v>
      </c>
      <c r="W497" s="523">
        <f t="shared" si="428"/>
        <v>225</v>
      </c>
      <c r="X497" s="523">
        <f t="shared" si="429"/>
        <v>24</v>
      </c>
      <c r="Y497" s="327" cm="1">
        <f t="array" ref="Y497">_xlfn.IFS(报价场景=服务费底表!$AJ$2,服务费底表!$AJ497,报价场景=服务费底表!$AP$2,服务费底表!$AP497,报价场景=服务费底表!$AK$2,服务费底表!$AK497,报价场景=服务费底表!$AL$2,服务费底表!$AL497,报价场景=服务费底表!$AM$2,服务费底表!$AM497,报价场景=服务费底表!$AN$2,服务费底表!$AN497,报价场景=服务费底表!$AQ$2,服务费底表!$AQ497,报价场景=服务费底表!$AO$2,服务费底表!$AO497)</f>
        <v>24</v>
      </c>
      <c r="Z497" s="327"/>
      <c r="AA497" s="332">
        <f t="shared" si="430"/>
        <v>24</v>
      </c>
      <c r="AB497" s="333">
        <f t="shared" si="431"/>
        <v>5400</v>
      </c>
      <c r="AC497" s="328">
        <f t="shared" si="432"/>
        <v>24</v>
      </c>
      <c r="AD497" s="334">
        <f t="shared" si="433"/>
        <v>5400</v>
      </c>
      <c r="AE497" s="334">
        <f>$AB497*(1-INDEX(项目参数!$D$5:$D$14,MATCH(服务费底表!$S497,项目参数!$B$5:$B$14,0)))</f>
        <v>5400</v>
      </c>
      <c r="AF497" s="334">
        <f>$AD497*INDEX(项目参数!$D$5:$D$14,MATCH(服务费底表!$S497,项目参数!$B$5:$B$14,0))</f>
        <v>0</v>
      </c>
      <c r="AG497" s="334">
        <f t="shared" si="434"/>
        <v>5400</v>
      </c>
      <c r="AH497" s="328"/>
      <c r="AI497" s="328" t="s">
        <v>635</v>
      </c>
      <c r="AJ497" s="327">
        <v>24</v>
      </c>
      <c r="AK497" s="327">
        <v>40</v>
      </c>
      <c r="AL497" s="327">
        <v>28</v>
      </c>
      <c r="AM497" s="327">
        <v>40</v>
      </c>
      <c r="AN497" s="327">
        <v>28</v>
      </c>
      <c r="AO497" s="327">
        <f t="shared" si="416"/>
        <v>28</v>
      </c>
      <c r="AP497" s="327">
        <v>24</v>
      </c>
      <c r="AQ497" s="327">
        <f t="shared" si="435"/>
        <v>36</v>
      </c>
      <c r="AR497" s="338"/>
      <c r="AS497" s="328">
        <f t="shared" si="436"/>
        <v>24</v>
      </c>
      <c r="AT497" s="328">
        <f t="shared" si="437"/>
        <v>24</v>
      </c>
      <c r="AU497" s="523">
        <v>24</v>
      </c>
      <c r="AV497" s="328"/>
      <c r="AW497" s="328"/>
      <c r="AX497" s="332">
        <v>24</v>
      </c>
      <c r="AY497" s="328" t="b">
        <f t="shared" si="438"/>
        <v>1</v>
      </c>
      <c r="AZ497" s="328" t="b">
        <f t="shared" si="414"/>
        <v>0</v>
      </c>
    </row>
    <row r="498" ht="27" customHeight="1" spans="1:52">
      <c r="A498" s="326" t="str">
        <f>INDEX('Rate Card'!$A:$A,MATCH(服务费底表!$T498,'Rate Card'!$F:$F,0))</f>
        <v>数统</v>
      </c>
      <c r="B498" s="327" t="str">
        <f>INDEX(二三级标准!$G:$G,MATCH(服务费底表!$K498,二三级标准!B:B,0))</f>
        <v>次</v>
      </c>
      <c r="C498" s="327">
        <f>INDEX(服务费明细!$E:$E,MATCH(服务费底表!$K498,服务费明细!$B:$B,0))</f>
        <v>1</v>
      </c>
      <c r="D498" s="327" t="str">
        <f t="shared" si="426"/>
        <v>A117SA</v>
      </c>
      <c r="E498" s="327" t="str">
        <f t="shared" si="427"/>
        <v>T0405SA</v>
      </c>
      <c r="F498" s="328"/>
      <c r="G498" s="328" t="s">
        <v>684</v>
      </c>
      <c r="H498" s="326" t="str">
        <f>INDEX('Rate Card'!$B:$B,MATCH(服务费底表!$T498,'Rate Card'!$F:$F,0))</f>
        <v>生物统计及分析</v>
      </c>
      <c r="I498" s="328" t="s">
        <v>924</v>
      </c>
      <c r="J498" s="328" t="str">
        <f>INDEX(二三级标准!$Q:$Q,MATCH(服务费底表!I498,二三级标准!$O:$O,0))</f>
        <v>生物统计及分析</v>
      </c>
      <c r="K498" s="328" t="s">
        <v>339</v>
      </c>
      <c r="L498" s="328" t="str">
        <f>INDEX(二三级标准!C:C,MATCH(服务费底表!K498,二三级标准!$B:$B,0))</f>
        <v>最终分析</v>
      </c>
      <c r="M498" s="328" t="s">
        <v>1536</v>
      </c>
      <c r="N498" s="328" t="str">
        <f>INDEX(二三级标准!$M:$M,MATCH(服务费底表!$M498,二三级标准!$L:$L,0))</f>
        <v>最终分析的数据集合规性检查</v>
      </c>
      <c r="O498" s="328" t="s">
        <v>1537</v>
      </c>
      <c r="P498" s="531">
        <f>IF(R498=1,INDEX(服务费明细!$E:$E,MATCH(服务费底表!$K498,服务费明细!$B:$B,0)),0)</f>
        <v>1</v>
      </c>
      <c r="Q498" s="328" t="s">
        <v>1178</v>
      </c>
      <c r="R498" s="520">
        <f>IF(AND(最终分析YN=1,生成SDTM数据集YN=1,统计分析YN=1),1,0)</f>
        <v>1</v>
      </c>
      <c r="S498" s="524" t="str">
        <f>INDEX('Rate Card'!$D:$D,MATCH(服务费底表!$T498,'Rate Card'!F:F,0))</f>
        <v>统计分析</v>
      </c>
      <c r="T498" s="328" t="s">
        <v>635</v>
      </c>
      <c r="U498" s="522" t="str">
        <f>INDEX('Rate Card'!$E:$E,MATCH(服务费底表!$T498,'Rate Card'!$F:$F,0))</f>
        <v>统计分析师</v>
      </c>
      <c r="V498" s="331">
        <f>INDEX('Rate Card'!$J:$J,MATCH($T498,'Rate Card'!$F:$F,0))</f>
        <v>225</v>
      </c>
      <c r="W498" s="523">
        <f t="shared" si="428"/>
        <v>225</v>
      </c>
      <c r="X498" s="523">
        <f t="shared" si="429"/>
        <v>2</v>
      </c>
      <c r="Y498" s="327" cm="1">
        <f t="array" ref="Y498">_xlfn.IFS(报价场景=服务费底表!$AJ$2,服务费底表!$AJ498,报价场景=服务费底表!$AP$2,服务费底表!$AP498,报价场景=服务费底表!$AK$2,服务费底表!$AK498,报价场景=服务费底表!$AL$2,服务费底表!$AL498,报价场景=服务费底表!$AM$2,服务费底表!$AM498,报价场景=服务费底表!$AN$2,服务费底表!$AN498,报价场景=服务费底表!$AQ$2,服务费底表!$AQ498,报价场景=服务费底表!$AO$2,服务费底表!$AO498)</f>
        <v>2</v>
      </c>
      <c r="Z498" s="327"/>
      <c r="AA498" s="332">
        <f t="shared" si="430"/>
        <v>2</v>
      </c>
      <c r="AB498" s="333">
        <f t="shared" si="431"/>
        <v>450</v>
      </c>
      <c r="AC498" s="328">
        <f t="shared" si="432"/>
        <v>2</v>
      </c>
      <c r="AD498" s="334">
        <f t="shared" si="433"/>
        <v>450</v>
      </c>
      <c r="AE498" s="334">
        <f>$AB498*(1-INDEX(项目参数!$D$5:$D$14,MATCH(服务费底表!$S498,项目参数!$B$5:$B$14,0)))</f>
        <v>450</v>
      </c>
      <c r="AF498" s="334">
        <f>$AD498*INDEX(项目参数!$D$5:$D$14,MATCH(服务费底表!$S498,项目参数!$B$5:$B$14,0))</f>
        <v>0</v>
      </c>
      <c r="AG498" s="334">
        <f t="shared" si="434"/>
        <v>450</v>
      </c>
      <c r="AH498" s="328"/>
      <c r="AI498" s="328" t="s">
        <v>635</v>
      </c>
      <c r="AJ498" s="327">
        <v>2</v>
      </c>
      <c r="AK498" s="327">
        <v>6</v>
      </c>
      <c r="AL498" s="327">
        <v>4</v>
      </c>
      <c r="AM498" s="327">
        <v>6</v>
      </c>
      <c r="AN498" s="327">
        <v>4</v>
      </c>
      <c r="AO498" s="327">
        <f t="shared" si="416"/>
        <v>4</v>
      </c>
      <c r="AP498" s="327">
        <v>2</v>
      </c>
      <c r="AQ498" s="327">
        <f t="shared" si="435"/>
        <v>3</v>
      </c>
      <c r="AR498" s="338"/>
      <c r="AS498" s="328">
        <f t="shared" si="436"/>
        <v>2</v>
      </c>
      <c r="AT498" s="328">
        <f t="shared" si="437"/>
        <v>2</v>
      </c>
      <c r="AU498" s="523">
        <v>2</v>
      </c>
      <c r="AV498" s="328"/>
      <c r="AW498" s="328"/>
      <c r="AX498" s="332">
        <v>2</v>
      </c>
      <c r="AY498" s="328" t="b">
        <f t="shared" si="438"/>
        <v>1</v>
      </c>
      <c r="AZ498" s="328" t="b">
        <f t="shared" si="414"/>
        <v>0</v>
      </c>
    </row>
    <row r="499" ht="27" customHeight="1" spans="1:52">
      <c r="A499" s="326" t="str">
        <f>INDEX('Rate Card'!$A:$A,MATCH(服务费底表!$T499,'Rate Card'!$F:$F,0))</f>
        <v>数统</v>
      </c>
      <c r="B499" s="327" t="str">
        <f>INDEX(二三级标准!$G:$G,MATCH(服务费底表!$K499,二三级标准!B:B,0))</f>
        <v>次</v>
      </c>
      <c r="C499" s="327">
        <f>INDEX(服务费明细!$E:$E,MATCH(服务费底表!$K499,服务费明细!$B:$B,0))</f>
        <v>1</v>
      </c>
      <c r="D499" s="327" t="str">
        <f t="shared" si="426"/>
        <v>A117SA</v>
      </c>
      <c r="E499" s="327" t="str">
        <f t="shared" si="427"/>
        <v>T0407SA</v>
      </c>
      <c r="F499" s="328"/>
      <c r="G499" s="328" t="s">
        <v>684</v>
      </c>
      <c r="H499" s="326" t="str">
        <f>INDEX('Rate Card'!$B:$B,MATCH(服务费底表!$T499,'Rate Card'!$F:$F,0))</f>
        <v>生物统计及分析</v>
      </c>
      <c r="I499" s="328" t="s">
        <v>924</v>
      </c>
      <c r="J499" s="328" t="str">
        <f>INDEX(二三级标准!$Q:$Q,MATCH(服务费底表!I499,二三级标准!$O:$O,0))</f>
        <v>生物统计及分析</v>
      </c>
      <c r="K499" s="328" t="s">
        <v>339</v>
      </c>
      <c r="L499" s="328" t="str">
        <f>INDEX(二三级标准!C:C,MATCH(服务费底表!K499,二三级标准!$B:$B,0))</f>
        <v>最终分析</v>
      </c>
      <c r="M499" s="328" t="s">
        <v>1538</v>
      </c>
      <c r="N499" s="328" t="str">
        <f>INDEX(二三级标准!$M:$M,MATCH(服务费底表!$M499,二三级标准!$L:$L,0))</f>
        <v>最终分析的所有TFLs合并</v>
      </c>
      <c r="O499" s="328"/>
      <c r="P499" s="531">
        <f>IF(R499=1,INDEX(服务费明细!$E:$E,MATCH(服务费底表!$K499,服务费明细!$B:$B,0)),0)</f>
        <v>1</v>
      </c>
      <c r="Q499" s="328" t="s">
        <v>1178</v>
      </c>
      <c r="R499" s="520">
        <f>IF(AND(最终分析YN=1,统计分析YN=1),1,0)</f>
        <v>1</v>
      </c>
      <c r="S499" s="524" t="str">
        <f>INDEX('Rate Card'!$D:$D,MATCH(服务费底表!$T499,'Rate Card'!F:F,0))</f>
        <v>统计分析</v>
      </c>
      <c r="T499" s="328" t="s">
        <v>635</v>
      </c>
      <c r="U499" s="522" t="str">
        <f>INDEX('Rate Card'!$E:$E,MATCH(服务费底表!$T499,'Rate Card'!$F:$F,0))</f>
        <v>统计分析师</v>
      </c>
      <c r="V499" s="331">
        <f>INDEX('Rate Card'!$J:$J,MATCH($T499,'Rate Card'!$F:$F,0))</f>
        <v>225</v>
      </c>
      <c r="W499" s="523">
        <f t="shared" si="428"/>
        <v>225</v>
      </c>
      <c r="X499" s="523">
        <f t="shared" si="429"/>
        <v>4</v>
      </c>
      <c r="Y499" s="327" cm="1">
        <f t="array" ref="Y499">_xlfn.IFS(报价场景=服务费底表!$AJ$2,服务费底表!$AJ499,报价场景=服务费底表!$AP$2,服务费底表!$AP499,报价场景=服务费底表!$AK$2,服务费底表!$AK499,报价场景=服务费底表!$AL$2,服务费底表!$AL499,报价场景=服务费底表!$AM$2,服务费底表!$AM499,报价场景=服务费底表!$AN$2,服务费底表!$AN499,报价场景=服务费底表!$AQ$2,服务费底表!$AQ499,报价场景=服务费底表!$AO$2,服务费底表!$AO499)</f>
        <v>4</v>
      </c>
      <c r="Z499" s="327"/>
      <c r="AA499" s="332">
        <f t="shared" si="430"/>
        <v>4</v>
      </c>
      <c r="AB499" s="333">
        <f t="shared" si="431"/>
        <v>900</v>
      </c>
      <c r="AC499" s="328">
        <f t="shared" si="432"/>
        <v>4</v>
      </c>
      <c r="AD499" s="334">
        <f t="shared" si="433"/>
        <v>900</v>
      </c>
      <c r="AE499" s="334">
        <f>$AB499*(1-INDEX(项目参数!$D$5:$D$14,MATCH(服务费底表!$S499,项目参数!$B$5:$B$14,0)))</f>
        <v>900</v>
      </c>
      <c r="AF499" s="334">
        <f>$AD499*INDEX(项目参数!$D$5:$D$14,MATCH(服务费底表!$S499,项目参数!$B$5:$B$14,0))</f>
        <v>0</v>
      </c>
      <c r="AG499" s="334">
        <f t="shared" si="434"/>
        <v>900</v>
      </c>
      <c r="AH499" s="328"/>
      <c r="AI499" s="328" t="s">
        <v>635</v>
      </c>
      <c r="AJ499" s="327">
        <v>4</v>
      </c>
      <c r="AK499" s="327">
        <v>6</v>
      </c>
      <c r="AL499" s="327">
        <v>4</v>
      </c>
      <c r="AM499" s="327">
        <v>6</v>
      </c>
      <c r="AN499" s="327">
        <v>4</v>
      </c>
      <c r="AO499" s="327">
        <f t="shared" si="416"/>
        <v>4</v>
      </c>
      <c r="AP499" s="327">
        <v>4</v>
      </c>
      <c r="AQ499" s="327">
        <f t="shared" si="435"/>
        <v>6</v>
      </c>
      <c r="AR499" s="338"/>
      <c r="AS499" s="328">
        <f t="shared" si="436"/>
        <v>4</v>
      </c>
      <c r="AT499" s="328">
        <f t="shared" si="437"/>
        <v>4</v>
      </c>
      <c r="AU499" s="523">
        <v>4</v>
      </c>
      <c r="AV499" s="328"/>
      <c r="AW499" s="328"/>
      <c r="AX499" s="332">
        <v>4</v>
      </c>
      <c r="AY499" s="328" t="b">
        <f t="shared" si="438"/>
        <v>1</v>
      </c>
      <c r="AZ499" s="328" t="b">
        <f t="shared" si="414"/>
        <v>0</v>
      </c>
    </row>
    <row r="500" ht="27" customHeight="1" spans="1:52">
      <c r="A500" s="326" t="str">
        <f>INDEX('Rate Card'!$A:$A,MATCH(服务费底表!$T500,'Rate Card'!$F:$F,0))</f>
        <v>数统</v>
      </c>
      <c r="B500" s="327" t="str">
        <f>INDEX(二三级标准!$G:$G,MATCH(服务费底表!$K500,二三级标准!B:B,0))</f>
        <v>次</v>
      </c>
      <c r="C500" s="327">
        <f>INDEX(服务费明细!$E:$E,MATCH(服务费底表!$K500,服务费明细!$B:$B,0))</f>
        <v>1</v>
      </c>
      <c r="D500" s="327" t="str">
        <f t="shared" si="426"/>
        <v>A117SAM</v>
      </c>
      <c r="E500" s="327" t="str">
        <f t="shared" si="427"/>
        <v>T0408SAM</v>
      </c>
      <c r="F500" s="328"/>
      <c r="G500" s="328" t="s">
        <v>684</v>
      </c>
      <c r="H500" s="326" t="str">
        <f>INDEX('Rate Card'!$B:$B,MATCH(服务费底表!$T500,'Rate Card'!$F:$F,0))</f>
        <v>生物统计及分析</v>
      </c>
      <c r="I500" s="328" t="s">
        <v>924</v>
      </c>
      <c r="J500" s="328" t="str">
        <f>INDEX(二三级标准!$Q:$Q,MATCH(服务费底表!I500,二三级标准!$O:$O,0))</f>
        <v>生物统计及分析</v>
      </c>
      <c r="K500" s="328" t="s">
        <v>339</v>
      </c>
      <c r="L500" s="328" t="str">
        <f>INDEX(二三级标准!C:C,MATCH(服务费底表!K500,二三级标准!$B:$B,0))</f>
        <v>最终分析</v>
      </c>
      <c r="M500" s="328" t="s">
        <v>1539</v>
      </c>
      <c r="N500" s="328" t="str">
        <f>INDEX(二三级标准!$M:$M,MATCH(服务费底表!$M500,二三级标准!$L:$L,0))</f>
        <v>最终分析的结果审核</v>
      </c>
      <c r="O500" s="328"/>
      <c r="P500" s="531">
        <f>IF(R500=1,INDEX(服务费明细!$E:$E,MATCH(服务费底表!$K500,服务费明细!$B:$B,0)),0)</f>
        <v>1</v>
      </c>
      <c r="Q500" s="328" t="s">
        <v>1178</v>
      </c>
      <c r="R500" s="520">
        <f>IF(AND(最终分析YN=1,统计分析YN=1),1,0)</f>
        <v>1</v>
      </c>
      <c r="S500" s="524" t="str">
        <f>INDEX('Rate Card'!$D:$D,MATCH(服务费底表!$T500,'Rate Card'!F:F,0))</f>
        <v>统计分析</v>
      </c>
      <c r="T500" s="328" t="s">
        <v>638</v>
      </c>
      <c r="U500" s="522" t="str">
        <f>INDEX('Rate Card'!$E:$E,MATCH(服务费底表!$T500,'Rate Card'!$F:$F,0))</f>
        <v>统计分析经理</v>
      </c>
      <c r="V500" s="331">
        <f>INDEX('Rate Card'!$J:$J,MATCH($T500,'Rate Card'!$F:$F,0))</f>
        <v>450</v>
      </c>
      <c r="W500" s="523">
        <f t="shared" si="428"/>
        <v>450</v>
      </c>
      <c r="X500" s="523">
        <f t="shared" si="429"/>
        <v>4</v>
      </c>
      <c r="Y500" s="327" cm="1">
        <f t="array" ref="Y500">_xlfn.IFS(报价场景=服务费底表!$AJ$2,服务费底表!$AJ500,报价场景=服务费底表!$AP$2,服务费底表!$AP500,报价场景=服务费底表!$AK$2,服务费底表!$AK500,报价场景=服务费底表!$AL$2,服务费底表!$AL500,报价场景=服务费底表!$AM$2,服务费底表!$AM500,报价场景=服务费底表!$AN$2,服务费底表!$AN500,报价场景=服务费底表!$AQ$2,服务费底表!$AQ500,报价场景=服务费底表!$AO$2,服务费底表!$AO500)</f>
        <v>4</v>
      </c>
      <c r="Z500" s="327"/>
      <c r="AA500" s="332">
        <f t="shared" si="430"/>
        <v>4</v>
      </c>
      <c r="AB500" s="333">
        <f t="shared" si="431"/>
        <v>1800</v>
      </c>
      <c r="AC500" s="328">
        <f t="shared" si="432"/>
        <v>4</v>
      </c>
      <c r="AD500" s="334">
        <f t="shared" si="433"/>
        <v>1800</v>
      </c>
      <c r="AE500" s="334">
        <f>$AB500*(1-INDEX(项目参数!$D$5:$D$14,MATCH(服务费底表!$S500,项目参数!$B$5:$B$14,0)))</f>
        <v>1800</v>
      </c>
      <c r="AF500" s="334">
        <f>$AD500*INDEX(项目参数!$D$5:$D$14,MATCH(服务费底表!$S500,项目参数!$B$5:$B$14,0))</f>
        <v>0</v>
      </c>
      <c r="AG500" s="334">
        <f t="shared" si="434"/>
        <v>1800</v>
      </c>
      <c r="AH500" s="328"/>
      <c r="AI500" s="328" t="s">
        <v>638</v>
      </c>
      <c r="AJ500" s="327">
        <v>4</v>
      </c>
      <c r="AK500" s="327">
        <v>8</v>
      </c>
      <c r="AL500" s="327">
        <v>4</v>
      </c>
      <c r="AM500" s="327">
        <v>8</v>
      </c>
      <c r="AN500" s="327">
        <v>4</v>
      </c>
      <c r="AO500" s="327">
        <f t="shared" si="416"/>
        <v>4</v>
      </c>
      <c r="AP500" s="327">
        <v>4</v>
      </c>
      <c r="AQ500" s="327">
        <f t="shared" si="435"/>
        <v>6</v>
      </c>
      <c r="AR500" s="338"/>
      <c r="AS500" s="328">
        <f t="shared" si="436"/>
        <v>4</v>
      </c>
      <c r="AT500" s="328">
        <f t="shared" si="437"/>
        <v>4</v>
      </c>
      <c r="AU500" s="523">
        <v>4</v>
      </c>
      <c r="AV500" s="328"/>
      <c r="AW500" s="328"/>
      <c r="AX500" s="332">
        <v>4</v>
      </c>
      <c r="AY500" s="328" t="b">
        <f t="shared" si="438"/>
        <v>1</v>
      </c>
      <c r="AZ500" s="328" t="b">
        <f t="shared" si="414"/>
        <v>0</v>
      </c>
    </row>
    <row r="501" ht="27" customHeight="1" spans="1:52">
      <c r="A501" s="326" t="str">
        <f>INDEX('Rate Card'!$A:$A,MATCH(服务费底表!$T501,'Rate Card'!$F:$F,0))</f>
        <v>数统</v>
      </c>
      <c r="B501" s="327" t="str">
        <f>INDEX(二三级标准!$G:$G,MATCH(服务费底表!$K501,二三级标准!B:B,0))</f>
        <v>次</v>
      </c>
      <c r="C501" s="327">
        <f>INDEX(服务费明细!$E:$E,MATCH(服务费底表!$K501,服务费明细!$B:$B,0))</f>
        <v>1</v>
      </c>
      <c r="D501" s="327" t="str">
        <f t="shared" si="426"/>
        <v>A117ST</v>
      </c>
      <c r="E501" s="327" t="str">
        <f t="shared" si="427"/>
        <v>T0408ST</v>
      </c>
      <c r="F501" s="328"/>
      <c r="G501" s="328" t="s">
        <v>684</v>
      </c>
      <c r="H501" s="326" t="str">
        <f>INDEX('Rate Card'!$B:$B,MATCH(服务费底表!$T501,'Rate Card'!$F:$F,0))</f>
        <v>生物统计及分析</v>
      </c>
      <c r="I501" s="328" t="s">
        <v>924</v>
      </c>
      <c r="J501" s="328" t="str">
        <f>INDEX(二三级标准!$Q:$Q,MATCH(服务费底表!I501,二三级标准!$O:$O,0))</f>
        <v>生物统计及分析</v>
      </c>
      <c r="K501" s="328" t="s">
        <v>339</v>
      </c>
      <c r="L501" s="328" t="str">
        <f>INDEX(二三级标准!C:C,MATCH(服务费底表!K501,二三级标准!$B:$B,0))</f>
        <v>最终分析</v>
      </c>
      <c r="M501" s="328" t="s">
        <v>1539</v>
      </c>
      <c r="N501" s="328" t="str">
        <f>INDEX(二三级标准!$M:$M,MATCH(服务费底表!$M501,二三级标准!$L:$L,0))</f>
        <v>最终分析的结果审核</v>
      </c>
      <c r="O501" s="328"/>
      <c r="P501" s="531">
        <f>IF(R501=1,INDEX(服务费明细!$E:$E,MATCH(服务费底表!$K501,服务费明细!$B:$B,0)),0)</f>
        <v>1</v>
      </c>
      <c r="Q501" s="328" t="s">
        <v>1178</v>
      </c>
      <c r="R501" s="520">
        <f>IF(AND(最终分析YN=1,生物统计YN=1),1,0)</f>
        <v>1</v>
      </c>
      <c r="S501" s="524" t="str">
        <f>INDEX('Rate Card'!$D:$D,MATCH(服务费底表!$T501,'Rate Card'!F:F,0))</f>
        <v>生物统计</v>
      </c>
      <c r="T501" s="328" t="s">
        <v>639</v>
      </c>
      <c r="U501" s="522" t="str">
        <f>INDEX('Rate Card'!$E:$E,MATCH(服务费底表!$T501,'Rate Card'!$F:$F,0))</f>
        <v>生物统计师</v>
      </c>
      <c r="V501" s="331">
        <f>INDEX('Rate Card'!$J:$J,MATCH($T501,'Rate Card'!$F:$F,0))</f>
        <v>400</v>
      </c>
      <c r="W501" s="523">
        <f t="shared" si="428"/>
        <v>400</v>
      </c>
      <c r="X501" s="523">
        <f t="shared" si="429"/>
        <v>12</v>
      </c>
      <c r="Y501" s="327" cm="1">
        <f t="array" ref="Y501">_xlfn.IFS(报价场景=服务费底表!$AJ$2,服务费底表!$AJ501,报价场景=服务费底表!$AP$2,服务费底表!$AP501,报价场景=服务费底表!$AK$2,服务费底表!$AK501,报价场景=服务费底表!$AL$2,服务费底表!$AL501,报价场景=服务费底表!$AM$2,服务费底表!$AM501,报价场景=服务费底表!$AN$2,服务费底表!$AN501,报价场景=服务费底表!$AQ$2,服务费底表!$AQ501,报价场景=服务费底表!$AO$2,服务费底表!$AO501)</f>
        <v>12</v>
      </c>
      <c r="Z501" s="327"/>
      <c r="AA501" s="332">
        <f t="shared" si="430"/>
        <v>12</v>
      </c>
      <c r="AB501" s="333">
        <f t="shared" si="431"/>
        <v>4800</v>
      </c>
      <c r="AC501" s="328">
        <f t="shared" si="432"/>
        <v>12</v>
      </c>
      <c r="AD501" s="334">
        <f t="shared" si="433"/>
        <v>4800</v>
      </c>
      <c r="AE501" s="334">
        <f>$AB501*(1-INDEX(项目参数!$D$5:$D$14,MATCH(服务费底表!$S501,项目参数!$B$5:$B$14,0)))</f>
        <v>4800</v>
      </c>
      <c r="AF501" s="334">
        <f>$AD501*INDEX(项目参数!$D$5:$D$14,MATCH(服务费底表!$S501,项目参数!$B$5:$B$14,0))</f>
        <v>0</v>
      </c>
      <c r="AG501" s="334">
        <f t="shared" si="434"/>
        <v>4800</v>
      </c>
      <c r="AH501" s="328"/>
      <c r="AI501" s="328" t="s">
        <v>639</v>
      </c>
      <c r="AJ501" s="327">
        <v>12</v>
      </c>
      <c r="AK501" s="327">
        <v>16</v>
      </c>
      <c r="AL501" s="327">
        <v>12</v>
      </c>
      <c r="AM501" s="327">
        <v>16</v>
      </c>
      <c r="AN501" s="327">
        <v>12</v>
      </c>
      <c r="AO501" s="327">
        <f t="shared" si="416"/>
        <v>12</v>
      </c>
      <c r="AP501" s="327">
        <v>12</v>
      </c>
      <c r="AQ501" s="327">
        <f t="shared" si="435"/>
        <v>18</v>
      </c>
      <c r="AR501" s="338"/>
      <c r="AS501" s="328">
        <f t="shared" si="436"/>
        <v>12</v>
      </c>
      <c r="AT501" s="328">
        <f t="shared" si="437"/>
        <v>12</v>
      </c>
      <c r="AU501" s="523">
        <v>12</v>
      </c>
      <c r="AV501" s="328"/>
      <c r="AW501" s="328"/>
      <c r="AX501" s="332">
        <v>12</v>
      </c>
      <c r="AY501" s="328" t="b">
        <f t="shared" si="438"/>
        <v>1</v>
      </c>
      <c r="AZ501" s="328" t="b">
        <f t="shared" si="414"/>
        <v>0</v>
      </c>
    </row>
    <row r="502" ht="27" customHeight="1" spans="1:52">
      <c r="A502" s="326" t="str">
        <f>INDEX('Rate Card'!$A:$A,MATCH(服务费底表!$T502,'Rate Card'!$F:$F,0))</f>
        <v>临床药理</v>
      </c>
      <c r="B502" s="327" t="str">
        <f>INDEX(二三级标准!$G:$G,MATCH(服务费底表!$K502,二三级标准!B:B,0))</f>
        <v>次</v>
      </c>
      <c r="C502" s="327">
        <f>INDEX(服务费明细!$E:$E,MATCH(服务费底表!$K502,服务费明细!$B:$B,0))</f>
        <v>1</v>
      </c>
      <c r="D502" s="327" t="str">
        <f t="shared" si="426"/>
        <v>A117CPSS</v>
      </c>
      <c r="E502" s="327" t="str">
        <f t="shared" si="427"/>
        <v>T0408CPSS</v>
      </c>
      <c r="F502" s="328"/>
      <c r="G502" s="328" t="s">
        <v>684</v>
      </c>
      <c r="H502" s="326" t="str">
        <f>INDEX('Rate Card'!$B:$B,MATCH(服务费底表!$T502,'Rate Card'!$F:$F,0))</f>
        <v>临床药理</v>
      </c>
      <c r="I502" s="328" t="s">
        <v>924</v>
      </c>
      <c r="J502" s="328" t="str">
        <f>INDEX(二三级标准!$Q:$Q,MATCH(服务费底表!I502,二三级标准!$O:$O,0))</f>
        <v>生物统计及分析</v>
      </c>
      <c r="K502" s="328" t="s">
        <v>339</v>
      </c>
      <c r="L502" s="328" t="str">
        <f>INDEX(二三级标准!C:C,MATCH(服务费底表!K502,二三级标准!$B:$B,0))</f>
        <v>最终分析</v>
      </c>
      <c r="M502" s="328" t="s">
        <v>1539</v>
      </c>
      <c r="N502" s="328" t="str">
        <f>INDEX(二三级标准!$M:$M,MATCH(服务费底表!$M502,二三级标准!$L:$L,0))</f>
        <v>最终分析的结果审核</v>
      </c>
      <c r="O502" s="328"/>
      <c r="P502" s="531">
        <f>IF(R502=1,INDEX(服务费明细!$E:$E,MATCH(服务费底表!$K502,服务费明细!$B:$B,0)),0)</f>
        <v>1</v>
      </c>
      <c r="Q502" s="328" t="s">
        <v>1178</v>
      </c>
      <c r="R502" s="520">
        <f>IF(AND(最终分析YN=1,临床药理YN=1),1,0)</f>
        <v>1</v>
      </c>
      <c r="S502" s="328" t="str">
        <f>INDEX('Rate Card'!$D:$D,MATCH(服务费底表!$T502,'Rate Card'!F:F,0))</f>
        <v>临床药理</v>
      </c>
      <c r="T502" s="328" t="s">
        <v>654</v>
      </c>
      <c r="U502" s="522" t="str">
        <f>INDEX('Rate Card'!$E:$E,MATCH(服务费底表!$T502,'Rate Card'!$F:$F,0))</f>
        <v>临床药理高级专员</v>
      </c>
      <c r="V502" s="331">
        <f>INDEX('Rate Card'!$J:$J,MATCH($T502,'Rate Card'!$F:$F,0))</f>
        <v>700</v>
      </c>
      <c r="W502" s="523">
        <f t="shared" si="428"/>
        <v>700</v>
      </c>
      <c r="X502" s="523">
        <f t="shared" si="429"/>
        <v>8</v>
      </c>
      <c r="Y502" s="327" cm="1">
        <f t="array" ref="Y502">_xlfn.IFS(报价场景=服务费底表!$AJ$2,服务费底表!$AJ502,报价场景=服务费底表!$AP$2,服务费底表!$AP502,报价场景=服务费底表!$AK$2,服务费底表!$AK502,报价场景=服务费底表!$AL$2,服务费底表!$AL502,报价场景=服务费底表!$AM$2,服务费底表!$AM502,报价场景=服务费底表!$AN$2,服务费底表!$AN502,报价场景=服务费底表!$AQ$2,服务费底表!$AQ502,报价场景=服务费底表!$AO$2,服务费底表!$AO502)</f>
        <v>8</v>
      </c>
      <c r="Z502" s="327"/>
      <c r="AA502" s="332">
        <f t="shared" si="430"/>
        <v>8</v>
      </c>
      <c r="AB502" s="333">
        <f t="shared" si="431"/>
        <v>5600</v>
      </c>
      <c r="AC502" s="328">
        <f t="shared" si="432"/>
        <v>8</v>
      </c>
      <c r="AD502" s="334">
        <f t="shared" si="433"/>
        <v>5600</v>
      </c>
      <c r="AE502" s="334">
        <f>$AB502*(1-INDEX(项目参数!$D$5:$D$14,MATCH(服务费底表!$S502,项目参数!$B$5:$B$14,0)))</f>
        <v>5600</v>
      </c>
      <c r="AF502" s="334">
        <f>$AD502*INDEX(项目参数!$D$5:$D$14,MATCH(服务费底表!$S502,项目参数!$B$5:$B$14,0))</f>
        <v>0</v>
      </c>
      <c r="AG502" s="334">
        <f t="shared" si="434"/>
        <v>5600</v>
      </c>
      <c r="AH502" s="328"/>
      <c r="AI502" s="328" t="s">
        <v>654</v>
      </c>
      <c r="AJ502" s="336">
        <v>8</v>
      </c>
      <c r="AK502" s="336">
        <v>8</v>
      </c>
      <c r="AL502" s="336">
        <v>8</v>
      </c>
      <c r="AM502" s="336">
        <v>8</v>
      </c>
      <c r="AN502" s="336">
        <v>8</v>
      </c>
      <c r="AO502" s="327">
        <f t="shared" si="416"/>
        <v>8</v>
      </c>
      <c r="AP502" s="327">
        <v>8</v>
      </c>
      <c r="AQ502" s="327">
        <f t="shared" si="435"/>
        <v>12</v>
      </c>
      <c r="AR502" s="338"/>
      <c r="AS502" s="328">
        <f t="shared" si="436"/>
        <v>8</v>
      </c>
      <c r="AT502" s="328">
        <f t="shared" si="437"/>
        <v>8</v>
      </c>
      <c r="AU502" s="523">
        <v>8</v>
      </c>
      <c r="AV502" s="328"/>
      <c r="AW502" s="328"/>
      <c r="AX502" s="332">
        <v>8</v>
      </c>
      <c r="AY502" s="328" t="b">
        <f t="shared" si="438"/>
        <v>1</v>
      </c>
      <c r="AZ502" s="328" t="b">
        <f t="shared" si="414"/>
        <v>0</v>
      </c>
    </row>
    <row r="503" ht="27" customHeight="1" spans="1:52">
      <c r="A503" s="326" t="str">
        <f>INDEX('Rate Card'!$A:$A,MATCH(服务费底表!$T503,'Rate Card'!$F:$F,0))</f>
        <v>数统</v>
      </c>
      <c r="B503" s="327" t="str">
        <f>INDEX(二三级标准!$G:$G,MATCH(服务费底表!$K503,二三级标准!B:B,0))</f>
        <v>次</v>
      </c>
      <c r="C503" s="327">
        <f>INDEX(服务费明细!$E:$E,MATCH(服务费底表!$K503,服务费明细!$B:$B,0))</f>
        <v>1</v>
      </c>
      <c r="D503" s="327" t="str">
        <f t="shared" si="426"/>
        <v>A117ST</v>
      </c>
      <c r="E503" s="327" t="str">
        <f t="shared" si="427"/>
        <v>T0410aST</v>
      </c>
      <c r="F503" s="328"/>
      <c r="G503" s="328" t="s">
        <v>684</v>
      </c>
      <c r="H503" s="326" t="str">
        <f>INDEX('Rate Card'!$B:$B,MATCH(服务费底表!$T503,'Rate Card'!$F:$F,0))</f>
        <v>生物统计及分析</v>
      </c>
      <c r="I503" s="328" t="s">
        <v>924</v>
      </c>
      <c r="J503" s="328" t="str">
        <f>INDEX(二三级标准!$Q:$Q,MATCH(服务费底表!I503,二三级标准!$O:$O,0))</f>
        <v>生物统计及分析</v>
      </c>
      <c r="K503" s="328" t="s">
        <v>339</v>
      </c>
      <c r="L503" s="328" t="str">
        <f>INDEX(二三级标准!C:C,MATCH(服务费底表!K503,二三级标准!$B:$B,0))</f>
        <v>最终分析</v>
      </c>
      <c r="M503" s="328" t="s">
        <v>1540</v>
      </c>
      <c r="N503" s="328" t="str">
        <f>INDEX(二三级标准!$M:$M,MATCH(服务费底表!$M503,二三级标准!$L:$L,0))</f>
        <v>最终分析的TFLs交付</v>
      </c>
      <c r="O503" s="328"/>
      <c r="P503" s="531">
        <f>IF(R503=1,INDEX(服务费明细!$E:$E,MATCH($K503,服务费明细!$B:$B,0)),0)</f>
        <v>1</v>
      </c>
      <c r="Q503" s="328" t="s">
        <v>1178</v>
      </c>
      <c r="R503" s="520">
        <f>IF(AND(最终分析YN=1,生物统计YN=1),1,0)</f>
        <v>1</v>
      </c>
      <c r="S503" s="524" t="s">
        <v>574</v>
      </c>
      <c r="T503" s="328" t="s">
        <v>639</v>
      </c>
      <c r="U503" s="522" t="str">
        <f>INDEX('Rate Card'!$E:$E,MATCH(服务费底表!$T503,'Rate Card'!$F:$F,0))</f>
        <v>生物统计师</v>
      </c>
      <c r="V503" s="331">
        <f>INDEX('Rate Card'!$J:$J,MATCH($T503,'Rate Card'!$F:$F,0))</f>
        <v>400</v>
      </c>
      <c r="W503" s="523">
        <f t="shared" si="428"/>
        <v>400</v>
      </c>
      <c r="X503" s="523">
        <f t="shared" si="429"/>
        <v>1</v>
      </c>
      <c r="Y503" s="327" cm="1">
        <f t="array" ref="Y503">_xlfn.IFS(报价场景=服务费底表!$AJ$2,服务费底表!$AJ503,报价场景=服务费底表!$AP$2,服务费底表!$AP503,报价场景=服务费底表!$AK$2,服务费底表!$AK503,报价场景=服务费底表!$AL$2,服务费底表!$AL503,报价场景=服务费底表!$AM$2,服务费底表!$AM503,报价场景=服务费底表!$AN$2,服务费底表!$AN503,报价场景=服务费底表!$AQ$2,服务费底表!$AQ503,报价场景=服务费底表!$AO$2,服务费底表!$AO503)</f>
        <v>1</v>
      </c>
      <c r="Z503" s="327"/>
      <c r="AA503" s="332">
        <f t="shared" ref="AA503:AA518" si="442">IF(ISBLANK($Z503),$Y503,$Z503)</f>
        <v>1</v>
      </c>
      <c r="AB503" s="333">
        <f t="shared" si="431"/>
        <v>400</v>
      </c>
      <c r="AC503" s="328">
        <f t="shared" si="432"/>
        <v>1</v>
      </c>
      <c r="AD503" s="334">
        <f t="shared" si="433"/>
        <v>400</v>
      </c>
      <c r="AE503" s="334">
        <f>$AB503*(1-INDEX(项目参数!$D$5:$D$14,MATCH(服务费底表!$S503,项目参数!$B$5:$B$14,0)))</f>
        <v>400</v>
      </c>
      <c r="AF503" s="334">
        <f>$AD503*INDEX(项目参数!$D$5:$D$14,MATCH(服务费底表!$S503,项目参数!$B$5:$B$14,0))</f>
        <v>0</v>
      </c>
      <c r="AG503" s="334">
        <f t="shared" ref="AG503:AG514" si="443">AD503-AF503</f>
        <v>400</v>
      </c>
      <c r="AH503" s="328"/>
      <c r="AI503" s="328" t="s">
        <v>639</v>
      </c>
      <c r="AJ503" s="327">
        <v>1</v>
      </c>
      <c r="AK503" s="327">
        <v>1</v>
      </c>
      <c r="AL503" s="327">
        <v>1</v>
      </c>
      <c r="AM503" s="327">
        <v>1</v>
      </c>
      <c r="AN503" s="327">
        <v>1</v>
      </c>
      <c r="AO503" s="327">
        <f t="shared" si="416"/>
        <v>1</v>
      </c>
      <c r="AP503" s="327">
        <v>1</v>
      </c>
      <c r="AQ503" s="327">
        <f t="shared" si="435"/>
        <v>1.5</v>
      </c>
      <c r="AR503" s="338"/>
      <c r="AS503" s="328">
        <f t="shared" si="436"/>
        <v>1</v>
      </c>
      <c r="AT503" s="328">
        <f t="shared" si="437"/>
        <v>1</v>
      </c>
      <c r="AU503" s="523">
        <v>1</v>
      </c>
      <c r="AV503" s="328"/>
      <c r="AW503" s="328"/>
      <c r="AX503" s="332">
        <v>1</v>
      </c>
      <c r="AY503" s="328" t="b">
        <f t="shared" si="438"/>
        <v>1</v>
      </c>
      <c r="AZ503" s="328" t="b">
        <f t="shared" si="414"/>
        <v>0</v>
      </c>
    </row>
    <row r="504" ht="27" customHeight="1" spans="1:52">
      <c r="A504" s="326" t="str">
        <f>INDEX('Rate Card'!$A:$A,MATCH(服务费底表!$T504,'Rate Card'!$F:$F,0))</f>
        <v>数统</v>
      </c>
      <c r="B504" s="327" t="str">
        <f>INDEX(二三级标准!$G:$G,MATCH(服务费底表!$K504,二三级标准!B:B,0))</f>
        <v>份</v>
      </c>
      <c r="C504" s="327">
        <f>INDEX(服务费明细!$E:$E,MATCH(服务费底表!$K504,服务费明细!$B:$B,0))</f>
        <v>0</v>
      </c>
      <c r="D504" s="327" t="str">
        <f t="shared" si="426"/>
        <v>A118SA</v>
      </c>
      <c r="E504" s="327" t="str">
        <f t="shared" si="427"/>
        <v>T0411SA</v>
      </c>
      <c r="F504" s="328"/>
      <c r="G504" s="328" t="s">
        <v>684</v>
      </c>
      <c r="H504" s="326" t="str">
        <f>INDEX('Rate Card'!$B:$B,MATCH(服务费底表!$T504,'Rate Card'!$F:$F,0))</f>
        <v>生物统计及分析</v>
      </c>
      <c r="I504" s="328" t="s">
        <v>924</v>
      </c>
      <c r="J504" s="328" t="str">
        <f>INDEX(二三级标准!$Q:$Q,MATCH(服务费底表!I504,二三级标准!$O:$O,0))</f>
        <v>生物统计及分析</v>
      </c>
      <c r="K504" s="328" t="s">
        <v>341</v>
      </c>
      <c r="L504" s="328" t="str">
        <f>INDEX(二三级标准!C:C,MATCH(服务费底表!K504,二三级标准!$B:$B,0))</f>
        <v>完成电子数据递交资料</v>
      </c>
      <c r="M504" s="328" t="s">
        <v>1541</v>
      </c>
      <c r="N504" s="328" t="str">
        <f>INDEX(二三级标准!$M:$M,MATCH(服务费底表!$M504,二三级标准!$L:$L,0))</f>
        <v>生成Define-XML/SDTM</v>
      </c>
      <c r="O504" s="328"/>
      <c r="P504" s="531">
        <f>IF(R504=1,INDEX(服务费明细!$E:$E,MATCH(服务费底表!$K504,服务费明细!$B:$B,0)),0)</f>
        <v>0</v>
      </c>
      <c r="Q504" s="328" t="s">
        <v>1176</v>
      </c>
      <c r="R504" s="520">
        <f>IF(AND(完成电子数据递交资料YN=1,统计分析YN=1),1,0)</f>
        <v>0</v>
      </c>
      <c r="S504" s="524" t="str">
        <f>INDEX('Rate Card'!$D:$D,MATCH(服务费底表!$T504,'Rate Card'!F:F,0))</f>
        <v>统计分析</v>
      </c>
      <c r="T504" s="328" t="s">
        <v>635</v>
      </c>
      <c r="U504" s="522" t="str">
        <f>INDEX('Rate Card'!$E:$E,MATCH(服务费底表!$T504,'Rate Card'!$F:$F,0))</f>
        <v>统计分析师</v>
      </c>
      <c r="V504" s="331">
        <f>INDEX('Rate Card'!$J:$J,MATCH($T504,'Rate Card'!$F:$F,0))</f>
        <v>225</v>
      </c>
      <c r="W504" s="523">
        <f t="shared" si="428"/>
        <v>225</v>
      </c>
      <c r="X504" s="523">
        <f t="shared" si="429"/>
        <v>36</v>
      </c>
      <c r="Y504" s="327" cm="1">
        <f t="array" ref="Y504">_xlfn.IFS(报价场景=服务费底表!$AJ$2,服务费底表!$AJ504,报价场景=服务费底表!$AP$2,服务费底表!$AP504,报价场景=服务费底表!$AK$2,服务费底表!$AK504,报价场景=服务费底表!$AL$2,服务费底表!$AL504,报价场景=服务费底表!$AM$2,服务费底表!$AM504,报价场景=服务费底表!$AN$2,服务费底表!$AN504,报价场景=服务费底表!$AQ$2,服务费底表!$AQ504,报价场景=服务费底表!$AO$2,服务费底表!$AO504)</f>
        <v>36</v>
      </c>
      <c r="Z504" s="327"/>
      <c r="AA504" s="332">
        <f t="shared" si="442"/>
        <v>36</v>
      </c>
      <c r="AB504" s="333">
        <f t="shared" si="431"/>
        <v>0</v>
      </c>
      <c r="AC504" s="328">
        <f t="shared" si="432"/>
        <v>0</v>
      </c>
      <c r="AD504" s="334">
        <f t="shared" si="433"/>
        <v>0</v>
      </c>
      <c r="AE504" s="334">
        <f>$AB504*(1-INDEX(项目参数!$D$5:$D$14,MATCH(服务费底表!$S504,项目参数!$B$5:$B$14,0)))</f>
        <v>0</v>
      </c>
      <c r="AF504" s="334">
        <f>$AD504*INDEX(项目参数!$D$5:$D$14,MATCH(服务费底表!$S504,项目参数!$B$5:$B$14,0))</f>
        <v>0</v>
      </c>
      <c r="AG504" s="334">
        <f t="shared" si="443"/>
        <v>0</v>
      </c>
      <c r="AH504" s="328"/>
      <c r="AI504" s="328" t="s">
        <v>635</v>
      </c>
      <c r="AJ504" s="327">
        <v>36</v>
      </c>
      <c r="AK504" s="327">
        <v>40</v>
      </c>
      <c r="AL504" s="327">
        <v>36</v>
      </c>
      <c r="AM504" s="327">
        <v>40</v>
      </c>
      <c r="AN504" s="327">
        <v>36</v>
      </c>
      <c r="AO504" s="327">
        <f t="shared" si="416"/>
        <v>36</v>
      </c>
      <c r="AP504" s="327">
        <v>36</v>
      </c>
      <c r="AQ504" s="327">
        <f t="shared" si="435"/>
        <v>54</v>
      </c>
      <c r="AR504" s="338"/>
      <c r="AS504" s="328">
        <f t="shared" ref="AS504:AS525" si="444">AC504</f>
        <v>0</v>
      </c>
      <c r="AT504" s="328">
        <f t="shared" ref="AT504:AT525" si="445">Y504*P504</f>
        <v>0</v>
      </c>
      <c r="AU504" s="523">
        <v>36</v>
      </c>
      <c r="AV504" s="328"/>
      <c r="AW504" s="328"/>
      <c r="AX504" s="332">
        <v>36</v>
      </c>
      <c r="AY504" s="328" t="b">
        <f t="shared" si="438"/>
        <v>1</v>
      </c>
      <c r="AZ504" s="328" t="b">
        <f t="shared" si="414"/>
        <v>1</v>
      </c>
    </row>
    <row r="505" ht="27" customHeight="1" spans="1:52">
      <c r="A505" s="326" t="str">
        <f>INDEX('Rate Card'!$A:$A,MATCH(服务费底表!$T505,'Rate Card'!$F:$F,0))</f>
        <v>数统</v>
      </c>
      <c r="B505" s="327" t="str">
        <f>INDEX(二三级标准!$G:$G,MATCH(服务费底表!$K505,二三级标准!B:B,0))</f>
        <v>份</v>
      </c>
      <c r="C505" s="327">
        <f>INDEX(服务费明细!$E:$E,MATCH(服务费底表!$K505,服务费明细!$B:$B,0))</f>
        <v>0</v>
      </c>
      <c r="D505" s="327" t="str">
        <f t="shared" si="426"/>
        <v>A118SA</v>
      </c>
      <c r="E505" s="327" t="str">
        <f t="shared" si="427"/>
        <v>T0412SA</v>
      </c>
      <c r="F505" s="328"/>
      <c r="G505" s="328" t="s">
        <v>684</v>
      </c>
      <c r="H505" s="326" t="str">
        <f>INDEX('Rate Card'!$B:$B,MATCH(服务费底表!$T505,'Rate Card'!$F:$F,0))</f>
        <v>生物统计及分析</v>
      </c>
      <c r="I505" s="328" t="s">
        <v>924</v>
      </c>
      <c r="J505" s="328" t="str">
        <f>INDEX(二三级标准!$Q:$Q,MATCH(服务费底表!I505,二三级标准!$O:$O,0))</f>
        <v>生物统计及分析</v>
      </c>
      <c r="K505" s="328" t="s">
        <v>341</v>
      </c>
      <c r="L505" s="328" t="str">
        <f>INDEX(二三级标准!C:C,MATCH(服务费底表!K505,二三级标准!$B:$B,0))</f>
        <v>完成电子数据递交资料</v>
      </c>
      <c r="M505" s="328" t="s">
        <v>1542</v>
      </c>
      <c r="N505" s="328" t="str">
        <f>INDEX(二三级标准!$M:$M,MATCH(服务费底表!$M505,二三级标准!$L:$L,0))</f>
        <v>审核Define-XML/SDTM</v>
      </c>
      <c r="O505" s="328"/>
      <c r="P505" s="531">
        <f>IF(R505=1,INDEX(服务费明细!$E:$E,MATCH(服务费底表!$K505,服务费明细!$B:$B,0)),0)</f>
        <v>0</v>
      </c>
      <c r="Q505" s="328" t="s">
        <v>1176</v>
      </c>
      <c r="R505" s="520">
        <f>IF(AND(完成电子数据递交资料YN=1,统计分析YN=1),1,0)</f>
        <v>0</v>
      </c>
      <c r="S505" s="524" t="str">
        <f>INDEX('Rate Card'!$D:$D,MATCH(服务费底表!$T505,'Rate Card'!F:F,0))</f>
        <v>统计分析</v>
      </c>
      <c r="T505" s="328" t="s">
        <v>635</v>
      </c>
      <c r="U505" s="522" t="str">
        <f>INDEX('Rate Card'!$E:$E,MATCH(服务费底表!$T505,'Rate Card'!$F:$F,0))</f>
        <v>统计分析师</v>
      </c>
      <c r="V505" s="331">
        <f>INDEX('Rate Card'!$J:$J,MATCH($T505,'Rate Card'!$F:$F,0))</f>
        <v>225</v>
      </c>
      <c r="W505" s="523">
        <f t="shared" si="428"/>
        <v>225</v>
      </c>
      <c r="X505" s="523">
        <f t="shared" si="429"/>
        <v>10</v>
      </c>
      <c r="Y505" s="327" cm="1">
        <f t="array" ref="Y505">_xlfn.IFS(报价场景=服务费底表!$AJ$2,服务费底表!$AJ505,报价场景=服务费底表!$AP$2,服务费底表!$AP505,报价场景=服务费底表!$AK$2,服务费底表!$AK505,报价场景=服务费底表!$AL$2,服务费底表!$AL505,报价场景=服务费底表!$AM$2,服务费底表!$AM505,报价场景=服务费底表!$AN$2,服务费底表!$AN505,报价场景=服务费底表!$AQ$2,服务费底表!$AQ505,报价场景=服务费底表!$AO$2,服务费底表!$AO505)</f>
        <v>10</v>
      </c>
      <c r="Z505" s="327"/>
      <c r="AA505" s="332">
        <f t="shared" si="442"/>
        <v>10</v>
      </c>
      <c r="AB505" s="333">
        <f t="shared" si="431"/>
        <v>0</v>
      </c>
      <c r="AC505" s="328">
        <f t="shared" si="432"/>
        <v>0</v>
      </c>
      <c r="AD505" s="334">
        <f t="shared" si="433"/>
        <v>0</v>
      </c>
      <c r="AE505" s="334">
        <f>$AB505*(1-INDEX(项目参数!$D$5:$D$14,MATCH(服务费底表!$S505,项目参数!$B$5:$B$14,0)))</f>
        <v>0</v>
      </c>
      <c r="AF505" s="334">
        <f>$AD505*INDEX(项目参数!$D$5:$D$14,MATCH(服务费底表!$S505,项目参数!$B$5:$B$14,0))</f>
        <v>0</v>
      </c>
      <c r="AG505" s="334">
        <f t="shared" si="443"/>
        <v>0</v>
      </c>
      <c r="AH505" s="328"/>
      <c r="AI505" s="328" t="s">
        <v>635</v>
      </c>
      <c r="AJ505" s="327">
        <v>10</v>
      </c>
      <c r="AK505" s="327">
        <v>12</v>
      </c>
      <c r="AL505" s="327">
        <v>10</v>
      </c>
      <c r="AM505" s="327">
        <v>10</v>
      </c>
      <c r="AN505" s="327">
        <v>10</v>
      </c>
      <c r="AO505" s="327">
        <f t="shared" si="416"/>
        <v>10</v>
      </c>
      <c r="AP505" s="327">
        <v>10</v>
      </c>
      <c r="AQ505" s="327">
        <f t="shared" si="435"/>
        <v>15</v>
      </c>
      <c r="AR505" s="338"/>
      <c r="AS505" s="328">
        <f t="shared" si="444"/>
        <v>0</v>
      </c>
      <c r="AT505" s="328">
        <f t="shared" si="445"/>
        <v>0</v>
      </c>
      <c r="AU505" s="523">
        <v>10</v>
      </c>
      <c r="AV505" s="328"/>
      <c r="AW505" s="328"/>
      <c r="AX505" s="332">
        <v>10</v>
      </c>
      <c r="AY505" s="328" t="b">
        <f t="shared" si="438"/>
        <v>1</v>
      </c>
      <c r="AZ505" s="328" t="b">
        <f t="shared" si="414"/>
        <v>1</v>
      </c>
    </row>
    <row r="506" ht="27" customHeight="1" spans="1:52">
      <c r="A506" s="326" t="str">
        <f>INDEX('Rate Card'!$A:$A,MATCH(服务费底表!$T506,'Rate Card'!$F:$F,0))</f>
        <v>数统</v>
      </c>
      <c r="B506" s="327" t="str">
        <f>INDEX(二三级标准!$G:$G,MATCH(服务费底表!$K506,二三级标准!B:B,0))</f>
        <v>份</v>
      </c>
      <c r="C506" s="327">
        <f>INDEX(服务费明细!$E:$E,MATCH(服务费底表!$K506,服务费明细!$B:$B,0))</f>
        <v>0</v>
      </c>
      <c r="D506" s="327" t="str">
        <f t="shared" si="426"/>
        <v>A118SA</v>
      </c>
      <c r="E506" s="327" t="str">
        <f t="shared" si="427"/>
        <v>T0413SA</v>
      </c>
      <c r="F506" s="328"/>
      <c r="G506" s="328" t="s">
        <v>684</v>
      </c>
      <c r="H506" s="326" t="str">
        <f>INDEX('Rate Card'!$B:$B,MATCH(服务费底表!$T506,'Rate Card'!$F:$F,0))</f>
        <v>生物统计及分析</v>
      </c>
      <c r="I506" s="328" t="s">
        <v>924</v>
      </c>
      <c r="J506" s="328" t="str">
        <f>INDEX(二三级标准!$Q:$Q,MATCH(服务费底表!I506,二三级标准!$O:$O,0))</f>
        <v>生物统计及分析</v>
      </c>
      <c r="K506" s="328" t="s">
        <v>341</v>
      </c>
      <c r="L506" s="328" t="str">
        <f>INDEX(二三级标准!C:C,MATCH(服务费底表!K506,二三级标准!$B:$B,0))</f>
        <v>完成电子数据递交资料</v>
      </c>
      <c r="M506" s="328" t="s">
        <v>1543</v>
      </c>
      <c r="N506" s="328" t="str">
        <f>INDEX(二三级标准!$M:$M,MATCH(服务费底表!$M506,二三级标准!$L:$L,0))</f>
        <v>生成Define-XML/ADaM</v>
      </c>
      <c r="O506" s="328"/>
      <c r="P506" s="531">
        <f>IF(R506=1,INDEX(服务费明细!$E:$E,MATCH(服务费底表!$K506,服务费明细!$B:$B,0)),0)</f>
        <v>0</v>
      </c>
      <c r="Q506" s="328" t="s">
        <v>1176</v>
      </c>
      <c r="R506" s="520">
        <f>IF(AND(完成电子数据递交资料YN=1,统计分析YN=1),1,0)</f>
        <v>0</v>
      </c>
      <c r="S506" s="524" t="str">
        <f>INDEX('Rate Card'!$D:$D,MATCH(服务费底表!$T506,'Rate Card'!F:F,0))</f>
        <v>统计分析</v>
      </c>
      <c r="T506" s="328" t="s">
        <v>635</v>
      </c>
      <c r="U506" s="522" t="str">
        <f>INDEX('Rate Card'!$E:$E,MATCH(服务费底表!$T506,'Rate Card'!$F:$F,0))</f>
        <v>统计分析师</v>
      </c>
      <c r="V506" s="331">
        <f>INDEX('Rate Card'!$J:$J,MATCH($T506,'Rate Card'!$F:$F,0))</f>
        <v>225</v>
      </c>
      <c r="W506" s="523">
        <f t="shared" si="428"/>
        <v>225</v>
      </c>
      <c r="X506" s="523">
        <f t="shared" si="429"/>
        <v>36</v>
      </c>
      <c r="Y506" s="327" cm="1">
        <f t="array" ref="Y506">_xlfn.IFS(报价场景=服务费底表!$AJ$2,服务费底表!$AJ506,报价场景=服务费底表!$AP$2,服务费底表!$AP506,报价场景=服务费底表!$AK$2,服务费底表!$AK506,报价场景=服务费底表!$AL$2,服务费底表!$AL506,报价场景=服务费底表!$AM$2,服务费底表!$AM506,报价场景=服务费底表!$AN$2,服务费底表!$AN506,报价场景=服务费底表!$AQ$2,服务费底表!$AQ506,报价场景=服务费底表!$AO$2,服务费底表!$AO506)</f>
        <v>36</v>
      </c>
      <c r="Z506" s="327"/>
      <c r="AA506" s="332">
        <f t="shared" si="442"/>
        <v>36</v>
      </c>
      <c r="AB506" s="333">
        <f t="shared" si="431"/>
        <v>0</v>
      </c>
      <c r="AC506" s="328">
        <f t="shared" si="432"/>
        <v>0</v>
      </c>
      <c r="AD506" s="334">
        <f t="shared" si="433"/>
        <v>0</v>
      </c>
      <c r="AE506" s="334">
        <f>$AB506*(1-INDEX(项目参数!$D$5:$D$14,MATCH(服务费底表!$S506,项目参数!$B$5:$B$14,0)))</f>
        <v>0</v>
      </c>
      <c r="AF506" s="334">
        <f>$AD506*INDEX(项目参数!$D$5:$D$14,MATCH(服务费底表!$S506,项目参数!$B$5:$B$14,0))</f>
        <v>0</v>
      </c>
      <c r="AG506" s="334">
        <f t="shared" si="443"/>
        <v>0</v>
      </c>
      <c r="AH506" s="328"/>
      <c r="AI506" s="328" t="s">
        <v>635</v>
      </c>
      <c r="AJ506" s="327">
        <v>36</v>
      </c>
      <c r="AK506" s="327">
        <v>40</v>
      </c>
      <c r="AL506" s="327">
        <v>36</v>
      </c>
      <c r="AM506" s="327">
        <v>40</v>
      </c>
      <c r="AN506" s="327">
        <v>36</v>
      </c>
      <c r="AO506" s="327">
        <f t="shared" si="416"/>
        <v>36</v>
      </c>
      <c r="AP506" s="327">
        <v>36</v>
      </c>
      <c r="AQ506" s="327">
        <f t="shared" si="435"/>
        <v>54</v>
      </c>
      <c r="AR506" s="338"/>
      <c r="AS506" s="328">
        <f t="shared" si="444"/>
        <v>0</v>
      </c>
      <c r="AT506" s="328">
        <f t="shared" si="445"/>
        <v>0</v>
      </c>
      <c r="AU506" s="523">
        <v>36</v>
      </c>
      <c r="AV506" s="328"/>
      <c r="AW506" s="328"/>
      <c r="AX506" s="332">
        <v>36</v>
      </c>
      <c r="AY506" s="328" t="b">
        <f t="shared" si="438"/>
        <v>1</v>
      </c>
      <c r="AZ506" s="328" t="b">
        <f t="shared" si="414"/>
        <v>1</v>
      </c>
    </row>
    <row r="507" ht="27" customHeight="1" spans="1:52">
      <c r="A507" s="326" t="str">
        <f>INDEX('Rate Card'!$A:$A,MATCH(服务费底表!$T507,'Rate Card'!$F:$F,0))</f>
        <v>数统</v>
      </c>
      <c r="B507" s="327" t="str">
        <f>INDEX(二三级标准!$G:$G,MATCH(服务费底表!$K507,二三级标准!B:B,0))</f>
        <v>份</v>
      </c>
      <c r="C507" s="327">
        <f>INDEX(服务费明细!$E:$E,MATCH(服务费底表!$K507,服务费明细!$B:$B,0))</f>
        <v>0</v>
      </c>
      <c r="D507" s="327" t="str">
        <f t="shared" si="426"/>
        <v>A118SA</v>
      </c>
      <c r="E507" s="327" t="str">
        <f t="shared" si="427"/>
        <v>T0414SA</v>
      </c>
      <c r="F507" s="328"/>
      <c r="G507" s="328" t="s">
        <v>684</v>
      </c>
      <c r="H507" s="326" t="str">
        <f>INDEX('Rate Card'!$B:$B,MATCH(服务费底表!$T507,'Rate Card'!$F:$F,0))</f>
        <v>生物统计及分析</v>
      </c>
      <c r="I507" s="328" t="s">
        <v>924</v>
      </c>
      <c r="J507" s="328" t="str">
        <f>INDEX(二三级标准!$Q:$Q,MATCH(服务费底表!I507,二三级标准!$O:$O,0))</f>
        <v>生物统计及分析</v>
      </c>
      <c r="K507" s="328" t="s">
        <v>341</v>
      </c>
      <c r="L507" s="328" t="str">
        <f>INDEX(二三级标准!C:C,MATCH(服务费底表!K507,二三级标准!$B:$B,0))</f>
        <v>完成电子数据递交资料</v>
      </c>
      <c r="M507" s="328" t="s">
        <v>1544</v>
      </c>
      <c r="N507" s="328" t="str">
        <f>INDEX(二三级标准!$M:$M,MATCH(服务费底表!$M507,二三级标准!$L:$L,0))</f>
        <v>审核Define-XML/ADaM</v>
      </c>
      <c r="O507" s="328"/>
      <c r="P507" s="531">
        <f>IF(R507=1,INDEX(服务费明细!$E:$E,MATCH(服务费底表!$K507,服务费明细!$B:$B,0)),0)</f>
        <v>0</v>
      </c>
      <c r="Q507" s="328" t="s">
        <v>1176</v>
      </c>
      <c r="R507" s="520">
        <f>IF(AND(完成电子数据递交资料YN=1,统计分析YN=1),1,0)</f>
        <v>0</v>
      </c>
      <c r="S507" s="524" t="str">
        <f>INDEX('Rate Card'!$D:$D,MATCH(服务费底表!$T507,'Rate Card'!F:F,0))</f>
        <v>统计分析</v>
      </c>
      <c r="T507" s="328" t="s">
        <v>635</v>
      </c>
      <c r="U507" s="522" t="str">
        <f>INDEX('Rate Card'!$E:$E,MATCH(服务费底表!$T507,'Rate Card'!$F:$F,0))</f>
        <v>统计分析师</v>
      </c>
      <c r="V507" s="331">
        <f>INDEX('Rate Card'!$J:$J,MATCH($T507,'Rate Card'!$F:$F,0))</f>
        <v>225</v>
      </c>
      <c r="W507" s="523">
        <f t="shared" si="428"/>
        <v>225</v>
      </c>
      <c r="X507" s="523">
        <f t="shared" si="429"/>
        <v>10</v>
      </c>
      <c r="Y507" s="327" cm="1">
        <f t="array" ref="Y507">_xlfn.IFS(报价场景=服务费底表!$AJ$2,服务费底表!$AJ507,报价场景=服务费底表!$AP$2,服务费底表!$AP507,报价场景=服务费底表!$AK$2,服务费底表!$AK507,报价场景=服务费底表!$AL$2,服务费底表!$AL507,报价场景=服务费底表!$AM$2,服务费底表!$AM507,报价场景=服务费底表!$AN$2,服务费底表!$AN507,报价场景=服务费底表!$AQ$2,服务费底表!$AQ507,报价场景=服务费底表!$AO$2,服务费底表!$AO507)</f>
        <v>10</v>
      </c>
      <c r="Z507" s="327"/>
      <c r="AA507" s="332">
        <f t="shared" si="442"/>
        <v>10</v>
      </c>
      <c r="AB507" s="333">
        <f t="shared" si="431"/>
        <v>0</v>
      </c>
      <c r="AC507" s="328">
        <f t="shared" si="432"/>
        <v>0</v>
      </c>
      <c r="AD507" s="334">
        <f t="shared" si="433"/>
        <v>0</v>
      </c>
      <c r="AE507" s="334">
        <f>$AB507*(1-INDEX(项目参数!$D$5:$D$14,MATCH(服务费底表!$S507,项目参数!$B$5:$B$14,0)))</f>
        <v>0</v>
      </c>
      <c r="AF507" s="334">
        <f>$AD507*INDEX(项目参数!$D$5:$D$14,MATCH(服务费底表!$S507,项目参数!$B$5:$B$14,0))</f>
        <v>0</v>
      </c>
      <c r="AG507" s="334">
        <f t="shared" si="443"/>
        <v>0</v>
      </c>
      <c r="AH507" s="328"/>
      <c r="AI507" s="328" t="s">
        <v>635</v>
      </c>
      <c r="AJ507" s="327">
        <v>10</v>
      </c>
      <c r="AK507" s="327">
        <v>12</v>
      </c>
      <c r="AL507" s="327">
        <v>10</v>
      </c>
      <c r="AM507" s="327">
        <v>10</v>
      </c>
      <c r="AN507" s="327">
        <v>10</v>
      </c>
      <c r="AO507" s="327">
        <f t="shared" si="416"/>
        <v>10</v>
      </c>
      <c r="AP507" s="327">
        <v>10</v>
      </c>
      <c r="AQ507" s="327">
        <f t="shared" si="435"/>
        <v>15</v>
      </c>
      <c r="AR507" s="338"/>
      <c r="AS507" s="328">
        <f t="shared" si="444"/>
        <v>0</v>
      </c>
      <c r="AT507" s="328">
        <f t="shared" si="445"/>
        <v>0</v>
      </c>
      <c r="AU507" s="523">
        <v>10</v>
      </c>
      <c r="AV507" s="328"/>
      <c r="AW507" s="328"/>
      <c r="AX507" s="332">
        <v>10</v>
      </c>
      <c r="AY507" s="328" t="b">
        <f t="shared" si="438"/>
        <v>1</v>
      </c>
      <c r="AZ507" s="328" t="b">
        <f t="shared" si="414"/>
        <v>1</v>
      </c>
    </row>
    <row r="508" ht="27" customHeight="1" spans="1:52">
      <c r="A508" s="326" t="str">
        <f>INDEX('Rate Card'!$A:$A,MATCH(服务费底表!$T508,'Rate Card'!$F:$F,0))</f>
        <v>数统</v>
      </c>
      <c r="B508" s="327" t="str">
        <f>INDEX(二三级标准!$G:$G,MATCH(服务费底表!$K508,二三级标准!B:B,0))</f>
        <v>份</v>
      </c>
      <c r="C508" s="327">
        <f>INDEX(服务费明细!$E:$E,MATCH(服务费底表!$K508,服务费明细!$B:$B,0))</f>
        <v>0</v>
      </c>
      <c r="D508" s="327" t="str">
        <f t="shared" si="426"/>
        <v>A118ST</v>
      </c>
      <c r="E508" s="327" t="str">
        <f t="shared" si="427"/>
        <v>T0414ST</v>
      </c>
      <c r="F508" s="328"/>
      <c r="G508" s="328" t="s">
        <v>684</v>
      </c>
      <c r="H508" s="326" t="str">
        <f>INDEX('Rate Card'!$B:$B,MATCH(服务费底表!$T508,'Rate Card'!$F:$F,0))</f>
        <v>生物统计及分析</v>
      </c>
      <c r="I508" s="328" t="s">
        <v>924</v>
      </c>
      <c r="J508" s="328" t="str">
        <f>INDEX(二三级标准!$Q:$Q,MATCH(服务费底表!I508,二三级标准!$O:$O,0))</f>
        <v>生物统计及分析</v>
      </c>
      <c r="K508" s="328" t="s">
        <v>341</v>
      </c>
      <c r="L508" s="328" t="str">
        <f>INDEX(二三级标准!C:C,MATCH(服务费底表!K508,二三级标准!$B:$B,0))</f>
        <v>完成电子数据递交资料</v>
      </c>
      <c r="M508" s="328" t="s">
        <v>1544</v>
      </c>
      <c r="N508" s="328" t="str">
        <f>INDEX(二三级标准!$M:$M,MATCH(服务费底表!$M508,二三级标准!$L:$L,0))</f>
        <v>审核Define-XML/ADaM</v>
      </c>
      <c r="O508" s="328"/>
      <c r="P508" s="531">
        <f>IF(R508=1,INDEX(服务费明细!$E:$E,MATCH(服务费底表!$K508,服务费明细!$B:$B,0)),0)</f>
        <v>0</v>
      </c>
      <c r="Q508" s="328" t="s">
        <v>1176</v>
      </c>
      <c r="R508" s="520">
        <f>IF(AND(完成电子数据递交资料YN=1,生物统计YN=1),1,0)</f>
        <v>0</v>
      </c>
      <c r="S508" s="524" t="str">
        <f>INDEX('Rate Card'!$D:$D,MATCH(服务费底表!$T508,'Rate Card'!F:F,0))</f>
        <v>生物统计</v>
      </c>
      <c r="T508" s="328" t="s">
        <v>639</v>
      </c>
      <c r="U508" s="522" t="str">
        <f>INDEX('Rate Card'!$E:$E,MATCH(服务费底表!$T508,'Rate Card'!$F:$F,0))</f>
        <v>生物统计师</v>
      </c>
      <c r="V508" s="331">
        <f>INDEX('Rate Card'!$J:$J,MATCH($T508,'Rate Card'!$F:$F,0))</f>
        <v>400</v>
      </c>
      <c r="W508" s="523">
        <f t="shared" si="428"/>
        <v>400</v>
      </c>
      <c r="X508" s="523">
        <f t="shared" si="429"/>
        <v>4</v>
      </c>
      <c r="Y508" s="327" cm="1">
        <f t="array" ref="Y508">_xlfn.IFS(报价场景=服务费底表!$AJ$2,服务费底表!$AJ508,报价场景=服务费底表!$AP$2,服务费底表!$AP508,报价场景=服务费底表!$AK$2,服务费底表!$AK508,报价场景=服务费底表!$AL$2,服务费底表!$AL508,报价场景=服务费底表!$AM$2,服务费底表!$AM508,报价场景=服务费底表!$AN$2,服务费底表!$AN508,报价场景=服务费底表!$AQ$2,服务费底表!$AQ508,报价场景=服务费底表!$AO$2,服务费底表!$AO508)</f>
        <v>4</v>
      </c>
      <c r="Z508" s="327"/>
      <c r="AA508" s="332">
        <f t="shared" si="442"/>
        <v>4</v>
      </c>
      <c r="AB508" s="333">
        <f t="shared" si="431"/>
        <v>0</v>
      </c>
      <c r="AC508" s="328">
        <f t="shared" si="432"/>
        <v>0</v>
      </c>
      <c r="AD508" s="334">
        <f t="shared" si="433"/>
        <v>0</v>
      </c>
      <c r="AE508" s="334">
        <f>$AB508*(1-INDEX(项目参数!$D$5:$D$14,MATCH(服务费底表!$S508,项目参数!$B$5:$B$14,0)))</f>
        <v>0</v>
      </c>
      <c r="AF508" s="334">
        <f>$AD508*INDEX(项目参数!$D$5:$D$14,MATCH(服务费底表!$S508,项目参数!$B$5:$B$14,0))</f>
        <v>0</v>
      </c>
      <c r="AG508" s="334">
        <f t="shared" si="443"/>
        <v>0</v>
      </c>
      <c r="AH508" s="328"/>
      <c r="AI508" s="328" t="s">
        <v>639</v>
      </c>
      <c r="AJ508" s="327">
        <v>4</v>
      </c>
      <c r="AK508" s="327">
        <v>4</v>
      </c>
      <c r="AL508" s="327">
        <v>4</v>
      </c>
      <c r="AM508" s="327">
        <v>4</v>
      </c>
      <c r="AN508" s="327">
        <v>4</v>
      </c>
      <c r="AO508" s="327">
        <f t="shared" si="416"/>
        <v>4</v>
      </c>
      <c r="AP508" s="327">
        <v>4</v>
      </c>
      <c r="AQ508" s="327">
        <f t="shared" si="435"/>
        <v>6</v>
      </c>
      <c r="AR508" s="338"/>
      <c r="AS508" s="328">
        <f t="shared" si="444"/>
        <v>0</v>
      </c>
      <c r="AT508" s="328">
        <f t="shared" si="445"/>
        <v>0</v>
      </c>
      <c r="AU508" s="523">
        <v>4</v>
      </c>
      <c r="AV508" s="328"/>
      <c r="AW508" s="328"/>
      <c r="AX508" s="332">
        <v>4</v>
      </c>
      <c r="AY508" s="328" t="b">
        <f t="shared" si="438"/>
        <v>1</v>
      </c>
      <c r="AZ508" s="328" t="b">
        <f t="shared" si="414"/>
        <v>1</v>
      </c>
    </row>
    <row r="509" ht="27" customHeight="1" spans="1:52">
      <c r="A509" s="326" t="str">
        <f>INDEX('Rate Card'!$A:$A,MATCH(服务费底表!$T509,'Rate Card'!$F:$F,0))</f>
        <v>数统</v>
      </c>
      <c r="B509" s="327" t="str">
        <f>INDEX(二三级标准!$G:$G,MATCH(服务费底表!$K509,二三级标准!B:B,0))</f>
        <v>份</v>
      </c>
      <c r="C509" s="327">
        <f>INDEX(服务费明细!$E:$E,MATCH(服务费底表!$K509,服务费明细!$B:$B,0))</f>
        <v>0</v>
      </c>
      <c r="D509" s="327" t="str">
        <f t="shared" si="426"/>
        <v>A118SA</v>
      </c>
      <c r="E509" s="327" t="str">
        <f t="shared" si="427"/>
        <v>T0415SA</v>
      </c>
      <c r="F509" s="328"/>
      <c r="G509" s="328" t="s">
        <v>684</v>
      </c>
      <c r="H509" s="326" t="str">
        <f>INDEX('Rate Card'!$B:$B,MATCH(服务费底表!$T509,'Rate Card'!$F:$F,0))</f>
        <v>生物统计及分析</v>
      </c>
      <c r="I509" s="328" t="s">
        <v>924</v>
      </c>
      <c r="J509" s="328" t="str">
        <f>INDEX(二三级标准!$Q:$Q,MATCH(服务费底表!I509,二三级标准!$O:$O,0))</f>
        <v>生物统计及分析</v>
      </c>
      <c r="K509" s="328" t="s">
        <v>341</v>
      </c>
      <c r="L509" s="328" t="str">
        <f>INDEX(二三级标准!C:C,MATCH(服务费底表!K509,二三级标准!$B:$B,0))</f>
        <v>完成电子数据递交资料</v>
      </c>
      <c r="M509" s="328" t="s">
        <v>1545</v>
      </c>
      <c r="N509" s="328" t="str">
        <f>INDEX(二三级标准!$M:$M,MATCH(服务费底表!$M509,二三级标准!$L:$L,0))</f>
        <v>制定SDTM审阅指南</v>
      </c>
      <c r="O509" s="328"/>
      <c r="P509" s="531">
        <f>IF(R509=1,INDEX(服务费明细!$E:$E,MATCH(服务费底表!$K509,服务费明细!$B:$B,0)),0)</f>
        <v>0</v>
      </c>
      <c r="Q509" s="328" t="s">
        <v>1176</v>
      </c>
      <c r="R509" s="520">
        <f>IF(AND(完成电子数据递交资料YN=1,统计分析YN=1),1,0)</f>
        <v>0</v>
      </c>
      <c r="S509" s="524" t="str">
        <f>INDEX('Rate Card'!$D:$D,MATCH(服务费底表!$T509,'Rate Card'!F:F,0))</f>
        <v>统计分析</v>
      </c>
      <c r="T509" s="328" t="s">
        <v>635</v>
      </c>
      <c r="U509" s="522" t="str">
        <f>INDEX('Rate Card'!$E:$E,MATCH(服务费底表!$T509,'Rate Card'!$F:$F,0))</f>
        <v>统计分析师</v>
      </c>
      <c r="V509" s="331">
        <f>INDEX('Rate Card'!$J:$J,MATCH($T509,'Rate Card'!$F:$F,0))</f>
        <v>225</v>
      </c>
      <c r="W509" s="523">
        <f t="shared" si="428"/>
        <v>225</v>
      </c>
      <c r="X509" s="523">
        <f t="shared" si="429"/>
        <v>20</v>
      </c>
      <c r="Y509" s="327" cm="1">
        <f t="array" ref="Y509">_xlfn.IFS(报价场景=服务费底表!$AJ$2,服务费底表!$AJ509,报价场景=服务费底表!$AP$2,服务费底表!$AP509,报价场景=服务费底表!$AK$2,服务费底表!$AK509,报价场景=服务费底表!$AL$2,服务费底表!$AL509,报价场景=服务费底表!$AM$2,服务费底表!$AM509,报价场景=服务费底表!$AN$2,服务费底表!$AN509,报价场景=服务费底表!$AQ$2,服务费底表!$AQ509,报价场景=服务费底表!$AO$2,服务费底表!$AO509)</f>
        <v>20</v>
      </c>
      <c r="Z509" s="327"/>
      <c r="AA509" s="332">
        <f t="shared" si="442"/>
        <v>20</v>
      </c>
      <c r="AB509" s="333">
        <f t="shared" si="431"/>
        <v>0</v>
      </c>
      <c r="AC509" s="328">
        <f t="shared" si="432"/>
        <v>0</v>
      </c>
      <c r="AD509" s="334">
        <f t="shared" si="433"/>
        <v>0</v>
      </c>
      <c r="AE509" s="334">
        <f>$AB509*(1-INDEX(项目参数!$D$5:$D$14,MATCH(服务费底表!$S509,项目参数!$B$5:$B$14,0)))</f>
        <v>0</v>
      </c>
      <c r="AF509" s="334">
        <f>$AD509*INDEX(项目参数!$D$5:$D$14,MATCH(服务费底表!$S509,项目参数!$B$5:$B$14,0))</f>
        <v>0</v>
      </c>
      <c r="AG509" s="334">
        <f t="shared" si="443"/>
        <v>0</v>
      </c>
      <c r="AH509" s="328"/>
      <c r="AI509" s="328" t="s">
        <v>635</v>
      </c>
      <c r="AJ509" s="327">
        <v>20</v>
      </c>
      <c r="AK509" s="327">
        <v>24</v>
      </c>
      <c r="AL509" s="327">
        <v>20</v>
      </c>
      <c r="AM509" s="327">
        <v>24</v>
      </c>
      <c r="AN509" s="327">
        <v>20</v>
      </c>
      <c r="AO509" s="327">
        <f t="shared" si="416"/>
        <v>20</v>
      </c>
      <c r="AP509" s="327">
        <v>20</v>
      </c>
      <c r="AQ509" s="327">
        <f t="shared" si="435"/>
        <v>30</v>
      </c>
      <c r="AR509" s="338"/>
      <c r="AS509" s="328">
        <f t="shared" si="444"/>
        <v>0</v>
      </c>
      <c r="AT509" s="328">
        <f t="shared" si="445"/>
        <v>0</v>
      </c>
      <c r="AU509" s="523">
        <v>20</v>
      </c>
      <c r="AV509" s="328"/>
      <c r="AW509" s="328"/>
      <c r="AX509" s="332">
        <v>20</v>
      </c>
      <c r="AY509" s="328" t="b">
        <f t="shared" si="438"/>
        <v>1</v>
      </c>
      <c r="AZ509" s="328" t="b">
        <f t="shared" si="414"/>
        <v>1</v>
      </c>
    </row>
    <row r="510" ht="27" customHeight="1" spans="1:52">
      <c r="A510" s="326" t="str">
        <f>INDEX('Rate Card'!$A:$A,MATCH(服务费底表!$T510,'Rate Card'!$F:$F,0))</f>
        <v>数统</v>
      </c>
      <c r="B510" s="327" t="str">
        <f>INDEX(二三级标准!$G:$G,MATCH(服务费底表!$K510,二三级标准!B:B,0))</f>
        <v>份</v>
      </c>
      <c r="C510" s="327">
        <f>INDEX(服务费明细!$E:$E,MATCH(服务费底表!$K510,服务费明细!$B:$B,0))</f>
        <v>0</v>
      </c>
      <c r="D510" s="327" t="str">
        <f t="shared" si="426"/>
        <v>A118SA</v>
      </c>
      <c r="E510" s="327" t="str">
        <f t="shared" si="427"/>
        <v>T0416SA</v>
      </c>
      <c r="F510" s="328"/>
      <c r="G510" s="328" t="s">
        <v>684</v>
      </c>
      <c r="H510" s="326" t="str">
        <f>INDEX('Rate Card'!$B:$B,MATCH(服务费底表!$T510,'Rate Card'!$F:$F,0))</f>
        <v>生物统计及分析</v>
      </c>
      <c r="I510" s="328" t="s">
        <v>924</v>
      </c>
      <c r="J510" s="328" t="str">
        <f>INDEX(二三级标准!$Q:$Q,MATCH(服务费底表!I510,二三级标准!$O:$O,0))</f>
        <v>生物统计及分析</v>
      </c>
      <c r="K510" s="328" t="s">
        <v>341</v>
      </c>
      <c r="L510" s="328" t="str">
        <f>INDEX(二三级标准!C:C,MATCH(服务费底表!K510,二三级标准!$B:$B,0))</f>
        <v>完成电子数据递交资料</v>
      </c>
      <c r="M510" s="328" t="s">
        <v>1546</v>
      </c>
      <c r="N510" s="328" t="str">
        <f>INDEX(二三级标准!$M:$M,MATCH(服务费底表!$M510,二三级标准!$L:$L,0))</f>
        <v>审核SDTM审阅指南</v>
      </c>
      <c r="O510" s="328"/>
      <c r="P510" s="531">
        <f>IF(R510=1,INDEX(服务费明细!$E:$E,MATCH(服务费底表!$K510,服务费明细!$B:$B,0)),0)</f>
        <v>0</v>
      </c>
      <c r="Q510" s="328" t="s">
        <v>1176</v>
      </c>
      <c r="R510" s="520">
        <f>IF(AND(完成电子数据递交资料YN=1,统计分析YN=1),1,0)</f>
        <v>0</v>
      </c>
      <c r="S510" s="524" t="str">
        <f>INDEX('Rate Card'!$D:$D,MATCH(服务费底表!$T510,'Rate Card'!F:F,0))</f>
        <v>统计分析</v>
      </c>
      <c r="T510" s="328" t="s">
        <v>635</v>
      </c>
      <c r="U510" s="522" t="str">
        <f>INDEX('Rate Card'!$E:$E,MATCH(服务费底表!$T510,'Rate Card'!$F:$F,0))</f>
        <v>统计分析师</v>
      </c>
      <c r="V510" s="331">
        <f>INDEX('Rate Card'!$J:$J,MATCH($T510,'Rate Card'!$F:$F,0))</f>
        <v>225</v>
      </c>
      <c r="W510" s="523">
        <f t="shared" si="428"/>
        <v>225</v>
      </c>
      <c r="X510" s="523">
        <f t="shared" si="429"/>
        <v>8</v>
      </c>
      <c r="Y510" s="327" cm="1">
        <f t="array" ref="Y510">_xlfn.IFS(报价场景=服务费底表!$AJ$2,服务费底表!$AJ510,报价场景=服务费底表!$AP$2,服务费底表!$AP510,报价场景=服务费底表!$AK$2,服务费底表!$AK510,报价场景=服务费底表!$AL$2,服务费底表!$AL510,报价场景=服务费底表!$AM$2,服务费底表!$AM510,报价场景=服务费底表!$AN$2,服务费底表!$AN510,报价场景=服务费底表!$AQ$2,服务费底表!$AQ510,报价场景=服务费底表!$AO$2,服务费底表!$AO510)</f>
        <v>8</v>
      </c>
      <c r="Z510" s="327"/>
      <c r="AA510" s="332">
        <f t="shared" si="442"/>
        <v>8</v>
      </c>
      <c r="AB510" s="333">
        <f t="shared" si="431"/>
        <v>0</v>
      </c>
      <c r="AC510" s="328">
        <f t="shared" si="432"/>
        <v>0</v>
      </c>
      <c r="AD510" s="334">
        <f t="shared" si="433"/>
        <v>0</v>
      </c>
      <c r="AE510" s="334">
        <f>$AB510*(1-INDEX(项目参数!$D$5:$D$14,MATCH(服务费底表!$S510,项目参数!$B$5:$B$14,0)))</f>
        <v>0</v>
      </c>
      <c r="AF510" s="334">
        <f>$AD510*INDEX(项目参数!$D$5:$D$14,MATCH(服务费底表!$S510,项目参数!$B$5:$B$14,0))</f>
        <v>0</v>
      </c>
      <c r="AG510" s="334">
        <f t="shared" si="443"/>
        <v>0</v>
      </c>
      <c r="AH510" s="328"/>
      <c r="AI510" s="328" t="s">
        <v>635</v>
      </c>
      <c r="AJ510" s="327">
        <v>8</v>
      </c>
      <c r="AK510" s="327">
        <v>8</v>
      </c>
      <c r="AL510" s="327">
        <v>8</v>
      </c>
      <c r="AM510" s="327">
        <v>8</v>
      </c>
      <c r="AN510" s="327">
        <v>8</v>
      </c>
      <c r="AO510" s="327">
        <f t="shared" si="416"/>
        <v>8</v>
      </c>
      <c r="AP510" s="327">
        <v>8</v>
      </c>
      <c r="AQ510" s="327">
        <f t="shared" si="435"/>
        <v>12</v>
      </c>
      <c r="AR510" s="338"/>
      <c r="AS510" s="328">
        <f t="shared" si="444"/>
        <v>0</v>
      </c>
      <c r="AT510" s="328">
        <f t="shared" si="445"/>
        <v>0</v>
      </c>
      <c r="AU510" s="523">
        <v>8</v>
      </c>
      <c r="AV510" s="328"/>
      <c r="AW510" s="328"/>
      <c r="AX510" s="332">
        <v>8</v>
      </c>
      <c r="AY510" s="328" t="b">
        <f t="shared" si="438"/>
        <v>1</v>
      </c>
      <c r="AZ510" s="328" t="b">
        <f t="shared" si="414"/>
        <v>1</v>
      </c>
    </row>
    <row r="511" ht="27" customHeight="1" spans="1:52">
      <c r="A511" s="326" t="str">
        <f>INDEX('Rate Card'!$A:$A,MATCH(服务费底表!$T511,'Rate Card'!$F:$F,0))</f>
        <v>数统</v>
      </c>
      <c r="B511" s="327" t="str">
        <f>INDEX(二三级标准!$G:$G,MATCH(服务费底表!$K511,二三级标准!B:B,0))</f>
        <v>份</v>
      </c>
      <c r="C511" s="327">
        <f>INDEX(服务费明细!$E:$E,MATCH(服务费底表!$K511,服务费明细!$B:$B,0))</f>
        <v>0</v>
      </c>
      <c r="D511" s="327" t="str">
        <f t="shared" si="426"/>
        <v>A118SA</v>
      </c>
      <c r="E511" s="327" t="str">
        <f t="shared" si="427"/>
        <v>T0417SA</v>
      </c>
      <c r="F511" s="328"/>
      <c r="G511" s="328" t="s">
        <v>684</v>
      </c>
      <c r="H511" s="326" t="str">
        <f>INDEX('Rate Card'!$B:$B,MATCH(服务费底表!$T511,'Rate Card'!$F:$F,0))</f>
        <v>生物统计及分析</v>
      </c>
      <c r="I511" s="328" t="s">
        <v>924</v>
      </c>
      <c r="J511" s="328" t="str">
        <f>INDEX(二三级标准!$Q:$Q,MATCH(服务费底表!I511,二三级标准!$O:$O,0))</f>
        <v>生物统计及分析</v>
      </c>
      <c r="K511" s="328" t="s">
        <v>341</v>
      </c>
      <c r="L511" s="328" t="str">
        <f>INDEX(二三级标准!C:C,MATCH(服务费底表!K511,二三级标准!$B:$B,0))</f>
        <v>完成电子数据递交资料</v>
      </c>
      <c r="M511" s="328" t="s">
        <v>1547</v>
      </c>
      <c r="N511" s="328" t="str">
        <f>INDEX(二三级标准!$M:$M,MATCH(服务费底表!$M511,二三级标准!$L:$L,0))</f>
        <v>制定ADaM审阅指南</v>
      </c>
      <c r="O511" s="328"/>
      <c r="P511" s="531">
        <f>IF(R511=1,INDEX(服务费明细!$E:$E,MATCH(服务费底表!$K511,服务费明细!$B:$B,0)),0)</f>
        <v>0</v>
      </c>
      <c r="Q511" s="328" t="s">
        <v>1176</v>
      </c>
      <c r="R511" s="520">
        <f>IF(AND(完成电子数据递交资料YN=1,统计分析YN=1),1,0)</f>
        <v>0</v>
      </c>
      <c r="S511" s="524" t="str">
        <f>INDEX('Rate Card'!$D:$D,MATCH(服务费底表!$T511,'Rate Card'!F:F,0))</f>
        <v>统计分析</v>
      </c>
      <c r="T511" s="328" t="s">
        <v>635</v>
      </c>
      <c r="U511" s="522" t="str">
        <f>INDEX('Rate Card'!$E:$E,MATCH(服务费底表!$T511,'Rate Card'!$F:$F,0))</f>
        <v>统计分析师</v>
      </c>
      <c r="V511" s="331">
        <f>INDEX('Rate Card'!$J:$J,MATCH($T511,'Rate Card'!$F:$F,0))</f>
        <v>225</v>
      </c>
      <c r="W511" s="523">
        <f t="shared" si="428"/>
        <v>225</v>
      </c>
      <c r="X511" s="523">
        <f t="shared" si="429"/>
        <v>20</v>
      </c>
      <c r="Y511" s="327" cm="1">
        <f t="array" ref="Y511">_xlfn.IFS(报价场景=服务费底表!$AJ$2,服务费底表!$AJ511,报价场景=服务费底表!$AP$2,服务费底表!$AP511,报价场景=服务费底表!$AK$2,服务费底表!$AK511,报价场景=服务费底表!$AL$2,服务费底表!$AL511,报价场景=服务费底表!$AM$2,服务费底表!$AM511,报价场景=服务费底表!$AN$2,服务费底表!$AN511,报价场景=服务费底表!$AQ$2,服务费底表!$AQ511,报价场景=服务费底表!$AO$2,服务费底表!$AO511)</f>
        <v>20</v>
      </c>
      <c r="Z511" s="327"/>
      <c r="AA511" s="332">
        <f t="shared" si="442"/>
        <v>20</v>
      </c>
      <c r="AB511" s="333">
        <f t="shared" si="431"/>
        <v>0</v>
      </c>
      <c r="AC511" s="328">
        <f t="shared" si="432"/>
        <v>0</v>
      </c>
      <c r="AD511" s="334">
        <f t="shared" si="433"/>
        <v>0</v>
      </c>
      <c r="AE511" s="334">
        <f>$AB511*(1-INDEX(项目参数!$D$5:$D$14,MATCH(服务费底表!$S511,项目参数!$B$5:$B$14,0)))</f>
        <v>0</v>
      </c>
      <c r="AF511" s="334">
        <f>$AD511*INDEX(项目参数!$D$5:$D$14,MATCH(服务费底表!$S511,项目参数!$B$5:$B$14,0))</f>
        <v>0</v>
      </c>
      <c r="AG511" s="334">
        <f t="shared" si="443"/>
        <v>0</v>
      </c>
      <c r="AH511" s="328"/>
      <c r="AI511" s="328" t="s">
        <v>635</v>
      </c>
      <c r="AJ511" s="327">
        <v>20</v>
      </c>
      <c r="AK511" s="327">
        <v>24</v>
      </c>
      <c r="AL511" s="327">
        <v>20</v>
      </c>
      <c r="AM511" s="327">
        <v>24</v>
      </c>
      <c r="AN511" s="327">
        <v>20</v>
      </c>
      <c r="AO511" s="327">
        <f t="shared" si="416"/>
        <v>20</v>
      </c>
      <c r="AP511" s="327">
        <v>20</v>
      </c>
      <c r="AQ511" s="327">
        <f t="shared" si="435"/>
        <v>30</v>
      </c>
      <c r="AR511" s="338"/>
      <c r="AS511" s="328">
        <f t="shared" si="444"/>
        <v>0</v>
      </c>
      <c r="AT511" s="328">
        <f t="shared" si="445"/>
        <v>0</v>
      </c>
      <c r="AU511" s="523">
        <v>20</v>
      </c>
      <c r="AV511" s="328"/>
      <c r="AW511" s="328"/>
      <c r="AX511" s="332">
        <v>20</v>
      </c>
      <c r="AY511" s="328" t="b">
        <f t="shared" si="438"/>
        <v>1</v>
      </c>
      <c r="AZ511" s="328" t="b">
        <f t="shared" si="414"/>
        <v>1</v>
      </c>
    </row>
    <row r="512" ht="27" customHeight="1" spans="1:52">
      <c r="A512" s="326" t="str">
        <f>INDEX('Rate Card'!$A:$A,MATCH(服务费底表!$T512,'Rate Card'!$F:$F,0))</f>
        <v>数统</v>
      </c>
      <c r="B512" s="327" t="str">
        <f>INDEX(二三级标准!$G:$G,MATCH(服务费底表!$K512,二三级标准!B:B,0))</f>
        <v>份</v>
      </c>
      <c r="C512" s="327">
        <f>INDEX(服务费明细!$E:$E,MATCH(服务费底表!$K512,服务费明细!$B:$B,0))</f>
        <v>0</v>
      </c>
      <c r="D512" s="327" t="str">
        <f t="shared" si="426"/>
        <v>A118SA</v>
      </c>
      <c r="E512" s="327" t="str">
        <f t="shared" si="427"/>
        <v>T0418SA</v>
      </c>
      <c r="F512" s="328"/>
      <c r="G512" s="328" t="s">
        <v>684</v>
      </c>
      <c r="H512" s="326" t="str">
        <f>INDEX('Rate Card'!$B:$B,MATCH(服务费底表!$T512,'Rate Card'!$F:$F,0))</f>
        <v>生物统计及分析</v>
      </c>
      <c r="I512" s="328" t="s">
        <v>924</v>
      </c>
      <c r="J512" s="328" t="str">
        <f>INDEX(二三级标准!$Q:$Q,MATCH(服务费底表!I512,二三级标准!$O:$O,0))</f>
        <v>生物统计及分析</v>
      </c>
      <c r="K512" s="328" t="s">
        <v>341</v>
      </c>
      <c r="L512" s="328" t="str">
        <f>INDEX(二三级标准!C:C,MATCH(服务费底表!K512,二三级标准!$B:$B,0))</f>
        <v>完成电子数据递交资料</v>
      </c>
      <c r="M512" s="328" t="s">
        <v>1548</v>
      </c>
      <c r="N512" s="328" t="str">
        <f>INDEX(二三级标准!$M:$M,MATCH(服务费底表!$M512,二三级标准!$L:$L,0))</f>
        <v>审核ADaM审阅指南</v>
      </c>
      <c r="O512" s="328"/>
      <c r="P512" s="531">
        <f>IF(R512=1,INDEX(服务费明细!$E:$E,MATCH(服务费底表!$K512,服务费明细!$B:$B,0)),0)</f>
        <v>0</v>
      </c>
      <c r="Q512" s="328" t="s">
        <v>1176</v>
      </c>
      <c r="R512" s="520">
        <f>IF(AND(完成电子数据递交资料YN=1,统计分析YN=1),1,0)</f>
        <v>0</v>
      </c>
      <c r="S512" s="524" t="str">
        <f>INDEX('Rate Card'!$D:$D,MATCH(服务费底表!$T512,'Rate Card'!F:F,0))</f>
        <v>统计分析</v>
      </c>
      <c r="T512" s="328" t="s">
        <v>635</v>
      </c>
      <c r="U512" s="522" t="str">
        <f>INDEX('Rate Card'!$E:$E,MATCH(服务费底表!$T512,'Rate Card'!$F:$F,0))</f>
        <v>统计分析师</v>
      </c>
      <c r="V512" s="331">
        <f>INDEX('Rate Card'!$J:$J,MATCH($T512,'Rate Card'!$F:$F,0))</f>
        <v>225</v>
      </c>
      <c r="W512" s="523">
        <f t="shared" si="428"/>
        <v>225</v>
      </c>
      <c r="X512" s="523">
        <f t="shared" si="429"/>
        <v>8</v>
      </c>
      <c r="Y512" s="327" cm="1">
        <f t="array" ref="Y512">_xlfn.IFS(报价场景=服务费底表!$AJ$2,服务费底表!$AJ512,报价场景=服务费底表!$AP$2,服务费底表!$AP512,报价场景=服务费底表!$AK$2,服务费底表!$AK512,报价场景=服务费底表!$AL$2,服务费底表!$AL512,报价场景=服务费底表!$AM$2,服务费底表!$AM512,报价场景=服务费底表!$AN$2,服务费底表!$AN512,报价场景=服务费底表!$AQ$2,服务费底表!$AQ512,报价场景=服务费底表!$AO$2,服务费底表!$AO512)</f>
        <v>8</v>
      </c>
      <c r="Z512" s="327"/>
      <c r="AA512" s="332">
        <f t="shared" si="442"/>
        <v>8</v>
      </c>
      <c r="AB512" s="333">
        <f t="shared" si="431"/>
        <v>0</v>
      </c>
      <c r="AC512" s="328">
        <f t="shared" si="432"/>
        <v>0</v>
      </c>
      <c r="AD512" s="334">
        <f t="shared" si="433"/>
        <v>0</v>
      </c>
      <c r="AE512" s="334">
        <f>$AB512*(1-INDEX(项目参数!$D$5:$D$14,MATCH(服务费底表!$S512,项目参数!$B$5:$B$14,0)))</f>
        <v>0</v>
      </c>
      <c r="AF512" s="334">
        <f>$AD512*INDEX(项目参数!$D$5:$D$14,MATCH(服务费底表!$S512,项目参数!$B$5:$B$14,0))</f>
        <v>0</v>
      </c>
      <c r="AG512" s="334">
        <f t="shared" si="443"/>
        <v>0</v>
      </c>
      <c r="AH512" s="328"/>
      <c r="AI512" s="328" t="s">
        <v>635</v>
      </c>
      <c r="AJ512" s="327">
        <v>8</v>
      </c>
      <c r="AK512" s="327">
        <v>8</v>
      </c>
      <c r="AL512" s="327">
        <v>8</v>
      </c>
      <c r="AM512" s="327">
        <v>8</v>
      </c>
      <c r="AN512" s="327">
        <v>8</v>
      </c>
      <c r="AO512" s="327">
        <f t="shared" si="416"/>
        <v>8</v>
      </c>
      <c r="AP512" s="327">
        <v>8</v>
      </c>
      <c r="AQ512" s="327">
        <f t="shared" si="435"/>
        <v>12</v>
      </c>
      <c r="AR512" s="338"/>
      <c r="AS512" s="328">
        <f t="shared" si="444"/>
        <v>0</v>
      </c>
      <c r="AT512" s="328">
        <f t="shared" si="445"/>
        <v>0</v>
      </c>
      <c r="AU512" s="523">
        <v>8</v>
      </c>
      <c r="AV512" s="328"/>
      <c r="AW512" s="328"/>
      <c r="AX512" s="332">
        <v>8</v>
      </c>
      <c r="AY512" s="328" t="b">
        <f t="shared" si="438"/>
        <v>1</v>
      </c>
      <c r="AZ512" s="328" t="b">
        <f t="shared" si="414"/>
        <v>1</v>
      </c>
    </row>
    <row r="513" ht="27" customHeight="1" spans="1:52">
      <c r="A513" s="326" t="str">
        <f>INDEX('Rate Card'!$A:$A,MATCH(服务费底表!$T513,'Rate Card'!$F:$F,0))</f>
        <v>数统</v>
      </c>
      <c r="B513" s="327" t="str">
        <f>INDEX(二三级标准!$G:$G,MATCH(服务费底表!$K513,二三级标准!B:B,0))</f>
        <v>份</v>
      </c>
      <c r="C513" s="327">
        <f>INDEX(服务费明细!$E:$E,MATCH(服务费底表!$K513,服务费明细!$B:$B,0))</f>
        <v>0</v>
      </c>
      <c r="D513" s="327" t="str">
        <f t="shared" si="426"/>
        <v>A118ST</v>
      </c>
      <c r="E513" s="327" t="str">
        <f t="shared" si="427"/>
        <v>T0418ST</v>
      </c>
      <c r="F513" s="328"/>
      <c r="G513" s="328" t="s">
        <v>684</v>
      </c>
      <c r="H513" s="326" t="str">
        <f>INDEX('Rate Card'!$B:$B,MATCH(服务费底表!$T513,'Rate Card'!$F:$F,0))</f>
        <v>生物统计及分析</v>
      </c>
      <c r="I513" s="328" t="s">
        <v>924</v>
      </c>
      <c r="J513" s="328" t="str">
        <f>INDEX(二三级标准!$Q:$Q,MATCH(服务费底表!I513,二三级标准!$O:$O,0))</f>
        <v>生物统计及分析</v>
      </c>
      <c r="K513" s="328" t="s">
        <v>341</v>
      </c>
      <c r="L513" s="328" t="str">
        <f>INDEX(二三级标准!C:C,MATCH(服务费底表!K513,二三级标准!$B:$B,0))</f>
        <v>完成电子数据递交资料</v>
      </c>
      <c r="M513" s="328" t="s">
        <v>1548</v>
      </c>
      <c r="N513" s="328" t="str">
        <f>INDEX(二三级标准!$M:$M,MATCH(服务费底表!$M513,二三级标准!$L:$L,0))</f>
        <v>审核ADaM审阅指南</v>
      </c>
      <c r="O513" s="328"/>
      <c r="P513" s="531">
        <f>IF(R513=1,INDEX(服务费明细!$E:$E,MATCH(服务费底表!$K513,服务费明细!$B:$B,0)),0)</f>
        <v>0</v>
      </c>
      <c r="Q513" s="328" t="s">
        <v>1176</v>
      </c>
      <c r="R513" s="520">
        <f>IF(AND(完成电子数据递交资料YN=1,生物统计YN=1),1,0)</f>
        <v>0</v>
      </c>
      <c r="S513" s="524" t="str">
        <f>INDEX('Rate Card'!$D:$D,MATCH(服务费底表!$T513,'Rate Card'!F:F,0))</f>
        <v>生物统计</v>
      </c>
      <c r="T513" s="328" t="s">
        <v>639</v>
      </c>
      <c r="U513" s="522" t="str">
        <f>INDEX('Rate Card'!$E:$E,MATCH(服务费底表!$T513,'Rate Card'!$F:$F,0))</f>
        <v>生物统计师</v>
      </c>
      <c r="V513" s="331">
        <f>INDEX('Rate Card'!$J:$J,MATCH($T513,'Rate Card'!$F:$F,0))</f>
        <v>400</v>
      </c>
      <c r="W513" s="523">
        <f t="shared" si="428"/>
        <v>400</v>
      </c>
      <c r="X513" s="523">
        <f t="shared" si="429"/>
        <v>4</v>
      </c>
      <c r="Y513" s="327" cm="1">
        <f t="array" ref="Y513">_xlfn.IFS(报价场景=服务费底表!$AJ$2,服务费底表!$AJ513,报价场景=服务费底表!$AP$2,服务费底表!$AP513,报价场景=服务费底表!$AK$2,服务费底表!$AK513,报价场景=服务费底表!$AL$2,服务费底表!$AL513,报价场景=服务费底表!$AM$2,服务费底表!$AM513,报价场景=服务费底表!$AN$2,服务费底表!$AN513,报价场景=服务费底表!$AQ$2,服务费底表!$AQ513,报价场景=服务费底表!$AO$2,服务费底表!$AO513)</f>
        <v>4</v>
      </c>
      <c r="Z513" s="327"/>
      <c r="AA513" s="332">
        <f t="shared" si="442"/>
        <v>4</v>
      </c>
      <c r="AB513" s="333">
        <f t="shared" si="431"/>
        <v>0</v>
      </c>
      <c r="AC513" s="328">
        <f t="shared" si="432"/>
        <v>0</v>
      </c>
      <c r="AD513" s="334">
        <f t="shared" si="433"/>
        <v>0</v>
      </c>
      <c r="AE513" s="334">
        <f>$AB513*(1-INDEX(项目参数!$D$5:$D$14,MATCH(服务费底表!$S513,项目参数!$B$5:$B$14,0)))</f>
        <v>0</v>
      </c>
      <c r="AF513" s="334">
        <f>$AD513*INDEX(项目参数!$D$5:$D$14,MATCH(服务费底表!$S513,项目参数!$B$5:$B$14,0))</f>
        <v>0</v>
      </c>
      <c r="AG513" s="334">
        <f t="shared" si="443"/>
        <v>0</v>
      </c>
      <c r="AH513" s="328"/>
      <c r="AI513" s="328" t="s">
        <v>639</v>
      </c>
      <c r="AJ513" s="327">
        <v>4</v>
      </c>
      <c r="AK513" s="327">
        <v>4</v>
      </c>
      <c r="AL513" s="327">
        <v>4</v>
      </c>
      <c r="AM513" s="327">
        <v>4</v>
      </c>
      <c r="AN513" s="327">
        <v>4</v>
      </c>
      <c r="AO513" s="327">
        <f t="shared" si="416"/>
        <v>4</v>
      </c>
      <c r="AP513" s="327">
        <v>4</v>
      </c>
      <c r="AQ513" s="327">
        <f t="shared" si="435"/>
        <v>6</v>
      </c>
      <c r="AR513" s="338"/>
      <c r="AS513" s="328">
        <f t="shared" si="444"/>
        <v>0</v>
      </c>
      <c r="AT513" s="328">
        <f t="shared" si="445"/>
        <v>0</v>
      </c>
      <c r="AU513" s="523">
        <v>4</v>
      </c>
      <c r="AV513" s="328"/>
      <c r="AW513" s="328"/>
      <c r="AX513" s="332">
        <v>4</v>
      </c>
      <c r="AY513" s="328" t="b">
        <f t="shared" si="438"/>
        <v>1</v>
      </c>
      <c r="AZ513" s="328" t="b">
        <f t="shared" si="414"/>
        <v>1</v>
      </c>
    </row>
    <row r="514" ht="27" customHeight="1" spans="1:52">
      <c r="A514" s="326" t="str">
        <f>INDEX('Rate Card'!$A:$A,MATCH(服务费底表!$T514,'Rate Card'!$F:$F,0))</f>
        <v>数统</v>
      </c>
      <c r="B514" s="327" t="str">
        <f>INDEX(二三级标准!$G:$G,MATCH(服务费底表!$K514,二三级标准!B:B,0))</f>
        <v>份</v>
      </c>
      <c r="C514" s="327">
        <f>INDEX(服务费明细!$E:$E,MATCH(服务费底表!$K514,服务费明细!$B:$B,0))</f>
        <v>0</v>
      </c>
      <c r="D514" s="327" t="str">
        <f t="shared" si="426"/>
        <v>A119ST</v>
      </c>
      <c r="E514" s="327" t="str">
        <f t="shared" si="427"/>
        <v>T0421ST</v>
      </c>
      <c r="F514" s="328"/>
      <c r="G514" s="328" t="s">
        <v>684</v>
      </c>
      <c r="H514" s="326" t="str">
        <f>INDEX('Rate Card'!$B:$B,MATCH(服务费底表!$T514,'Rate Card'!$F:$F,0))</f>
        <v>生物统计及分析</v>
      </c>
      <c r="I514" s="328" t="s">
        <v>924</v>
      </c>
      <c r="J514" s="328" t="str">
        <f>INDEX(二三级标准!$Q:$Q,MATCH(服务费底表!I514,二三级标准!$O:$O,0))</f>
        <v>生物统计及分析</v>
      </c>
      <c r="K514" s="328" t="s">
        <v>343</v>
      </c>
      <c r="L514" s="328" t="str">
        <f>INDEX(二三级标准!C:C,MATCH(服务费底表!K514,二三级标准!$B:$B,0))</f>
        <v>撰写统计分析报告(SAR)</v>
      </c>
      <c r="M514" s="328" t="s">
        <v>1549</v>
      </c>
      <c r="N514" s="328" t="str">
        <f>INDEX(二三级标准!$M:$M,MATCH(服务费底表!$M514,二三级标准!$L:$L,0))</f>
        <v>统计分析报告SAR的起草</v>
      </c>
      <c r="O514" s="328"/>
      <c r="P514" s="531">
        <f>IF(R514=1,INDEX(服务费明细!$E:$E,MATCH(服务费底表!$K514,服务费明细!$B:$B,0)),0)</f>
        <v>0</v>
      </c>
      <c r="Q514" s="328" t="s">
        <v>1176</v>
      </c>
      <c r="R514" s="520">
        <f>IF(AND(撰写统计分析报告_SAR_YN=1,生物统计YN=1),1,0)</f>
        <v>0</v>
      </c>
      <c r="S514" s="524" t="str">
        <f>INDEX('Rate Card'!$D:$D,MATCH(服务费底表!$T514,'Rate Card'!F:F,0))</f>
        <v>生物统计</v>
      </c>
      <c r="T514" s="328" t="s">
        <v>639</v>
      </c>
      <c r="U514" s="522" t="str">
        <f>INDEX('Rate Card'!$E:$E,MATCH(服务费底表!$T514,'Rate Card'!$F:$F,0))</f>
        <v>生物统计师</v>
      </c>
      <c r="V514" s="331">
        <f>INDEX('Rate Card'!$J:$J,MATCH($T514,'Rate Card'!$F:$F,0))</f>
        <v>400</v>
      </c>
      <c r="W514" s="523">
        <f t="shared" si="428"/>
        <v>400</v>
      </c>
      <c r="X514" s="523">
        <f t="shared" si="429"/>
        <v>16</v>
      </c>
      <c r="Y514" s="327" cm="1">
        <f t="array" ref="Y514">_xlfn.IFS(报价场景=服务费底表!$AJ$2,服务费底表!$AJ514,报价场景=服务费底表!$AP$2,服务费底表!$AP514,报价场景=服务费底表!$AK$2,服务费底表!$AK514,报价场景=服务费底表!$AL$2,服务费底表!$AL514,报价场景=服务费底表!$AM$2,服务费底表!$AM514,报价场景=服务费底表!$AN$2,服务费底表!$AN514,报价场景=服务费底表!$AQ$2,服务费底表!$AQ514,报价场景=服务费底表!$AO$2,服务费底表!$AO514)</f>
        <v>16</v>
      </c>
      <c r="Z514" s="327"/>
      <c r="AA514" s="332">
        <f t="shared" si="442"/>
        <v>16</v>
      </c>
      <c r="AB514" s="333">
        <f t="shared" si="431"/>
        <v>0</v>
      </c>
      <c r="AC514" s="328">
        <f t="shared" si="432"/>
        <v>0</v>
      </c>
      <c r="AD514" s="334">
        <f t="shared" si="433"/>
        <v>0</v>
      </c>
      <c r="AE514" s="334">
        <f>$AB514*(1-INDEX(项目参数!$D$5:$D$14,MATCH(服务费底表!$S514,项目参数!$B$5:$B$14,0)))</f>
        <v>0</v>
      </c>
      <c r="AF514" s="334">
        <f>$AD514*INDEX(项目参数!$D$5:$D$14,MATCH(服务费底表!$S514,项目参数!$B$5:$B$14,0))</f>
        <v>0</v>
      </c>
      <c r="AG514" s="334">
        <f t="shared" si="443"/>
        <v>0</v>
      </c>
      <c r="AH514" s="328"/>
      <c r="AI514" s="328" t="s">
        <v>639</v>
      </c>
      <c r="AJ514" s="327">
        <v>16</v>
      </c>
      <c r="AK514" s="327">
        <v>24</v>
      </c>
      <c r="AL514" s="327">
        <v>16</v>
      </c>
      <c r="AM514" s="327">
        <v>24</v>
      </c>
      <c r="AN514" s="327">
        <v>16</v>
      </c>
      <c r="AO514" s="327">
        <f t="shared" si="416"/>
        <v>16</v>
      </c>
      <c r="AP514" s="327">
        <v>16</v>
      </c>
      <c r="AQ514" s="327">
        <f t="shared" si="435"/>
        <v>24</v>
      </c>
      <c r="AR514" s="338"/>
      <c r="AS514" s="328">
        <f t="shared" si="444"/>
        <v>0</v>
      </c>
      <c r="AT514" s="328">
        <f t="shared" si="445"/>
        <v>0</v>
      </c>
      <c r="AU514" s="523">
        <v>16</v>
      </c>
      <c r="AV514" s="328"/>
      <c r="AW514" s="328"/>
      <c r="AX514" s="332">
        <v>16</v>
      </c>
      <c r="AY514" s="328" t="b">
        <f t="shared" si="438"/>
        <v>1</v>
      </c>
      <c r="AZ514" s="328" t="b">
        <f t="shared" si="414"/>
        <v>0</v>
      </c>
    </row>
    <row r="515" ht="27" customHeight="1" spans="1:52">
      <c r="A515" s="326" t="str">
        <f>INDEX('Rate Card'!$A:$A,MATCH(服务费底表!$T515,'Rate Card'!$F:$F,0))</f>
        <v>临床药理</v>
      </c>
      <c r="B515" s="327" t="str">
        <f>INDEX(二三级标准!$G:$G,MATCH(服务费底表!$K515,二三级标准!B:B,0))</f>
        <v>份</v>
      </c>
      <c r="C515" s="327">
        <f>INDEX(服务费明细!$E:$E,MATCH(服务费底表!$K515,服务费明细!$B:$B,0))</f>
        <v>0</v>
      </c>
      <c r="D515" s="327" t="str">
        <f t="shared" si="426"/>
        <v>A119aCPS</v>
      </c>
      <c r="E515" s="327" t="str">
        <f t="shared" si="427"/>
        <v>T0800CPS</v>
      </c>
      <c r="F515" s="328"/>
      <c r="G515" s="328" t="s">
        <v>684</v>
      </c>
      <c r="H515" s="326" t="str">
        <f>INDEX('Rate Card'!$B:$B,MATCH(服务费底表!$T515,'Rate Card'!$F:$F,0))</f>
        <v>临床药理</v>
      </c>
      <c r="I515" s="328" t="s">
        <v>925</v>
      </c>
      <c r="J515" s="328" t="str">
        <f>INDEX(二三级标准!$Q:$Q,MATCH(服务费底表!I515,二三级标准!$O:$O,0))</f>
        <v>临床药理</v>
      </c>
      <c r="K515" s="328" t="s">
        <v>1107</v>
      </c>
      <c r="L515" s="328" t="str">
        <f>INDEX(二三级标准!C:C,MATCH(服务费底表!K515,二三级标准!$B:$B,0))</f>
        <v>撰写PK SAR</v>
      </c>
      <c r="M515" s="328" t="s">
        <v>1550</v>
      </c>
      <c r="N515" s="328" t="str">
        <f>INDEX(二三级标准!$M:$M,MATCH(服务费底表!$M515,二三级标准!$L:$L,0))</f>
        <v>统计分析报告SAR的起草（PK部分）</v>
      </c>
      <c r="O515" s="328"/>
      <c r="P515" s="531">
        <f>IF(R515=1,INDEX(服务费明细!$E:$E,MATCH(服务费底表!$K515,服务费明细!$B:$B,0)),0)</f>
        <v>0</v>
      </c>
      <c r="Q515" s="328" t="s">
        <v>1176</v>
      </c>
      <c r="R515" s="520">
        <f>IF(AND(撰写统计分析报告_SAR_YN=1,临床药理YN=1),1,0)</f>
        <v>0</v>
      </c>
      <c r="S515" s="328" t="str">
        <f>INDEX('Rate Card'!$D:$D,MATCH(服务费底表!$T515,'Rate Card'!F:F,0))</f>
        <v>临床药理</v>
      </c>
      <c r="T515" s="328" t="s">
        <v>652</v>
      </c>
      <c r="U515" s="522" t="str">
        <f>INDEX('Rate Card'!$E:$E,MATCH(服务费底表!$T515,'Rate Card'!$F:$F,0))</f>
        <v>临床药理专员</v>
      </c>
      <c r="V515" s="331">
        <f>INDEX('Rate Card'!$J:$J,MATCH($T515,'Rate Card'!$F:$F,0))</f>
        <v>580</v>
      </c>
      <c r="W515" s="523">
        <f t="shared" si="428"/>
        <v>580</v>
      </c>
      <c r="X515" s="523">
        <f t="shared" si="429"/>
        <v>4</v>
      </c>
      <c r="Y515" s="327" cm="1">
        <f t="array" ref="Y515">_xlfn.IFS(报价场景=服务费底表!$AJ$2,服务费底表!$AJ515,报价场景=服务费底表!$AP$2,服务费底表!$AP515,报价场景=服务费底表!$AK$2,服务费底表!$AK515,报价场景=服务费底表!$AL$2,服务费底表!$AL515,报价场景=服务费底表!$AM$2,服务费底表!$AM515,报价场景=服务费底表!$AN$2,服务费底表!$AN515,报价场景=服务费底表!$AQ$2,服务费底表!$AQ515,报价场景=服务费底表!$AO$2,服务费底表!$AO515)</f>
        <v>4</v>
      </c>
      <c r="Z515" s="327"/>
      <c r="AA515" s="332">
        <f t="shared" si="442"/>
        <v>4</v>
      </c>
      <c r="AB515" s="333">
        <f t="shared" si="431"/>
        <v>0</v>
      </c>
      <c r="AC515" s="328">
        <f t="shared" si="432"/>
        <v>0</v>
      </c>
      <c r="AD515" s="334">
        <f t="shared" ref="AD515:AD516" si="446">AC515*V515</f>
        <v>0</v>
      </c>
      <c r="AE515" s="334">
        <f>$AB515*(1-INDEX(项目参数!$D$5:$D$14,MATCH(服务费底表!$S515,项目参数!$B$5:$B$14,0)))</f>
        <v>0</v>
      </c>
      <c r="AF515" s="334">
        <f>$AD515*INDEX(项目参数!$D$5:$D$14,MATCH(服务费底表!$S515,项目参数!$B$5:$B$14,0))</f>
        <v>0</v>
      </c>
      <c r="AG515" s="334">
        <f t="shared" ref="AG515:AG516" si="447">AD515-AF515</f>
        <v>0</v>
      </c>
      <c r="AH515" s="328"/>
      <c r="AI515" s="328" t="s">
        <v>652</v>
      </c>
      <c r="AJ515" s="327">
        <v>4</v>
      </c>
      <c r="AK515" s="327">
        <v>4</v>
      </c>
      <c r="AL515" s="327">
        <v>4</v>
      </c>
      <c r="AM515" s="327">
        <v>4</v>
      </c>
      <c r="AN515" s="327">
        <v>4</v>
      </c>
      <c r="AO515" s="327">
        <f t="shared" si="416"/>
        <v>4</v>
      </c>
      <c r="AP515" s="327">
        <v>4</v>
      </c>
      <c r="AQ515" s="327">
        <f t="shared" si="435"/>
        <v>6</v>
      </c>
      <c r="AR515" s="338"/>
      <c r="AS515" s="328">
        <f t="shared" si="444"/>
        <v>0</v>
      </c>
      <c r="AT515" s="328">
        <f t="shared" si="445"/>
        <v>0</v>
      </c>
      <c r="AU515" s="523">
        <v>4</v>
      </c>
      <c r="AV515" s="328"/>
      <c r="AW515" s="328"/>
      <c r="AX515" s="332">
        <v>4</v>
      </c>
      <c r="AY515" s="328" t="b">
        <f t="shared" si="438"/>
        <v>1</v>
      </c>
      <c r="AZ515" s="328" t="b">
        <f t="shared" si="414"/>
        <v>1</v>
      </c>
    </row>
    <row r="516" ht="27" customHeight="1" spans="1:52">
      <c r="A516" s="326" t="str">
        <f>INDEX('Rate Card'!$A:$A,MATCH(服务费底表!$T516,'Rate Card'!$F:$F,0))</f>
        <v>数统</v>
      </c>
      <c r="B516" s="327" t="str">
        <f>INDEX(二三级标准!$G:$G,MATCH(服务费底表!$K516,二三级标准!B:B,0))</f>
        <v>份</v>
      </c>
      <c r="C516" s="327">
        <f>INDEX(服务费明细!$E:$E,MATCH(服务费底表!$K516,服务费明细!$B:$B,0))</f>
        <v>0</v>
      </c>
      <c r="D516" s="327" t="str">
        <f t="shared" si="426"/>
        <v>A119STM</v>
      </c>
      <c r="E516" s="327" t="str">
        <f t="shared" si="427"/>
        <v>T0422STM</v>
      </c>
      <c r="F516" s="328"/>
      <c r="G516" s="328" t="s">
        <v>684</v>
      </c>
      <c r="H516" s="326" t="str">
        <f>INDEX('Rate Card'!$B:$B,MATCH(服务费底表!$T516,'Rate Card'!$F:$F,0))</f>
        <v>生物统计及分析</v>
      </c>
      <c r="I516" s="328" t="s">
        <v>924</v>
      </c>
      <c r="J516" s="328" t="str">
        <f>INDEX(二三级标准!$Q:$Q,MATCH(服务费底表!I516,二三级标准!$O:$O,0))</f>
        <v>生物统计及分析</v>
      </c>
      <c r="K516" s="328" t="s">
        <v>343</v>
      </c>
      <c r="L516" s="328" t="str">
        <f>INDEX(二三级标准!C:C,MATCH(服务费底表!K516,二三级标准!$B:$B,0))</f>
        <v>撰写统计分析报告(SAR)</v>
      </c>
      <c r="M516" s="328" t="s">
        <v>1551</v>
      </c>
      <c r="N516" s="328" t="str">
        <f>INDEX(二三级标准!$M:$M,MATCH(服务费底表!$M516,二三级标准!$L:$L,0))</f>
        <v>统计分析报告SAR的审核</v>
      </c>
      <c r="O516" s="328"/>
      <c r="P516" s="531">
        <f>IF(R516=1,INDEX(服务费明细!$E:$E,MATCH(服务费底表!$K516,服务费明细!$B:$B,0)),0)</f>
        <v>0</v>
      </c>
      <c r="Q516" s="328" t="s">
        <v>1176</v>
      </c>
      <c r="R516" s="520">
        <f>IF(AND(撰写统计分析报告_SAR_YN=1,生物统计YN=1),1,0)</f>
        <v>0</v>
      </c>
      <c r="S516" s="524" t="str">
        <f>INDEX('Rate Card'!$D:$D,MATCH(服务费底表!$T516,'Rate Card'!F:F,0))</f>
        <v>生物统计</v>
      </c>
      <c r="T516" s="328" t="s">
        <v>642</v>
      </c>
      <c r="U516" s="522" t="str">
        <f>INDEX('Rate Card'!$E:$E,MATCH(服务费底表!$T516,'Rate Card'!$F:$F,0))</f>
        <v>生物统计经理</v>
      </c>
      <c r="V516" s="331">
        <f>INDEX('Rate Card'!$J:$J,MATCH($T516,'Rate Card'!$F:$F,0))</f>
        <v>700</v>
      </c>
      <c r="W516" s="523">
        <f t="shared" si="428"/>
        <v>700</v>
      </c>
      <c r="X516" s="523">
        <f t="shared" si="429"/>
        <v>2</v>
      </c>
      <c r="Y516" s="327" cm="1">
        <f t="array" ref="Y516">_xlfn.IFS(报价场景=服务费底表!$AJ$2,服务费底表!$AJ516,报价场景=服务费底表!$AP$2,服务费底表!$AP516,报价场景=服务费底表!$AK$2,服务费底表!$AK516,报价场景=服务费底表!$AL$2,服务费底表!$AL516,报价场景=服务费底表!$AM$2,服务费底表!$AM516,报价场景=服务费底表!$AN$2,服务费底表!$AN516,报价场景=服务费底表!$AQ$2,服务费底表!$AQ516,报价场景=服务费底表!$AO$2,服务费底表!$AO516)</f>
        <v>2</v>
      </c>
      <c r="Z516" s="327"/>
      <c r="AA516" s="332">
        <f t="shared" si="442"/>
        <v>2</v>
      </c>
      <c r="AB516" s="333">
        <f t="shared" si="431"/>
        <v>0</v>
      </c>
      <c r="AC516" s="328">
        <f t="shared" si="432"/>
        <v>0</v>
      </c>
      <c r="AD516" s="334">
        <f t="shared" si="446"/>
        <v>0</v>
      </c>
      <c r="AE516" s="334">
        <f>$AB516*(1-INDEX(项目参数!$D$5:$D$14,MATCH(服务费底表!$S516,项目参数!$B$5:$B$14,0)))</f>
        <v>0</v>
      </c>
      <c r="AF516" s="334">
        <f>$AD516*INDEX(项目参数!$D$5:$D$14,MATCH(服务费底表!$S516,项目参数!$B$5:$B$14,0))</f>
        <v>0</v>
      </c>
      <c r="AG516" s="334">
        <f t="shared" si="447"/>
        <v>0</v>
      </c>
      <c r="AH516" s="328"/>
      <c r="AI516" s="328" t="s">
        <v>642</v>
      </c>
      <c r="AJ516" s="327">
        <v>2</v>
      </c>
      <c r="AK516" s="327">
        <v>3</v>
      </c>
      <c r="AL516" s="327">
        <v>2</v>
      </c>
      <c r="AM516" s="327">
        <v>3</v>
      </c>
      <c r="AN516" s="327">
        <v>2</v>
      </c>
      <c r="AO516" s="327">
        <f t="shared" si="416"/>
        <v>2</v>
      </c>
      <c r="AP516" s="327">
        <v>2</v>
      </c>
      <c r="AQ516" s="327">
        <f t="shared" si="435"/>
        <v>3</v>
      </c>
      <c r="AR516" s="338"/>
      <c r="AS516" s="328">
        <f t="shared" si="444"/>
        <v>0</v>
      </c>
      <c r="AT516" s="328">
        <f t="shared" si="445"/>
        <v>0</v>
      </c>
      <c r="AU516" s="523">
        <v>2</v>
      </c>
      <c r="AV516" s="328"/>
      <c r="AW516" s="328"/>
      <c r="AX516" s="332">
        <v>2</v>
      </c>
      <c r="AY516" s="328" t="b">
        <f t="shared" si="438"/>
        <v>1</v>
      </c>
      <c r="AZ516" s="328" t="b">
        <f t="shared" ref="AZ516:AZ579" si="448">IF(K516&lt;&gt;K515,IF(AZ515=TRUE,FALSE,TRUE),AZ515)</f>
        <v>0</v>
      </c>
    </row>
    <row r="517" ht="27" customHeight="1" spans="1:52">
      <c r="A517" s="326" t="str">
        <f>INDEX('Rate Card'!$A:$A,MATCH(服务费底表!$T517,'Rate Card'!$F:$F,0))</f>
        <v>临床药理</v>
      </c>
      <c r="B517" s="327" t="str">
        <f>INDEX(二三级标准!$G:$G,MATCH(服务费底表!$K517,二三级标准!B:B,0))</f>
        <v>份</v>
      </c>
      <c r="C517" s="327">
        <f>INDEX(服务费明细!$E:$E,MATCH(服务费底表!$K517,服务费明细!$B:$B,0))</f>
        <v>0</v>
      </c>
      <c r="D517" s="327" t="str">
        <f t="shared" si="426"/>
        <v>A119aCPSS</v>
      </c>
      <c r="E517" s="327" t="str">
        <f t="shared" si="427"/>
        <v>T0801CPSS</v>
      </c>
      <c r="F517" s="328"/>
      <c r="G517" s="328" t="s">
        <v>684</v>
      </c>
      <c r="H517" s="326" t="str">
        <f>INDEX('Rate Card'!$B:$B,MATCH(服务费底表!$T517,'Rate Card'!$F:$F,0))</f>
        <v>临床药理</v>
      </c>
      <c r="I517" s="328" t="s">
        <v>925</v>
      </c>
      <c r="J517" s="328" t="str">
        <f>INDEX(二三级标准!$Q:$Q,MATCH(服务费底表!I517,二三级标准!$O:$O,0))</f>
        <v>临床药理</v>
      </c>
      <c r="K517" s="328" t="s">
        <v>1107</v>
      </c>
      <c r="L517" s="328" t="str">
        <f>INDEX(二三级标准!C:C,MATCH(服务费底表!K517,二三级标准!$B:$B,0))</f>
        <v>撰写PK SAR</v>
      </c>
      <c r="M517" s="328" t="s">
        <v>1552</v>
      </c>
      <c r="N517" s="328" t="str">
        <f>INDEX(二三级标准!$M:$M,MATCH(服务费底表!$M517,二三级标准!$L:$L,0))</f>
        <v>统计分析报告SAR的审核（PK部分）</v>
      </c>
      <c r="O517" s="328"/>
      <c r="P517" s="531">
        <f>IF(R517=1,INDEX(服务费明细!$E:$E,MATCH(服务费底表!$K517,服务费明细!$B:$B,0)),0)</f>
        <v>0</v>
      </c>
      <c r="Q517" s="328" t="s">
        <v>1178</v>
      </c>
      <c r="R517" s="520">
        <f>IF(AND(撰写统计分析报告_SAR_YN=1,临床药理YN=1),1,0)</f>
        <v>0</v>
      </c>
      <c r="S517" s="328" t="str">
        <f>INDEX('Rate Card'!$D:$D,MATCH(服务费底表!$T517,'Rate Card'!F:F,0))</f>
        <v>临床药理</v>
      </c>
      <c r="T517" s="328" t="s">
        <v>654</v>
      </c>
      <c r="U517" s="522" t="str">
        <f>INDEX('Rate Card'!$E:$E,MATCH(服务费底表!$T517,'Rate Card'!$F:$F,0))</f>
        <v>临床药理高级专员</v>
      </c>
      <c r="V517" s="331">
        <f>INDEX('Rate Card'!$J:$J,MATCH($T517,'Rate Card'!$F:$F,0))</f>
        <v>700</v>
      </c>
      <c r="W517" s="523">
        <f t="shared" si="428"/>
        <v>700</v>
      </c>
      <c r="X517" s="523">
        <f t="shared" si="429"/>
        <v>2</v>
      </c>
      <c r="Y517" s="327" cm="1">
        <f t="array" ref="Y517">_xlfn.IFS(报价场景=服务费底表!$AJ$2,服务费底表!$AJ517,报价场景=服务费底表!$AP$2,服务费底表!$AP517,报价场景=服务费底表!$AK$2,服务费底表!$AK517,报价场景=服务费底表!$AL$2,服务费底表!$AL517,报价场景=服务费底表!$AM$2,服务费底表!$AM517,报价场景=服务费底表!$AN$2,服务费底表!$AN517,报价场景=服务费底表!$AQ$2,服务费底表!$AQ517,报价场景=服务费底表!$AO$2,服务费底表!$AO517)</f>
        <v>2</v>
      </c>
      <c r="Z517" s="327"/>
      <c r="AA517" s="332">
        <f t="shared" si="442"/>
        <v>2</v>
      </c>
      <c r="AB517" s="333">
        <f t="shared" si="431"/>
        <v>0</v>
      </c>
      <c r="AC517" s="328">
        <f t="shared" si="432"/>
        <v>0</v>
      </c>
      <c r="AD517" s="334">
        <f t="shared" ref="AD517:AD518" si="449">AC517*V517</f>
        <v>0</v>
      </c>
      <c r="AE517" s="334">
        <f>$AB517*(1-INDEX(项目参数!$D$5:$D$14,MATCH(服务费底表!$S517,项目参数!$B$5:$B$14,0)))</f>
        <v>0</v>
      </c>
      <c r="AF517" s="334">
        <f>$AD517*INDEX(项目参数!$D$5:$D$14,MATCH(服务费底表!$S517,项目参数!$B$5:$B$14,0))</f>
        <v>0</v>
      </c>
      <c r="AG517" s="334">
        <f t="shared" ref="AG517:AG518" si="450">AD517-AF517</f>
        <v>0</v>
      </c>
      <c r="AH517" s="328"/>
      <c r="AI517" s="328" t="s">
        <v>654</v>
      </c>
      <c r="AJ517" s="327">
        <v>2</v>
      </c>
      <c r="AK517" s="327">
        <v>2</v>
      </c>
      <c r="AL517" s="327">
        <v>2</v>
      </c>
      <c r="AM517" s="327">
        <v>2</v>
      </c>
      <c r="AN517" s="327">
        <v>2</v>
      </c>
      <c r="AO517" s="327">
        <f t="shared" si="416"/>
        <v>2</v>
      </c>
      <c r="AP517" s="327">
        <v>2</v>
      </c>
      <c r="AQ517" s="327">
        <f t="shared" si="435"/>
        <v>3</v>
      </c>
      <c r="AR517" s="338"/>
      <c r="AS517" s="328">
        <f t="shared" si="444"/>
        <v>0</v>
      </c>
      <c r="AT517" s="328">
        <f t="shared" si="445"/>
        <v>0</v>
      </c>
      <c r="AU517" s="523">
        <v>2</v>
      </c>
      <c r="AV517" s="328"/>
      <c r="AW517" s="328"/>
      <c r="AX517" s="332">
        <v>2</v>
      </c>
      <c r="AY517" s="328" t="b">
        <f t="shared" si="438"/>
        <v>1</v>
      </c>
      <c r="AZ517" s="328" t="b">
        <f t="shared" si="448"/>
        <v>1</v>
      </c>
    </row>
    <row r="518" ht="27" customHeight="1" spans="1:52">
      <c r="A518" s="326" t="str">
        <f>INDEX('Rate Card'!$A:$A,MATCH(服务费底表!$T518,'Rate Card'!$F:$F,0))</f>
        <v>数统</v>
      </c>
      <c r="B518" s="327" t="str">
        <f>INDEX(二三级标准!$G:$G,MATCH(服务费底表!$K518,二三级标准!B:B,0))</f>
        <v>份</v>
      </c>
      <c r="C518" s="327">
        <f>INDEX(服务费明细!$E:$E,MATCH(服务费底表!$K518,服务费明细!$B:$B,0))</f>
        <v>0</v>
      </c>
      <c r="D518" s="327" t="str">
        <f t="shared" si="426"/>
        <v>A119ST</v>
      </c>
      <c r="E518" s="327" t="str">
        <f t="shared" si="427"/>
        <v>T0423ST</v>
      </c>
      <c r="F518" s="328"/>
      <c r="G518" s="328" t="s">
        <v>684</v>
      </c>
      <c r="H518" s="326" t="str">
        <f>INDEX('Rate Card'!$B:$B,MATCH(服务费底表!$T518,'Rate Card'!$F:$F,0))</f>
        <v>生物统计及分析</v>
      </c>
      <c r="I518" s="328" t="s">
        <v>924</v>
      </c>
      <c r="J518" s="328" t="str">
        <f>INDEX(二三级标准!$Q:$Q,MATCH(服务费底表!I518,二三级标准!$O:$O,0))</f>
        <v>生物统计及分析</v>
      </c>
      <c r="K518" s="328" t="s">
        <v>343</v>
      </c>
      <c r="L518" s="328" t="str">
        <f>INDEX(二三级标准!C:C,MATCH(服务费底表!K518,二三级标准!$B:$B,0))</f>
        <v>撰写统计分析报告(SAR)</v>
      </c>
      <c r="M518" s="328" t="s">
        <v>1553</v>
      </c>
      <c r="N518" s="328" t="str">
        <f>INDEX(二三级标准!$M:$M,MATCH(服务费底表!$M518,二三级标准!$L:$L,0))</f>
        <v>统计分析报告SAR的修订</v>
      </c>
      <c r="O518" s="328"/>
      <c r="P518" s="531">
        <f>IF(R518=1,INDEX(服务费明细!$E:$E,MATCH(服务费底表!$K518,服务费明细!$B:$B,0)),0)</f>
        <v>0</v>
      </c>
      <c r="Q518" s="328" t="s">
        <v>1176</v>
      </c>
      <c r="R518" s="520">
        <f>IF(AND(撰写统计分析报告_SAR_YN=1,生物统计YN=1),1,0)</f>
        <v>0</v>
      </c>
      <c r="S518" s="524" t="str">
        <f>INDEX('Rate Card'!$D:$D,MATCH(服务费底表!$T518,'Rate Card'!F:F,0))</f>
        <v>生物统计</v>
      </c>
      <c r="T518" s="328" t="s">
        <v>639</v>
      </c>
      <c r="U518" s="522" t="str">
        <f>INDEX('Rate Card'!$E:$E,MATCH(服务费底表!$T518,'Rate Card'!$F:$F,0))</f>
        <v>生物统计师</v>
      </c>
      <c r="V518" s="331">
        <f>INDEX('Rate Card'!$J:$J,MATCH($T518,'Rate Card'!$F:$F,0))</f>
        <v>400</v>
      </c>
      <c r="W518" s="523">
        <f t="shared" si="428"/>
        <v>400</v>
      </c>
      <c r="X518" s="523">
        <f t="shared" si="429"/>
        <v>6</v>
      </c>
      <c r="Y518" s="327" cm="1">
        <f t="array" ref="Y518">_xlfn.IFS(报价场景=服务费底表!$AJ$2,服务费底表!$AJ518,报价场景=服务费底表!$AP$2,服务费底表!$AP518,报价场景=服务费底表!$AK$2,服务费底表!$AK518,报价场景=服务费底表!$AL$2,服务费底表!$AL518,报价场景=服务费底表!$AM$2,服务费底表!$AM518,报价场景=服务费底表!$AN$2,服务费底表!$AN518,报价场景=服务费底表!$AQ$2,服务费底表!$AQ518,报价场景=服务费底表!$AO$2,服务费底表!$AO518)</f>
        <v>6</v>
      </c>
      <c r="Z518" s="327"/>
      <c r="AA518" s="332">
        <f t="shared" si="442"/>
        <v>6</v>
      </c>
      <c r="AB518" s="333">
        <f t="shared" si="431"/>
        <v>0</v>
      </c>
      <c r="AC518" s="328">
        <f t="shared" si="432"/>
        <v>0</v>
      </c>
      <c r="AD518" s="334">
        <f t="shared" si="449"/>
        <v>0</v>
      </c>
      <c r="AE518" s="334">
        <f>$AB518*(1-INDEX(项目参数!$D$5:$D$14,MATCH(服务费底表!$S518,项目参数!$B$5:$B$14,0)))</f>
        <v>0</v>
      </c>
      <c r="AF518" s="334">
        <f>$AD518*INDEX(项目参数!$D$5:$D$14,MATCH(服务费底表!$S518,项目参数!$B$5:$B$14,0))</f>
        <v>0</v>
      </c>
      <c r="AG518" s="334">
        <f t="shared" si="450"/>
        <v>0</v>
      </c>
      <c r="AH518" s="328"/>
      <c r="AI518" s="328" t="s">
        <v>639</v>
      </c>
      <c r="AJ518" s="327">
        <v>6</v>
      </c>
      <c r="AK518" s="327">
        <v>8</v>
      </c>
      <c r="AL518" s="327">
        <v>4</v>
      </c>
      <c r="AM518" s="327">
        <v>8</v>
      </c>
      <c r="AN518" s="327">
        <v>6</v>
      </c>
      <c r="AO518" s="327">
        <f t="shared" si="416"/>
        <v>4</v>
      </c>
      <c r="AP518" s="327">
        <v>6</v>
      </c>
      <c r="AQ518" s="327">
        <f t="shared" si="435"/>
        <v>9</v>
      </c>
      <c r="AR518" s="338"/>
      <c r="AS518" s="328">
        <f t="shared" si="444"/>
        <v>0</v>
      </c>
      <c r="AT518" s="328">
        <f t="shared" si="445"/>
        <v>0</v>
      </c>
      <c r="AU518" s="523">
        <v>6</v>
      </c>
      <c r="AV518" s="328"/>
      <c r="AW518" s="328"/>
      <c r="AX518" s="332">
        <v>6</v>
      </c>
      <c r="AY518" s="328" t="b">
        <f t="shared" si="438"/>
        <v>1</v>
      </c>
      <c r="AZ518" s="328" t="b">
        <f t="shared" si="448"/>
        <v>0</v>
      </c>
    </row>
    <row r="519" ht="27" customHeight="1" spans="1:52">
      <c r="A519" s="326" t="str">
        <f>INDEX('Rate Card'!$A:$A,MATCH(服务费底表!$T519,'Rate Card'!$F:$F,0))</f>
        <v>数统</v>
      </c>
      <c r="B519" s="327" t="str">
        <f>INDEX(二三级标准!$G:$G,MATCH(服务费底表!$K519,二三级标准!B:B,0))</f>
        <v>条</v>
      </c>
      <c r="C519" s="327">
        <f>INDEX(服务费明细!$E:$E,MATCH(服务费底表!$K519,服务费明细!$B:$B,0))</f>
        <v>0</v>
      </c>
      <c r="D519" s="327" t="str">
        <f t="shared" ref="D519:D526" si="451">K519&amp;T519</f>
        <v>A264SA</v>
      </c>
      <c r="E519" s="327" t="str">
        <f t="shared" ref="E519:E526" si="452">M519&amp;T519</f>
        <v>T0763SA</v>
      </c>
      <c r="F519" s="328"/>
      <c r="G519" s="328" t="s">
        <v>684</v>
      </c>
      <c r="H519" s="326" t="str">
        <f>INDEX('Rate Card'!$B:$B,MATCH(服务费底表!$T519,'Rate Card'!$F:$F,0))</f>
        <v>生物统计及分析</v>
      </c>
      <c r="I519" s="328" t="s">
        <v>924</v>
      </c>
      <c r="J519" s="328" t="str">
        <f>INDEX(二三级标准!$Q:$Q,MATCH(服务费底表!I519,二三级标准!$O:$O,0))</f>
        <v>生物统计及分析</v>
      </c>
      <c r="K519" s="328" t="s">
        <v>1081</v>
      </c>
      <c r="L519" s="328" t="str">
        <f>INDEX(二三级标准!C:C,MATCH(服务费底表!K519,二三级标准!$B:$B,0))</f>
        <v>方案偏离列表编程</v>
      </c>
      <c r="M519" s="328" t="s">
        <v>1554</v>
      </c>
      <c r="N519" s="328" t="str">
        <f>INDEX(二三级标准!$M:$M,MATCH(服务费底表!$M519,二三级标准!$L:$L,0))</f>
        <v>编写方案偏离列表编程说明</v>
      </c>
      <c r="O519" s="328"/>
      <c r="P519" s="531">
        <f>IF(R519=1,INDEX(服务费明细!$E:$E,MATCH(服务费底表!$K519,服务费明细!$B:$B,0)),0)</f>
        <v>0</v>
      </c>
      <c r="Q519" s="328" t="s">
        <v>1380</v>
      </c>
      <c r="R519" s="520">
        <f>IF(AND(产生方案偏离列表=1,统计分析YN=1),1,0)</f>
        <v>0</v>
      </c>
      <c r="S519" s="524" t="str">
        <f>INDEX('Rate Card'!$D:$D,MATCH(服务费底表!$T519,'Rate Card'!F:F,0))</f>
        <v>统计分析</v>
      </c>
      <c r="T519" s="328" t="s">
        <v>635</v>
      </c>
      <c r="U519" s="522" t="str">
        <f>INDEX('Rate Card'!$E:$E,MATCH(服务费底表!$T519,'Rate Card'!$F:$F,0))</f>
        <v>统计分析师</v>
      </c>
      <c r="V519" s="331">
        <f>INDEX('Rate Card'!$J:$J,MATCH($T519,'Rate Card'!$F:$F,0))</f>
        <v>225</v>
      </c>
      <c r="W519" s="523">
        <f t="shared" si="428"/>
        <v>225</v>
      </c>
      <c r="X519" s="523">
        <f t="shared" si="429"/>
        <v>0.2</v>
      </c>
      <c r="Y519" s="327" cm="1">
        <f t="array" ref="Y519">_xlfn.IFS(报价场景=服务费底表!$AJ$2,服务费底表!$AJ519,报价场景=服务费底表!$AP$2,服务费底表!$AP519,报价场景=服务费底表!$AK$2,服务费底表!$AK519,报价场景=服务费底表!$AL$2,服务费底表!$AL519,报价场景=服务费底表!$AM$2,服务费底表!$AM519,报价场景=服务费底表!$AN$2,服务费底表!$AN519,报价场景=服务费底表!$AQ$2,服务费底表!$AQ519,报价场景=服务费底表!$AO$2,服务费底表!$AO519)</f>
        <v>0.2</v>
      </c>
      <c r="Z519" s="327"/>
      <c r="AA519" s="332">
        <f t="shared" ref="AA519:AA526" si="453">IF(ISBLANK($Z519),$Y519,$Z519)</f>
        <v>0.2</v>
      </c>
      <c r="AB519" s="333">
        <f t="shared" ref="AB519:AB526" si="454">IFERROR(AD519/P519,0)</f>
        <v>0</v>
      </c>
      <c r="AC519" s="328">
        <f t="shared" ref="AC519:AC526" si="455">AA519*P519*R519</f>
        <v>0</v>
      </c>
      <c r="AD519" s="334">
        <f t="shared" ref="AD519:AD526" si="456">AC519*V519</f>
        <v>0</v>
      </c>
      <c r="AE519" s="334">
        <f>$AB519*(1-INDEX(项目参数!$D$5:$D$14,MATCH(服务费底表!$S519,项目参数!$B$5:$B$14,0)))</f>
        <v>0</v>
      </c>
      <c r="AF519" s="334">
        <f>$AD519*INDEX(项目参数!$D$5:$D$14,MATCH(服务费底表!$S519,项目参数!$B$5:$B$14,0))</f>
        <v>0</v>
      </c>
      <c r="AG519" s="334">
        <f t="shared" ref="AG519:AG526" si="457">AD519-AF519</f>
        <v>0</v>
      </c>
      <c r="AH519" s="328"/>
      <c r="AI519" s="328" t="s">
        <v>635</v>
      </c>
      <c r="AJ519" s="327">
        <v>0.2</v>
      </c>
      <c r="AK519" s="327">
        <v>0.2</v>
      </c>
      <c r="AL519" s="327">
        <v>0.2</v>
      </c>
      <c r="AM519" s="327">
        <v>0.2</v>
      </c>
      <c r="AN519" s="327">
        <v>0.2</v>
      </c>
      <c r="AO519" s="327">
        <f t="shared" si="416"/>
        <v>0.2</v>
      </c>
      <c r="AP519" s="327">
        <v>0.2</v>
      </c>
      <c r="AQ519" s="327">
        <f t="shared" si="435"/>
        <v>0.3</v>
      </c>
      <c r="AR519" s="338"/>
      <c r="AS519" s="328">
        <f t="shared" ref="AS519:AS526" si="458">AC519</f>
        <v>0</v>
      </c>
      <c r="AT519" s="328">
        <f t="shared" ref="AT519:AT526" si="459">Y519*P519</f>
        <v>0</v>
      </c>
      <c r="AU519" s="523">
        <v>0.2</v>
      </c>
      <c r="AV519" s="328"/>
      <c r="AW519" s="328"/>
      <c r="AX519" s="332">
        <v>0.2</v>
      </c>
      <c r="AY519" s="328" t="b">
        <f t="shared" ref="AY519:AY526" si="460">IF(AX519=AJ519,TRUE,FALSE)</f>
        <v>1</v>
      </c>
      <c r="AZ519" s="328" t="b">
        <f t="shared" si="448"/>
        <v>1</v>
      </c>
    </row>
    <row r="520" ht="27" customHeight="1" spans="1:52">
      <c r="A520" s="326" t="str">
        <f>INDEX('Rate Card'!$A:$A,MATCH(服务费底表!$T520,'Rate Card'!$F:$F,0))</f>
        <v>数统</v>
      </c>
      <c r="B520" s="327" t="str">
        <f>INDEX(二三级标准!$G:$G,MATCH(服务费底表!$K520,二三级标准!B:B,0))</f>
        <v>条</v>
      </c>
      <c r="C520" s="327">
        <f>INDEX(服务费明细!$E:$E,MATCH(服务费底表!$K520,服务费明细!$B:$B,0))</f>
        <v>0</v>
      </c>
      <c r="D520" s="327" t="str">
        <f t="shared" si="451"/>
        <v>A264SAM</v>
      </c>
      <c r="E520" s="327" t="str">
        <f t="shared" si="452"/>
        <v>T0764SAM</v>
      </c>
      <c r="F520" s="328"/>
      <c r="G520" s="328" t="s">
        <v>684</v>
      </c>
      <c r="H520" s="326" t="str">
        <f>INDEX('Rate Card'!$B:$B,MATCH(服务费底表!$T520,'Rate Card'!$F:$F,0))</f>
        <v>生物统计及分析</v>
      </c>
      <c r="I520" s="328" t="s">
        <v>924</v>
      </c>
      <c r="J520" s="328" t="str">
        <f>INDEX(二三级标准!$Q:$Q,MATCH(服务费底表!I520,二三级标准!$O:$O,0))</f>
        <v>生物统计及分析</v>
      </c>
      <c r="K520" s="328" t="s">
        <v>1081</v>
      </c>
      <c r="L520" s="328" t="str">
        <f>INDEX(二三级标准!C:C,MATCH(服务费底表!K520,二三级标准!$B:$B,0))</f>
        <v>方案偏离列表编程</v>
      </c>
      <c r="M520" s="328" t="s">
        <v>1555</v>
      </c>
      <c r="N520" s="328" t="str">
        <f>INDEX(二三级标准!$M:$M,MATCH(服务费底表!$M520,二三级标准!$L:$L,0))</f>
        <v>审核方案偏离列表编程说明</v>
      </c>
      <c r="O520" s="328"/>
      <c r="P520" s="531">
        <f>IF(R520=1,INDEX(服务费明细!$E:$E,MATCH(服务费底表!$K520,服务费明细!$B:$B,0)),0)</f>
        <v>0</v>
      </c>
      <c r="Q520" s="328" t="s">
        <v>1380</v>
      </c>
      <c r="R520" s="520">
        <f>IF(AND(产生方案偏离列表=1,统计分析YN=1),1,0)</f>
        <v>0</v>
      </c>
      <c r="S520" s="524" t="str">
        <f>INDEX('Rate Card'!$D:$D,MATCH(服务费底表!$T520,'Rate Card'!F:F,0))</f>
        <v>统计分析</v>
      </c>
      <c r="T520" s="328" t="s">
        <v>638</v>
      </c>
      <c r="U520" s="522" t="str">
        <f>INDEX('Rate Card'!$E:$E,MATCH(服务费底表!$T520,'Rate Card'!$F:$F,0))</f>
        <v>统计分析经理</v>
      </c>
      <c r="V520" s="331">
        <f>INDEX('Rate Card'!$J:$J,MATCH($T520,'Rate Card'!$F:$F,0))</f>
        <v>450</v>
      </c>
      <c r="W520" s="523">
        <f t="shared" si="428"/>
        <v>450</v>
      </c>
      <c r="X520" s="523">
        <f t="shared" si="429"/>
        <v>0.1</v>
      </c>
      <c r="Y520" s="327" cm="1">
        <f t="array" ref="Y520">_xlfn.IFS(报价场景=服务费底表!$AJ$2,服务费底表!$AJ520,报价场景=服务费底表!$AP$2,服务费底表!$AP520,报价场景=服务费底表!$AK$2,服务费底表!$AK520,报价场景=服务费底表!$AL$2,服务费底表!$AL520,报价场景=服务费底表!$AM$2,服务费底表!$AM520,报价场景=服务费底表!$AN$2,服务费底表!$AN520,报价场景=服务费底表!$AQ$2,服务费底表!$AQ520,报价场景=服务费底表!$AO$2,服务费底表!$AO520)</f>
        <v>0.1</v>
      </c>
      <c r="Z520" s="327"/>
      <c r="AA520" s="332">
        <f t="shared" si="453"/>
        <v>0.1</v>
      </c>
      <c r="AB520" s="333">
        <f t="shared" si="454"/>
        <v>0</v>
      </c>
      <c r="AC520" s="328">
        <f t="shared" si="455"/>
        <v>0</v>
      </c>
      <c r="AD520" s="334">
        <f t="shared" si="456"/>
        <v>0</v>
      </c>
      <c r="AE520" s="334">
        <f>$AB520*(1-INDEX(项目参数!$D$5:$D$14,MATCH(服务费底表!$S520,项目参数!$B$5:$B$14,0)))</f>
        <v>0</v>
      </c>
      <c r="AF520" s="334">
        <f>$AD520*INDEX(项目参数!$D$5:$D$14,MATCH(服务费底表!$S520,项目参数!$B$5:$B$14,0))</f>
        <v>0</v>
      </c>
      <c r="AG520" s="334">
        <f t="shared" si="457"/>
        <v>0</v>
      </c>
      <c r="AH520" s="328"/>
      <c r="AI520" s="328" t="s">
        <v>638</v>
      </c>
      <c r="AJ520" s="327">
        <v>0.1</v>
      </c>
      <c r="AK520" s="327">
        <v>0.1</v>
      </c>
      <c r="AL520" s="327">
        <v>0.1</v>
      </c>
      <c r="AM520" s="327">
        <v>0.1</v>
      </c>
      <c r="AN520" s="327">
        <v>0.1</v>
      </c>
      <c r="AO520" s="327">
        <f t="shared" si="416"/>
        <v>0.1</v>
      </c>
      <c r="AP520" s="327">
        <v>0.1</v>
      </c>
      <c r="AQ520" s="327">
        <f t="shared" si="435"/>
        <v>0.15</v>
      </c>
      <c r="AR520" s="338"/>
      <c r="AS520" s="328">
        <f t="shared" si="458"/>
        <v>0</v>
      </c>
      <c r="AT520" s="328">
        <f t="shared" si="459"/>
        <v>0</v>
      </c>
      <c r="AU520" s="523">
        <v>0.1</v>
      </c>
      <c r="AV520" s="328"/>
      <c r="AW520" s="328"/>
      <c r="AX520" s="332">
        <v>0.1</v>
      </c>
      <c r="AY520" s="328" t="b">
        <f t="shared" si="460"/>
        <v>1</v>
      </c>
      <c r="AZ520" s="328" t="b">
        <f t="shared" si="448"/>
        <v>1</v>
      </c>
    </row>
    <row r="521" ht="27" customHeight="1" spans="1:52">
      <c r="A521" s="326" t="str">
        <f>INDEX('Rate Card'!$A:$A,MATCH(服务费底表!$T521,'Rate Card'!$F:$F,0))</f>
        <v>数统</v>
      </c>
      <c r="B521" s="327" t="str">
        <f>INDEX(二三级标准!$G:$G,MATCH(服务费底表!$K521,二三级标准!B:B,0))</f>
        <v>条</v>
      </c>
      <c r="C521" s="327">
        <f>INDEX(服务费明细!$E:$E,MATCH(服务费底表!$K521,服务费明细!$B:$B,0))</f>
        <v>0</v>
      </c>
      <c r="D521" s="327" t="str">
        <f t="shared" si="451"/>
        <v>A264SA</v>
      </c>
      <c r="E521" s="327" t="str">
        <f t="shared" si="452"/>
        <v>T0765SA</v>
      </c>
      <c r="F521" s="328"/>
      <c r="G521" s="328" t="s">
        <v>684</v>
      </c>
      <c r="H521" s="326" t="str">
        <f>INDEX('Rate Card'!$B:$B,MATCH(服务费底表!$T521,'Rate Card'!$F:$F,0))</f>
        <v>生物统计及分析</v>
      </c>
      <c r="I521" s="328" t="s">
        <v>924</v>
      </c>
      <c r="J521" s="328" t="str">
        <f>INDEX(二三级标准!$Q:$Q,MATCH(服务费底表!I521,二三级标准!$O:$O,0))</f>
        <v>生物统计及分析</v>
      </c>
      <c r="K521" s="328" t="s">
        <v>1081</v>
      </c>
      <c r="L521" s="328" t="str">
        <f>INDEX(二三级标准!C:C,MATCH(服务费底表!K521,二三级标准!$B:$B,0))</f>
        <v>方案偏离列表编程</v>
      </c>
      <c r="M521" s="328" t="s">
        <v>1556</v>
      </c>
      <c r="N521" s="328" t="str">
        <f>INDEX(二三级标准!$M:$M,MATCH(服务费底表!$M521,二三级标准!$L:$L,0))</f>
        <v>产生方案偏离列表</v>
      </c>
      <c r="O521" s="328"/>
      <c r="P521" s="531">
        <f>IF(R521=1,INDEX(服务费明细!$E:$E,MATCH(服务费底表!$K521,服务费明细!$B:$B,0)),0)</f>
        <v>0</v>
      </c>
      <c r="Q521" s="328" t="s">
        <v>1380</v>
      </c>
      <c r="R521" s="520">
        <f>IF(AND(产生方案偏离列表=1,统计分析YN=1),1,0)</f>
        <v>0</v>
      </c>
      <c r="S521" s="524" t="str">
        <f>INDEX('Rate Card'!$D:$D,MATCH(服务费底表!$T521,'Rate Card'!F:F,0))</f>
        <v>统计分析</v>
      </c>
      <c r="T521" s="328" t="s">
        <v>635</v>
      </c>
      <c r="U521" s="522" t="str">
        <f>INDEX('Rate Card'!$E:$E,MATCH(服务费底表!$T521,'Rate Card'!$F:$F,0))</f>
        <v>统计分析师</v>
      </c>
      <c r="V521" s="331">
        <f>INDEX('Rate Card'!$J:$J,MATCH($T521,'Rate Card'!$F:$F,0))</f>
        <v>225</v>
      </c>
      <c r="W521" s="523">
        <f t="shared" si="428"/>
        <v>225</v>
      </c>
      <c r="X521" s="523">
        <f t="shared" si="429"/>
        <v>0.5</v>
      </c>
      <c r="Y521" s="327" cm="1">
        <f t="array" ref="Y521">_xlfn.IFS(报价场景=服务费底表!$AJ$2,服务费底表!$AJ521,报价场景=服务费底表!$AP$2,服务费底表!$AP521,报价场景=服务费底表!$AK$2,服务费底表!$AK521,报价场景=服务费底表!$AL$2,服务费底表!$AL521,报价场景=服务费底表!$AM$2,服务费底表!$AM521,报价场景=服务费底表!$AN$2,服务费底表!$AN521,报价场景=服务费底表!$AQ$2,服务费底表!$AQ521,报价场景=服务费底表!$AO$2,服务费底表!$AO521)</f>
        <v>0.5</v>
      </c>
      <c r="Z521" s="327"/>
      <c r="AA521" s="332">
        <f t="shared" si="453"/>
        <v>0.5</v>
      </c>
      <c r="AB521" s="333">
        <f t="shared" si="454"/>
        <v>0</v>
      </c>
      <c r="AC521" s="328">
        <f t="shared" si="455"/>
        <v>0</v>
      </c>
      <c r="AD521" s="334">
        <f t="shared" si="456"/>
        <v>0</v>
      </c>
      <c r="AE521" s="334">
        <f>$AB521*(1-INDEX(项目参数!$D$5:$D$14,MATCH(服务费底表!$S521,项目参数!$B$5:$B$14,0)))</f>
        <v>0</v>
      </c>
      <c r="AF521" s="334">
        <f>$AD521*INDEX(项目参数!$D$5:$D$14,MATCH(服务费底表!$S521,项目参数!$B$5:$B$14,0))</f>
        <v>0</v>
      </c>
      <c r="AG521" s="334">
        <f t="shared" si="457"/>
        <v>0</v>
      </c>
      <c r="AH521" s="328"/>
      <c r="AI521" s="328" t="s">
        <v>635</v>
      </c>
      <c r="AJ521" s="327">
        <v>0.5</v>
      </c>
      <c r="AK521" s="327">
        <v>0.5</v>
      </c>
      <c r="AL521" s="327">
        <v>0.5</v>
      </c>
      <c r="AM521" s="327">
        <v>0.5</v>
      </c>
      <c r="AN521" s="327">
        <v>0.5</v>
      </c>
      <c r="AO521" s="327">
        <f t="shared" si="416"/>
        <v>0.5</v>
      </c>
      <c r="AP521" s="327">
        <v>0.5</v>
      </c>
      <c r="AQ521" s="327">
        <f t="shared" si="435"/>
        <v>0.75</v>
      </c>
      <c r="AR521" s="338"/>
      <c r="AS521" s="328">
        <f t="shared" si="458"/>
        <v>0</v>
      </c>
      <c r="AT521" s="328">
        <f t="shared" si="459"/>
        <v>0</v>
      </c>
      <c r="AU521" s="523">
        <v>0.5</v>
      </c>
      <c r="AV521" s="328"/>
      <c r="AW521" s="328"/>
      <c r="AX521" s="332">
        <v>0.5</v>
      </c>
      <c r="AY521" s="328" t="b">
        <f t="shared" si="460"/>
        <v>1</v>
      </c>
      <c r="AZ521" s="328" t="b">
        <f t="shared" si="448"/>
        <v>1</v>
      </c>
    </row>
    <row r="522" ht="27" customHeight="1" spans="1:52">
      <c r="A522" s="326" t="str">
        <f>INDEX('Rate Card'!$A:$A,MATCH(服务费底表!$T522,'Rate Card'!$F:$F,0))</f>
        <v>数统</v>
      </c>
      <c r="B522" s="327" t="str">
        <f>INDEX(二三级标准!$G:$G,MATCH(服务费底表!$K522,二三级标准!B:B,0))</f>
        <v>条</v>
      </c>
      <c r="C522" s="327">
        <f>INDEX(服务费明细!$E:$E,MATCH(服务费底表!$K522,服务费明细!$B:$B,0))</f>
        <v>0</v>
      </c>
      <c r="D522" s="327" t="str">
        <f t="shared" si="451"/>
        <v>A264SA</v>
      </c>
      <c r="E522" s="327" t="str">
        <f t="shared" si="452"/>
        <v>T0766SA</v>
      </c>
      <c r="F522" s="328"/>
      <c r="G522" s="328" t="s">
        <v>684</v>
      </c>
      <c r="H522" s="326" t="str">
        <f>INDEX('Rate Card'!$B:$B,MATCH(服务费底表!$T522,'Rate Card'!$F:$F,0))</f>
        <v>生物统计及分析</v>
      </c>
      <c r="I522" s="328" t="s">
        <v>924</v>
      </c>
      <c r="J522" s="328" t="str">
        <f>INDEX(二三级标准!$Q:$Q,MATCH(服务费底表!I522,二三级标准!$O:$O,0))</f>
        <v>生物统计及分析</v>
      </c>
      <c r="K522" s="328" t="s">
        <v>1081</v>
      </c>
      <c r="L522" s="328" t="str">
        <f>INDEX(二三级标准!C:C,MATCH(服务费底表!K522,二三级标准!$B:$B,0))</f>
        <v>方案偏离列表编程</v>
      </c>
      <c r="M522" s="328" t="s">
        <v>1557</v>
      </c>
      <c r="N522" s="328" t="str">
        <f>INDEX(二三级标准!$M:$M,MATCH(服务费底表!$M522,二三级标准!$L:$L,0))</f>
        <v>验证方案偏离列表</v>
      </c>
      <c r="O522" s="328"/>
      <c r="P522" s="531">
        <f>IF(R522=1,INDEX(服务费明细!$E:$E,MATCH(服务费底表!$K522,服务费明细!$B:$B,0)),0)</f>
        <v>0</v>
      </c>
      <c r="Q522" s="328" t="s">
        <v>1380</v>
      </c>
      <c r="R522" s="520">
        <f>IF(AND(产生方案偏离列表=1,统计分析YN=1),1,0)</f>
        <v>0</v>
      </c>
      <c r="S522" s="524" t="str">
        <f>INDEX('Rate Card'!$D:$D,MATCH(服务费底表!$T522,'Rate Card'!F:F,0))</f>
        <v>统计分析</v>
      </c>
      <c r="T522" s="328" t="s">
        <v>635</v>
      </c>
      <c r="U522" s="522" t="str">
        <f>INDEX('Rate Card'!$E:$E,MATCH(服务费底表!$T522,'Rate Card'!$F:$F,0))</f>
        <v>统计分析师</v>
      </c>
      <c r="V522" s="331">
        <f>INDEX('Rate Card'!$J:$J,MATCH($T522,'Rate Card'!$F:$F,0))</f>
        <v>225</v>
      </c>
      <c r="W522" s="523">
        <f t="shared" si="428"/>
        <v>225</v>
      </c>
      <c r="X522" s="523">
        <f t="shared" si="429"/>
        <v>0.5</v>
      </c>
      <c r="Y522" s="327" cm="1">
        <f t="array" ref="Y522">_xlfn.IFS(报价场景=服务费底表!$AJ$2,服务费底表!$AJ522,报价场景=服务费底表!$AP$2,服务费底表!$AP522,报价场景=服务费底表!$AK$2,服务费底表!$AK522,报价场景=服务费底表!$AL$2,服务费底表!$AL522,报价场景=服务费底表!$AM$2,服务费底表!$AM522,报价场景=服务费底表!$AN$2,服务费底表!$AN522,报价场景=服务费底表!$AQ$2,服务费底表!$AQ522,报价场景=服务费底表!$AO$2,服务费底表!$AO522)</f>
        <v>0.5</v>
      </c>
      <c r="Z522" s="327"/>
      <c r="AA522" s="332">
        <f t="shared" si="453"/>
        <v>0.5</v>
      </c>
      <c r="AB522" s="333">
        <f t="shared" si="454"/>
        <v>0</v>
      </c>
      <c r="AC522" s="328">
        <f t="shared" si="455"/>
        <v>0</v>
      </c>
      <c r="AD522" s="334">
        <f t="shared" si="456"/>
        <v>0</v>
      </c>
      <c r="AE522" s="334">
        <f>$AB522*(1-INDEX(项目参数!$D$5:$D$14,MATCH(服务费底表!$S522,项目参数!$B$5:$B$14,0)))</f>
        <v>0</v>
      </c>
      <c r="AF522" s="334">
        <f>$AD522*INDEX(项目参数!$D$5:$D$14,MATCH(服务费底表!$S522,项目参数!$B$5:$B$14,0))</f>
        <v>0</v>
      </c>
      <c r="AG522" s="334">
        <f t="shared" si="457"/>
        <v>0</v>
      </c>
      <c r="AH522" s="328"/>
      <c r="AI522" s="328" t="s">
        <v>635</v>
      </c>
      <c r="AJ522" s="327">
        <v>0.5</v>
      </c>
      <c r="AK522" s="327">
        <v>0.5</v>
      </c>
      <c r="AL522" s="327">
        <v>0.5</v>
      </c>
      <c r="AM522" s="327">
        <v>0.5</v>
      </c>
      <c r="AN522" s="327">
        <v>0.5</v>
      </c>
      <c r="AO522" s="327">
        <f t="shared" ref="AO522:AO585" si="461">AL522</f>
        <v>0.5</v>
      </c>
      <c r="AP522" s="327">
        <v>0.5</v>
      </c>
      <c r="AQ522" s="327">
        <f t="shared" si="435"/>
        <v>0.75</v>
      </c>
      <c r="AR522" s="338"/>
      <c r="AS522" s="328">
        <f t="shared" si="458"/>
        <v>0</v>
      </c>
      <c r="AT522" s="328">
        <f t="shared" si="459"/>
        <v>0</v>
      </c>
      <c r="AU522" s="523">
        <v>0.5</v>
      </c>
      <c r="AV522" s="328"/>
      <c r="AW522" s="328"/>
      <c r="AX522" s="332">
        <v>0.5</v>
      </c>
      <c r="AY522" s="328" t="b">
        <f t="shared" si="460"/>
        <v>1</v>
      </c>
      <c r="AZ522" s="328" t="b">
        <f t="shared" si="448"/>
        <v>1</v>
      </c>
    </row>
    <row r="523" ht="27" customHeight="1" spans="1:52">
      <c r="A523" s="326" t="str">
        <f>INDEX('Rate Card'!$A:$A,MATCH(服务费底表!$T523,'Rate Card'!$F:$F,0))</f>
        <v>数统</v>
      </c>
      <c r="B523" s="327" t="str">
        <f>INDEX(二三级标准!$G:$G,MATCH(服务费底表!$K523,二三级标准!B:B,0))</f>
        <v>次</v>
      </c>
      <c r="C523" s="327">
        <f>INDEX(服务费明细!$E:$E,MATCH(服务费底表!$K523,服务费明细!$B:$B,0))</f>
        <v>0</v>
      </c>
      <c r="D523" s="327" t="str">
        <f t="shared" si="451"/>
        <v>A265SA</v>
      </c>
      <c r="E523" s="327" t="str">
        <f t="shared" si="452"/>
        <v>T0767SA</v>
      </c>
      <c r="F523" s="328"/>
      <c r="G523" s="328" t="s">
        <v>684</v>
      </c>
      <c r="H523" s="326" t="str">
        <f>INDEX('Rate Card'!$B:$B,MATCH(服务费底表!$T523,'Rate Card'!$F:$F,0))</f>
        <v>生物统计及分析</v>
      </c>
      <c r="I523" s="328" t="s">
        <v>924</v>
      </c>
      <c r="J523" s="328" t="str">
        <f>INDEX(二三级标准!$Q:$Q,MATCH(服务费底表!I523,二三级标准!$O:$O,0))</f>
        <v>生物统计及分析</v>
      </c>
      <c r="K523" s="328" t="s">
        <v>1082</v>
      </c>
      <c r="L523" s="328" t="str">
        <f>INDEX(二三级标准!C:C,MATCH(服务费底表!K523,二三级标准!$B:$B,0))</f>
        <v>方案偏离列表运行</v>
      </c>
      <c r="M523" s="328" t="s">
        <v>1558</v>
      </c>
      <c r="N523" s="328" t="str">
        <f>INDEX(二三级标准!$M:$M,MATCH(服务费底表!$M523,二三级标准!$L:$L,0))</f>
        <v>运行方案偏离列表</v>
      </c>
      <c r="O523" s="328"/>
      <c r="P523" s="531">
        <f>IF(R523=1,INDEX(服务费明细!$E:$E,MATCH(服务费底表!$K523,服务费明细!$B:$B,0)),0)</f>
        <v>0</v>
      </c>
      <c r="Q523" s="328" t="s">
        <v>1178</v>
      </c>
      <c r="R523" s="520">
        <f>IF(AND(方案偏离列表运行YN=1,统计分析YN=1),1,0)</f>
        <v>0</v>
      </c>
      <c r="S523" s="524" t="str">
        <f>INDEX('Rate Card'!$D:$D,MATCH(服务费底表!$T523,'Rate Card'!F:F,0))</f>
        <v>统计分析</v>
      </c>
      <c r="T523" s="328" t="s">
        <v>635</v>
      </c>
      <c r="U523" s="522" t="str">
        <f>INDEX('Rate Card'!$E:$E,MATCH(服务费底表!$T523,'Rate Card'!$F:$F,0))</f>
        <v>统计分析师</v>
      </c>
      <c r="V523" s="331">
        <f>INDEX('Rate Card'!$J:$J,MATCH($T523,'Rate Card'!$F:$F,0))</f>
        <v>225</v>
      </c>
      <c r="W523" s="523">
        <f t="shared" si="428"/>
        <v>225</v>
      </c>
      <c r="X523" s="523">
        <f t="shared" si="429"/>
        <v>6</v>
      </c>
      <c r="Y523" s="327" cm="1">
        <f t="array" ref="Y523">_xlfn.IFS(报价场景=服务费底表!$AJ$2,服务费底表!$AJ523,报价场景=服务费底表!$AP$2,服务费底表!$AP523,报价场景=服务费底表!$AK$2,服务费底表!$AK523,报价场景=服务费底表!$AL$2,服务费底表!$AL523,报价场景=服务费底表!$AM$2,服务费底表!$AM523,报价场景=服务费底表!$AN$2,服务费底表!$AN523,报价场景=服务费底表!$AQ$2,服务费底表!$AQ523,报价场景=服务费底表!$AO$2,服务费底表!$AO523)</f>
        <v>6</v>
      </c>
      <c r="Z523" s="327"/>
      <c r="AA523" s="332">
        <f t="shared" si="453"/>
        <v>6</v>
      </c>
      <c r="AB523" s="333">
        <f t="shared" si="454"/>
        <v>0</v>
      </c>
      <c r="AC523" s="328">
        <f t="shared" si="455"/>
        <v>0</v>
      </c>
      <c r="AD523" s="334">
        <f t="shared" si="456"/>
        <v>0</v>
      </c>
      <c r="AE523" s="334">
        <f>$AB523*(1-INDEX(项目参数!$D$5:$D$14,MATCH(服务费底表!$S523,项目参数!$B$5:$B$14,0)))</f>
        <v>0</v>
      </c>
      <c r="AF523" s="334">
        <f>$AD523*INDEX(项目参数!$D$5:$D$14,MATCH(服务费底表!$S523,项目参数!$B$5:$B$14,0))</f>
        <v>0</v>
      </c>
      <c r="AG523" s="334">
        <f t="shared" si="457"/>
        <v>0</v>
      </c>
      <c r="AH523" s="328"/>
      <c r="AI523" s="328" t="s">
        <v>635</v>
      </c>
      <c r="AJ523" s="327">
        <v>6</v>
      </c>
      <c r="AK523" s="327">
        <v>6</v>
      </c>
      <c r="AL523" s="327">
        <v>6</v>
      </c>
      <c r="AM523" s="327">
        <v>6</v>
      </c>
      <c r="AN523" s="327">
        <v>6</v>
      </c>
      <c r="AO523" s="327">
        <f t="shared" si="461"/>
        <v>6</v>
      </c>
      <c r="AP523" s="327">
        <v>6</v>
      </c>
      <c r="AQ523" s="327">
        <f t="shared" si="435"/>
        <v>9</v>
      </c>
      <c r="AR523" s="338"/>
      <c r="AS523" s="328">
        <f t="shared" si="458"/>
        <v>0</v>
      </c>
      <c r="AT523" s="328">
        <f t="shared" si="459"/>
        <v>0</v>
      </c>
      <c r="AU523" s="523">
        <v>6</v>
      </c>
      <c r="AV523" s="328"/>
      <c r="AW523" s="328"/>
      <c r="AX523" s="332">
        <v>6</v>
      </c>
      <c r="AY523" s="328" t="b">
        <f t="shared" si="460"/>
        <v>1</v>
      </c>
      <c r="AZ523" s="328" t="b">
        <f t="shared" si="448"/>
        <v>0</v>
      </c>
    </row>
    <row r="524" ht="27" customHeight="1" spans="1:52">
      <c r="A524" s="326" t="str">
        <f>INDEX('Rate Card'!$A:$A,MATCH(服务费底表!$T524,'Rate Card'!$F:$F,0))</f>
        <v>数统</v>
      </c>
      <c r="B524" s="327" t="str">
        <f>INDEX(二三级标准!$G:$G,MATCH(服务费底表!$K524,二三级标准!B:B,0))</f>
        <v>月</v>
      </c>
      <c r="C524" s="327">
        <f>INDEX(服务费明细!$E:$E,MATCH(服务费底表!$K524,服务费明细!$B:$B,0))</f>
        <v>15</v>
      </c>
      <c r="D524" s="327" t="str">
        <f t="shared" si="451"/>
        <v>A120ST</v>
      </c>
      <c r="E524" s="327" t="str">
        <f t="shared" si="452"/>
        <v>T0424ST</v>
      </c>
      <c r="F524" s="328"/>
      <c r="G524" s="328" t="s">
        <v>684</v>
      </c>
      <c r="H524" s="326" t="str">
        <f>INDEX('Rate Card'!$B:$B,MATCH(服务费底表!$T524,'Rate Card'!$F:$F,0))</f>
        <v>生物统计及分析</v>
      </c>
      <c r="I524" s="328" t="s">
        <v>924</v>
      </c>
      <c r="J524" s="328" t="str">
        <f>INDEX(二三级标准!$Q:$Q,MATCH(服务费底表!I524,二三级标准!$O:$O,0))</f>
        <v>生物统计及分析</v>
      </c>
      <c r="K524" s="328" t="s">
        <v>345</v>
      </c>
      <c r="L524" s="328" t="str">
        <f>INDEX(二三级标准!C:C,MATCH(服务费底表!K524,二三级标准!$B:$B,0))</f>
        <v>生物统计及分析项目管理</v>
      </c>
      <c r="M524" s="328" t="s">
        <v>1559</v>
      </c>
      <c r="N524" s="328" t="str">
        <f>INDEX(二三级标准!$M:$M,MATCH(服务费底表!$M524,二三级标准!$L:$L,0))</f>
        <v>生物统计的项目管理</v>
      </c>
      <c r="O524" s="328"/>
      <c r="P524" s="531">
        <f>IF(R524=1,INDEX(服务费明细!$E:$E,MATCH(服务费底表!$K524,服务费明细!$B:$B,0)),0)</f>
        <v>15</v>
      </c>
      <c r="Q524" s="328" t="s">
        <v>1220</v>
      </c>
      <c r="R524" s="520">
        <f>IF(AND(生物统计及分析项目管理YN=1,生物统计YN=1),1,0)</f>
        <v>1</v>
      </c>
      <c r="S524" s="524" t="str">
        <f>INDEX('Rate Card'!$D:$D,MATCH(服务费底表!$T524,'Rate Card'!F:F,0))</f>
        <v>生物统计</v>
      </c>
      <c r="T524" s="328" t="s">
        <v>639</v>
      </c>
      <c r="U524" s="522" t="str">
        <f>INDEX('Rate Card'!$E:$E,MATCH(服务费底表!$T524,'Rate Card'!$F:$F,0))</f>
        <v>生物统计师</v>
      </c>
      <c r="V524" s="331">
        <f>INDEX('Rate Card'!$J:$J,MATCH($T524,'Rate Card'!$F:$F,0))</f>
        <v>400</v>
      </c>
      <c r="W524" s="523">
        <f t="shared" si="428"/>
        <v>400</v>
      </c>
      <c r="X524" s="523">
        <f t="shared" si="429"/>
        <v>1.5</v>
      </c>
      <c r="Y524" s="327" cm="1">
        <f t="array" ref="Y524">_xlfn.IFS(报价场景=服务费底表!$AJ$2,服务费底表!$AJ524,报价场景=服务费底表!$AP$2,服务费底表!$AP524,报价场景=服务费底表!$AK$2,服务费底表!$AK524,报价场景=服务费底表!$AL$2,服务费底表!$AL524,报价场景=服务费底表!$AM$2,服务费底表!$AM524,报价场景=服务费底表!$AN$2,服务费底表!$AN524,报价场景=服务费底表!$AQ$2,服务费底表!$AQ524,报价场景=服务费底表!$AO$2,服务费底表!$AO524)</f>
        <v>1.5</v>
      </c>
      <c r="Z524" s="327"/>
      <c r="AA524" s="332">
        <f t="shared" si="453"/>
        <v>1.5</v>
      </c>
      <c r="AB524" s="333">
        <f t="shared" si="454"/>
        <v>600</v>
      </c>
      <c r="AC524" s="328">
        <f t="shared" si="455"/>
        <v>22.5</v>
      </c>
      <c r="AD524" s="334">
        <f t="shared" si="456"/>
        <v>9000</v>
      </c>
      <c r="AE524" s="334">
        <f>$AB524*(1-INDEX(项目参数!$D$5:$D$14,MATCH(服务费底表!$S524,项目参数!$B$5:$B$14,0)))</f>
        <v>600</v>
      </c>
      <c r="AF524" s="334">
        <f>$AD524*INDEX(项目参数!$D$5:$D$14,MATCH(服务费底表!$S524,项目参数!$B$5:$B$14,0))</f>
        <v>0</v>
      </c>
      <c r="AG524" s="334">
        <f t="shared" si="457"/>
        <v>9000</v>
      </c>
      <c r="AH524" s="328"/>
      <c r="AI524" s="328" t="s">
        <v>639</v>
      </c>
      <c r="AJ524" s="327">
        <v>1.5</v>
      </c>
      <c r="AK524" s="327">
        <v>1.5</v>
      </c>
      <c r="AL524" s="327">
        <v>1</v>
      </c>
      <c r="AM524" s="327">
        <v>1.5</v>
      </c>
      <c r="AN524" s="327">
        <v>1</v>
      </c>
      <c r="AO524" s="327">
        <f t="shared" si="461"/>
        <v>1</v>
      </c>
      <c r="AP524" s="327">
        <v>1.5</v>
      </c>
      <c r="AQ524" s="327">
        <f t="shared" si="435"/>
        <v>2.25</v>
      </c>
      <c r="AR524" s="338"/>
      <c r="AS524" s="328">
        <f t="shared" si="458"/>
        <v>22.5</v>
      </c>
      <c r="AT524" s="328">
        <f t="shared" si="459"/>
        <v>22.5</v>
      </c>
      <c r="AU524" s="523">
        <v>1.5</v>
      </c>
      <c r="AV524" s="328"/>
      <c r="AW524" s="328"/>
      <c r="AX524" s="332">
        <v>1.5</v>
      </c>
      <c r="AY524" s="328" t="b">
        <f t="shared" si="460"/>
        <v>1</v>
      </c>
      <c r="AZ524" s="328" t="b">
        <f t="shared" si="448"/>
        <v>1</v>
      </c>
    </row>
    <row r="525" ht="27" customHeight="1" spans="1:52">
      <c r="A525" s="326" t="str">
        <f>INDEX('Rate Card'!$A:$A,MATCH(服务费底表!$T525,'Rate Card'!$F:$F,0))</f>
        <v>数统</v>
      </c>
      <c r="B525" s="327" t="str">
        <f>INDEX(二三级标准!$G:$G,MATCH(服务费底表!$K525,二三级标准!B:B,0))</f>
        <v>月</v>
      </c>
      <c r="C525" s="327">
        <f>INDEX(服务费明细!$E:$E,MATCH(服务费底表!$K525,服务费明细!$B:$B,0))</f>
        <v>15</v>
      </c>
      <c r="D525" s="327" t="str">
        <f t="shared" si="451"/>
        <v>A120SAM</v>
      </c>
      <c r="E525" s="327" t="str">
        <f t="shared" si="452"/>
        <v>T0425SAM</v>
      </c>
      <c r="F525" s="328"/>
      <c r="G525" s="328" t="s">
        <v>684</v>
      </c>
      <c r="H525" s="326" t="str">
        <f>INDEX('Rate Card'!$B:$B,MATCH(服务费底表!$T525,'Rate Card'!$F:$F,0))</f>
        <v>生物统计及分析</v>
      </c>
      <c r="I525" s="328" t="s">
        <v>924</v>
      </c>
      <c r="J525" s="328" t="str">
        <f>INDEX(二三级标准!$Q:$Q,MATCH(服务费底表!I525,二三级标准!$O:$O,0))</f>
        <v>生物统计及分析</v>
      </c>
      <c r="K525" s="328" t="s">
        <v>345</v>
      </c>
      <c r="L525" s="328" t="str">
        <f>INDEX(二三级标准!C:C,MATCH(服务费底表!K525,二三级标准!$B:$B,0))</f>
        <v>生物统计及分析项目管理</v>
      </c>
      <c r="M525" s="328" t="s">
        <v>1560</v>
      </c>
      <c r="N525" s="328" t="str">
        <f>INDEX(二三级标准!$M:$M,MATCH(服务费底表!$M525,二三级标准!$L:$L,0))</f>
        <v>统计分析的项目管理</v>
      </c>
      <c r="O525" s="328"/>
      <c r="P525" s="531">
        <f>IF(R525=1,INDEX(服务费明细!$E:$E,MATCH(服务费底表!$K525,服务费明细!$B:$B,0)),0)</f>
        <v>15</v>
      </c>
      <c r="Q525" s="328" t="s">
        <v>1220</v>
      </c>
      <c r="R525" s="520">
        <f>IF(AND(生物统计及分析项目管理YN=1,统计分析YN=1),1,0)</f>
        <v>1</v>
      </c>
      <c r="S525" s="524" t="str">
        <f>INDEX('Rate Card'!$D:$D,MATCH(服务费底表!$T525,'Rate Card'!F:F,0))</f>
        <v>统计分析</v>
      </c>
      <c r="T525" s="328" t="s">
        <v>638</v>
      </c>
      <c r="U525" s="522" t="str">
        <f>INDEX('Rate Card'!$E:$E,MATCH(服务费底表!$T525,'Rate Card'!$F:$F,0))</f>
        <v>统计分析经理</v>
      </c>
      <c r="V525" s="331">
        <f>INDEX('Rate Card'!$J:$J,MATCH($T525,'Rate Card'!$F:$F,0))</f>
        <v>450</v>
      </c>
      <c r="W525" s="523">
        <f t="shared" si="428"/>
        <v>450</v>
      </c>
      <c r="X525" s="523">
        <f t="shared" si="429"/>
        <v>0.5</v>
      </c>
      <c r="Y525" s="327" cm="1">
        <f t="array" ref="Y525">_xlfn.IFS(报价场景=服务费底表!$AJ$2,服务费底表!$AJ525,报价场景=服务费底表!$AP$2,服务费底表!$AP525,报价场景=服务费底表!$AK$2,服务费底表!$AK525,报价场景=服务费底表!$AL$2,服务费底表!$AL525,报价场景=服务费底表!$AM$2,服务费底表!$AM525,报价场景=服务费底表!$AN$2,服务费底表!$AN525,报价场景=服务费底表!$AQ$2,服务费底表!$AQ525,报价场景=服务费底表!$AO$2,服务费底表!$AO525)</f>
        <v>0.5</v>
      </c>
      <c r="Z525" s="327"/>
      <c r="AA525" s="332">
        <f t="shared" si="453"/>
        <v>0.5</v>
      </c>
      <c r="AB525" s="333">
        <f t="shared" si="454"/>
        <v>225</v>
      </c>
      <c r="AC525" s="328">
        <f t="shared" si="455"/>
        <v>7.5</v>
      </c>
      <c r="AD525" s="334">
        <f t="shared" si="456"/>
        <v>3375</v>
      </c>
      <c r="AE525" s="334">
        <f>$AB525*(1-INDEX(项目参数!$D$5:$D$14,MATCH(服务费底表!$S525,项目参数!$B$5:$B$14,0)))</f>
        <v>225</v>
      </c>
      <c r="AF525" s="334">
        <f>$AD525*INDEX(项目参数!$D$5:$D$14,MATCH(服务费底表!$S525,项目参数!$B$5:$B$14,0))</f>
        <v>0</v>
      </c>
      <c r="AG525" s="334">
        <f t="shared" si="457"/>
        <v>3375</v>
      </c>
      <c r="AH525" s="328"/>
      <c r="AI525" s="328" t="s">
        <v>638</v>
      </c>
      <c r="AJ525" s="327">
        <v>0.5</v>
      </c>
      <c r="AK525" s="327">
        <v>1</v>
      </c>
      <c r="AL525" s="327">
        <v>0.5</v>
      </c>
      <c r="AM525" s="327">
        <v>1</v>
      </c>
      <c r="AN525" s="327">
        <v>0.5</v>
      </c>
      <c r="AO525" s="327">
        <f t="shared" si="461"/>
        <v>0.5</v>
      </c>
      <c r="AP525" s="327">
        <v>0.5</v>
      </c>
      <c r="AQ525" s="327">
        <f t="shared" si="435"/>
        <v>0.75</v>
      </c>
      <c r="AR525" s="338"/>
      <c r="AS525" s="328">
        <f t="shared" si="458"/>
        <v>7.5</v>
      </c>
      <c r="AT525" s="328">
        <f t="shared" si="459"/>
        <v>7.5</v>
      </c>
      <c r="AU525" s="523">
        <v>0.5</v>
      </c>
      <c r="AV525" s="328"/>
      <c r="AW525" s="328"/>
      <c r="AX525" s="332">
        <v>0.5</v>
      </c>
      <c r="AY525" s="328" t="b">
        <f t="shared" si="460"/>
        <v>1</v>
      </c>
      <c r="AZ525" s="328" t="b">
        <f t="shared" si="448"/>
        <v>1</v>
      </c>
    </row>
    <row r="526" ht="27" customHeight="1" spans="1:52">
      <c r="A526" s="326" t="str">
        <f>INDEX('Rate Card'!$A:$A,MATCH(服务费底表!$T526,'Rate Card'!$F:$F,0))</f>
        <v>数统</v>
      </c>
      <c r="B526" s="327" t="str">
        <f>INDEX(二三级标准!$G:$G,MATCH(服务费底表!$K526,二三级标准!B:B,0))</f>
        <v>份</v>
      </c>
      <c r="C526" s="327">
        <f>INDEX(服务费明细!$E:$E,MATCH(服务费底表!$K526,服务费明细!$B:$B,0))</f>
        <v>0</v>
      </c>
      <c r="D526" s="327" t="str">
        <f t="shared" si="451"/>
        <v>A225STM</v>
      </c>
      <c r="E526" s="327" t="str">
        <f t="shared" si="452"/>
        <v>T0662STM</v>
      </c>
      <c r="F526" s="328"/>
      <c r="G526" s="328" t="s">
        <v>684</v>
      </c>
      <c r="H526" s="326" t="str">
        <f>INDEX('Rate Card'!$B:$B,MATCH(服务费底表!$T526,'Rate Card'!$F:$F,0))</f>
        <v>生物统计及分析</v>
      </c>
      <c r="I526" s="328" t="s">
        <v>924</v>
      </c>
      <c r="J526" s="328" t="str">
        <f>INDEX(二三级标准!$Q:$Q,MATCH(服务费底表!I526,二三级标准!$O:$O,0))</f>
        <v>生物统计及分析</v>
      </c>
      <c r="K526" s="328" t="s">
        <v>1083</v>
      </c>
      <c r="L526" s="328" t="str">
        <f>INDEX(二三级标准!C:C,MATCH(服务费底表!K526,二三级标准!$B:$B,0))</f>
        <v>撰写DSMB/DMC/IDMC章程</v>
      </c>
      <c r="M526" s="328" t="s">
        <v>1561</v>
      </c>
      <c r="N526" s="328" t="str">
        <f>INDEX(二三级标准!$M:$M,MATCH(服务费底表!$M526,二三级标准!$L:$L,0))</f>
        <v>DSMB/DMC/IDMC章程起草</v>
      </c>
      <c r="O526" s="328"/>
      <c r="P526" s="531">
        <f>IF(R526=1,INDEX(服务费明细!$E:$E,MATCH(服务费底表!$K526,服务费明细!$B:$B,0)),0)</f>
        <v>0</v>
      </c>
      <c r="Q526" s="328" t="s">
        <v>1176</v>
      </c>
      <c r="R526" s="520">
        <f>IF(AND(撰写DSMB_DMC_IDMC章程=1,生物统计YN=1),1,0)</f>
        <v>0</v>
      </c>
      <c r="S526" s="524" t="str">
        <f>INDEX('Rate Card'!$D:$D,MATCH(服务费底表!$T526,'Rate Card'!F:F,0))</f>
        <v>生物统计</v>
      </c>
      <c r="T526" s="328" t="s">
        <v>642</v>
      </c>
      <c r="U526" s="522" t="str">
        <f>INDEX('Rate Card'!$E:$E,MATCH(服务费底表!$T526,'Rate Card'!$F:$F,0))</f>
        <v>生物统计经理</v>
      </c>
      <c r="V526" s="331">
        <f>INDEX('Rate Card'!$J:$J,MATCH($T526,'Rate Card'!$F:$F,0))</f>
        <v>700</v>
      </c>
      <c r="W526" s="523">
        <f t="shared" si="428"/>
        <v>700</v>
      </c>
      <c r="X526" s="523">
        <f t="shared" si="429"/>
        <v>16</v>
      </c>
      <c r="Y526" s="327" cm="1">
        <f t="array" ref="Y526">_xlfn.IFS(报价场景=服务费底表!$AJ$2,服务费底表!$AJ526,报价场景=服务费底表!$AP$2,服务费底表!$AP526,报价场景=服务费底表!$AK$2,服务费底表!$AK526,报价场景=服务费底表!$AL$2,服务费底表!$AL526,报价场景=服务费底表!$AM$2,服务费底表!$AM526,报价场景=服务费底表!$AN$2,服务费底表!$AN526,报价场景=服务费底表!$AQ$2,服务费底表!$AQ526,报价场景=服务费底表!$AO$2,服务费底表!$AO526)</f>
        <v>16</v>
      </c>
      <c r="Z526" s="327"/>
      <c r="AA526" s="332">
        <f t="shared" si="453"/>
        <v>16</v>
      </c>
      <c r="AB526" s="333">
        <f t="shared" si="454"/>
        <v>0</v>
      </c>
      <c r="AC526" s="328">
        <f t="shared" si="455"/>
        <v>0</v>
      </c>
      <c r="AD526" s="334">
        <f t="shared" si="456"/>
        <v>0</v>
      </c>
      <c r="AE526" s="334">
        <f>$AB526*(1-INDEX(项目参数!$D$5:$D$14,MATCH(服务费底表!$S526,项目参数!$B$5:$B$14,0)))</f>
        <v>0</v>
      </c>
      <c r="AF526" s="334">
        <f>$AD526*INDEX(项目参数!$D$5:$D$14,MATCH(服务费底表!$S526,项目参数!$B$5:$B$14,0))</f>
        <v>0</v>
      </c>
      <c r="AG526" s="334">
        <f t="shared" si="457"/>
        <v>0</v>
      </c>
      <c r="AH526" s="328"/>
      <c r="AI526" s="328" t="s">
        <v>642</v>
      </c>
      <c r="AJ526" s="327">
        <v>16</v>
      </c>
      <c r="AK526" s="327">
        <f t="shared" ref="AK526:AK552" si="462">AJ526</f>
        <v>16</v>
      </c>
      <c r="AL526" s="327">
        <f t="shared" ref="AL526:AL552" si="463">AJ526</f>
        <v>16</v>
      </c>
      <c r="AM526" s="327">
        <f t="shared" ref="AM526:AM552" si="464">AJ526</f>
        <v>16</v>
      </c>
      <c r="AN526" s="327">
        <f t="shared" ref="AN526:AN552" si="465">AJ526</f>
        <v>16</v>
      </c>
      <c r="AO526" s="327">
        <f t="shared" si="461"/>
        <v>16</v>
      </c>
      <c r="AP526" s="327">
        <v>16</v>
      </c>
      <c r="AQ526" s="327">
        <f t="shared" si="435"/>
        <v>24</v>
      </c>
      <c r="AR526" s="338"/>
      <c r="AS526" s="328">
        <f t="shared" si="458"/>
        <v>0</v>
      </c>
      <c r="AT526" s="328">
        <f t="shared" si="459"/>
        <v>0</v>
      </c>
      <c r="AU526" s="523">
        <v>16</v>
      </c>
      <c r="AV526" s="328"/>
      <c r="AW526" s="328"/>
      <c r="AX526" s="332">
        <v>16</v>
      </c>
      <c r="AY526" s="328" t="b">
        <f t="shared" si="460"/>
        <v>1</v>
      </c>
      <c r="AZ526" s="328" t="b">
        <f t="shared" si="448"/>
        <v>0</v>
      </c>
    </row>
    <row r="527" ht="27" customHeight="1" spans="1:52">
      <c r="A527" s="326" t="str">
        <f>INDEX('Rate Card'!$A:$A,MATCH(服务费底表!$T527,'Rate Card'!$F:$F,0))</f>
        <v>数统</v>
      </c>
      <c r="B527" s="327" t="str">
        <f>INDEX(二三级标准!$G:$G,MATCH(服务费底表!$K527,二三级标准!B:B,0))</f>
        <v>份</v>
      </c>
      <c r="C527" s="327">
        <f>INDEX(服务费明细!$E:$E,MATCH(服务费底表!$K527,服务费明细!$B:$B,0))</f>
        <v>0</v>
      </c>
      <c r="D527" s="327" t="str">
        <f t="shared" ref="D527:D536" si="466">K527&amp;T527</f>
        <v>A225SAM</v>
      </c>
      <c r="E527" s="327" t="str">
        <f t="shared" ref="E527:E536" si="467">M527&amp;T527</f>
        <v>T0663SAM</v>
      </c>
      <c r="F527" s="328"/>
      <c r="G527" s="328" t="s">
        <v>684</v>
      </c>
      <c r="H527" s="326" t="str">
        <f>INDEX('Rate Card'!$B:$B,MATCH(服务费底表!$T527,'Rate Card'!$F:$F,0))</f>
        <v>生物统计及分析</v>
      </c>
      <c r="I527" s="328" t="s">
        <v>924</v>
      </c>
      <c r="J527" s="328" t="str">
        <f>INDEX(二三级标准!$Q:$Q,MATCH(服务费底表!I527,二三级标准!$O:$O,0))</f>
        <v>生物统计及分析</v>
      </c>
      <c r="K527" s="328" t="s">
        <v>1083</v>
      </c>
      <c r="L527" s="328" t="str">
        <f>INDEX(二三级标准!C:C,MATCH(服务费底表!K527,二三级标准!$B:$B,0))</f>
        <v>撰写DSMB/DMC/IDMC章程</v>
      </c>
      <c r="M527" s="328" t="s">
        <v>1562</v>
      </c>
      <c r="N527" s="328" t="str">
        <f>INDEX(二三级标准!$M:$M,MATCH(服务费底表!$M527,二三级标准!$L:$L,0))</f>
        <v>DSMB/DMC/IDMC章程审核</v>
      </c>
      <c r="O527" s="328"/>
      <c r="P527" s="531">
        <f>IF(R527=1,INDEX(服务费明细!$E:$E,MATCH(服务费底表!$K527,服务费明细!$B:$B,0)),0)</f>
        <v>0</v>
      </c>
      <c r="Q527" s="328" t="s">
        <v>1176</v>
      </c>
      <c r="R527" s="520">
        <f>IF(AND(撰写DSMB_DMC_IDMC章程=1,统计分析YN=1),1,0)</f>
        <v>0</v>
      </c>
      <c r="S527" s="524" t="str">
        <f>INDEX('Rate Card'!$D:$D,MATCH(服务费底表!$T527,'Rate Card'!F:F,0))</f>
        <v>统计分析</v>
      </c>
      <c r="T527" s="328" t="s">
        <v>638</v>
      </c>
      <c r="U527" s="522" t="str">
        <f>INDEX('Rate Card'!$E:$E,MATCH(服务费底表!$T527,'Rate Card'!$F:$F,0))</f>
        <v>统计分析经理</v>
      </c>
      <c r="V527" s="331">
        <f>INDEX('Rate Card'!$J:$J,MATCH($T527,'Rate Card'!$F:$F,0))</f>
        <v>450</v>
      </c>
      <c r="W527" s="523">
        <f t="shared" ref="W527:W545" si="468">V527*(1-$W$1)</f>
        <v>450</v>
      </c>
      <c r="X527" s="523">
        <f t="shared" ref="X527:X545" si="469">Y527*$X$1</f>
        <v>2</v>
      </c>
      <c r="Y527" s="327" cm="1">
        <f t="array" ref="Y527">_xlfn.IFS(报价场景=服务费底表!$AJ$2,服务费底表!$AJ527,报价场景=服务费底表!$AP$2,服务费底表!$AP527,报价场景=服务费底表!$AK$2,服务费底表!$AK527,报价场景=服务费底表!$AL$2,服务费底表!$AL527,报价场景=服务费底表!$AM$2,服务费底表!$AM527,报价场景=服务费底表!$AN$2,服务费底表!$AN527,报价场景=服务费底表!$AQ$2,服务费底表!$AQ527,报价场景=服务费底表!$AO$2,服务费底表!$AO527)</f>
        <v>2</v>
      </c>
      <c r="Z527" s="327"/>
      <c r="AA527" s="332">
        <f t="shared" ref="AA527:AA536" si="470">IF(ISBLANK($Z527),$Y527,$Z527)</f>
        <v>2</v>
      </c>
      <c r="AB527" s="333">
        <f t="shared" ref="AB527:AB536" si="471">IFERROR(AD527/P527,0)</f>
        <v>0</v>
      </c>
      <c r="AC527" s="328">
        <f t="shared" ref="AC527:AC536" si="472">AA527*P527*R527</f>
        <v>0</v>
      </c>
      <c r="AD527" s="334">
        <f t="shared" ref="AD527:AD536" si="473">AC527*V527</f>
        <v>0</v>
      </c>
      <c r="AE527" s="334">
        <f>$AB527*(1-INDEX(项目参数!$D$5:$D$14,MATCH(服务费底表!$S527,项目参数!$B$5:$B$14,0)))</f>
        <v>0</v>
      </c>
      <c r="AF527" s="334">
        <f>$AD527*INDEX(项目参数!$D$5:$D$14,MATCH(服务费底表!$S527,项目参数!$B$5:$B$14,0))</f>
        <v>0</v>
      </c>
      <c r="AG527" s="334">
        <f t="shared" ref="AG527:AG536" si="474">AD527-AF527</f>
        <v>0</v>
      </c>
      <c r="AH527" s="328"/>
      <c r="AI527" s="328" t="s">
        <v>638</v>
      </c>
      <c r="AJ527" s="327">
        <v>2</v>
      </c>
      <c r="AK527" s="327">
        <f t="shared" si="462"/>
        <v>2</v>
      </c>
      <c r="AL527" s="327">
        <f t="shared" si="463"/>
        <v>2</v>
      </c>
      <c r="AM527" s="327">
        <f t="shared" si="464"/>
        <v>2</v>
      </c>
      <c r="AN527" s="327">
        <f t="shared" si="465"/>
        <v>2</v>
      </c>
      <c r="AO527" s="327">
        <f t="shared" si="461"/>
        <v>2</v>
      </c>
      <c r="AP527" s="327">
        <v>2</v>
      </c>
      <c r="AQ527" s="327">
        <f t="shared" ref="AQ527:AQ545" si="475">AJ527*$AQ$1</f>
        <v>3</v>
      </c>
      <c r="AR527" s="338"/>
      <c r="AS527" s="328">
        <f t="shared" ref="AS527:AS536" si="476">AC527</f>
        <v>0</v>
      </c>
      <c r="AT527" s="328">
        <f t="shared" ref="AT527:AT536" si="477">Y527*P527</f>
        <v>0</v>
      </c>
      <c r="AU527" s="523">
        <v>2</v>
      </c>
      <c r="AV527" s="328"/>
      <c r="AW527" s="328"/>
      <c r="AX527" s="332">
        <v>2</v>
      </c>
      <c r="AY527" s="328" t="b">
        <f t="shared" ref="AY527:AY536" si="478">IF(AX527=AJ527,TRUE,FALSE)</f>
        <v>1</v>
      </c>
      <c r="AZ527" s="328" t="b">
        <f t="shared" si="448"/>
        <v>0</v>
      </c>
    </row>
    <row r="528" ht="27" customHeight="1" spans="1:52">
      <c r="A528" s="326" t="str">
        <f>INDEX('Rate Card'!$A:$A,MATCH(服务费底表!$T528,'Rate Card'!$F:$F,0))</f>
        <v>数统</v>
      </c>
      <c r="B528" s="327" t="str">
        <f>INDEX(二三级标准!$G:$G,MATCH(服务费底表!$K528,二三级标准!B:B,0))</f>
        <v>份</v>
      </c>
      <c r="C528" s="327">
        <f>INDEX(服务费明细!$E:$E,MATCH(服务费底表!$K528,服务费明细!$B:$B,0))</f>
        <v>0</v>
      </c>
      <c r="D528" s="327" t="str">
        <f t="shared" si="466"/>
        <v>A225STM</v>
      </c>
      <c r="E528" s="327" t="str">
        <f t="shared" si="467"/>
        <v>T0664STM</v>
      </c>
      <c r="F528" s="328"/>
      <c r="G528" s="328" t="s">
        <v>684</v>
      </c>
      <c r="H528" s="326" t="str">
        <f>INDEX('Rate Card'!$B:$B,MATCH(服务费底表!$T528,'Rate Card'!$F:$F,0))</f>
        <v>生物统计及分析</v>
      </c>
      <c r="I528" s="328" t="s">
        <v>924</v>
      </c>
      <c r="J528" s="328" t="str">
        <f>INDEX(二三级标准!$Q:$Q,MATCH(服务费底表!I528,二三级标准!$O:$O,0))</f>
        <v>生物统计及分析</v>
      </c>
      <c r="K528" s="328" t="s">
        <v>1083</v>
      </c>
      <c r="L528" s="328" t="str">
        <f>INDEX(二三级标准!C:C,MATCH(服务费底表!K528,二三级标准!$B:$B,0))</f>
        <v>撰写DSMB/DMC/IDMC章程</v>
      </c>
      <c r="M528" s="328" t="s">
        <v>1563</v>
      </c>
      <c r="N528" s="328" t="str">
        <f>INDEX(二三级标准!$M:$M,MATCH(服务费底表!$M528,二三级标准!$L:$L,0))</f>
        <v>DSMB/DMC/IDMC章程修订</v>
      </c>
      <c r="O528" s="328"/>
      <c r="P528" s="531">
        <f>IF(R528=1,INDEX(服务费明细!$E:$E,MATCH(服务费底表!$K528,服务费明细!$B:$B,0)),0)</f>
        <v>0</v>
      </c>
      <c r="Q528" s="328" t="s">
        <v>1176</v>
      </c>
      <c r="R528" s="520">
        <f>IF(AND(撰写DSMB_DMC_IDMC章程=1,生物统计YN=1),1,0)</f>
        <v>0</v>
      </c>
      <c r="S528" s="524" t="str">
        <f>INDEX('Rate Card'!$D:$D,MATCH(服务费底表!$T528,'Rate Card'!F:F,0))</f>
        <v>生物统计</v>
      </c>
      <c r="T528" s="328" t="s">
        <v>642</v>
      </c>
      <c r="U528" s="522" t="str">
        <f>INDEX('Rate Card'!$E:$E,MATCH(服务费底表!$T528,'Rate Card'!$F:$F,0))</f>
        <v>生物统计经理</v>
      </c>
      <c r="V528" s="331">
        <f>INDEX('Rate Card'!$J:$J,MATCH($T528,'Rate Card'!$F:$F,0))</f>
        <v>700</v>
      </c>
      <c r="W528" s="523">
        <f t="shared" si="468"/>
        <v>700</v>
      </c>
      <c r="X528" s="523">
        <f t="shared" si="469"/>
        <v>8</v>
      </c>
      <c r="Y528" s="327" cm="1">
        <f t="array" ref="Y528">_xlfn.IFS(报价场景=服务费底表!$AJ$2,服务费底表!$AJ528,报价场景=服务费底表!$AP$2,服务费底表!$AP528,报价场景=服务费底表!$AK$2,服务费底表!$AK528,报价场景=服务费底表!$AL$2,服务费底表!$AL528,报价场景=服务费底表!$AM$2,服务费底表!$AM528,报价场景=服务费底表!$AN$2,服务费底表!$AN528,报价场景=服务费底表!$AQ$2,服务费底表!$AQ528,报价场景=服务费底表!$AO$2,服务费底表!$AO528)</f>
        <v>8</v>
      </c>
      <c r="Z528" s="327"/>
      <c r="AA528" s="332">
        <f t="shared" si="470"/>
        <v>8</v>
      </c>
      <c r="AB528" s="333">
        <f t="shared" si="471"/>
        <v>0</v>
      </c>
      <c r="AC528" s="328">
        <f t="shared" si="472"/>
        <v>0</v>
      </c>
      <c r="AD528" s="334">
        <f t="shared" si="473"/>
        <v>0</v>
      </c>
      <c r="AE528" s="334">
        <f>$AB528*(1-INDEX(项目参数!$D$5:$D$14,MATCH(服务费底表!$S528,项目参数!$B$5:$B$14,0)))</f>
        <v>0</v>
      </c>
      <c r="AF528" s="334">
        <f>$AD528*INDEX(项目参数!$D$5:$D$14,MATCH(服务费底表!$S528,项目参数!$B$5:$B$14,0))</f>
        <v>0</v>
      </c>
      <c r="AG528" s="334">
        <f t="shared" si="474"/>
        <v>0</v>
      </c>
      <c r="AH528" s="328"/>
      <c r="AI528" s="328" t="s">
        <v>642</v>
      </c>
      <c r="AJ528" s="327">
        <v>8</v>
      </c>
      <c r="AK528" s="327">
        <f t="shared" si="462"/>
        <v>8</v>
      </c>
      <c r="AL528" s="327">
        <f t="shared" si="463"/>
        <v>8</v>
      </c>
      <c r="AM528" s="327">
        <f t="shared" si="464"/>
        <v>8</v>
      </c>
      <c r="AN528" s="327">
        <f t="shared" si="465"/>
        <v>8</v>
      </c>
      <c r="AO528" s="327">
        <f t="shared" si="461"/>
        <v>8</v>
      </c>
      <c r="AP528" s="327">
        <v>8</v>
      </c>
      <c r="AQ528" s="327">
        <f t="shared" si="475"/>
        <v>12</v>
      </c>
      <c r="AR528" s="338"/>
      <c r="AS528" s="328">
        <f t="shared" si="476"/>
        <v>0</v>
      </c>
      <c r="AT528" s="328">
        <f t="shared" si="477"/>
        <v>0</v>
      </c>
      <c r="AU528" s="523">
        <v>8</v>
      </c>
      <c r="AV528" s="328"/>
      <c r="AW528" s="328"/>
      <c r="AX528" s="332">
        <v>8</v>
      </c>
      <c r="AY528" s="328" t="b">
        <f t="shared" si="478"/>
        <v>1</v>
      </c>
      <c r="AZ528" s="328" t="b">
        <f t="shared" si="448"/>
        <v>0</v>
      </c>
    </row>
    <row r="529" ht="27" customHeight="1" spans="1:52">
      <c r="A529" s="326" t="str">
        <f>INDEX('Rate Card'!$A:$A,MATCH(服务费底表!$T529,'Rate Card'!$F:$F,0))</f>
        <v>数统</v>
      </c>
      <c r="B529" s="327" t="str">
        <f>INDEX(二三级标准!$G:$G,MATCH(服务费底表!$K529,二三级标准!B:B,0))</f>
        <v>份</v>
      </c>
      <c r="C529" s="327">
        <f>INDEX(服务费明细!$E:$E,MATCH(服务费底表!$K529,服务费明细!$B:$B,0))</f>
        <v>0</v>
      </c>
      <c r="D529" s="327" t="str">
        <f t="shared" si="466"/>
        <v>A226ST</v>
      </c>
      <c r="E529" s="327" t="str">
        <f t="shared" si="467"/>
        <v>T0665ST</v>
      </c>
      <c r="F529" s="328"/>
      <c r="G529" s="328" t="s">
        <v>684</v>
      </c>
      <c r="H529" s="326" t="str">
        <f>INDEX('Rate Card'!$B:$B,MATCH(服务费底表!$T529,'Rate Card'!$F:$F,0))</f>
        <v>生物统计及分析</v>
      </c>
      <c r="I529" s="328" t="s">
        <v>924</v>
      </c>
      <c r="J529" s="328" t="str">
        <f>INDEX(二三级标准!$Q:$Q,MATCH(服务费底表!I529,二三级标准!$O:$O,0))</f>
        <v>生物统计及分析</v>
      </c>
      <c r="K529" s="328" t="s">
        <v>1084</v>
      </c>
      <c r="L529" s="328" t="str">
        <f>INDEX(二三级标准!C:C,MATCH(服务费底表!K529,二三级标准!$B:$B,0))</f>
        <v>撰写DSMB/DMC/IDMC统计分析计划</v>
      </c>
      <c r="M529" s="328" t="s">
        <v>1564</v>
      </c>
      <c r="N529" s="328" t="str">
        <f>INDEX(二三级标准!$M:$M,MATCH(服务费底表!$M529,二三级标准!$L:$L,0))</f>
        <v>DSMB/DMC/IDMC统计分析计划起草</v>
      </c>
      <c r="O529" s="328"/>
      <c r="P529" s="531">
        <f>IF(R529=1,INDEX(服务费明细!$E:$E,MATCH(服务费底表!$K529,服务费明细!$B:$B,0)),0)</f>
        <v>0</v>
      </c>
      <c r="Q529" s="328" t="s">
        <v>1176</v>
      </c>
      <c r="R529" s="520">
        <f>IF(AND(撰写DSMB_DMC_IDMC统计分析计划=1,生物统计YN=1),1,0)</f>
        <v>0</v>
      </c>
      <c r="S529" s="524" t="str">
        <f>INDEX('Rate Card'!$D:$D,MATCH(服务费底表!$T529,'Rate Card'!F:F,0))</f>
        <v>生物统计</v>
      </c>
      <c r="T529" s="328" t="s">
        <v>639</v>
      </c>
      <c r="U529" s="522" t="str">
        <f>INDEX('Rate Card'!$E:$E,MATCH(服务费底表!$T529,'Rate Card'!$F:$F,0))</f>
        <v>生物统计师</v>
      </c>
      <c r="V529" s="331">
        <f>INDEX('Rate Card'!$J:$J,MATCH($T529,'Rate Card'!$F:$F,0))</f>
        <v>400</v>
      </c>
      <c r="W529" s="523">
        <f t="shared" si="468"/>
        <v>400</v>
      </c>
      <c r="X529" s="523">
        <f t="shared" si="469"/>
        <v>24</v>
      </c>
      <c r="Y529" s="327" cm="1">
        <f t="array" ref="Y529">_xlfn.IFS(报价场景=服务费底表!$AJ$2,服务费底表!$AJ529,报价场景=服务费底表!$AP$2,服务费底表!$AP529,报价场景=服务费底表!$AK$2,服务费底表!$AK529,报价场景=服务费底表!$AL$2,服务费底表!$AL529,报价场景=服务费底表!$AM$2,服务费底表!$AM529,报价场景=服务费底表!$AN$2,服务费底表!$AN529,报价场景=服务费底表!$AQ$2,服务费底表!$AQ529,报价场景=服务费底表!$AO$2,服务费底表!$AO529)</f>
        <v>24</v>
      </c>
      <c r="Z529" s="327"/>
      <c r="AA529" s="332">
        <f t="shared" si="470"/>
        <v>24</v>
      </c>
      <c r="AB529" s="333">
        <f t="shared" si="471"/>
        <v>0</v>
      </c>
      <c r="AC529" s="328">
        <f t="shared" si="472"/>
        <v>0</v>
      </c>
      <c r="AD529" s="334">
        <f t="shared" si="473"/>
        <v>0</v>
      </c>
      <c r="AE529" s="334">
        <f>$AB529*(1-INDEX(项目参数!$D$5:$D$14,MATCH(服务费底表!$S529,项目参数!$B$5:$B$14,0)))</f>
        <v>0</v>
      </c>
      <c r="AF529" s="334">
        <f>$AD529*INDEX(项目参数!$D$5:$D$14,MATCH(服务费底表!$S529,项目参数!$B$5:$B$14,0))</f>
        <v>0</v>
      </c>
      <c r="AG529" s="334">
        <f t="shared" si="474"/>
        <v>0</v>
      </c>
      <c r="AH529" s="328"/>
      <c r="AI529" s="328" t="s">
        <v>639</v>
      </c>
      <c r="AJ529" s="327">
        <v>24</v>
      </c>
      <c r="AK529" s="327">
        <f t="shared" si="462"/>
        <v>24</v>
      </c>
      <c r="AL529" s="327">
        <f t="shared" si="463"/>
        <v>24</v>
      </c>
      <c r="AM529" s="327">
        <f t="shared" si="464"/>
        <v>24</v>
      </c>
      <c r="AN529" s="327">
        <f t="shared" si="465"/>
        <v>24</v>
      </c>
      <c r="AO529" s="327">
        <f t="shared" si="461"/>
        <v>24</v>
      </c>
      <c r="AP529" s="327">
        <v>24</v>
      </c>
      <c r="AQ529" s="327">
        <f t="shared" si="475"/>
        <v>36</v>
      </c>
      <c r="AR529" s="338"/>
      <c r="AS529" s="328">
        <f t="shared" si="476"/>
        <v>0</v>
      </c>
      <c r="AT529" s="328">
        <f t="shared" si="477"/>
        <v>0</v>
      </c>
      <c r="AU529" s="523">
        <v>24</v>
      </c>
      <c r="AV529" s="328"/>
      <c r="AW529" s="328"/>
      <c r="AX529" s="332">
        <v>24</v>
      </c>
      <c r="AY529" s="328" t="b">
        <f t="shared" si="478"/>
        <v>1</v>
      </c>
      <c r="AZ529" s="328" t="b">
        <f t="shared" si="448"/>
        <v>1</v>
      </c>
    </row>
    <row r="530" ht="27" customHeight="1" spans="1:52">
      <c r="A530" s="326" t="str">
        <f>INDEX('Rate Card'!$A:$A,MATCH(服务费底表!$T530,'Rate Card'!$F:$F,0))</f>
        <v>数统</v>
      </c>
      <c r="B530" s="327" t="str">
        <f>INDEX(二三级标准!$G:$G,MATCH(服务费底表!$K530,二三级标准!B:B,0))</f>
        <v>份</v>
      </c>
      <c r="C530" s="327">
        <f>INDEX(服务费明细!$E:$E,MATCH(服务费底表!$K530,服务费明细!$B:$B,0))</f>
        <v>0</v>
      </c>
      <c r="D530" s="327" t="str">
        <f t="shared" si="466"/>
        <v>A226SAM</v>
      </c>
      <c r="E530" s="327" t="str">
        <f t="shared" si="467"/>
        <v>T0666SAM</v>
      </c>
      <c r="F530" s="328"/>
      <c r="G530" s="328" t="s">
        <v>684</v>
      </c>
      <c r="H530" s="326" t="str">
        <f>INDEX('Rate Card'!$B:$B,MATCH(服务费底表!$T530,'Rate Card'!$F:$F,0))</f>
        <v>生物统计及分析</v>
      </c>
      <c r="I530" s="328" t="s">
        <v>924</v>
      </c>
      <c r="J530" s="328" t="str">
        <f>INDEX(二三级标准!$Q:$Q,MATCH(服务费底表!I530,二三级标准!$O:$O,0))</f>
        <v>生物统计及分析</v>
      </c>
      <c r="K530" s="328" t="s">
        <v>1084</v>
      </c>
      <c r="L530" s="328" t="str">
        <f>INDEX(二三级标准!C:C,MATCH(服务费底表!K530,二三级标准!$B:$B,0))</f>
        <v>撰写DSMB/DMC/IDMC统计分析计划</v>
      </c>
      <c r="M530" s="328" t="s">
        <v>1565</v>
      </c>
      <c r="N530" s="328" t="str">
        <f>INDEX(二三级标准!$M:$M,MATCH(服务费底表!$M530,二三级标准!$L:$L,0))</f>
        <v>DSMB/DMC/IDMC统计分析计划审核</v>
      </c>
      <c r="O530" s="328"/>
      <c r="P530" s="531">
        <f>IF(R530=1,INDEX(服务费明细!$E:$E,MATCH(服务费底表!$K530,服务费明细!$B:$B,0)),0)</f>
        <v>0</v>
      </c>
      <c r="Q530" s="328" t="s">
        <v>1176</v>
      </c>
      <c r="R530" s="520">
        <f>IF(AND(撰写DSMB_DMC_IDMC统计分析计划=1,统计分析YN=1),1,0)</f>
        <v>0</v>
      </c>
      <c r="S530" s="524" t="str">
        <f>INDEX('Rate Card'!$D:$D,MATCH(服务费底表!$T530,'Rate Card'!F:F,0))</f>
        <v>统计分析</v>
      </c>
      <c r="T530" s="328" t="s">
        <v>638</v>
      </c>
      <c r="U530" s="522" t="str">
        <f>INDEX('Rate Card'!$E:$E,MATCH(服务费底表!$T530,'Rate Card'!$F:$F,0))</f>
        <v>统计分析经理</v>
      </c>
      <c r="V530" s="331">
        <f>INDEX('Rate Card'!$J:$J,MATCH($T530,'Rate Card'!$F:$F,0))</f>
        <v>450</v>
      </c>
      <c r="W530" s="523">
        <f t="shared" si="468"/>
        <v>450</v>
      </c>
      <c r="X530" s="523">
        <f t="shared" si="469"/>
        <v>2</v>
      </c>
      <c r="Y530" s="327" cm="1">
        <f t="array" ref="Y530">_xlfn.IFS(报价场景=服务费底表!$AJ$2,服务费底表!$AJ530,报价场景=服务费底表!$AP$2,服务费底表!$AP530,报价场景=服务费底表!$AK$2,服务费底表!$AK530,报价场景=服务费底表!$AL$2,服务费底表!$AL530,报价场景=服务费底表!$AM$2,服务费底表!$AM530,报价场景=服务费底表!$AN$2,服务费底表!$AN530,报价场景=服务费底表!$AQ$2,服务费底表!$AQ530,报价场景=服务费底表!$AO$2,服务费底表!$AO530)</f>
        <v>2</v>
      </c>
      <c r="Z530" s="327"/>
      <c r="AA530" s="332">
        <f t="shared" si="470"/>
        <v>2</v>
      </c>
      <c r="AB530" s="333">
        <f t="shared" si="471"/>
        <v>0</v>
      </c>
      <c r="AC530" s="328">
        <f t="shared" si="472"/>
        <v>0</v>
      </c>
      <c r="AD530" s="334">
        <f t="shared" si="473"/>
        <v>0</v>
      </c>
      <c r="AE530" s="334">
        <f>$AB530*(1-INDEX(项目参数!$D$5:$D$14,MATCH(服务费底表!$S530,项目参数!$B$5:$B$14,0)))</f>
        <v>0</v>
      </c>
      <c r="AF530" s="334">
        <f>$AD530*INDEX(项目参数!$D$5:$D$14,MATCH(服务费底表!$S530,项目参数!$B$5:$B$14,0))</f>
        <v>0</v>
      </c>
      <c r="AG530" s="334">
        <f t="shared" si="474"/>
        <v>0</v>
      </c>
      <c r="AH530" s="328"/>
      <c r="AI530" s="328" t="s">
        <v>638</v>
      </c>
      <c r="AJ530" s="327">
        <v>2</v>
      </c>
      <c r="AK530" s="327">
        <f t="shared" si="462"/>
        <v>2</v>
      </c>
      <c r="AL530" s="327">
        <f t="shared" si="463"/>
        <v>2</v>
      </c>
      <c r="AM530" s="327">
        <f t="shared" si="464"/>
        <v>2</v>
      </c>
      <c r="AN530" s="327">
        <f t="shared" si="465"/>
        <v>2</v>
      </c>
      <c r="AO530" s="327">
        <f t="shared" si="461"/>
        <v>2</v>
      </c>
      <c r="AP530" s="327">
        <v>2</v>
      </c>
      <c r="AQ530" s="327">
        <f t="shared" si="475"/>
        <v>3</v>
      </c>
      <c r="AR530" s="338"/>
      <c r="AS530" s="328">
        <f t="shared" si="476"/>
        <v>0</v>
      </c>
      <c r="AT530" s="328">
        <f t="shared" si="477"/>
        <v>0</v>
      </c>
      <c r="AU530" s="523">
        <v>2</v>
      </c>
      <c r="AV530" s="328"/>
      <c r="AW530" s="328"/>
      <c r="AX530" s="332">
        <v>2</v>
      </c>
      <c r="AY530" s="328" t="b">
        <f t="shared" si="478"/>
        <v>1</v>
      </c>
      <c r="AZ530" s="328" t="b">
        <f t="shared" si="448"/>
        <v>1</v>
      </c>
    </row>
    <row r="531" ht="27" customHeight="1" spans="1:52">
      <c r="A531" s="326" t="str">
        <f>INDEX('Rate Card'!$A:$A,MATCH(服务费底表!$T531,'Rate Card'!$F:$F,0))</f>
        <v>数统</v>
      </c>
      <c r="B531" s="327" t="str">
        <f>INDEX(二三级标准!$G:$G,MATCH(服务费底表!$K531,二三级标准!B:B,0))</f>
        <v>份</v>
      </c>
      <c r="C531" s="327">
        <f>INDEX(服务费明细!$E:$E,MATCH(服务费底表!$K531,服务费明细!$B:$B,0))</f>
        <v>0</v>
      </c>
      <c r="D531" s="327" t="str">
        <f t="shared" si="466"/>
        <v>A226STM</v>
      </c>
      <c r="E531" s="327" t="str">
        <f t="shared" si="467"/>
        <v>T0666STM</v>
      </c>
      <c r="F531" s="328"/>
      <c r="G531" s="328" t="s">
        <v>684</v>
      </c>
      <c r="H531" s="326" t="str">
        <f>INDEX('Rate Card'!$B:$B,MATCH(服务费底表!$T531,'Rate Card'!$F:$F,0))</f>
        <v>生物统计及分析</v>
      </c>
      <c r="I531" s="328" t="s">
        <v>924</v>
      </c>
      <c r="J531" s="328" t="str">
        <f>INDEX(二三级标准!$Q:$Q,MATCH(服务费底表!I531,二三级标准!$O:$O,0))</f>
        <v>生物统计及分析</v>
      </c>
      <c r="K531" s="328" t="s">
        <v>1084</v>
      </c>
      <c r="L531" s="328" t="str">
        <f>INDEX(二三级标准!C:C,MATCH(服务费底表!K531,二三级标准!$B:$B,0))</f>
        <v>撰写DSMB/DMC/IDMC统计分析计划</v>
      </c>
      <c r="M531" s="328" t="s">
        <v>1565</v>
      </c>
      <c r="N531" s="328" t="str">
        <f>INDEX(二三级标准!$M:$M,MATCH(服务费底表!$M531,二三级标准!$L:$L,0))</f>
        <v>DSMB/DMC/IDMC统计分析计划审核</v>
      </c>
      <c r="O531" s="328"/>
      <c r="P531" s="531">
        <f>IF(R531=1,INDEX(服务费明细!$E:$E,MATCH(服务费底表!$K531,服务费明细!$B:$B,0)),0)</f>
        <v>0</v>
      </c>
      <c r="Q531" s="328" t="s">
        <v>1176</v>
      </c>
      <c r="R531" s="520">
        <f>IF(AND(撰写DSMB_DMC_IDMC统计分析计划=1,生物统计YN=1),1,0)</f>
        <v>0</v>
      </c>
      <c r="S531" s="524" t="str">
        <f>INDEX('Rate Card'!$D:$D,MATCH(服务费底表!$T531,'Rate Card'!F:F,0))</f>
        <v>生物统计</v>
      </c>
      <c r="T531" s="328" t="s">
        <v>642</v>
      </c>
      <c r="U531" s="522" t="str">
        <f>INDEX('Rate Card'!$E:$E,MATCH(服务费底表!$T531,'Rate Card'!$F:$F,0))</f>
        <v>生物统计经理</v>
      </c>
      <c r="V531" s="331">
        <f>INDEX('Rate Card'!$J:$J,MATCH($T531,'Rate Card'!$F:$F,0))</f>
        <v>700</v>
      </c>
      <c r="W531" s="523">
        <f t="shared" si="468"/>
        <v>700</v>
      </c>
      <c r="X531" s="523">
        <f t="shared" si="469"/>
        <v>4</v>
      </c>
      <c r="Y531" s="327" cm="1">
        <f t="array" ref="Y531">_xlfn.IFS(报价场景=服务费底表!$AJ$2,服务费底表!$AJ531,报价场景=服务费底表!$AP$2,服务费底表!$AP531,报价场景=服务费底表!$AK$2,服务费底表!$AK531,报价场景=服务费底表!$AL$2,服务费底表!$AL531,报价场景=服务费底表!$AM$2,服务费底表!$AM531,报价场景=服务费底表!$AN$2,服务费底表!$AN531,报价场景=服务费底表!$AQ$2,服务费底表!$AQ531,报价场景=服务费底表!$AO$2,服务费底表!$AO531)</f>
        <v>4</v>
      </c>
      <c r="Z531" s="327"/>
      <c r="AA531" s="332">
        <f t="shared" si="470"/>
        <v>4</v>
      </c>
      <c r="AB531" s="333">
        <f t="shared" si="471"/>
        <v>0</v>
      </c>
      <c r="AC531" s="328">
        <f t="shared" si="472"/>
        <v>0</v>
      </c>
      <c r="AD531" s="334">
        <f t="shared" si="473"/>
        <v>0</v>
      </c>
      <c r="AE531" s="334">
        <f>$AB531*(1-INDEX(项目参数!$D$5:$D$14,MATCH(服务费底表!$S531,项目参数!$B$5:$B$14,0)))</f>
        <v>0</v>
      </c>
      <c r="AF531" s="334">
        <f>$AD531*INDEX(项目参数!$D$5:$D$14,MATCH(服务费底表!$S531,项目参数!$B$5:$B$14,0))</f>
        <v>0</v>
      </c>
      <c r="AG531" s="334">
        <f t="shared" si="474"/>
        <v>0</v>
      </c>
      <c r="AH531" s="328"/>
      <c r="AI531" s="328" t="s">
        <v>642</v>
      </c>
      <c r="AJ531" s="327">
        <v>4</v>
      </c>
      <c r="AK531" s="327">
        <f t="shared" si="462"/>
        <v>4</v>
      </c>
      <c r="AL531" s="327">
        <f t="shared" si="463"/>
        <v>4</v>
      </c>
      <c r="AM531" s="327">
        <f t="shared" si="464"/>
        <v>4</v>
      </c>
      <c r="AN531" s="327">
        <f t="shared" si="465"/>
        <v>4</v>
      </c>
      <c r="AO531" s="327">
        <f t="shared" si="461"/>
        <v>4</v>
      </c>
      <c r="AP531" s="327">
        <v>4</v>
      </c>
      <c r="AQ531" s="327">
        <f t="shared" si="475"/>
        <v>6</v>
      </c>
      <c r="AR531" s="338"/>
      <c r="AS531" s="328">
        <f t="shared" si="476"/>
        <v>0</v>
      </c>
      <c r="AT531" s="328">
        <f t="shared" si="477"/>
        <v>0</v>
      </c>
      <c r="AU531" s="523">
        <v>4</v>
      </c>
      <c r="AV531" s="328"/>
      <c r="AW531" s="328"/>
      <c r="AX531" s="332">
        <v>4</v>
      </c>
      <c r="AY531" s="328" t="b">
        <f t="shared" si="478"/>
        <v>1</v>
      </c>
      <c r="AZ531" s="328" t="b">
        <f t="shared" si="448"/>
        <v>1</v>
      </c>
    </row>
    <row r="532" ht="27" customHeight="1" spans="1:52">
      <c r="A532" s="326" t="str">
        <f>INDEX('Rate Card'!$A:$A,MATCH(服务费底表!$T532,'Rate Card'!$F:$F,0))</f>
        <v>数统</v>
      </c>
      <c r="B532" s="327" t="str">
        <f>INDEX(二三级标准!$G:$G,MATCH(服务费底表!$K532,二三级标准!B:B,0))</f>
        <v>份</v>
      </c>
      <c r="C532" s="327">
        <f>INDEX(服务费明细!$E:$E,MATCH(服务费底表!$K532,服务费明细!$B:$B,0))</f>
        <v>0</v>
      </c>
      <c r="D532" s="327" t="str">
        <f t="shared" si="466"/>
        <v>A226ST</v>
      </c>
      <c r="E532" s="327" t="str">
        <f t="shared" si="467"/>
        <v>T0667ST</v>
      </c>
      <c r="F532" s="328"/>
      <c r="G532" s="328" t="s">
        <v>684</v>
      </c>
      <c r="H532" s="326" t="str">
        <f>INDEX('Rate Card'!$B:$B,MATCH(服务费底表!$T532,'Rate Card'!$F:$F,0))</f>
        <v>生物统计及分析</v>
      </c>
      <c r="I532" s="328" t="s">
        <v>924</v>
      </c>
      <c r="J532" s="328" t="str">
        <f>INDEX(二三级标准!$Q:$Q,MATCH(服务费底表!I532,二三级标准!$O:$O,0))</f>
        <v>生物统计及分析</v>
      </c>
      <c r="K532" s="328" t="s">
        <v>1084</v>
      </c>
      <c r="L532" s="328" t="str">
        <f>INDEX(二三级标准!C:C,MATCH(服务费底表!K532,二三级标准!$B:$B,0))</f>
        <v>撰写DSMB/DMC/IDMC统计分析计划</v>
      </c>
      <c r="M532" s="328" t="s">
        <v>1566</v>
      </c>
      <c r="N532" s="328" t="str">
        <f>INDEX(二三级标准!$M:$M,MATCH(服务费底表!$M532,二三级标准!$L:$L,0))</f>
        <v>DSMB/DMC/IDMC统计分析计划的修订</v>
      </c>
      <c r="O532" s="328"/>
      <c r="P532" s="531">
        <f>IF(R532=1,INDEX(服务费明细!$E:$E,MATCH(服务费底表!$K532,服务费明细!$B:$B,0)),0)</f>
        <v>0</v>
      </c>
      <c r="Q532" s="328" t="s">
        <v>1176</v>
      </c>
      <c r="R532" s="520">
        <f>IF(AND(撰写DSMB_DMC_IDMC统计分析计划=1,生物统计YN=1),1,0)</f>
        <v>0</v>
      </c>
      <c r="S532" s="524" t="str">
        <f>INDEX('Rate Card'!$D:$D,MATCH(服务费底表!$T532,'Rate Card'!F:F,0))</f>
        <v>生物统计</v>
      </c>
      <c r="T532" s="328" t="s">
        <v>639</v>
      </c>
      <c r="U532" s="522" t="str">
        <f>INDEX('Rate Card'!$E:$E,MATCH(服务费底表!$T532,'Rate Card'!$F:$F,0))</f>
        <v>生物统计师</v>
      </c>
      <c r="V532" s="331">
        <f>INDEX('Rate Card'!$J:$J,MATCH($T532,'Rate Card'!$F:$F,0))</f>
        <v>400</v>
      </c>
      <c r="W532" s="523">
        <f t="shared" si="468"/>
        <v>400</v>
      </c>
      <c r="X532" s="523">
        <f t="shared" si="469"/>
        <v>4</v>
      </c>
      <c r="Y532" s="327" cm="1">
        <f t="array" ref="Y532">_xlfn.IFS(报价场景=服务费底表!$AJ$2,服务费底表!$AJ532,报价场景=服务费底表!$AP$2,服务费底表!$AP532,报价场景=服务费底表!$AK$2,服务费底表!$AK532,报价场景=服务费底表!$AL$2,服务费底表!$AL532,报价场景=服务费底表!$AM$2,服务费底表!$AM532,报价场景=服务费底表!$AN$2,服务费底表!$AN532,报价场景=服务费底表!$AQ$2,服务费底表!$AQ532,报价场景=服务费底表!$AO$2,服务费底表!$AO532)</f>
        <v>4</v>
      </c>
      <c r="Z532" s="327"/>
      <c r="AA532" s="332">
        <f t="shared" si="470"/>
        <v>4</v>
      </c>
      <c r="AB532" s="333">
        <f t="shared" si="471"/>
        <v>0</v>
      </c>
      <c r="AC532" s="328">
        <f t="shared" si="472"/>
        <v>0</v>
      </c>
      <c r="AD532" s="334">
        <f t="shared" si="473"/>
        <v>0</v>
      </c>
      <c r="AE532" s="334">
        <f>$AB532*(1-INDEX(项目参数!$D$5:$D$14,MATCH(服务费底表!$S532,项目参数!$B$5:$B$14,0)))</f>
        <v>0</v>
      </c>
      <c r="AF532" s="334">
        <f>$AD532*INDEX(项目参数!$D$5:$D$14,MATCH(服务费底表!$S532,项目参数!$B$5:$B$14,0))</f>
        <v>0</v>
      </c>
      <c r="AG532" s="334">
        <f t="shared" si="474"/>
        <v>0</v>
      </c>
      <c r="AH532" s="328"/>
      <c r="AI532" s="328" t="s">
        <v>639</v>
      </c>
      <c r="AJ532" s="327">
        <v>4</v>
      </c>
      <c r="AK532" s="327">
        <f t="shared" si="462"/>
        <v>4</v>
      </c>
      <c r="AL532" s="327">
        <f t="shared" si="463"/>
        <v>4</v>
      </c>
      <c r="AM532" s="327">
        <f t="shared" si="464"/>
        <v>4</v>
      </c>
      <c r="AN532" s="327">
        <f t="shared" si="465"/>
        <v>4</v>
      </c>
      <c r="AO532" s="327">
        <f t="shared" si="461"/>
        <v>4</v>
      </c>
      <c r="AP532" s="327">
        <v>4</v>
      </c>
      <c r="AQ532" s="327">
        <f t="shared" si="475"/>
        <v>6</v>
      </c>
      <c r="AR532" s="338"/>
      <c r="AS532" s="328">
        <f t="shared" si="476"/>
        <v>0</v>
      </c>
      <c r="AT532" s="328">
        <f t="shared" si="477"/>
        <v>0</v>
      </c>
      <c r="AU532" s="523">
        <v>4</v>
      </c>
      <c r="AV532" s="328"/>
      <c r="AW532" s="328"/>
      <c r="AX532" s="332">
        <v>4</v>
      </c>
      <c r="AY532" s="328" t="b">
        <f t="shared" si="478"/>
        <v>1</v>
      </c>
      <c r="AZ532" s="328" t="b">
        <f t="shared" si="448"/>
        <v>1</v>
      </c>
    </row>
    <row r="533" ht="27" customHeight="1" spans="1:52">
      <c r="A533" s="326" t="str">
        <f>INDEX('Rate Card'!$A:$A,MATCH(服务费底表!$T533,'Rate Card'!$F:$F,0))</f>
        <v>数统</v>
      </c>
      <c r="B533" s="327" t="str">
        <f>INDEX(二三级标准!$G:$G,MATCH(服务费底表!$K533,二三级标准!B:B,0))</f>
        <v>份</v>
      </c>
      <c r="C533" s="327">
        <f>INDEX(服务费明细!$E:$E,MATCH(服务费底表!$K533,服务费明细!$B:$B,0))</f>
        <v>0</v>
      </c>
      <c r="D533" s="327" t="str">
        <f t="shared" si="466"/>
        <v>A227ST</v>
      </c>
      <c r="E533" s="327" t="str">
        <f t="shared" si="467"/>
        <v>T0668aST</v>
      </c>
      <c r="F533" s="328"/>
      <c r="G533" s="328" t="s">
        <v>684</v>
      </c>
      <c r="H533" s="326" t="str">
        <f>INDEX('Rate Card'!$B:$B,MATCH(服务费底表!$T533,'Rate Card'!$F:$F,0))</f>
        <v>生物统计及分析</v>
      </c>
      <c r="I533" s="328" t="s">
        <v>924</v>
      </c>
      <c r="J533" s="328" t="str">
        <f>INDEX(二三级标准!$Q:$Q,MATCH(服务费底表!I533,二三级标准!$O:$O,0))</f>
        <v>生物统计及分析</v>
      </c>
      <c r="K533" s="328" t="s">
        <v>1085</v>
      </c>
      <c r="L533" s="328" t="str">
        <f>INDEX(二三级标准!C:C,MATCH(服务费底表!K533,二三级标准!$B:$B,0))</f>
        <v>制定DSMB/DMC/IDMC统计TFLs模版</v>
      </c>
      <c r="M533" s="328" t="s">
        <v>1567</v>
      </c>
      <c r="N533" s="328" t="str">
        <f>INDEX(二三级标准!$M:$M,MATCH(服务费底表!$M533,二三级标准!$L:$L,0))</f>
        <v>DSMB/DMC/IDMC统计TFLs模板起草</v>
      </c>
      <c r="O533" s="328"/>
      <c r="P533" s="531">
        <f>IF(R533=1,INDEX(服务费明细!$E:$E,MATCH(服务费底表!$K533,服务费明细!$B:$B,0)),0)</f>
        <v>0</v>
      </c>
      <c r="Q533" s="328" t="s">
        <v>1176</v>
      </c>
      <c r="R533" s="520">
        <f>IF(AND(制定DSMB_DMC_IDMC统计TFLs模版=1,生物统计YN=1),1,0)</f>
        <v>0</v>
      </c>
      <c r="S533" s="524" t="str">
        <f>INDEX('Rate Card'!$D:$D,MATCH(服务费底表!$T533,'Rate Card'!F:F,0))</f>
        <v>生物统计</v>
      </c>
      <c r="T533" s="328" t="s">
        <v>639</v>
      </c>
      <c r="U533" s="522" t="str">
        <f>INDEX('Rate Card'!$E:$E,MATCH(服务费底表!$T533,'Rate Card'!$F:$F,0))</f>
        <v>生物统计师</v>
      </c>
      <c r="V533" s="331">
        <f>INDEX('Rate Card'!$J:$J,MATCH($T533,'Rate Card'!$F:$F,0))</f>
        <v>400</v>
      </c>
      <c r="W533" s="523">
        <f t="shared" si="468"/>
        <v>400</v>
      </c>
      <c r="X533" s="523">
        <f t="shared" si="469"/>
        <v>16</v>
      </c>
      <c r="Y533" s="327" cm="1">
        <f t="array" ref="Y533">_xlfn.IFS(报价场景=服务费底表!$AJ$2,服务费底表!$AJ533,报价场景=服务费底表!$AP$2,服务费底表!$AP533,报价场景=服务费底表!$AK$2,服务费底表!$AK533,报价场景=服务费底表!$AL$2,服务费底表!$AL533,报价场景=服务费底表!$AM$2,服务费底表!$AM533,报价场景=服务费底表!$AN$2,服务费底表!$AN533,报价场景=服务费底表!$AQ$2,服务费底表!$AQ533,报价场景=服务费底表!$AO$2,服务费底表!$AO533)</f>
        <v>16</v>
      </c>
      <c r="Z533" s="327"/>
      <c r="AA533" s="332">
        <f t="shared" si="470"/>
        <v>16</v>
      </c>
      <c r="AB533" s="333">
        <f t="shared" si="471"/>
        <v>0</v>
      </c>
      <c r="AC533" s="328">
        <f t="shared" si="472"/>
        <v>0</v>
      </c>
      <c r="AD533" s="334">
        <f t="shared" si="473"/>
        <v>0</v>
      </c>
      <c r="AE533" s="334">
        <f>$AB533*(1-INDEX(项目参数!$D$5:$D$14,MATCH(服务费底表!$S533,项目参数!$B$5:$B$14,0)))</f>
        <v>0</v>
      </c>
      <c r="AF533" s="334">
        <f>$AD533*INDEX(项目参数!$D$5:$D$14,MATCH(服务费底表!$S533,项目参数!$B$5:$B$14,0))</f>
        <v>0</v>
      </c>
      <c r="AG533" s="334">
        <f t="shared" si="474"/>
        <v>0</v>
      </c>
      <c r="AH533" s="328"/>
      <c r="AI533" s="328" t="s">
        <v>639</v>
      </c>
      <c r="AJ533" s="327">
        <v>16</v>
      </c>
      <c r="AK533" s="327">
        <f t="shared" si="462"/>
        <v>16</v>
      </c>
      <c r="AL533" s="327">
        <f t="shared" si="463"/>
        <v>16</v>
      </c>
      <c r="AM533" s="327">
        <f t="shared" si="464"/>
        <v>16</v>
      </c>
      <c r="AN533" s="327">
        <f t="shared" si="465"/>
        <v>16</v>
      </c>
      <c r="AO533" s="327">
        <f t="shared" si="461"/>
        <v>16</v>
      </c>
      <c r="AP533" s="327">
        <v>16</v>
      </c>
      <c r="AQ533" s="327">
        <f t="shared" si="475"/>
        <v>24</v>
      </c>
      <c r="AR533" s="338"/>
      <c r="AS533" s="328">
        <f t="shared" si="476"/>
        <v>0</v>
      </c>
      <c r="AT533" s="328">
        <f t="shared" si="477"/>
        <v>0</v>
      </c>
      <c r="AU533" s="523">
        <v>16</v>
      </c>
      <c r="AV533" s="328"/>
      <c r="AW533" s="328"/>
      <c r="AX533" s="332">
        <v>16</v>
      </c>
      <c r="AY533" s="328" t="b">
        <f t="shared" si="478"/>
        <v>1</v>
      </c>
      <c r="AZ533" s="328" t="b">
        <f t="shared" si="448"/>
        <v>0</v>
      </c>
    </row>
    <row r="534" ht="27" customHeight="1" spans="1:52">
      <c r="A534" s="326" t="str">
        <f>INDEX('Rate Card'!$A:$A,MATCH(服务费底表!$T534,'Rate Card'!$F:$F,0))</f>
        <v>数统</v>
      </c>
      <c r="B534" s="327" t="str">
        <f>INDEX(二三级标准!$G:$G,MATCH(服务费底表!$K534,二三级标准!B:B,0))</f>
        <v>份</v>
      </c>
      <c r="C534" s="327">
        <f>INDEX(服务费明细!$E:$E,MATCH(服务费底表!$K534,服务费明细!$B:$B,0))</f>
        <v>0</v>
      </c>
      <c r="D534" s="327" t="str">
        <f t="shared" si="466"/>
        <v>A227SAM</v>
      </c>
      <c r="E534" s="327" t="str">
        <f t="shared" si="467"/>
        <v>T0669aSAM</v>
      </c>
      <c r="F534" s="328"/>
      <c r="G534" s="328" t="s">
        <v>684</v>
      </c>
      <c r="H534" s="326" t="str">
        <f>INDEX('Rate Card'!$B:$B,MATCH(服务费底表!$T534,'Rate Card'!$F:$F,0))</f>
        <v>生物统计及分析</v>
      </c>
      <c r="I534" s="328" t="s">
        <v>924</v>
      </c>
      <c r="J534" s="328" t="str">
        <f>INDEX(二三级标准!$Q:$Q,MATCH(服务费底表!I534,二三级标准!$O:$O,0))</f>
        <v>生物统计及分析</v>
      </c>
      <c r="K534" s="328" t="s">
        <v>1085</v>
      </c>
      <c r="L534" s="328" t="str">
        <f>INDEX(二三级标准!C:C,MATCH(服务费底表!K534,二三级标准!$B:$B,0))</f>
        <v>制定DSMB/DMC/IDMC统计TFLs模版</v>
      </c>
      <c r="M534" s="328" t="s">
        <v>1568</v>
      </c>
      <c r="N534" s="328" t="str">
        <f>INDEX(二三级标准!$M:$M,MATCH(服务费底表!$M534,二三级标准!$L:$L,0))</f>
        <v>DSMB/DMC/IDMC统计TFLs模板审核</v>
      </c>
      <c r="O534" s="328"/>
      <c r="P534" s="531">
        <f>IF(R534=1,INDEX(服务费明细!$E:$E,MATCH(服务费底表!$K534,服务费明细!$B:$B,0)),0)</f>
        <v>0</v>
      </c>
      <c r="Q534" s="328" t="s">
        <v>1176</v>
      </c>
      <c r="R534" s="520">
        <f>IF(AND(制定DSMB_DMC_IDMC统计TFLs模版=1,统计分析YN=1),1,0)</f>
        <v>0</v>
      </c>
      <c r="S534" s="524" t="str">
        <f>INDEX('Rate Card'!$D:$D,MATCH(服务费底表!$T534,'Rate Card'!F:F,0))</f>
        <v>统计分析</v>
      </c>
      <c r="T534" s="328" t="s">
        <v>638</v>
      </c>
      <c r="U534" s="522" t="str">
        <f>INDEX('Rate Card'!$E:$E,MATCH(服务费底表!$T534,'Rate Card'!$F:$F,0))</f>
        <v>统计分析经理</v>
      </c>
      <c r="V534" s="331">
        <f>INDEX('Rate Card'!$J:$J,MATCH($T534,'Rate Card'!$F:$F,0))</f>
        <v>450</v>
      </c>
      <c r="W534" s="523">
        <f t="shared" si="468"/>
        <v>450</v>
      </c>
      <c r="X534" s="523">
        <f t="shared" si="469"/>
        <v>1</v>
      </c>
      <c r="Y534" s="327" cm="1">
        <f t="array" ref="Y534">_xlfn.IFS(报价场景=服务费底表!$AJ$2,服务费底表!$AJ534,报价场景=服务费底表!$AP$2,服务费底表!$AP534,报价场景=服务费底表!$AK$2,服务费底表!$AK534,报价场景=服务费底表!$AL$2,服务费底表!$AL534,报价场景=服务费底表!$AM$2,服务费底表!$AM534,报价场景=服务费底表!$AN$2,服务费底表!$AN534,报价场景=服务费底表!$AQ$2,服务费底表!$AQ534,报价场景=服务费底表!$AO$2,服务费底表!$AO534)</f>
        <v>1</v>
      </c>
      <c r="Z534" s="327"/>
      <c r="AA534" s="332">
        <f t="shared" si="470"/>
        <v>1</v>
      </c>
      <c r="AB534" s="333">
        <f t="shared" si="471"/>
        <v>0</v>
      </c>
      <c r="AC534" s="328">
        <f t="shared" si="472"/>
        <v>0</v>
      </c>
      <c r="AD534" s="334">
        <f t="shared" si="473"/>
        <v>0</v>
      </c>
      <c r="AE534" s="334">
        <f>$AB534*(1-INDEX(项目参数!$D$5:$D$14,MATCH(服务费底表!$S534,项目参数!$B$5:$B$14,0)))</f>
        <v>0</v>
      </c>
      <c r="AF534" s="334">
        <f>$AD534*INDEX(项目参数!$D$5:$D$14,MATCH(服务费底表!$S534,项目参数!$B$5:$B$14,0))</f>
        <v>0</v>
      </c>
      <c r="AG534" s="334">
        <f t="shared" si="474"/>
        <v>0</v>
      </c>
      <c r="AH534" s="328"/>
      <c r="AI534" s="328" t="s">
        <v>638</v>
      </c>
      <c r="AJ534" s="327">
        <v>1</v>
      </c>
      <c r="AK534" s="327">
        <f t="shared" si="462"/>
        <v>1</v>
      </c>
      <c r="AL534" s="327">
        <f t="shared" si="463"/>
        <v>1</v>
      </c>
      <c r="AM534" s="327">
        <f t="shared" si="464"/>
        <v>1</v>
      </c>
      <c r="AN534" s="327">
        <f t="shared" si="465"/>
        <v>1</v>
      </c>
      <c r="AO534" s="327">
        <f t="shared" si="461"/>
        <v>1</v>
      </c>
      <c r="AP534" s="327">
        <v>1</v>
      </c>
      <c r="AQ534" s="327">
        <f t="shared" si="475"/>
        <v>1.5</v>
      </c>
      <c r="AR534" s="338"/>
      <c r="AS534" s="328">
        <f t="shared" si="476"/>
        <v>0</v>
      </c>
      <c r="AT534" s="328">
        <f t="shared" si="477"/>
        <v>0</v>
      </c>
      <c r="AU534" s="523">
        <v>1</v>
      </c>
      <c r="AV534" s="328"/>
      <c r="AW534" s="328"/>
      <c r="AX534" s="332">
        <v>1</v>
      </c>
      <c r="AY534" s="328" t="b">
        <f t="shared" si="478"/>
        <v>1</v>
      </c>
      <c r="AZ534" s="328" t="b">
        <f t="shared" si="448"/>
        <v>0</v>
      </c>
    </row>
    <row r="535" ht="27" customHeight="1" spans="1:52">
      <c r="A535" s="326" t="str">
        <f>INDEX('Rate Card'!$A:$A,MATCH(服务费底表!$T535,'Rate Card'!$F:$F,0))</f>
        <v>数统</v>
      </c>
      <c r="B535" s="327" t="str">
        <f>INDEX(二三级标准!$G:$G,MATCH(服务费底表!$K535,二三级标准!B:B,0))</f>
        <v>份</v>
      </c>
      <c r="C535" s="327">
        <f>INDEX(服务费明细!$E:$E,MATCH(服务费底表!$K535,服务费明细!$B:$B,0))</f>
        <v>0</v>
      </c>
      <c r="D535" s="327" t="str">
        <f t="shared" si="466"/>
        <v>A227STM</v>
      </c>
      <c r="E535" s="327" t="str">
        <f t="shared" si="467"/>
        <v>T0669aSTM</v>
      </c>
      <c r="F535" s="328"/>
      <c r="G535" s="328" t="s">
        <v>684</v>
      </c>
      <c r="H535" s="326" t="str">
        <f>INDEX('Rate Card'!$B:$B,MATCH(服务费底表!$T535,'Rate Card'!$F:$F,0))</f>
        <v>生物统计及分析</v>
      </c>
      <c r="I535" s="328" t="s">
        <v>924</v>
      </c>
      <c r="J535" s="328" t="str">
        <f>INDEX(二三级标准!$Q:$Q,MATCH(服务费底表!I535,二三级标准!$O:$O,0))</f>
        <v>生物统计及分析</v>
      </c>
      <c r="K535" s="328" t="s">
        <v>1085</v>
      </c>
      <c r="L535" s="328" t="str">
        <f>INDEX(二三级标准!C:C,MATCH(服务费底表!K535,二三级标准!$B:$B,0))</f>
        <v>制定DSMB/DMC/IDMC统计TFLs模版</v>
      </c>
      <c r="M535" s="328" t="s">
        <v>1568</v>
      </c>
      <c r="N535" s="328" t="str">
        <f>INDEX(二三级标准!$M:$M,MATCH(服务费底表!$M535,二三级标准!$L:$L,0))</f>
        <v>DSMB/DMC/IDMC统计TFLs模板审核</v>
      </c>
      <c r="O535" s="328"/>
      <c r="P535" s="531">
        <f>IF(R535=1,INDEX(服务费明细!$E:$E,MATCH(服务费底表!$K535,服务费明细!$B:$B,0)),0)</f>
        <v>0</v>
      </c>
      <c r="Q535" s="328" t="s">
        <v>1176</v>
      </c>
      <c r="R535" s="520">
        <f>IF(AND(制定DSMB_DMC_IDMC统计TFLs模版=1,生物统计YN=1),1,0)</f>
        <v>0</v>
      </c>
      <c r="S535" s="524" t="str">
        <f>INDEX('Rate Card'!$D:$D,MATCH(服务费底表!$T535,'Rate Card'!F:F,0))</f>
        <v>生物统计</v>
      </c>
      <c r="T535" s="328" t="s">
        <v>642</v>
      </c>
      <c r="U535" s="522" t="str">
        <f>INDEX('Rate Card'!$E:$E,MATCH(服务费底表!$T535,'Rate Card'!$F:$F,0))</f>
        <v>生物统计经理</v>
      </c>
      <c r="V535" s="331">
        <f>INDEX('Rate Card'!$J:$J,MATCH($T535,'Rate Card'!$F:$F,0))</f>
        <v>700</v>
      </c>
      <c r="W535" s="523">
        <f t="shared" si="468"/>
        <v>700</v>
      </c>
      <c r="X535" s="523">
        <f t="shared" si="469"/>
        <v>2</v>
      </c>
      <c r="Y535" s="327" cm="1">
        <f t="array" ref="Y535">_xlfn.IFS(报价场景=服务费底表!$AJ$2,服务费底表!$AJ535,报价场景=服务费底表!$AP$2,服务费底表!$AP535,报价场景=服务费底表!$AK$2,服务费底表!$AK535,报价场景=服务费底表!$AL$2,服务费底表!$AL535,报价场景=服务费底表!$AM$2,服务费底表!$AM535,报价场景=服务费底表!$AN$2,服务费底表!$AN535,报价场景=服务费底表!$AQ$2,服务费底表!$AQ535,报价场景=服务费底表!$AO$2,服务费底表!$AO535)</f>
        <v>2</v>
      </c>
      <c r="Z535" s="327"/>
      <c r="AA535" s="332">
        <f t="shared" si="470"/>
        <v>2</v>
      </c>
      <c r="AB535" s="333">
        <f t="shared" si="471"/>
        <v>0</v>
      </c>
      <c r="AC535" s="328">
        <f t="shared" si="472"/>
        <v>0</v>
      </c>
      <c r="AD535" s="334">
        <f t="shared" si="473"/>
        <v>0</v>
      </c>
      <c r="AE535" s="334">
        <f>$AB535*(1-INDEX(项目参数!$D$5:$D$14,MATCH(服务费底表!$S535,项目参数!$B$5:$B$14,0)))</f>
        <v>0</v>
      </c>
      <c r="AF535" s="334">
        <f>$AD535*INDEX(项目参数!$D$5:$D$14,MATCH(服务费底表!$S535,项目参数!$B$5:$B$14,0))</f>
        <v>0</v>
      </c>
      <c r="AG535" s="334">
        <f t="shared" si="474"/>
        <v>0</v>
      </c>
      <c r="AH535" s="328"/>
      <c r="AI535" s="328" t="s">
        <v>642</v>
      </c>
      <c r="AJ535" s="327">
        <v>2</v>
      </c>
      <c r="AK535" s="327">
        <f t="shared" si="462"/>
        <v>2</v>
      </c>
      <c r="AL535" s="327">
        <f t="shared" si="463"/>
        <v>2</v>
      </c>
      <c r="AM535" s="327">
        <f t="shared" si="464"/>
        <v>2</v>
      </c>
      <c r="AN535" s="327">
        <f t="shared" si="465"/>
        <v>2</v>
      </c>
      <c r="AO535" s="327">
        <f t="shared" si="461"/>
        <v>2</v>
      </c>
      <c r="AP535" s="327">
        <v>2</v>
      </c>
      <c r="AQ535" s="327">
        <f t="shared" si="475"/>
        <v>3</v>
      </c>
      <c r="AR535" s="338"/>
      <c r="AS535" s="328">
        <f t="shared" si="476"/>
        <v>0</v>
      </c>
      <c r="AT535" s="328">
        <f t="shared" si="477"/>
        <v>0</v>
      </c>
      <c r="AU535" s="523">
        <v>2</v>
      </c>
      <c r="AV535" s="328"/>
      <c r="AW535" s="328"/>
      <c r="AX535" s="332">
        <v>2</v>
      </c>
      <c r="AY535" s="328" t="b">
        <f t="shared" si="478"/>
        <v>1</v>
      </c>
      <c r="AZ535" s="328" t="b">
        <f t="shared" si="448"/>
        <v>0</v>
      </c>
    </row>
    <row r="536" ht="27" customHeight="1" spans="1:52">
      <c r="A536" s="326" t="str">
        <f>INDEX('Rate Card'!$A:$A,MATCH(服务费底表!$T536,'Rate Card'!$F:$F,0))</f>
        <v>数统</v>
      </c>
      <c r="B536" s="327" t="str">
        <f>INDEX(二三级标准!$G:$G,MATCH(服务费底表!$K536,二三级标准!B:B,0))</f>
        <v>份</v>
      </c>
      <c r="C536" s="327">
        <f>INDEX(服务费明细!$E:$E,MATCH(服务费底表!$K536,服务费明细!$B:$B,0))</f>
        <v>0</v>
      </c>
      <c r="D536" s="327" t="str">
        <f t="shared" si="466"/>
        <v>A227ST</v>
      </c>
      <c r="E536" s="327" t="str">
        <f t="shared" si="467"/>
        <v>T0670aST</v>
      </c>
      <c r="F536" s="328"/>
      <c r="G536" s="328" t="s">
        <v>684</v>
      </c>
      <c r="H536" s="326" t="str">
        <f>INDEX('Rate Card'!$B:$B,MATCH(服务费底表!$T536,'Rate Card'!$F:$F,0))</f>
        <v>生物统计及分析</v>
      </c>
      <c r="I536" s="328" t="s">
        <v>924</v>
      </c>
      <c r="J536" s="328" t="str">
        <f>INDEX(二三级标准!$Q:$Q,MATCH(服务费底表!I536,二三级标准!$O:$O,0))</f>
        <v>生物统计及分析</v>
      </c>
      <c r="K536" s="328" t="s">
        <v>1085</v>
      </c>
      <c r="L536" s="328" t="str">
        <f>INDEX(二三级标准!C:C,MATCH(服务费底表!K536,二三级标准!$B:$B,0))</f>
        <v>制定DSMB/DMC/IDMC统计TFLs模版</v>
      </c>
      <c r="M536" s="328" t="s">
        <v>1569</v>
      </c>
      <c r="N536" s="328" t="str">
        <f>INDEX(二三级标准!$M:$M,MATCH(服务费底表!$M536,二三级标准!$L:$L,0))</f>
        <v>DSMB/DMC/IDMC统计TFLs模板的修订</v>
      </c>
      <c r="O536" s="328"/>
      <c r="P536" s="531">
        <f>IF(R536=1,INDEX(服务费明细!$E:$E,MATCH(服务费底表!$K536,服务费明细!$B:$B,0)),0)</f>
        <v>0</v>
      </c>
      <c r="Q536" s="328" t="s">
        <v>1176</v>
      </c>
      <c r="R536" s="520">
        <f>IF(AND(制定DSMB_DMC_IDMC统计TFLs模版=1,生物统计YN=1),1,0)</f>
        <v>0</v>
      </c>
      <c r="S536" s="524" t="str">
        <f>INDEX('Rate Card'!$D:$D,MATCH(服务费底表!$T536,'Rate Card'!F:F,0))</f>
        <v>生物统计</v>
      </c>
      <c r="T536" s="328" t="s">
        <v>639</v>
      </c>
      <c r="U536" s="522" t="str">
        <f>INDEX('Rate Card'!$E:$E,MATCH(服务费底表!$T536,'Rate Card'!$F:$F,0))</f>
        <v>生物统计师</v>
      </c>
      <c r="V536" s="331">
        <f>INDEX('Rate Card'!$J:$J,MATCH($T536,'Rate Card'!$F:$F,0))</f>
        <v>400</v>
      </c>
      <c r="W536" s="523">
        <f t="shared" si="468"/>
        <v>400</v>
      </c>
      <c r="X536" s="523">
        <f t="shared" si="469"/>
        <v>4</v>
      </c>
      <c r="Y536" s="327" cm="1">
        <f t="array" ref="Y536">_xlfn.IFS(报价场景=服务费底表!$AJ$2,服务费底表!$AJ536,报价场景=服务费底表!$AP$2,服务费底表!$AP536,报价场景=服务费底表!$AK$2,服务费底表!$AK536,报价场景=服务费底表!$AL$2,服务费底表!$AL536,报价场景=服务费底表!$AM$2,服务费底表!$AM536,报价场景=服务费底表!$AN$2,服务费底表!$AN536,报价场景=服务费底表!$AQ$2,服务费底表!$AQ536,报价场景=服务费底表!$AO$2,服务费底表!$AO536)</f>
        <v>4</v>
      </c>
      <c r="Z536" s="327"/>
      <c r="AA536" s="332">
        <f t="shared" si="470"/>
        <v>4</v>
      </c>
      <c r="AB536" s="333">
        <f t="shared" si="471"/>
        <v>0</v>
      </c>
      <c r="AC536" s="328">
        <f t="shared" si="472"/>
        <v>0</v>
      </c>
      <c r="AD536" s="334">
        <f t="shared" si="473"/>
        <v>0</v>
      </c>
      <c r="AE536" s="334">
        <f>$AB536*(1-INDEX(项目参数!$D$5:$D$14,MATCH(服务费底表!$S536,项目参数!$B$5:$B$14,0)))</f>
        <v>0</v>
      </c>
      <c r="AF536" s="334">
        <f>$AD536*INDEX(项目参数!$D$5:$D$14,MATCH(服务费底表!$S536,项目参数!$B$5:$B$14,0))</f>
        <v>0</v>
      </c>
      <c r="AG536" s="334">
        <f t="shared" si="474"/>
        <v>0</v>
      </c>
      <c r="AH536" s="328"/>
      <c r="AI536" s="328" t="s">
        <v>639</v>
      </c>
      <c r="AJ536" s="327">
        <v>4</v>
      </c>
      <c r="AK536" s="327">
        <f t="shared" si="462"/>
        <v>4</v>
      </c>
      <c r="AL536" s="327">
        <f t="shared" si="463"/>
        <v>4</v>
      </c>
      <c r="AM536" s="327">
        <f t="shared" si="464"/>
        <v>4</v>
      </c>
      <c r="AN536" s="327">
        <f t="shared" si="465"/>
        <v>4</v>
      </c>
      <c r="AO536" s="327">
        <f t="shared" si="461"/>
        <v>4</v>
      </c>
      <c r="AP536" s="327">
        <v>4</v>
      </c>
      <c r="AQ536" s="327">
        <f t="shared" si="475"/>
        <v>6</v>
      </c>
      <c r="AR536" s="338"/>
      <c r="AS536" s="328">
        <f t="shared" si="476"/>
        <v>0</v>
      </c>
      <c r="AT536" s="328">
        <f t="shared" si="477"/>
        <v>0</v>
      </c>
      <c r="AU536" s="523">
        <v>4</v>
      </c>
      <c r="AV536" s="328"/>
      <c r="AW536" s="328"/>
      <c r="AX536" s="332">
        <v>4</v>
      </c>
      <c r="AY536" s="328" t="b">
        <f t="shared" si="478"/>
        <v>1</v>
      </c>
      <c r="AZ536" s="328" t="b">
        <f t="shared" si="448"/>
        <v>0</v>
      </c>
    </row>
    <row r="537" ht="27" customHeight="1" spans="1:52">
      <c r="A537" s="326" t="str">
        <f>INDEX('Rate Card'!$A:$A,MATCH(服务费底表!$T537,'Rate Card'!$F:$F,0))</f>
        <v>数统</v>
      </c>
      <c r="B537" s="327" t="str">
        <f>INDEX(二三级标准!$G:$G,MATCH(服务费底表!$K537,二三级标准!B:B,0))</f>
        <v>次</v>
      </c>
      <c r="C537" s="327">
        <f>INDEX(服务费明细!$E:$E,MATCH(服务费底表!$K537,服务费明细!$B:$B,0))</f>
        <v>0</v>
      </c>
      <c r="D537" s="327" t="str">
        <f t="shared" ref="D537:D545" si="479">K537&amp;T537</f>
        <v>A231SAM</v>
      </c>
      <c r="E537" s="327" t="str">
        <f t="shared" ref="E537:E545" si="480">M537&amp;T537</f>
        <v>T0679SAM</v>
      </c>
      <c r="F537" s="328"/>
      <c r="G537" s="328" t="s">
        <v>684</v>
      </c>
      <c r="H537" s="326" t="str">
        <f>INDEX('Rate Card'!$B:$B,MATCH(服务费底表!$T537,'Rate Card'!$F:$F,0))</f>
        <v>生物统计及分析</v>
      </c>
      <c r="I537" s="328" t="s">
        <v>924</v>
      </c>
      <c r="J537" s="328" t="str">
        <f>INDEX(二三级标准!$Q:$Q,MATCH(服务费底表!I537,二三级标准!$O:$O,0))</f>
        <v>生物统计及分析</v>
      </c>
      <c r="K537" s="328" t="s">
        <v>1086</v>
      </c>
      <c r="L537" s="328" t="str">
        <f>INDEX(二三级标准!C:C,MATCH(服务费底表!K537,二三级标准!$B:$B,0))</f>
        <v>DSMB/DMC/IDMC统计TFLs Dry Run</v>
      </c>
      <c r="M537" s="328" t="s">
        <v>1570</v>
      </c>
      <c r="N537" s="328" t="str">
        <f>INDEX(二三级标准!$M:$M,MATCH(服务费底表!$M537,二三级标准!$L:$L,0))</f>
        <v>DSMB/DMC/IDMC统计TFLs Dry Run的程序运行</v>
      </c>
      <c r="O537" s="328" t="s">
        <v>1571</v>
      </c>
      <c r="P537" s="531">
        <f>IF(R537=1,INDEX(服务费明细!$E:$E,MATCH(服务费底表!$K537,服务费明细!$B:$B,0)),0)</f>
        <v>0</v>
      </c>
      <c r="Q537" s="328" t="s">
        <v>1178</v>
      </c>
      <c r="R537" s="520">
        <f>IF(AND(DSMB_DMC_IDMC统计TFLs_Dry_Run=1,统计分析YN=1),1,0)</f>
        <v>0</v>
      </c>
      <c r="S537" s="524" t="str">
        <f>INDEX('Rate Card'!$D:$D,MATCH(服务费底表!$T537,'Rate Card'!F:F,0))</f>
        <v>统计分析</v>
      </c>
      <c r="T537" s="328" t="s">
        <v>638</v>
      </c>
      <c r="U537" s="522" t="str">
        <f>INDEX('Rate Card'!$E:$E,MATCH(服务费底表!$T537,'Rate Card'!$F:$F,0))</f>
        <v>统计分析经理</v>
      </c>
      <c r="V537" s="331">
        <f>INDEX('Rate Card'!$J:$J,MATCH($T537,'Rate Card'!$F:$F,0))</f>
        <v>450</v>
      </c>
      <c r="W537" s="523">
        <f t="shared" si="468"/>
        <v>450</v>
      </c>
      <c r="X537" s="523">
        <f t="shared" si="469"/>
        <v>32</v>
      </c>
      <c r="Y537" s="327" cm="1">
        <f t="array" ref="Y537">_xlfn.IFS(报价场景=服务费底表!$AJ$2,服务费底表!$AJ537,报价场景=服务费底表!$AP$2,服务费底表!$AP537,报价场景=服务费底表!$AK$2,服务费底表!$AK537,报价场景=服务费底表!$AL$2,服务费底表!$AL537,报价场景=服务费底表!$AM$2,服务费底表!$AM537,报价场景=服务费底表!$AN$2,服务费底表!$AN537,报价场景=服务费底表!$AQ$2,服务费底表!$AQ537,报价场景=服务费底表!$AO$2,服务费底表!$AO537)</f>
        <v>32</v>
      </c>
      <c r="Z537" s="327"/>
      <c r="AA537" s="332">
        <f t="shared" ref="AA537:AA545" si="481">IF(ISBLANK($Z537),$Y537,$Z537)</f>
        <v>32</v>
      </c>
      <c r="AB537" s="333">
        <f t="shared" ref="AB537:AB545" si="482">IFERROR(AD537/P537,0)</f>
        <v>0</v>
      </c>
      <c r="AC537" s="328">
        <f t="shared" ref="AC537:AC545" si="483">AA537*P537*R537</f>
        <v>0</v>
      </c>
      <c r="AD537" s="334">
        <f t="shared" ref="AD537:AD545" si="484">AC537*V537</f>
        <v>0</v>
      </c>
      <c r="AE537" s="334">
        <f>$AB537*(1-INDEX(项目参数!$D$5:$D$14,MATCH(服务费底表!$S537,项目参数!$B$5:$B$14,0)))</f>
        <v>0</v>
      </c>
      <c r="AF537" s="334">
        <f>$AD537*INDEX(项目参数!$D$5:$D$14,MATCH(服务费底表!$S537,项目参数!$B$5:$B$14,0))</f>
        <v>0</v>
      </c>
      <c r="AG537" s="334">
        <f t="shared" ref="AG537:AG542" si="485">AD537-AF537</f>
        <v>0</v>
      </c>
      <c r="AH537" s="328"/>
      <c r="AI537" s="328" t="s">
        <v>638</v>
      </c>
      <c r="AJ537" s="327">
        <v>32</v>
      </c>
      <c r="AK537" s="327">
        <f t="shared" si="462"/>
        <v>32</v>
      </c>
      <c r="AL537" s="327">
        <f t="shared" si="463"/>
        <v>32</v>
      </c>
      <c r="AM537" s="327">
        <f t="shared" si="464"/>
        <v>32</v>
      </c>
      <c r="AN537" s="327">
        <f t="shared" si="465"/>
        <v>32</v>
      </c>
      <c r="AO537" s="327">
        <f t="shared" si="461"/>
        <v>32</v>
      </c>
      <c r="AP537" s="327">
        <v>32</v>
      </c>
      <c r="AQ537" s="327">
        <f t="shared" si="475"/>
        <v>48</v>
      </c>
      <c r="AR537" s="338"/>
      <c r="AS537" s="328">
        <f t="shared" ref="AS537:AS542" si="486">AC537</f>
        <v>0</v>
      </c>
      <c r="AT537" s="328">
        <f t="shared" ref="AT537:AT542" si="487">Y537*P537</f>
        <v>0</v>
      </c>
      <c r="AU537" s="523">
        <v>32</v>
      </c>
      <c r="AV537" s="328"/>
      <c r="AW537" s="328"/>
      <c r="AX537" s="332">
        <v>32</v>
      </c>
      <c r="AY537" s="328" t="b">
        <f t="shared" ref="AY537:AY545" si="488">IF(AX537=AJ537,TRUE,FALSE)</f>
        <v>1</v>
      </c>
      <c r="AZ537" s="328" t="b">
        <f t="shared" si="448"/>
        <v>1</v>
      </c>
    </row>
    <row r="538" ht="27" customHeight="1" spans="1:52">
      <c r="A538" s="326" t="str">
        <f>INDEX('Rate Card'!$A:$A,MATCH(服务费底表!$T538,'Rate Card'!$F:$F,0))</f>
        <v>数统</v>
      </c>
      <c r="B538" s="327" t="str">
        <f>INDEX(二三级标准!$G:$G,MATCH(服务费底表!$K538,二三级标准!B:B,0))</f>
        <v>次</v>
      </c>
      <c r="C538" s="327">
        <f>INDEX(服务费明细!$E:$E,MATCH(服务费底表!$K538,服务费明细!$B:$B,0))</f>
        <v>0</v>
      </c>
      <c r="D538" s="327" t="str">
        <f t="shared" si="479"/>
        <v>A231STM</v>
      </c>
      <c r="E538" s="327" t="str">
        <f t="shared" si="480"/>
        <v>T0680STM</v>
      </c>
      <c r="F538" s="328"/>
      <c r="G538" s="328" t="s">
        <v>684</v>
      </c>
      <c r="H538" s="326" t="str">
        <f>INDEX('Rate Card'!$B:$B,MATCH(服务费底表!$T538,'Rate Card'!$F:$F,0))</f>
        <v>生物统计及分析</v>
      </c>
      <c r="I538" s="328" t="s">
        <v>924</v>
      </c>
      <c r="J538" s="328" t="str">
        <f>INDEX(二三级标准!$Q:$Q,MATCH(服务费底表!I538,二三级标准!$O:$O,0))</f>
        <v>生物统计及分析</v>
      </c>
      <c r="K538" s="328" t="s">
        <v>1086</v>
      </c>
      <c r="L538" s="328" t="str">
        <f>INDEX(二三级标准!C:C,MATCH(服务费底表!K538,二三级标准!$B:$B,0))</f>
        <v>DSMB/DMC/IDMC统计TFLs Dry Run</v>
      </c>
      <c r="M538" s="328" t="s">
        <v>1572</v>
      </c>
      <c r="N538" s="328" t="str">
        <f>INDEX(二三级标准!$M:$M,MATCH(服务费底表!$M538,二三级标准!$L:$L,0))</f>
        <v>DSMB/DMC/IDMC统计TFLs Dry Run的结果审核</v>
      </c>
      <c r="O538" s="328"/>
      <c r="P538" s="531">
        <f>IF(R538=1,INDEX(服务费明细!$E:$E,MATCH(服务费底表!$K538,服务费明细!$B:$B,0)),0)</f>
        <v>0</v>
      </c>
      <c r="Q538" s="328" t="s">
        <v>1178</v>
      </c>
      <c r="R538" s="520">
        <f>IF(AND(DSMB_DMC_IDMC统计TFLs_Dry_Run=1,生物统计YN=1),1,0)</f>
        <v>0</v>
      </c>
      <c r="S538" s="524" t="str">
        <f>INDEX('Rate Card'!$D:$D,MATCH(服务费底表!$T538,'Rate Card'!F:F,0))</f>
        <v>生物统计</v>
      </c>
      <c r="T538" s="328" t="s">
        <v>642</v>
      </c>
      <c r="U538" s="522" t="str">
        <f>INDEX('Rate Card'!$E:$E,MATCH(服务费底表!$T538,'Rate Card'!$F:$F,0))</f>
        <v>生物统计经理</v>
      </c>
      <c r="V538" s="331">
        <f>INDEX('Rate Card'!$J:$J,MATCH($T538,'Rate Card'!$F:$F,0))</f>
        <v>700</v>
      </c>
      <c r="W538" s="523">
        <f t="shared" si="468"/>
        <v>700</v>
      </c>
      <c r="X538" s="523">
        <f t="shared" si="469"/>
        <v>12</v>
      </c>
      <c r="Y538" s="327" cm="1">
        <f t="array" ref="Y538">_xlfn.IFS(报价场景=服务费底表!$AJ$2,服务费底表!$AJ538,报价场景=服务费底表!$AP$2,服务费底表!$AP538,报价场景=服务费底表!$AK$2,服务费底表!$AK538,报价场景=服务费底表!$AL$2,服务费底表!$AL538,报价场景=服务费底表!$AM$2,服务费底表!$AM538,报价场景=服务费底表!$AN$2,服务费底表!$AN538,报价场景=服务费底表!$AQ$2,服务费底表!$AQ538,报价场景=服务费底表!$AO$2,服务费底表!$AO538)</f>
        <v>12</v>
      </c>
      <c r="Z538" s="327"/>
      <c r="AA538" s="332">
        <f t="shared" si="481"/>
        <v>12</v>
      </c>
      <c r="AB538" s="333">
        <f t="shared" si="482"/>
        <v>0</v>
      </c>
      <c r="AC538" s="328">
        <f t="shared" si="483"/>
        <v>0</v>
      </c>
      <c r="AD538" s="334">
        <f t="shared" si="484"/>
        <v>0</v>
      </c>
      <c r="AE538" s="334">
        <f>$AB538*(1-INDEX(项目参数!$D$5:$D$14,MATCH(服务费底表!$S538,项目参数!$B$5:$B$14,0)))</f>
        <v>0</v>
      </c>
      <c r="AF538" s="334">
        <f>$AD538*INDEX(项目参数!$D$5:$D$14,MATCH(服务费底表!$S538,项目参数!$B$5:$B$14,0))</f>
        <v>0</v>
      </c>
      <c r="AG538" s="334">
        <f t="shared" si="485"/>
        <v>0</v>
      </c>
      <c r="AH538" s="328"/>
      <c r="AI538" s="328" t="s">
        <v>642</v>
      </c>
      <c r="AJ538" s="327">
        <v>12</v>
      </c>
      <c r="AK538" s="327">
        <f t="shared" si="462"/>
        <v>12</v>
      </c>
      <c r="AL538" s="327">
        <f t="shared" si="463"/>
        <v>12</v>
      </c>
      <c r="AM538" s="327">
        <f t="shared" si="464"/>
        <v>12</v>
      </c>
      <c r="AN538" s="327">
        <f t="shared" si="465"/>
        <v>12</v>
      </c>
      <c r="AO538" s="327">
        <f t="shared" si="461"/>
        <v>12</v>
      </c>
      <c r="AP538" s="327">
        <v>12</v>
      </c>
      <c r="AQ538" s="327">
        <f t="shared" si="475"/>
        <v>18</v>
      </c>
      <c r="AR538" s="338"/>
      <c r="AS538" s="328">
        <f t="shared" si="486"/>
        <v>0</v>
      </c>
      <c r="AT538" s="328">
        <f t="shared" si="487"/>
        <v>0</v>
      </c>
      <c r="AU538" s="523">
        <v>12</v>
      </c>
      <c r="AV538" s="328"/>
      <c r="AW538" s="328"/>
      <c r="AX538" s="332">
        <v>12</v>
      </c>
      <c r="AY538" s="328" t="b">
        <f t="shared" si="488"/>
        <v>1</v>
      </c>
      <c r="AZ538" s="328" t="b">
        <f t="shared" si="448"/>
        <v>1</v>
      </c>
    </row>
    <row r="539" ht="27" customHeight="1" spans="1:52">
      <c r="A539" s="326" t="str">
        <f>INDEX('Rate Card'!$A:$A,MATCH(服务费底表!$T539,'Rate Card'!$F:$F,0))</f>
        <v>数统</v>
      </c>
      <c r="B539" s="327" t="str">
        <f>INDEX(二三级标准!$G:$G,MATCH(服务费底表!$K539,二三级标准!B:B,0))</f>
        <v>次</v>
      </c>
      <c r="C539" s="327">
        <f>INDEX(服务费明细!$E:$E,MATCH(服务费底表!$K539,服务费明细!$B:$B,0))</f>
        <v>0</v>
      </c>
      <c r="D539" s="327" t="str">
        <f t="shared" si="479"/>
        <v>A232STM</v>
      </c>
      <c r="E539" s="327" t="str">
        <f t="shared" si="480"/>
        <v>T0681STM</v>
      </c>
      <c r="F539" s="328"/>
      <c r="G539" s="328" t="s">
        <v>684</v>
      </c>
      <c r="H539" s="326" t="str">
        <f>INDEX('Rate Card'!$B:$B,MATCH(服务费底表!$T539,'Rate Card'!$F:$F,0))</f>
        <v>生物统计及分析</v>
      </c>
      <c r="I539" s="328" t="s">
        <v>924</v>
      </c>
      <c r="J539" s="328" t="str">
        <f>INDEX(二三级标准!$Q:$Q,MATCH(服务费底表!I539,二三级标准!$O:$O,0))</f>
        <v>生物统计及分析</v>
      </c>
      <c r="K539" s="328" t="s">
        <v>1087</v>
      </c>
      <c r="L539" s="328" t="str">
        <f>INDEX(二三级标准!C:C,MATCH(服务费底表!K539,二三级标准!$B:$B,0))</f>
        <v>参加和协助DSMB/DMC/IDMC启动会</v>
      </c>
      <c r="M539" s="328" t="s">
        <v>1573</v>
      </c>
      <c r="N539" s="328" t="str">
        <f>INDEX(二三级标准!$M:$M,MATCH(服务费底表!$M539,二三级标准!$L:$L,0))</f>
        <v>准备DSMB/DMC/IDMC启动会材料</v>
      </c>
      <c r="O539" s="328"/>
      <c r="P539" s="531">
        <f>IF(R539=1,INDEX(服务费明细!$E:$E,MATCH(服务费底表!$K539,服务费明细!$B:$B,0)),0)</f>
        <v>0</v>
      </c>
      <c r="Q539" s="328" t="s">
        <v>1178</v>
      </c>
      <c r="R539" s="520">
        <f>IF(AND(参加和协助DSMB_DMC_IDMC启动会=1,生物统计YN=1),1,0)</f>
        <v>0</v>
      </c>
      <c r="S539" s="524" t="str">
        <f>INDEX('Rate Card'!$D:$D,MATCH(服务费底表!$T539,'Rate Card'!F:F,0))</f>
        <v>生物统计</v>
      </c>
      <c r="T539" s="328" t="s">
        <v>642</v>
      </c>
      <c r="U539" s="522" t="str">
        <f>INDEX('Rate Card'!$E:$E,MATCH(服务费底表!$T539,'Rate Card'!$F:$F,0))</f>
        <v>生物统计经理</v>
      </c>
      <c r="V539" s="331">
        <f>INDEX('Rate Card'!$J:$J,MATCH($T539,'Rate Card'!$F:$F,0))</f>
        <v>700</v>
      </c>
      <c r="W539" s="523">
        <f t="shared" si="468"/>
        <v>700</v>
      </c>
      <c r="X539" s="523">
        <f t="shared" si="469"/>
        <v>10</v>
      </c>
      <c r="Y539" s="327" cm="1">
        <f t="array" ref="Y539">_xlfn.IFS(报价场景=服务费底表!$AJ$2,服务费底表!$AJ539,报价场景=服务费底表!$AP$2,服务费底表!$AP539,报价场景=服务费底表!$AK$2,服务费底表!$AK539,报价场景=服务费底表!$AL$2,服务费底表!$AL539,报价场景=服务费底表!$AM$2,服务费底表!$AM539,报价场景=服务费底表!$AN$2,服务费底表!$AN539,报价场景=服务费底表!$AQ$2,服务费底表!$AQ539,报价场景=服务费底表!$AO$2,服务费底表!$AO539)</f>
        <v>10</v>
      </c>
      <c r="Z539" s="327"/>
      <c r="AA539" s="332">
        <f t="shared" si="481"/>
        <v>10</v>
      </c>
      <c r="AB539" s="333">
        <f t="shared" si="482"/>
        <v>0</v>
      </c>
      <c r="AC539" s="328">
        <f t="shared" si="483"/>
        <v>0</v>
      </c>
      <c r="AD539" s="334">
        <f t="shared" si="484"/>
        <v>0</v>
      </c>
      <c r="AE539" s="334">
        <f>$AB539*(1-INDEX(项目参数!$D$5:$D$14,MATCH(服务费底表!$S539,项目参数!$B$5:$B$14,0)))</f>
        <v>0</v>
      </c>
      <c r="AF539" s="334">
        <f>$AD539*INDEX(项目参数!$D$5:$D$14,MATCH(服务费底表!$S539,项目参数!$B$5:$B$14,0))</f>
        <v>0</v>
      </c>
      <c r="AG539" s="334">
        <f t="shared" si="485"/>
        <v>0</v>
      </c>
      <c r="AH539" s="328"/>
      <c r="AI539" s="328" t="s">
        <v>642</v>
      </c>
      <c r="AJ539" s="327">
        <v>10</v>
      </c>
      <c r="AK539" s="327">
        <f t="shared" si="462"/>
        <v>10</v>
      </c>
      <c r="AL539" s="327">
        <f t="shared" si="463"/>
        <v>10</v>
      </c>
      <c r="AM539" s="327">
        <f t="shared" si="464"/>
        <v>10</v>
      </c>
      <c r="AN539" s="327">
        <f t="shared" si="465"/>
        <v>10</v>
      </c>
      <c r="AO539" s="327">
        <f t="shared" si="461"/>
        <v>10</v>
      </c>
      <c r="AP539" s="327">
        <v>10</v>
      </c>
      <c r="AQ539" s="327">
        <f t="shared" si="475"/>
        <v>15</v>
      </c>
      <c r="AR539" s="338"/>
      <c r="AS539" s="328">
        <f t="shared" si="486"/>
        <v>0</v>
      </c>
      <c r="AT539" s="328">
        <f t="shared" si="487"/>
        <v>0</v>
      </c>
      <c r="AU539" s="523">
        <v>10</v>
      </c>
      <c r="AV539" s="328"/>
      <c r="AW539" s="328"/>
      <c r="AX539" s="332">
        <v>10</v>
      </c>
      <c r="AY539" s="328" t="b">
        <f t="shared" si="488"/>
        <v>1</v>
      </c>
      <c r="AZ539" s="328" t="b">
        <f t="shared" si="448"/>
        <v>0</v>
      </c>
    </row>
    <row r="540" ht="27" customHeight="1" spans="1:52">
      <c r="A540" s="326" t="str">
        <f>INDEX('Rate Card'!$A:$A,MATCH(服务费底表!$T540,'Rate Card'!$F:$F,0))</f>
        <v>数统</v>
      </c>
      <c r="B540" s="327" t="str">
        <f>INDEX(二三级标准!$G:$G,MATCH(服务费底表!$K540,二三级标准!B:B,0))</f>
        <v>次</v>
      </c>
      <c r="C540" s="327">
        <f>INDEX(服务费明细!$E:$E,MATCH(服务费底表!$K540,服务费明细!$B:$B,0))</f>
        <v>0</v>
      </c>
      <c r="D540" s="327" t="str">
        <f t="shared" si="479"/>
        <v>A232STM</v>
      </c>
      <c r="E540" s="327" t="str">
        <f t="shared" si="480"/>
        <v>T0682STM</v>
      </c>
      <c r="F540" s="328"/>
      <c r="G540" s="328" t="s">
        <v>684</v>
      </c>
      <c r="H540" s="326" t="str">
        <f>INDEX('Rate Card'!$B:$B,MATCH(服务费底表!$T540,'Rate Card'!$F:$F,0))</f>
        <v>生物统计及分析</v>
      </c>
      <c r="I540" s="328" t="s">
        <v>924</v>
      </c>
      <c r="J540" s="328" t="str">
        <f>INDEX(二三级标准!$Q:$Q,MATCH(服务费底表!I540,二三级标准!$O:$O,0))</f>
        <v>生物统计及分析</v>
      </c>
      <c r="K540" s="328" t="s">
        <v>1087</v>
      </c>
      <c r="L540" s="328" t="str">
        <f>INDEX(二三级标准!C:C,MATCH(服务费底表!K540,二三级标准!$B:$B,0))</f>
        <v>参加和协助DSMB/DMC/IDMC启动会</v>
      </c>
      <c r="M540" s="328" t="s">
        <v>1574</v>
      </c>
      <c r="N540" s="328" t="str">
        <f>INDEX(二三级标准!$M:$M,MATCH(服务费底表!$M540,二三级标准!$L:$L,0))</f>
        <v>参加DSMB/DMC/IDMC启动会</v>
      </c>
      <c r="O540" s="328"/>
      <c r="P540" s="531">
        <f>IF(R540=1,INDEX(服务费明细!$E:$E,MATCH(服务费底表!$K540,服务费明细!$B:$B,0)),0)</f>
        <v>0</v>
      </c>
      <c r="Q540" s="328" t="s">
        <v>1178</v>
      </c>
      <c r="R540" s="520">
        <f>IF(AND(参加和协助DSMB_DMC_IDMC启动会=1,生物统计YN=1),1,0)</f>
        <v>0</v>
      </c>
      <c r="S540" s="524" t="str">
        <f>INDEX('Rate Card'!$D:$D,MATCH(服务费底表!$T540,'Rate Card'!F:F,0))</f>
        <v>生物统计</v>
      </c>
      <c r="T540" s="328" t="s">
        <v>642</v>
      </c>
      <c r="U540" s="522" t="str">
        <f>INDEX('Rate Card'!$E:$E,MATCH(服务费底表!$T540,'Rate Card'!$F:$F,0))</f>
        <v>生物统计经理</v>
      </c>
      <c r="V540" s="331">
        <f>INDEX('Rate Card'!$J:$J,MATCH($T540,'Rate Card'!$F:$F,0))</f>
        <v>700</v>
      </c>
      <c r="W540" s="523">
        <f t="shared" si="468"/>
        <v>700</v>
      </c>
      <c r="X540" s="523">
        <f t="shared" si="469"/>
        <v>2</v>
      </c>
      <c r="Y540" s="327" cm="1">
        <f t="array" ref="Y540">_xlfn.IFS(报价场景=服务费底表!$AJ$2,服务费底表!$AJ540,报价场景=服务费底表!$AP$2,服务费底表!$AP540,报价场景=服务费底表!$AK$2,服务费底表!$AK540,报价场景=服务费底表!$AL$2,服务费底表!$AL540,报价场景=服务费底表!$AM$2,服务费底表!$AM540,报价场景=服务费底表!$AN$2,服务费底表!$AN540,报价场景=服务费底表!$AQ$2,服务费底表!$AQ540,报价场景=服务费底表!$AO$2,服务费底表!$AO540)</f>
        <v>2</v>
      </c>
      <c r="Z540" s="327"/>
      <c r="AA540" s="332">
        <f t="shared" si="481"/>
        <v>2</v>
      </c>
      <c r="AB540" s="333">
        <f t="shared" si="482"/>
        <v>0</v>
      </c>
      <c r="AC540" s="328">
        <f t="shared" si="483"/>
        <v>0</v>
      </c>
      <c r="AD540" s="334">
        <f t="shared" si="484"/>
        <v>0</v>
      </c>
      <c r="AE540" s="334">
        <f>$AB540*(1-INDEX(项目参数!$D$5:$D$14,MATCH(服务费底表!$S540,项目参数!$B$5:$B$14,0)))</f>
        <v>0</v>
      </c>
      <c r="AF540" s="334">
        <f>$AD540*INDEX(项目参数!$D$5:$D$14,MATCH(服务费底表!$S540,项目参数!$B$5:$B$14,0))</f>
        <v>0</v>
      </c>
      <c r="AG540" s="334">
        <f t="shared" si="485"/>
        <v>0</v>
      </c>
      <c r="AH540" s="328"/>
      <c r="AI540" s="328" t="s">
        <v>642</v>
      </c>
      <c r="AJ540" s="327">
        <v>2</v>
      </c>
      <c r="AK540" s="327">
        <f t="shared" si="462"/>
        <v>2</v>
      </c>
      <c r="AL540" s="327">
        <f t="shared" si="463"/>
        <v>2</v>
      </c>
      <c r="AM540" s="327">
        <f t="shared" si="464"/>
        <v>2</v>
      </c>
      <c r="AN540" s="327">
        <f t="shared" si="465"/>
        <v>2</v>
      </c>
      <c r="AO540" s="327">
        <f t="shared" si="461"/>
        <v>2</v>
      </c>
      <c r="AP540" s="327">
        <v>2</v>
      </c>
      <c r="AQ540" s="327">
        <f t="shared" si="475"/>
        <v>3</v>
      </c>
      <c r="AR540" s="338"/>
      <c r="AS540" s="328">
        <f t="shared" si="486"/>
        <v>0</v>
      </c>
      <c r="AT540" s="328">
        <f t="shared" si="487"/>
        <v>0</v>
      </c>
      <c r="AU540" s="523">
        <v>2</v>
      </c>
      <c r="AV540" s="328"/>
      <c r="AW540" s="328"/>
      <c r="AX540" s="332">
        <v>2</v>
      </c>
      <c r="AY540" s="328" t="b">
        <f t="shared" si="488"/>
        <v>1</v>
      </c>
      <c r="AZ540" s="328" t="b">
        <f t="shared" si="448"/>
        <v>0</v>
      </c>
    </row>
    <row r="541" ht="27" customHeight="1" spans="1:52">
      <c r="A541" s="326" t="str">
        <f>INDEX('Rate Card'!$A:$A,MATCH(服务费底表!$T541,'Rate Card'!$F:$F,0))</f>
        <v>数统</v>
      </c>
      <c r="B541" s="327" t="str">
        <f>INDEX(二三级标准!$G:$G,MATCH(服务费底表!$K541,二三级标准!B:B,0))</f>
        <v>次</v>
      </c>
      <c r="C541" s="327">
        <f>INDEX(服务费明细!$E:$E,MATCH(服务费底表!$K541,服务费明细!$B:$B,0))</f>
        <v>0</v>
      </c>
      <c r="D541" s="327" t="str">
        <f t="shared" si="479"/>
        <v>A232SAM</v>
      </c>
      <c r="E541" s="327" t="str">
        <f t="shared" si="480"/>
        <v>T0682SAM</v>
      </c>
      <c r="F541" s="328"/>
      <c r="G541" s="328" t="s">
        <v>684</v>
      </c>
      <c r="H541" s="326" t="str">
        <f>INDEX('Rate Card'!$B:$B,MATCH(服务费底表!$T541,'Rate Card'!$F:$F,0))</f>
        <v>生物统计及分析</v>
      </c>
      <c r="I541" s="328" t="s">
        <v>924</v>
      </c>
      <c r="J541" s="328" t="str">
        <f>INDEX(二三级标准!$Q:$Q,MATCH(服务费底表!I541,二三级标准!$O:$O,0))</f>
        <v>生物统计及分析</v>
      </c>
      <c r="K541" s="328" t="s">
        <v>1087</v>
      </c>
      <c r="L541" s="328" t="str">
        <f>INDEX(二三级标准!C:C,MATCH(服务费底表!K541,二三级标准!$B:$B,0))</f>
        <v>参加和协助DSMB/DMC/IDMC启动会</v>
      </c>
      <c r="M541" s="328" t="s">
        <v>1574</v>
      </c>
      <c r="N541" s="328" t="str">
        <f>INDEX(二三级标准!$M:$M,MATCH(服务费底表!$M541,二三级标准!$L:$L,0))</f>
        <v>参加DSMB/DMC/IDMC启动会</v>
      </c>
      <c r="O541" s="328"/>
      <c r="P541" s="531">
        <f>IF(R541=1,INDEX(服务费明细!$E:$E,MATCH(服务费底表!$K541,服务费明细!$B:$B,0)),0)</f>
        <v>0</v>
      </c>
      <c r="Q541" s="328" t="s">
        <v>1178</v>
      </c>
      <c r="R541" s="520">
        <f>IF(AND(参加和协助DSMB_DMC_IDMC启动会=1,统计分析YN=1),1,0)</f>
        <v>0</v>
      </c>
      <c r="S541" s="524" t="str">
        <f>INDEX('Rate Card'!$D:$D,MATCH(服务费底表!$T541,'Rate Card'!F:F,0))</f>
        <v>统计分析</v>
      </c>
      <c r="T541" s="328" t="s">
        <v>638</v>
      </c>
      <c r="U541" s="522" t="str">
        <f>INDEX('Rate Card'!$E:$E,MATCH(服务费底表!$T541,'Rate Card'!$F:$F,0))</f>
        <v>统计分析经理</v>
      </c>
      <c r="V541" s="331">
        <f>INDEX('Rate Card'!$J:$J,MATCH($T541,'Rate Card'!$F:$F,0))</f>
        <v>450</v>
      </c>
      <c r="W541" s="523">
        <f t="shared" si="468"/>
        <v>450</v>
      </c>
      <c r="X541" s="523">
        <f t="shared" si="469"/>
        <v>2</v>
      </c>
      <c r="Y541" s="327" cm="1">
        <f t="array" ref="Y541">_xlfn.IFS(报价场景=服务费底表!$AJ$2,服务费底表!$AJ541,报价场景=服务费底表!$AP$2,服务费底表!$AP541,报价场景=服务费底表!$AK$2,服务费底表!$AK541,报价场景=服务费底表!$AL$2,服务费底表!$AL541,报价场景=服务费底表!$AM$2,服务费底表!$AM541,报价场景=服务费底表!$AN$2,服务费底表!$AN541,报价场景=服务费底表!$AQ$2,服务费底表!$AQ541,报价场景=服务费底表!$AO$2,服务费底表!$AO541)</f>
        <v>2</v>
      </c>
      <c r="Z541" s="327"/>
      <c r="AA541" s="332">
        <f t="shared" si="481"/>
        <v>2</v>
      </c>
      <c r="AB541" s="333">
        <f t="shared" si="482"/>
        <v>0</v>
      </c>
      <c r="AC541" s="328">
        <f t="shared" si="483"/>
        <v>0</v>
      </c>
      <c r="AD541" s="334">
        <f t="shared" si="484"/>
        <v>0</v>
      </c>
      <c r="AE541" s="334">
        <f>$AB541*(1-INDEX(项目参数!$D$5:$D$14,MATCH(服务费底表!$S541,项目参数!$B$5:$B$14,0)))</f>
        <v>0</v>
      </c>
      <c r="AF541" s="334">
        <f>$AD541*INDEX(项目参数!$D$5:$D$14,MATCH(服务费底表!$S541,项目参数!$B$5:$B$14,0))</f>
        <v>0</v>
      </c>
      <c r="AG541" s="334">
        <f t="shared" si="485"/>
        <v>0</v>
      </c>
      <c r="AH541" s="328"/>
      <c r="AI541" s="328" t="s">
        <v>642</v>
      </c>
      <c r="AJ541" s="327">
        <v>2</v>
      </c>
      <c r="AK541" s="327">
        <f t="shared" si="462"/>
        <v>2</v>
      </c>
      <c r="AL541" s="327">
        <f t="shared" si="463"/>
        <v>2</v>
      </c>
      <c r="AM541" s="327">
        <f t="shared" si="464"/>
        <v>2</v>
      </c>
      <c r="AN541" s="327">
        <f t="shared" si="465"/>
        <v>2</v>
      </c>
      <c r="AO541" s="327">
        <f t="shared" si="461"/>
        <v>2</v>
      </c>
      <c r="AP541" s="327">
        <v>2</v>
      </c>
      <c r="AQ541" s="327">
        <f t="shared" si="475"/>
        <v>3</v>
      </c>
      <c r="AR541" s="338"/>
      <c r="AS541" s="328">
        <f t="shared" si="486"/>
        <v>0</v>
      </c>
      <c r="AT541" s="328">
        <f t="shared" si="487"/>
        <v>0</v>
      </c>
      <c r="AU541" s="523">
        <v>2</v>
      </c>
      <c r="AV541" s="328"/>
      <c r="AW541" s="328"/>
      <c r="AX541" s="332">
        <v>2</v>
      </c>
      <c r="AY541" s="328" t="b">
        <f t="shared" si="488"/>
        <v>1</v>
      </c>
      <c r="AZ541" s="328" t="b">
        <f t="shared" si="448"/>
        <v>0</v>
      </c>
    </row>
    <row r="542" ht="27" customHeight="1" spans="1:52">
      <c r="A542" s="326" t="str">
        <f>INDEX('Rate Card'!$A:$A,MATCH(服务费底表!$T542,'Rate Card'!$F:$F,0))</f>
        <v>数统</v>
      </c>
      <c r="B542" s="327" t="str">
        <f>INDEX(二三级标准!$G:$G,MATCH(服务费底表!$K542,二三级标准!B:B,0))</f>
        <v>次</v>
      </c>
      <c r="C542" s="327">
        <f>INDEX(服务费明细!$E:$E,MATCH(服务费底表!$K542,服务费明细!$B:$B,0))</f>
        <v>0</v>
      </c>
      <c r="D542" s="327" t="str">
        <f t="shared" si="479"/>
        <v>A232STM</v>
      </c>
      <c r="E542" s="327" t="str">
        <f t="shared" si="480"/>
        <v>T0770STM</v>
      </c>
      <c r="F542" s="328"/>
      <c r="G542" s="328" t="s">
        <v>684</v>
      </c>
      <c r="H542" s="326" t="str">
        <f>INDEX('Rate Card'!$B:$B,MATCH(服务费底表!$T542,'Rate Card'!$F:$F,0))</f>
        <v>生物统计及分析</v>
      </c>
      <c r="I542" s="328" t="s">
        <v>924</v>
      </c>
      <c r="J542" s="328" t="str">
        <f>INDEX(二三级标准!$Q:$Q,MATCH(服务费底表!I542,二三级标准!$O:$O,0))</f>
        <v>生物统计及分析</v>
      </c>
      <c r="K542" s="328" t="s">
        <v>1087</v>
      </c>
      <c r="L542" s="328" t="str">
        <f>INDEX(二三级标准!C:C,MATCH(服务费底表!K542,二三级标准!$B:$B,0))</f>
        <v>参加和协助DSMB/DMC/IDMC启动会</v>
      </c>
      <c r="M542" s="328" t="s">
        <v>1575</v>
      </c>
      <c r="N542" s="328" t="str">
        <f>INDEX(二三级标准!$M:$M,MATCH(服务费底表!$M542,二三级标准!$L:$L,0))</f>
        <v>完成DSMB/DMC/IDMC启动会会议纪要</v>
      </c>
      <c r="O542" s="328"/>
      <c r="P542" s="531">
        <f>IF(R542=1,INDEX(服务费明细!$E:$E,MATCH(服务费底表!$K542,服务费明细!$B:$B,0)),0)</f>
        <v>0</v>
      </c>
      <c r="Q542" s="328" t="s">
        <v>1178</v>
      </c>
      <c r="R542" s="520">
        <f>IF(AND(参加和协助DSMB_DMC_IDMC启动会=1,生物统计YN=1),1,0)</f>
        <v>0</v>
      </c>
      <c r="S542" s="524" t="str">
        <f>INDEX('Rate Card'!$D:$D,MATCH(服务费底表!$T542,'Rate Card'!F:F,0))</f>
        <v>生物统计</v>
      </c>
      <c r="T542" s="328" t="s">
        <v>642</v>
      </c>
      <c r="U542" s="522" t="str">
        <f>INDEX('Rate Card'!$E:$E,MATCH(服务费底表!$T542,'Rate Card'!$F:$F,0))</f>
        <v>生物统计经理</v>
      </c>
      <c r="V542" s="331">
        <f>INDEX('Rate Card'!$J:$J,MATCH($T542,'Rate Card'!$F:$F,0))</f>
        <v>700</v>
      </c>
      <c r="W542" s="523">
        <f t="shared" si="468"/>
        <v>700</v>
      </c>
      <c r="X542" s="523">
        <f t="shared" si="469"/>
        <v>2</v>
      </c>
      <c r="Y542" s="327" cm="1">
        <f t="array" ref="Y542">_xlfn.IFS(报价场景=服务费底表!$AJ$2,服务费底表!$AJ542,报价场景=服务费底表!$AP$2,服务费底表!$AP542,报价场景=服务费底表!$AK$2,服务费底表!$AK542,报价场景=服务费底表!$AL$2,服务费底表!$AL542,报价场景=服务费底表!$AM$2,服务费底表!$AM542,报价场景=服务费底表!$AN$2,服务费底表!$AN542,报价场景=服务费底表!$AQ$2,服务费底表!$AQ542,报价场景=服务费底表!$AO$2,服务费底表!$AO542)</f>
        <v>2</v>
      </c>
      <c r="Z542" s="327"/>
      <c r="AA542" s="332">
        <f t="shared" si="481"/>
        <v>2</v>
      </c>
      <c r="AB542" s="333">
        <f t="shared" si="482"/>
        <v>0</v>
      </c>
      <c r="AC542" s="328">
        <f t="shared" si="483"/>
        <v>0</v>
      </c>
      <c r="AD542" s="334">
        <f t="shared" si="484"/>
        <v>0</v>
      </c>
      <c r="AE542" s="334">
        <f>$AB542*(1-INDEX(项目参数!$D$5:$D$14,MATCH(服务费底表!$S542,项目参数!$B$5:$B$14,0)))</f>
        <v>0</v>
      </c>
      <c r="AF542" s="334">
        <f>$AD542*INDEX(项目参数!$D$5:$D$14,MATCH(服务费底表!$S542,项目参数!$B$5:$B$14,0))</f>
        <v>0</v>
      </c>
      <c r="AG542" s="334">
        <f t="shared" si="485"/>
        <v>0</v>
      </c>
      <c r="AH542" s="328"/>
      <c r="AI542" s="328" t="s">
        <v>642</v>
      </c>
      <c r="AJ542" s="327">
        <v>2</v>
      </c>
      <c r="AK542" s="327">
        <f t="shared" si="462"/>
        <v>2</v>
      </c>
      <c r="AL542" s="327">
        <f t="shared" si="463"/>
        <v>2</v>
      </c>
      <c r="AM542" s="327">
        <f t="shared" si="464"/>
        <v>2</v>
      </c>
      <c r="AN542" s="327">
        <f t="shared" si="465"/>
        <v>2</v>
      </c>
      <c r="AO542" s="327">
        <f t="shared" si="461"/>
        <v>2</v>
      </c>
      <c r="AP542" s="327">
        <v>2</v>
      </c>
      <c r="AQ542" s="327">
        <f t="shared" si="475"/>
        <v>3</v>
      </c>
      <c r="AR542" s="338"/>
      <c r="AS542" s="328">
        <f t="shared" si="486"/>
        <v>0</v>
      </c>
      <c r="AT542" s="328">
        <f t="shared" si="487"/>
        <v>0</v>
      </c>
      <c r="AU542" s="523">
        <v>2</v>
      </c>
      <c r="AV542" s="328"/>
      <c r="AW542" s="328"/>
      <c r="AX542" s="332">
        <v>2</v>
      </c>
      <c r="AY542" s="328" t="b">
        <f t="shared" si="488"/>
        <v>1</v>
      </c>
      <c r="AZ542" s="328" t="b">
        <f t="shared" si="448"/>
        <v>0</v>
      </c>
    </row>
    <row r="543" ht="27" customHeight="1" spans="1:52">
      <c r="A543" s="326" t="str">
        <f>INDEX('Rate Card'!$A:$A,MATCH(服务费底表!$T543,'Rate Card'!$F:$F,0))</f>
        <v>数统</v>
      </c>
      <c r="B543" s="327" t="str">
        <f>INDEX(二三级标准!$G:$G,MATCH(服务费底表!$K543,二三级标准!B:B,0))</f>
        <v>次</v>
      </c>
      <c r="C543" s="327">
        <f>INDEX(服务费明细!$E:$E,MATCH(服务费底表!$K543,服务费明细!$B:$B,0))</f>
        <v>0</v>
      </c>
      <c r="D543" s="327" t="str">
        <f t="shared" si="479"/>
        <v>A233SAM</v>
      </c>
      <c r="E543" s="327" t="str">
        <f t="shared" si="480"/>
        <v>T0683SAM</v>
      </c>
      <c r="F543" s="328"/>
      <c r="G543" s="328" t="s">
        <v>684</v>
      </c>
      <c r="H543" s="326" t="str">
        <f>INDEX('Rate Card'!$B:$B,MATCH(服务费底表!$T543,'Rate Card'!$F:$F,0))</f>
        <v>生物统计及分析</v>
      </c>
      <c r="I543" s="328" t="s">
        <v>924</v>
      </c>
      <c r="J543" s="328" t="str">
        <f>INDEX(二三级标准!$Q:$Q,MATCH(服务费底表!I543,二三级标准!$O:$O,0))</f>
        <v>生物统计及分析</v>
      </c>
      <c r="K543" s="328" t="s">
        <v>1088</v>
      </c>
      <c r="L543" s="328" t="str">
        <f>INDEX(二三级标准!C:C,MATCH(服务费底表!K543,二三级标准!$B:$B,0))</f>
        <v>参加和协助DSMB/DMC/IDMC会议</v>
      </c>
      <c r="M543" s="328" t="s">
        <v>1576</v>
      </c>
      <c r="N543" s="328" t="str">
        <f>INDEX(二三级标准!$M:$M,MATCH(服务费底表!$M543,二三级标准!$L:$L,0))</f>
        <v>DSMB/DMC/IDMC会议统计TFLs的程序运行</v>
      </c>
      <c r="O543" s="328" t="s">
        <v>1571</v>
      </c>
      <c r="P543" s="531">
        <f>IF(R543=1,INDEX(服务费明细!$E:$E,MATCH(服务费底表!$K543,服务费明细!$B:$B,0)),0)</f>
        <v>0</v>
      </c>
      <c r="Q543" s="328" t="s">
        <v>1178</v>
      </c>
      <c r="R543" s="520">
        <f>IF(AND(参加和协助DSMB_DMC_IDMC会议=1,统计分析YN=1),1,0)</f>
        <v>0</v>
      </c>
      <c r="S543" s="524" t="str">
        <f>INDEX('Rate Card'!$D:$D,MATCH(服务费底表!$T543,'Rate Card'!F:F,0))</f>
        <v>统计分析</v>
      </c>
      <c r="T543" s="328" t="s">
        <v>638</v>
      </c>
      <c r="U543" s="522" t="str">
        <f>INDEX('Rate Card'!$E:$E,MATCH(服务费底表!$T543,'Rate Card'!$F:$F,0))</f>
        <v>统计分析经理</v>
      </c>
      <c r="V543" s="331">
        <f>INDEX('Rate Card'!$J:$J,MATCH($T543,'Rate Card'!$F:$F,0))</f>
        <v>450</v>
      </c>
      <c r="W543" s="523">
        <f t="shared" si="468"/>
        <v>450</v>
      </c>
      <c r="X543" s="523">
        <f t="shared" si="469"/>
        <v>24</v>
      </c>
      <c r="Y543" s="327" cm="1">
        <f t="array" ref="Y543">_xlfn.IFS(报价场景=服务费底表!$AJ$2,服务费底表!$AJ543,报价场景=服务费底表!$AP$2,服务费底表!$AP543,报价场景=服务费底表!$AK$2,服务费底表!$AK543,报价场景=服务费底表!$AL$2,服务费底表!$AL543,报价场景=服务费底表!$AM$2,服务费底表!$AM543,报价场景=服务费底表!$AN$2,服务费底表!$AN543,报价场景=服务费底表!$AQ$2,服务费底表!$AQ543,报价场景=服务费底表!$AO$2,服务费底表!$AO543)</f>
        <v>24</v>
      </c>
      <c r="Z543" s="327"/>
      <c r="AA543" s="332">
        <f t="shared" si="481"/>
        <v>24</v>
      </c>
      <c r="AB543" s="333">
        <f t="shared" si="482"/>
        <v>0</v>
      </c>
      <c r="AC543" s="328">
        <f t="shared" si="483"/>
        <v>0</v>
      </c>
      <c r="AD543" s="334">
        <f t="shared" si="484"/>
        <v>0</v>
      </c>
      <c r="AE543" s="334">
        <f>$AB543*(1-INDEX(项目参数!$D$5:$D$14,MATCH(服务费底表!$S543,项目参数!$B$5:$B$14,0)))</f>
        <v>0</v>
      </c>
      <c r="AF543" s="334">
        <f>$AD543*INDEX(项目参数!$D$5:$D$14,MATCH(服务费底表!$S543,项目参数!$B$5:$B$14,0))</f>
        <v>0</v>
      </c>
      <c r="AG543" s="334">
        <f t="shared" ref="AG543:AG552" si="489">AD543-AF543</f>
        <v>0</v>
      </c>
      <c r="AH543" s="328"/>
      <c r="AI543" s="328" t="s">
        <v>638</v>
      </c>
      <c r="AJ543" s="327">
        <v>24</v>
      </c>
      <c r="AK543" s="327">
        <f t="shared" si="462"/>
        <v>24</v>
      </c>
      <c r="AL543" s="327">
        <f t="shared" si="463"/>
        <v>24</v>
      </c>
      <c r="AM543" s="327">
        <f t="shared" si="464"/>
        <v>24</v>
      </c>
      <c r="AN543" s="327">
        <f t="shared" si="465"/>
        <v>24</v>
      </c>
      <c r="AO543" s="327">
        <f t="shared" si="461"/>
        <v>24</v>
      </c>
      <c r="AP543" s="327">
        <v>24</v>
      </c>
      <c r="AQ543" s="327">
        <f t="shared" si="475"/>
        <v>36</v>
      </c>
      <c r="AR543" s="338"/>
      <c r="AS543" s="328">
        <f t="shared" ref="AS543:AS552" si="490">AC543</f>
        <v>0</v>
      </c>
      <c r="AT543" s="328">
        <f t="shared" ref="AT543:AT552" si="491">Y543*P543</f>
        <v>0</v>
      </c>
      <c r="AU543" s="523">
        <v>24</v>
      </c>
      <c r="AV543" s="328"/>
      <c r="AW543" s="328"/>
      <c r="AX543" s="332">
        <v>24</v>
      </c>
      <c r="AY543" s="328" t="b">
        <f t="shared" si="488"/>
        <v>1</v>
      </c>
      <c r="AZ543" s="328" t="b">
        <f t="shared" si="448"/>
        <v>1</v>
      </c>
    </row>
    <row r="544" ht="27" customHeight="1" spans="1:52">
      <c r="A544" s="326" t="str">
        <f>INDEX('Rate Card'!$A:$A,MATCH(服务费底表!$T544,'Rate Card'!$F:$F,0))</f>
        <v>数统</v>
      </c>
      <c r="B544" s="327" t="str">
        <f>INDEX(二三级标准!$G:$G,MATCH(服务费底表!$K544,二三级标准!B:B,0))</f>
        <v>次</v>
      </c>
      <c r="C544" s="327">
        <f>INDEX(服务费明细!$E:$E,MATCH(服务费底表!$K544,服务费明细!$B:$B,0))</f>
        <v>0</v>
      </c>
      <c r="D544" s="327" t="str">
        <f t="shared" si="479"/>
        <v>A233STM</v>
      </c>
      <c r="E544" s="327" t="str">
        <f t="shared" si="480"/>
        <v>T0684STM</v>
      </c>
      <c r="F544" s="328"/>
      <c r="G544" s="328" t="s">
        <v>684</v>
      </c>
      <c r="H544" s="326" t="str">
        <f>INDEX('Rate Card'!$B:$B,MATCH(服务费底表!$T544,'Rate Card'!$F:$F,0))</f>
        <v>生物统计及分析</v>
      </c>
      <c r="I544" s="328" t="s">
        <v>924</v>
      </c>
      <c r="J544" s="328" t="str">
        <f>INDEX(二三级标准!$Q:$Q,MATCH(服务费底表!I544,二三级标准!$O:$O,0))</f>
        <v>生物统计及分析</v>
      </c>
      <c r="K544" s="328" t="s">
        <v>1088</v>
      </c>
      <c r="L544" s="328" t="str">
        <f>INDEX(二三级标准!C:C,MATCH(服务费底表!K544,二三级标准!$B:$B,0))</f>
        <v>参加和协助DSMB/DMC/IDMC会议</v>
      </c>
      <c r="M544" s="328" t="s">
        <v>1577</v>
      </c>
      <c r="N544" s="328" t="str">
        <f>INDEX(二三级标准!$M:$M,MATCH(服务费底表!$M544,二三级标准!$L:$L,0))</f>
        <v>DSMB/DMC/IDMC会议统计TFLs的结果审核</v>
      </c>
      <c r="O544" s="328"/>
      <c r="P544" s="531">
        <f>IF(R544=1,INDEX(服务费明细!$E:$E,MATCH(服务费底表!$K544,服务费明细!$B:$B,0)),0)</f>
        <v>0</v>
      </c>
      <c r="Q544" s="328" t="s">
        <v>1178</v>
      </c>
      <c r="R544" s="520">
        <f t="shared" ref="R543:R548" si="492">IF(AND(参加和协助DSMB_DMC_IDMC会议=1,生物统计YN=1),1,0)</f>
        <v>0</v>
      </c>
      <c r="S544" s="524" t="str">
        <f>INDEX('Rate Card'!$D:$D,MATCH(服务费底表!$T544,'Rate Card'!F:F,0))</f>
        <v>生物统计</v>
      </c>
      <c r="T544" s="328" t="s">
        <v>642</v>
      </c>
      <c r="U544" s="522" t="str">
        <f>INDEX('Rate Card'!$E:$E,MATCH(服务费底表!$T544,'Rate Card'!$F:$F,0))</f>
        <v>生物统计经理</v>
      </c>
      <c r="V544" s="331">
        <f>INDEX('Rate Card'!$J:$J,MATCH($T544,'Rate Card'!$F:$F,0))</f>
        <v>700</v>
      </c>
      <c r="W544" s="523">
        <f t="shared" si="468"/>
        <v>700</v>
      </c>
      <c r="X544" s="523">
        <f t="shared" si="469"/>
        <v>12</v>
      </c>
      <c r="Y544" s="327" cm="1">
        <f t="array" ref="Y544">_xlfn.IFS(报价场景=服务费底表!$AJ$2,服务费底表!$AJ544,报价场景=服务费底表!$AP$2,服务费底表!$AP544,报价场景=服务费底表!$AK$2,服务费底表!$AK544,报价场景=服务费底表!$AL$2,服务费底表!$AL544,报价场景=服务费底表!$AM$2,服务费底表!$AM544,报价场景=服务费底表!$AN$2,服务费底表!$AN544,报价场景=服务费底表!$AQ$2,服务费底表!$AQ544,报价场景=服务费底表!$AO$2,服务费底表!$AO544)</f>
        <v>12</v>
      </c>
      <c r="Z544" s="327"/>
      <c r="AA544" s="332">
        <f t="shared" si="481"/>
        <v>12</v>
      </c>
      <c r="AB544" s="333">
        <f t="shared" si="482"/>
        <v>0</v>
      </c>
      <c r="AC544" s="328">
        <f t="shared" si="483"/>
        <v>0</v>
      </c>
      <c r="AD544" s="334">
        <f t="shared" si="484"/>
        <v>0</v>
      </c>
      <c r="AE544" s="334">
        <f>$AB544*(1-INDEX(项目参数!$D$5:$D$14,MATCH(服务费底表!$S544,项目参数!$B$5:$B$14,0)))</f>
        <v>0</v>
      </c>
      <c r="AF544" s="334">
        <f>$AD544*INDEX(项目参数!$D$5:$D$14,MATCH(服务费底表!$S544,项目参数!$B$5:$B$14,0))</f>
        <v>0</v>
      </c>
      <c r="AG544" s="334">
        <f t="shared" si="489"/>
        <v>0</v>
      </c>
      <c r="AH544" s="328"/>
      <c r="AI544" s="328" t="s">
        <v>642</v>
      </c>
      <c r="AJ544" s="327">
        <v>12</v>
      </c>
      <c r="AK544" s="327">
        <f t="shared" si="462"/>
        <v>12</v>
      </c>
      <c r="AL544" s="327">
        <f t="shared" si="463"/>
        <v>12</v>
      </c>
      <c r="AM544" s="327">
        <f t="shared" si="464"/>
        <v>12</v>
      </c>
      <c r="AN544" s="327">
        <f t="shared" si="465"/>
        <v>12</v>
      </c>
      <c r="AO544" s="327">
        <f t="shared" si="461"/>
        <v>12</v>
      </c>
      <c r="AP544" s="327">
        <v>12</v>
      </c>
      <c r="AQ544" s="327">
        <f t="shared" si="475"/>
        <v>18</v>
      </c>
      <c r="AR544" s="338"/>
      <c r="AS544" s="328">
        <f t="shared" si="490"/>
        <v>0</v>
      </c>
      <c r="AT544" s="328">
        <f t="shared" si="491"/>
        <v>0</v>
      </c>
      <c r="AU544" s="523">
        <v>12</v>
      </c>
      <c r="AV544" s="328"/>
      <c r="AW544" s="328"/>
      <c r="AX544" s="332">
        <v>12</v>
      </c>
      <c r="AY544" s="328" t="b">
        <f t="shared" si="488"/>
        <v>1</v>
      </c>
      <c r="AZ544" s="328" t="b">
        <f t="shared" si="448"/>
        <v>1</v>
      </c>
    </row>
    <row r="545" ht="27" customHeight="1" spans="1:52">
      <c r="A545" s="326" t="str">
        <f>INDEX('Rate Card'!$A:$A,MATCH(服务费底表!$T545,'Rate Card'!$F:$F,0))</f>
        <v>数统</v>
      </c>
      <c r="B545" s="327" t="str">
        <f>INDEX(二三级标准!$G:$G,MATCH(服务费底表!$K545,二三级标准!B:B,0))</f>
        <v>次</v>
      </c>
      <c r="C545" s="327">
        <f>INDEX(服务费明细!$E:$E,MATCH(服务费底表!$K545,服务费明细!$B:$B,0))</f>
        <v>0</v>
      </c>
      <c r="D545" s="327" t="str">
        <f t="shared" si="479"/>
        <v>A233STM</v>
      </c>
      <c r="E545" s="327" t="str">
        <f t="shared" si="480"/>
        <v>T0685STM</v>
      </c>
      <c r="F545" s="328"/>
      <c r="G545" s="328" t="s">
        <v>684</v>
      </c>
      <c r="H545" s="326" t="str">
        <f>INDEX('Rate Card'!$B:$B,MATCH(服务费底表!$T545,'Rate Card'!$F:$F,0))</f>
        <v>生物统计及分析</v>
      </c>
      <c r="I545" s="328" t="s">
        <v>924</v>
      </c>
      <c r="J545" s="328" t="str">
        <f>INDEX(二三级标准!$Q:$Q,MATCH(服务费底表!I545,二三级标准!$O:$O,0))</f>
        <v>生物统计及分析</v>
      </c>
      <c r="K545" s="328" t="s">
        <v>1088</v>
      </c>
      <c r="L545" s="328" t="str">
        <f>INDEX(二三级标准!C:C,MATCH(服务费底表!K545,二三级标准!$B:$B,0))</f>
        <v>参加和协助DSMB/DMC/IDMC会议</v>
      </c>
      <c r="M545" s="328" t="s">
        <v>1578</v>
      </c>
      <c r="N545" s="328" t="str">
        <f>INDEX(二三级标准!$M:$M,MATCH(服务费底表!$M545,二三级标准!$L:$L,0))</f>
        <v>准备DSMB/DMC/IDMC会议材料</v>
      </c>
      <c r="O545" s="328"/>
      <c r="P545" s="531">
        <f>IF(R545=1,INDEX(服务费明细!$E:$E,MATCH(服务费底表!$K545,服务费明细!$B:$B,0)),0)</f>
        <v>0</v>
      </c>
      <c r="Q545" s="328" t="s">
        <v>1178</v>
      </c>
      <c r="R545" s="520">
        <f t="shared" si="492"/>
        <v>0</v>
      </c>
      <c r="S545" s="524" t="str">
        <f>INDEX('Rate Card'!$D:$D,MATCH(服务费底表!$T545,'Rate Card'!F:F,0))</f>
        <v>生物统计</v>
      </c>
      <c r="T545" s="328" t="s">
        <v>642</v>
      </c>
      <c r="U545" s="522" t="str">
        <f>INDEX('Rate Card'!$E:$E,MATCH(服务费底表!$T545,'Rate Card'!$F:$F,0))</f>
        <v>生物统计经理</v>
      </c>
      <c r="V545" s="331">
        <f>INDEX('Rate Card'!$J:$J,MATCH($T545,'Rate Card'!$F:$F,0))</f>
        <v>700</v>
      </c>
      <c r="W545" s="523">
        <f t="shared" si="468"/>
        <v>700</v>
      </c>
      <c r="X545" s="523">
        <f t="shared" si="469"/>
        <v>12</v>
      </c>
      <c r="Y545" s="327" cm="1">
        <f t="array" ref="Y545">_xlfn.IFS(报价场景=服务费底表!$AJ$2,服务费底表!$AJ545,报价场景=服务费底表!$AP$2,服务费底表!$AP545,报价场景=服务费底表!$AK$2,服务费底表!$AK545,报价场景=服务费底表!$AL$2,服务费底表!$AL545,报价场景=服务费底表!$AM$2,服务费底表!$AM545,报价场景=服务费底表!$AN$2,服务费底表!$AN545,报价场景=服务费底表!$AQ$2,服务费底表!$AQ545,报价场景=服务费底表!$AO$2,服务费底表!$AO545)</f>
        <v>12</v>
      </c>
      <c r="Z545" s="327"/>
      <c r="AA545" s="332">
        <f t="shared" si="481"/>
        <v>12</v>
      </c>
      <c r="AB545" s="333">
        <f t="shared" si="482"/>
        <v>0</v>
      </c>
      <c r="AC545" s="328">
        <f t="shared" si="483"/>
        <v>0</v>
      </c>
      <c r="AD545" s="334">
        <f t="shared" si="484"/>
        <v>0</v>
      </c>
      <c r="AE545" s="334">
        <f>$AB545*(1-INDEX(项目参数!$D$5:$D$14,MATCH(服务费底表!$S545,项目参数!$B$5:$B$14,0)))</f>
        <v>0</v>
      </c>
      <c r="AF545" s="334">
        <f>$AD545*INDEX(项目参数!$D$5:$D$14,MATCH(服务费底表!$S545,项目参数!$B$5:$B$14,0))</f>
        <v>0</v>
      </c>
      <c r="AG545" s="334">
        <f t="shared" si="489"/>
        <v>0</v>
      </c>
      <c r="AH545" s="328"/>
      <c r="AI545" s="328" t="s">
        <v>642</v>
      </c>
      <c r="AJ545" s="327">
        <v>12</v>
      </c>
      <c r="AK545" s="327">
        <f t="shared" si="462"/>
        <v>12</v>
      </c>
      <c r="AL545" s="327">
        <f t="shared" si="463"/>
        <v>12</v>
      </c>
      <c r="AM545" s="327">
        <f t="shared" si="464"/>
        <v>12</v>
      </c>
      <c r="AN545" s="327">
        <f t="shared" si="465"/>
        <v>12</v>
      </c>
      <c r="AO545" s="327">
        <f t="shared" si="461"/>
        <v>12</v>
      </c>
      <c r="AP545" s="327">
        <v>12</v>
      </c>
      <c r="AQ545" s="327">
        <f t="shared" si="475"/>
        <v>18</v>
      </c>
      <c r="AR545" s="338"/>
      <c r="AS545" s="328">
        <f t="shared" si="490"/>
        <v>0</v>
      </c>
      <c r="AT545" s="328">
        <f t="shared" si="491"/>
        <v>0</v>
      </c>
      <c r="AU545" s="523">
        <v>12</v>
      </c>
      <c r="AV545" s="328"/>
      <c r="AW545" s="328"/>
      <c r="AX545" s="332">
        <v>12</v>
      </c>
      <c r="AY545" s="328" t="b">
        <f t="shared" si="488"/>
        <v>1</v>
      </c>
      <c r="AZ545" s="328" t="b">
        <f t="shared" si="448"/>
        <v>1</v>
      </c>
    </row>
    <row r="546" ht="27" customHeight="1" spans="1:52">
      <c r="A546" s="326" t="str">
        <f>INDEX('Rate Card'!$A:$A,MATCH(服务费底表!$T546,'Rate Card'!$F:$F,0))</f>
        <v>数统</v>
      </c>
      <c r="B546" s="327" t="str">
        <f>INDEX(二三级标准!$G:$G,MATCH(服务费底表!$K546,二三级标准!B:B,0))</f>
        <v>次</v>
      </c>
      <c r="C546" s="327">
        <f>INDEX(服务费明细!$E:$E,MATCH(服务费底表!$K546,服务费明细!$B:$B,0))</f>
        <v>0</v>
      </c>
      <c r="D546" s="327" t="str">
        <f t="shared" ref="D546:D552" si="493">K546&amp;T546</f>
        <v>A233STM</v>
      </c>
      <c r="E546" s="327" t="str">
        <f t="shared" ref="E546:E552" si="494">M546&amp;T546</f>
        <v>T0686STM</v>
      </c>
      <c r="F546" s="328"/>
      <c r="G546" s="328" t="s">
        <v>684</v>
      </c>
      <c r="H546" s="326" t="str">
        <f>INDEX('Rate Card'!$B:$B,MATCH(服务费底表!$T546,'Rate Card'!$F:$F,0))</f>
        <v>生物统计及分析</v>
      </c>
      <c r="I546" s="328" t="s">
        <v>924</v>
      </c>
      <c r="J546" s="328" t="str">
        <f>INDEX(二三级标准!$Q:$Q,MATCH(服务费底表!I546,二三级标准!$O:$O,0))</f>
        <v>生物统计及分析</v>
      </c>
      <c r="K546" s="328" t="s">
        <v>1088</v>
      </c>
      <c r="L546" s="328" t="str">
        <f>INDEX(二三级标准!C:C,MATCH(服务费底表!K546,二三级标准!$B:$B,0))</f>
        <v>参加和协助DSMB/DMC/IDMC会议</v>
      </c>
      <c r="M546" s="328" t="s">
        <v>1579</v>
      </c>
      <c r="N546" s="328" t="str">
        <f>INDEX(二三级标准!$M:$M,MATCH(服务费底表!$M546,二三级标准!$L:$L,0))</f>
        <v>参加和协助DSMB/DMC/IDMC会议</v>
      </c>
      <c r="O546" s="328"/>
      <c r="P546" s="531">
        <f>IF(R546=1,INDEX(服务费明细!$E:$E,MATCH(服务费底表!$K546,服务费明细!$B:$B,0)),0)</f>
        <v>0</v>
      </c>
      <c r="Q546" s="328" t="s">
        <v>1178</v>
      </c>
      <c r="R546" s="520">
        <f t="shared" si="492"/>
        <v>0</v>
      </c>
      <c r="S546" s="524" t="str">
        <f>INDEX('Rate Card'!$D:$D,MATCH(服务费底表!$T546,'Rate Card'!F:F,0))</f>
        <v>生物统计</v>
      </c>
      <c r="T546" s="328" t="s">
        <v>642</v>
      </c>
      <c r="U546" s="522" t="str">
        <f>INDEX('Rate Card'!$E:$E,MATCH(服务费底表!$T546,'Rate Card'!$F:$F,0))</f>
        <v>生物统计经理</v>
      </c>
      <c r="V546" s="331">
        <f>INDEX('Rate Card'!$J:$J,MATCH($T546,'Rate Card'!$F:$F,0))</f>
        <v>700</v>
      </c>
      <c r="W546" s="523">
        <f t="shared" ref="W546:W552" si="495">V546*(1-$W$1)</f>
        <v>700</v>
      </c>
      <c r="X546" s="523">
        <f t="shared" ref="X546:X552" si="496">Y546*$X$1</f>
        <v>6</v>
      </c>
      <c r="Y546" s="327" cm="1">
        <f t="array" ref="Y546">_xlfn.IFS(报价场景=服务费底表!$AJ$2,服务费底表!$AJ546,报价场景=服务费底表!$AP$2,服务费底表!$AP546,报价场景=服务费底表!$AK$2,服务费底表!$AK546,报价场景=服务费底表!$AL$2,服务费底表!$AL546,报价场景=服务费底表!$AM$2,服务费底表!$AM546,报价场景=服务费底表!$AN$2,服务费底表!$AN546,报价场景=服务费底表!$AQ$2,服务费底表!$AQ546,报价场景=服务费底表!$AO$2,服务费底表!$AO546)</f>
        <v>6</v>
      </c>
      <c r="Z546" s="327"/>
      <c r="AA546" s="332">
        <f t="shared" ref="AA546:AA552" si="497">IF(ISBLANK($Z546),$Y546,$Z546)</f>
        <v>6</v>
      </c>
      <c r="AB546" s="333">
        <f t="shared" ref="AB546:AB552" si="498">IFERROR(AD546/P546,0)</f>
        <v>0</v>
      </c>
      <c r="AC546" s="328">
        <f t="shared" ref="AC546:AC552" si="499">AA546*P546*R546</f>
        <v>0</v>
      </c>
      <c r="AD546" s="334">
        <f t="shared" ref="AD546:AD552" si="500">AC546*V546</f>
        <v>0</v>
      </c>
      <c r="AE546" s="334">
        <f>$AB546*(1-INDEX(项目参数!$D$5:$D$14,MATCH(服务费底表!$S546,项目参数!$B$5:$B$14,0)))</f>
        <v>0</v>
      </c>
      <c r="AF546" s="334">
        <f>$AD546*INDEX(项目参数!$D$5:$D$14,MATCH(服务费底表!$S546,项目参数!$B$5:$B$14,0))</f>
        <v>0</v>
      </c>
      <c r="AG546" s="334">
        <f t="shared" si="489"/>
        <v>0</v>
      </c>
      <c r="AH546" s="328"/>
      <c r="AI546" s="328" t="s">
        <v>642</v>
      </c>
      <c r="AJ546" s="327">
        <v>6</v>
      </c>
      <c r="AK546" s="327">
        <f t="shared" si="462"/>
        <v>6</v>
      </c>
      <c r="AL546" s="327">
        <f t="shared" si="463"/>
        <v>6</v>
      </c>
      <c r="AM546" s="327">
        <f t="shared" si="464"/>
        <v>6</v>
      </c>
      <c r="AN546" s="327">
        <f t="shared" si="465"/>
        <v>6</v>
      </c>
      <c r="AO546" s="327">
        <f t="shared" si="461"/>
        <v>6</v>
      </c>
      <c r="AP546" s="327">
        <v>6</v>
      </c>
      <c r="AQ546" s="327">
        <f t="shared" ref="AQ546:AQ552" si="501">AJ546*$AQ$1</f>
        <v>9</v>
      </c>
      <c r="AR546" s="338"/>
      <c r="AS546" s="328">
        <f t="shared" si="490"/>
        <v>0</v>
      </c>
      <c r="AT546" s="328">
        <f t="shared" si="491"/>
        <v>0</v>
      </c>
      <c r="AU546" s="523">
        <v>6</v>
      </c>
      <c r="AV546" s="328"/>
      <c r="AW546" s="328"/>
      <c r="AX546" s="332">
        <v>6</v>
      </c>
      <c r="AY546" s="328" t="b">
        <f t="shared" ref="AY546:AY552" si="502">IF(AX546=AJ546,TRUE,FALSE)</f>
        <v>1</v>
      </c>
      <c r="AZ546" s="328" t="b">
        <f t="shared" si="448"/>
        <v>1</v>
      </c>
    </row>
    <row r="547" ht="27" customHeight="1" spans="1:52">
      <c r="A547" s="326" t="str">
        <f>INDEX('Rate Card'!$A:$A,MATCH(服务费底表!$T547,'Rate Card'!$F:$F,0))</f>
        <v>数统</v>
      </c>
      <c r="B547" s="327" t="str">
        <f>INDEX(二三级标准!$G:$G,MATCH(服务费底表!$K547,二三级标准!B:B,0))</f>
        <v>次</v>
      </c>
      <c r="C547" s="327">
        <f>INDEX(服务费明细!$E:$E,MATCH(服务费底表!$K547,服务费明细!$B:$B,0))</f>
        <v>0</v>
      </c>
      <c r="D547" s="327" t="str">
        <f t="shared" si="493"/>
        <v>A233SAM</v>
      </c>
      <c r="E547" s="327" t="str">
        <f t="shared" si="494"/>
        <v>T0687SAM</v>
      </c>
      <c r="F547" s="328"/>
      <c r="G547" s="328" t="s">
        <v>684</v>
      </c>
      <c r="H547" s="326" t="str">
        <f>INDEX('Rate Card'!$B:$B,MATCH(服务费底表!$T547,'Rate Card'!$F:$F,0))</f>
        <v>生物统计及分析</v>
      </c>
      <c r="I547" s="328" t="s">
        <v>924</v>
      </c>
      <c r="J547" s="328" t="str">
        <f>INDEX(二三级标准!$Q:$Q,MATCH(服务费底表!I547,二三级标准!$O:$O,0))</f>
        <v>生物统计及分析</v>
      </c>
      <c r="K547" s="328" t="s">
        <v>1088</v>
      </c>
      <c r="L547" s="328" t="str">
        <f>INDEX(二三级标准!C:C,MATCH(服务费底表!K547,二三级标准!$B:$B,0))</f>
        <v>参加和协助DSMB/DMC/IDMC会议</v>
      </c>
      <c r="M547" s="328" t="s">
        <v>1580</v>
      </c>
      <c r="N547" s="328" t="str">
        <f>INDEX(二三级标准!$M:$M,MATCH(服务费底表!$M547,二三级标准!$L:$L,0))</f>
        <v>参加DSMB/DMC/IDMC会议</v>
      </c>
      <c r="O547" s="328"/>
      <c r="P547" s="531">
        <f>IF(R547=1,INDEX(服务费明细!$E:$E,MATCH(服务费底表!$K547,服务费明细!$B:$B,0)),0)</f>
        <v>0</v>
      </c>
      <c r="Q547" s="328" t="s">
        <v>1178</v>
      </c>
      <c r="R547" s="520">
        <f>IF(AND(参加和协助DSMB_DMC_IDMC会议=1,统计分析YN=1),1,0)</f>
        <v>0</v>
      </c>
      <c r="S547" s="524" t="str">
        <f>INDEX('Rate Card'!$D:$D,MATCH(服务费底表!$T547,'Rate Card'!F:F,0))</f>
        <v>统计分析</v>
      </c>
      <c r="T547" s="328" t="s">
        <v>638</v>
      </c>
      <c r="U547" s="522" t="str">
        <f>INDEX('Rate Card'!$E:$E,MATCH(服务费底表!$T547,'Rate Card'!$F:$F,0))</f>
        <v>统计分析经理</v>
      </c>
      <c r="V547" s="331">
        <f>INDEX('Rate Card'!$J:$J,MATCH($T547,'Rate Card'!$F:$F,0))</f>
        <v>450</v>
      </c>
      <c r="W547" s="523">
        <f t="shared" si="495"/>
        <v>450</v>
      </c>
      <c r="X547" s="523">
        <f t="shared" si="496"/>
        <v>2</v>
      </c>
      <c r="Y547" s="327" cm="1">
        <f t="array" ref="Y547">_xlfn.IFS(报价场景=服务费底表!$AJ$2,服务费底表!$AJ547,报价场景=服务费底表!$AP$2,服务费底表!$AP547,报价场景=服务费底表!$AK$2,服务费底表!$AK547,报价场景=服务费底表!$AL$2,服务费底表!$AL547,报价场景=服务费底表!$AM$2,服务费底表!$AM547,报价场景=服务费底表!$AN$2,服务费底表!$AN547,报价场景=服务费底表!$AQ$2,服务费底表!$AQ547,报价场景=服务费底表!$AO$2,服务费底表!$AO547)</f>
        <v>2</v>
      </c>
      <c r="Z547" s="327"/>
      <c r="AA547" s="332">
        <f t="shared" si="497"/>
        <v>2</v>
      </c>
      <c r="AB547" s="333">
        <f t="shared" si="498"/>
        <v>0</v>
      </c>
      <c r="AC547" s="328">
        <f t="shared" si="499"/>
        <v>0</v>
      </c>
      <c r="AD547" s="334">
        <f t="shared" si="500"/>
        <v>0</v>
      </c>
      <c r="AE547" s="334">
        <f>$AB547*(1-INDEX(项目参数!$D$5:$D$14,MATCH(服务费底表!$S547,项目参数!$B$5:$B$14,0)))</f>
        <v>0</v>
      </c>
      <c r="AF547" s="334">
        <f>$AD547*INDEX(项目参数!$D$5:$D$14,MATCH(服务费底表!$S547,项目参数!$B$5:$B$14,0))</f>
        <v>0</v>
      </c>
      <c r="AG547" s="334">
        <f t="shared" si="489"/>
        <v>0</v>
      </c>
      <c r="AH547" s="328"/>
      <c r="AI547" s="328" t="s">
        <v>638</v>
      </c>
      <c r="AJ547" s="327">
        <v>2</v>
      </c>
      <c r="AK547" s="327">
        <f t="shared" si="462"/>
        <v>2</v>
      </c>
      <c r="AL547" s="327">
        <f t="shared" si="463"/>
        <v>2</v>
      </c>
      <c r="AM547" s="327">
        <f t="shared" si="464"/>
        <v>2</v>
      </c>
      <c r="AN547" s="327">
        <f t="shared" si="465"/>
        <v>2</v>
      </c>
      <c r="AO547" s="327">
        <f t="shared" si="461"/>
        <v>2</v>
      </c>
      <c r="AP547" s="327">
        <v>2</v>
      </c>
      <c r="AQ547" s="327">
        <f t="shared" si="501"/>
        <v>3</v>
      </c>
      <c r="AR547" s="338"/>
      <c r="AS547" s="328">
        <f t="shared" si="490"/>
        <v>0</v>
      </c>
      <c r="AT547" s="328">
        <f t="shared" si="491"/>
        <v>0</v>
      </c>
      <c r="AU547" s="523">
        <v>2</v>
      </c>
      <c r="AV547" s="328"/>
      <c r="AW547" s="328"/>
      <c r="AX547" s="332">
        <v>2</v>
      </c>
      <c r="AY547" s="328" t="b">
        <f t="shared" si="502"/>
        <v>1</v>
      </c>
      <c r="AZ547" s="328" t="b">
        <f t="shared" si="448"/>
        <v>1</v>
      </c>
    </row>
    <row r="548" ht="27" customHeight="1" spans="1:52">
      <c r="A548" s="326" t="str">
        <f>INDEX('Rate Card'!$A:$A,MATCH(服务费底表!$T548,'Rate Card'!$F:$F,0))</f>
        <v>数统</v>
      </c>
      <c r="B548" s="327" t="str">
        <f>INDEX(二三级标准!$G:$G,MATCH(服务费底表!$K548,二三级标准!B:B,0))</f>
        <v>次</v>
      </c>
      <c r="C548" s="327">
        <f>INDEX(服务费明细!$E:$E,MATCH(服务费底表!$K548,服务费明细!$B:$B,0))</f>
        <v>0</v>
      </c>
      <c r="D548" s="327" t="str">
        <f t="shared" si="493"/>
        <v>A233STM</v>
      </c>
      <c r="E548" s="327" t="str">
        <f t="shared" si="494"/>
        <v>T0688STM</v>
      </c>
      <c r="F548" s="328"/>
      <c r="G548" s="328" t="s">
        <v>684</v>
      </c>
      <c r="H548" s="326" t="str">
        <f>INDEX('Rate Card'!$B:$B,MATCH(服务费底表!$T548,'Rate Card'!$F:$F,0))</f>
        <v>生物统计及分析</v>
      </c>
      <c r="I548" s="328" t="s">
        <v>924</v>
      </c>
      <c r="J548" s="328" t="str">
        <f>INDEX(二三级标准!$Q:$Q,MATCH(服务费底表!I548,二三级标准!$O:$O,0))</f>
        <v>生物统计及分析</v>
      </c>
      <c r="K548" s="328" t="s">
        <v>1088</v>
      </c>
      <c r="L548" s="328" t="str">
        <f>INDEX(二三级标准!C:C,MATCH(服务费底表!K548,二三级标准!$B:$B,0))</f>
        <v>参加和协助DSMB/DMC/IDMC会议</v>
      </c>
      <c r="M548" s="328" t="s">
        <v>1581</v>
      </c>
      <c r="N548" s="328" t="str">
        <f>INDEX(二三级标准!$M:$M,MATCH(服务费底表!$M548,二三级标准!$L:$L,0))</f>
        <v>完成DSMB/DMC/IDMC会议纪要</v>
      </c>
      <c r="O548" s="328"/>
      <c r="P548" s="531">
        <f>IF(R548=1,INDEX(服务费明细!$E:$E,MATCH(服务费底表!$K548,服务费明细!$B:$B,0)),0)</f>
        <v>0</v>
      </c>
      <c r="Q548" s="328" t="s">
        <v>1178</v>
      </c>
      <c r="R548" s="520">
        <f t="shared" si="492"/>
        <v>0</v>
      </c>
      <c r="S548" s="524" t="str">
        <f>INDEX('Rate Card'!$D:$D,MATCH(服务费底表!$T548,'Rate Card'!F:F,0))</f>
        <v>生物统计</v>
      </c>
      <c r="T548" s="328" t="s">
        <v>642</v>
      </c>
      <c r="U548" s="522" t="str">
        <f>INDEX('Rate Card'!$E:$E,MATCH(服务费底表!$T548,'Rate Card'!$F:$F,0))</f>
        <v>生物统计经理</v>
      </c>
      <c r="V548" s="331">
        <f>INDEX('Rate Card'!$J:$J,MATCH($T548,'Rate Card'!$F:$F,0))</f>
        <v>700</v>
      </c>
      <c r="W548" s="523">
        <f t="shared" si="495"/>
        <v>700</v>
      </c>
      <c r="X548" s="523">
        <f t="shared" si="496"/>
        <v>4</v>
      </c>
      <c r="Y548" s="327" cm="1">
        <f t="array" ref="Y548">_xlfn.IFS(报价场景=服务费底表!$AJ$2,服务费底表!$AJ548,报价场景=服务费底表!$AP$2,服务费底表!$AP548,报价场景=服务费底表!$AK$2,服务费底表!$AK548,报价场景=服务费底表!$AL$2,服务费底表!$AL548,报价场景=服务费底表!$AM$2,服务费底表!$AM548,报价场景=服务费底表!$AN$2,服务费底表!$AN548,报价场景=服务费底表!$AQ$2,服务费底表!$AQ548,报价场景=服务费底表!$AO$2,服务费底表!$AO548)</f>
        <v>4</v>
      </c>
      <c r="Z548" s="327"/>
      <c r="AA548" s="332">
        <f t="shared" si="497"/>
        <v>4</v>
      </c>
      <c r="AB548" s="333">
        <f t="shared" si="498"/>
        <v>0</v>
      </c>
      <c r="AC548" s="328">
        <f t="shared" si="499"/>
        <v>0</v>
      </c>
      <c r="AD548" s="334">
        <f t="shared" si="500"/>
        <v>0</v>
      </c>
      <c r="AE548" s="334">
        <f>$AB548*(1-INDEX(项目参数!$D$5:$D$14,MATCH(服务费底表!$S548,项目参数!$B$5:$B$14,0)))</f>
        <v>0</v>
      </c>
      <c r="AF548" s="334">
        <f>$AD548*INDEX(项目参数!$D$5:$D$14,MATCH(服务费底表!$S548,项目参数!$B$5:$B$14,0))</f>
        <v>0</v>
      </c>
      <c r="AG548" s="334">
        <f t="shared" si="489"/>
        <v>0</v>
      </c>
      <c r="AH548" s="328"/>
      <c r="AI548" s="328" t="s">
        <v>642</v>
      </c>
      <c r="AJ548" s="327">
        <v>4</v>
      </c>
      <c r="AK548" s="327">
        <f t="shared" si="462"/>
        <v>4</v>
      </c>
      <c r="AL548" s="327">
        <f t="shared" si="463"/>
        <v>4</v>
      </c>
      <c r="AM548" s="327">
        <f t="shared" si="464"/>
        <v>4</v>
      </c>
      <c r="AN548" s="327">
        <f t="shared" si="465"/>
        <v>4</v>
      </c>
      <c r="AO548" s="327">
        <f t="shared" si="461"/>
        <v>4</v>
      </c>
      <c r="AP548" s="327">
        <v>4</v>
      </c>
      <c r="AQ548" s="327">
        <f t="shared" si="501"/>
        <v>6</v>
      </c>
      <c r="AR548" s="338"/>
      <c r="AS548" s="328">
        <f t="shared" si="490"/>
        <v>0</v>
      </c>
      <c r="AT548" s="328">
        <f t="shared" si="491"/>
        <v>0</v>
      </c>
      <c r="AU548" s="523">
        <v>4</v>
      </c>
      <c r="AV548" s="328"/>
      <c r="AW548" s="328"/>
      <c r="AX548" s="332">
        <v>4</v>
      </c>
      <c r="AY548" s="328" t="b">
        <f t="shared" si="502"/>
        <v>1</v>
      </c>
      <c r="AZ548" s="328" t="b">
        <f t="shared" si="448"/>
        <v>1</v>
      </c>
    </row>
    <row r="549" ht="27" customHeight="1" spans="1:52">
      <c r="A549" s="326" t="str">
        <f>INDEX('Rate Card'!$A:$A,MATCH(服务费底表!$T549,'Rate Card'!$F:$F,0))</f>
        <v>数统</v>
      </c>
      <c r="B549" s="327" t="str">
        <f>INDEX(二三级标准!$G:$G,MATCH(服务费底表!$K549,二三级标准!B:B,0))</f>
        <v>项目</v>
      </c>
      <c r="C549" s="327">
        <f>INDEX(服务费明细!$E:$E,MATCH(服务费底表!$K549,服务费明细!$B:$B,0))</f>
        <v>0</v>
      </c>
      <c r="D549" s="327" t="str">
        <f t="shared" si="493"/>
        <v>A234STM</v>
      </c>
      <c r="E549" s="327" t="str">
        <f t="shared" si="494"/>
        <v>T0689aSTM</v>
      </c>
      <c r="F549" s="328"/>
      <c r="G549" s="328" t="s">
        <v>684</v>
      </c>
      <c r="H549" s="326" t="str">
        <f>INDEX('Rate Card'!$B:$B,MATCH(服务费底表!$T549,'Rate Card'!$F:$F,0))</f>
        <v>生物统计及分析</v>
      </c>
      <c r="I549" s="328" t="s">
        <v>924</v>
      </c>
      <c r="J549" s="328" t="str">
        <f>INDEX(二三级标准!$Q:$Q,MATCH(服务费底表!I549,二三级标准!$O:$O,0))</f>
        <v>生物统计及分析</v>
      </c>
      <c r="K549" s="328" t="s">
        <v>1089</v>
      </c>
      <c r="L549" s="328" t="str">
        <f>INDEX(二三级标准!C:C,MATCH(服务费底表!K549,二三级标准!$B:$B,0))</f>
        <v>DSMB/DMC/IDMC项目管理</v>
      </c>
      <c r="M549" s="328" t="s">
        <v>1582</v>
      </c>
      <c r="N549" s="328" t="str">
        <f>INDEX(二三级标准!$M:$M,MATCH(服务费底表!$M549,二三级标准!$L:$L,0))</f>
        <v>生物统计的DSMB/DMC/IDMC项目管理</v>
      </c>
      <c r="O549" s="328" t="s">
        <v>1537</v>
      </c>
      <c r="P549" s="531">
        <f>IF(R549=1,INDEX(服务费明细!$E:$E,MATCH(服务费底表!$K549,服务费明细!$B:$B,0)),0)</f>
        <v>0</v>
      </c>
      <c r="Q549" s="328" t="s">
        <v>1583</v>
      </c>
      <c r="R549" s="520">
        <f>IF(AND(DSMB_DMC_IDMC项目管理=1,生物统计YN=1),1,0)</f>
        <v>0</v>
      </c>
      <c r="S549" s="524" t="str">
        <f>INDEX('Rate Card'!$D:$D,MATCH(服务费底表!$T549,'Rate Card'!F:F,0))</f>
        <v>生物统计</v>
      </c>
      <c r="T549" s="328" t="s">
        <v>642</v>
      </c>
      <c r="U549" s="522" t="str">
        <f>INDEX('Rate Card'!$E:$E,MATCH(服务费底表!$T549,'Rate Card'!$F:$F,0))</f>
        <v>生物统计经理</v>
      </c>
      <c r="V549" s="331">
        <f>INDEX('Rate Card'!$J:$J,MATCH($T549,'Rate Card'!$F:$F,0))</f>
        <v>700</v>
      </c>
      <c r="W549" s="523">
        <f t="shared" si="495"/>
        <v>700</v>
      </c>
      <c r="X549" s="523">
        <f t="shared" si="496"/>
        <v>30</v>
      </c>
      <c r="Y549" s="327" cm="1">
        <f t="array" ref="Y549">_xlfn.IFS(报价场景=服务费底表!$AJ$2,服务费底表!$AJ549,报价场景=服务费底表!$AP$2,服务费底表!$AP549,报价场景=服务费底表!$AK$2,服务费底表!$AK549,报价场景=服务费底表!$AL$2,服务费底表!$AL549,报价场景=服务费底表!$AM$2,服务费底表!$AM549,报价场景=服务费底表!$AN$2,服务费底表!$AN549,报价场景=服务费底表!$AQ$2,服务费底表!$AQ549,报价场景=服务费底表!$AO$2,服务费底表!$AO549)</f>
        <v>30</v>
      </c>
      <c r="Z549" s="327"/>
      <c r="AA549" s="332">
        <f t="shared" si="497"/>
        <v>30</v>
      </c>
      <c r="AB549" s="333">
        <f t="shared" si="498"/>
        <v>0</v>
      </c>
      <c r="AC549" s="328">
        <f t="shared" si="499"/>
        <v>0</v>
      </c>
      <c r="AD549" s="334">
        <f t="shared" si="500"/>
        <v>0</v>
      </c>
      <c r="AE549" s="334">
        <f>$AB549*(1-INDEX(项目参数!$D$5:$D$14,MATCH(服务费底表!$S549,项目参数!$B$5:$B$14,0)))</f>
        <v>0</v>
      </c>
      <c r="AF549" s="334">
        <f>$AD549*INDEX(项目参数!$D$5:$D$14,MATCH(服务费底表!$S549,项目参数!$B$5:$B$14,0))</f>
        <v>0</v>
      </c>
      <c r="AG549" s="334">
        <f t="shared" si="489"/>
        <v>0</v>
      </c>
      <c r="AH549" s="328"/>
      <c r="AI549" s="328" t="s">
        <v>642</v>
      </c>
      <c r="AJ549" s="327">
        <v>30</v>
      </c>
      <c r="AK549" s="327">
        <f t="shared" si="462"/>
        <v>30</v>
      </c>
      <c r="AL549" s="327">
        <f t="shared" si="463"/>
        <v>30</v>
      </c>
      <c r="AM549" s="327">
        <f t="shared" si="464"/>
        <v>30</v>
      </c>
      <c r="AN549" s="327">
        <f t="shared" si="465"/>
        <v>30</v>
      </c>
      <c r="AO549" s="327">
        <f t="shared" si="461"/>
        <v>30</v>
      </c>
      <c r="AP549" s="327">
        <v>30</v>
      </c>
      <c r="AQ549" s="327">
        <f t="shared" si="501"/>
        <v>45</v>
      </c>
      <c r="AR549" s="338"/>
      <c r="AS549" s="328">
        <f t="shared" si="490"/>
        <v>0</v>
      </c>
      <c r="AT549" s="328">
        <f t="shared" si="491"/>
        <v>0</v>
      </c>
      <c r="AU549" s="523">
        <v>30</v>
      </c>
      <c r="AV549" s="328"/>
      <c r="AW549" s="328"/>
      <c r="AX549" s="332">
        <v>30</v>
      </c>
      <c r="AY549" s="328" t="b">
        <f t="shared" si="502"/>
        <v>1</v>
      </c>
      <c r="AZ549" s="328" t="b">
        <f t="shared" si="448"/>
        <v>0</v>
      </c>
    </row>
    <row r="550" ht="27" customHeight="1" spans="1:52">
      <c r="A550" s="326" t="str">
        <f>INDEX('Rate Card'!$A:$A,MATCH(服务费底表!$T550,'Rate Card'!$F:$F,0))</f>
        <v>数统</v>
      </c>
      <c r="B550" s="327" t="str">
        <f>INDEX(二三级标准!$G:$G,MATCH(服务费底表!$K550,二三级标准!B:B,0))</f>
        <v>项目</v>
      </c>
      <c r="C550" s="327">
        <f>INDEX(服务费明细!$E:$E,MATCH(服务费底表!$K550,服务费明细!$B:$B,0))</f>
        <v>0</v>
      </c>
      <c r="D550" s="327" t="str">
        <f t="shared" si="493"/>
        <v>A234SAM</v>
      </c>
      <c r="E550" s="327" t="str">
        <f t="shared" si="494"/>
        <v>T0690aSAM</v>
      </c>
      <c r="F550" s="328"/>
      <c r="G550" s="328" t="s">
        <v>684</v>
      </c>
      <c r="H550" s="326" t="str">
        <f>INDEX('Rate Card'!$B:$B,MATCH(服务费底表!$T550,'Rate Card'!$F:$F,0))</f>
        <v>生物统计及分析</v>
      </c>
      <c r="I550" s="328" t="s">
        <v>924</v>
      </c>
      <c r="J550" s="328" t="str">
        <f>INDEX(二三级标准!$Q:$Q,MATCH(服务费底表!I550,二三级标准!$O:$O,0))</f>
        <v>生物统计及分析</v>
      </c>
      <c r="K550" s="328" t="s">
        <v>1089</v>
      </c>
      <c r="L550" s="328" t="str">
        <f>INDEX(二三级标准!C:C,MATCH(服务费底表!K550,二三级标准!$B:$B,0))</f>
        <v>DSMB/DMC/IDMC项目管理</v>
      </c>
      <c r="M550" s="328" t="s">
        <v>1584</v>
      </c>
      <c r="N550" s="328" t="str">
        <f>INDEX(二三级标准!$M:$M,MATCH(服务费底表!$M550,二三级标准!$L:$L,0))</f>
        <v>统计分析的DSMB/DMC/IDMC项目管理</v>
      </c>
      <c r="O550" s="328" t="s">
        <v>1537</v>
      </c>
      <c r="P550" s="531">
        <f>IF(R550=1,INDEX(服务费明细!$E:$E,MATCH(服务费底表!$K550,服务费明细!$B:$B,0)),0)</f>
        <v>0</v>
      </c>
      <c r="Q550" s="328" t="s">
        <v>1583</v>
      </c>
      <c r="R550" s="520">
        <f>IF(AND(DSMB_DMC_IDMC项目管理=1,统计分析YN=1),1,0)</f>
        <v>0</v>
      </c>
      <c r="S550" s="524" t="str">
        <f>INDEX('Rate Card'!$D:$D,MATCH(服务费底表!$T550,'Rate Card'!F:F,0))</f>
        <v>统计分析</v>
      </c>
      <c r="T550" s="328" t="s">
        <v>638</v>
      </c>
      <c r="U550" s="522" t="str">
        <f>INDEX('Rate Card'!$E:$E,MATCH(服务费底表!$T550,'Rate Card'!$F:$F,0))</f>
        <v>统计分析经理</v>
      </c>
      <c r="V550" s="331">
        <f>INDEX('Rate Card'!$J:$J,MATCH($T550,'Rate Card'!$F:$F,0))</f>
        <v>450</v>
      </c>
      <c r="W550" s="523">
        <f t="shared" si="495"/>
        <v>450</v>
      </c>
      <c r="X550" s="523">
        <f t="shared" si="496"/>
        <v>10</v>
      </c>
      <c r="Y550" s="327" cm="1">
        <f t="array" ref="Y550">_xlfn.IFS(报价场景=服务费底表!$AJ$2,服务费底表!$AJ550,报价场景=服务费底表!$AP$2,服务费底表!$AP550,报价场景=服务费底表!$AK$2,服务费底表!$AK550,报价场景=服务费底表!$AL$2,服务费底表!$AL550,报价场景=服务费底表!$AM$2,服务费底表!$AM550,报价场景=服务费底表!$AN$2,服务费底表!$AN550,报价场景=服务费底表!$AQ$2,服务费底表!$AQ550,报价场景=服务费底表!$AO$2,服务费底表!$AO550)</f>
        <v>10</v>
      </c>
      <c r="Z550" s="327"/>
      <c r="AA550" s="332">
        <f t="shared" si="497"/>
        <v>10</v>
      </c>
      <c r="AB550" s="333">
        <f t="shared" si="498"/>
        <v>0</v>
      </c>
      <c r="AC550" s="328">
        <f t="shared" si="499"/>
        <v>0</v>
      </c>
      <c r="AD550" s="334">
        <f t="shared" si="500"/>
        <v>0</v>
      </c>
      <c r="AE550" s="334">
        <f>$AB550*(1-INDEX(项目参数!$D$5:$D$14,MATCH(服务费底表!$S550,项目参数!$B$5:$B$14,0)))</f>
        <v>0</v>
      </c>
      <c r="AF550" s="334">
        <f>$AD550*INDEX(项目参数!$D$5:$D$14,MATCH(服务费底表!$S550,项目参数!$B$5:$B$14,0))</f>
        <v>0</v>
      </c>
      <c r="AG550" s="334">
        <f t="shared" si="489"/>
        <v>0</v>
      </c>
      <c r="AH550" s="328"/>
      <c r="AI550" s="328" t="s">
        <v>638</v>
      </c>
      <c r="AJ550" s="327">
        <v>10</v>
      </c>
      <c r="AK550" s="327">
        <f t="shared" si="462"/>
        <v>10</v>
      </c>
      <c r="AL550" s="327">
        <f t="shared" si="463"/>
        <v>10</v>
      </c>
      <c r="AM550" s="327">
        <f t="shared" si="464"/>
        <v>10</v>
      </c>
      <c r="AN550" s="327">
        <f t="shared" si="465"/>
        <v>10</v>
      </c>
      <c r="AO550" s="327">
        <f t="shared" si="461"/>
        <v>10</v>
      </c>
      <c r="AP550" s="327">
        <v>10</v>
      </c>
      <c r="AQ550" s="327">
        <f t="shared" si="501"/>
        <v>15</v>
      </c>
      <c r="AR550" s="338"/>
      <c r="AS550" s="328">
        <f t="shared" si="490"/>
        <v>0</v>
      </c>
      <c r="AT550" s="328">
        <f t="shared" si="491"/>
        <v>0</v>
      </c>
      <c r="AU550" s="523">
        <v>10</v>
      </c>
      <c r="AV550" s="328"/>
      <c r="AW550" s="328"/>
      <c r="AX550" s="332">
        <v>10</v>
      </c>
      <c r="AY550" s="328" t="b">
        <f t="shared" si="502"/>
        <v>1</v>
      </c>
      <c r="AZ550" s="328" t="b">
        <f t="shared" si="448"/>
        <v>0</v>
      </c>
    </row>
    <row r="551" ht="27" customHeight="1" spans="1:52">
      <c r="A551" s="326" t="str">
        <f>INDEX('Rate Card'!$A:$A,MATCH(服务费底表!$T551,'Rate Card'!$F:$F,0))</f>
        <v>数统</v>
      </c>
      <c r="B551" s="327" t="str">
        <f>INDEX(二三级标准!$G:$G,MATCH(服务费底表!$K551,二三级标准!B:B,0))</f>
        <v>次</v>
      </c>
      <c r="C551" s="327">
        <f>INDEX(服务费明细!$E:$E,MATCH(服务费底表!$K551,服务费明细!$B:$B,0))</f>
        <v>0</v>
      </c>
      <c r="D551" s="327" t="str">
        <f t="shared" si="493"/>
        <v>A280SA</v>
      </c>
      <c r="E551" s="327" t="str">
        <f t="shared" si="494"/>
        <v>T0791SA</v>
      </c>
      <c r="F551" s="328"/>
      <c r="G551" s="328" t="s">
        <v>684</v>
      </c>
      <c r="H551" s="326" t="str">
        <f>INDEX('Rate Card'!$B:$B,MATCH(服务费底表!$T551,'Rate Card'!$F:$F,0))</f>
        <v>生物统计及分析</v>
      </c>
      <c r="I551" s="328" t="s">
        <v>924</v>
      </c>
      <c r="J551" s="328" t="str">
        <f>INDEX(二三级标准!$Q:$Q,MATCH(服务费底表!I551,二三级标准!$O:$O,0))</f>
        <v>生物统计及分析</v>
      </c>
      <c r="K551" s="328" t="s">
        <v>1091</v>
      </c>
      <c r="L551" s="328" t="str">
        <f>INDEX(二三级标准!C:C,MATCH(服务费底表!K551,二三级标准!$B:$B,0))</f>
        <v>文章发表支持</v>
      </c>
      <c r="M551" s="328" t="s">
        <v>1585</v>
      </c>
      <c r="N551" s="328" t="str">
        <f>INDEX(二三级标准!$M:$M,MATCH(服务费底表!$M551,二三级标准!$L:$L,0))</f>
        <v>文章发表支持</v>
      </c>
      <c r="O551" s="328"/>
      <c r="P551" s="531">
        <f>IF(R551=1,INDEX(服务费明细!$E:$E,MATCH(服务费底表!$K551,服务费明细!$B:$B,0)),0)</f>
        <v>0</v>
      </c>
      <c r="Q551" s="328" t="s">
        <v>1178</v>
      </c>
      <c r="R551" s="520">
        <f>IF(AND(文章发表YN=1,统计分析YN=1),1,0)</f>
        <v>0</v>
      </c>
      <c r="S551" s="524" t="str">
        <f>INDEX('Rate Card'!$D:$D,MATCH(服务费底表!$T551,'Rate Card'!F:F,0))</f>
        <v>统计分析</v>
      </c>
      <c r="T551" s="328" t="s">
        <v>635</v>
      </c>
      <c r="U551" s="522" t="str">
        <f>INDEX('Rate Card'!$E:$E,MATCH(服务费底表!$T551,'Rate Card'!$F:$F,0))</f>
        <v>统计分析师</v>
      </c>
      <c r="V551" s="331">
        <f>INDEX('Rate Card'!$J:$J,MATCH($T551,'Rate Card'!$F:$F,0))</f>
        <v>225</v>
      </c>
      <c r="W551" s="523">
        <f t="shared" si="495"/>
        <v>225</v>
      </c>
      <c r="X551" s="523">
        <f t="shared" si="496"/>
        <v>16</v>
      </c>
      <c r="Y551" s="327" cm="1">
        <f t="array" ref="Y551">_xlfn.IFS(报价场景=服务费底表!$AJ$2,服务费底表!$AJ551,报价场景=服务费底表!$AP$2,服务费底表!$AP551,报价场景=服务费底表!$AK$2,服务费底表!$AK551,报价场景=服务费底表!$AL$2,服务费底表!$AL551,报价场景=服务费底表!$AM$2,服务费底表!$AM551,报价场景=服务费底表!$AN$2,服务费底表!$AN551,报价场景=服务费底表!$AQ$2,服务费底表!$AQ551,报价场景=服务费底表!$AO$2,服务费底表!$AO551)</f>
        <v>16</v>
      </c>
      <c r="Z551" s="327"/>
      <c r="AA551" s="332">
        <f t="shared" si="497"/>
        <v>16</v>
      </c>
      <c r="AB551" s="333">
        <f t="shared" si="498"/>
        <v>0</v>
      </c>
      <c r="AC551" s="328">
        <f t="shared" si="499"/>
        <v>0</v>
      </c>
      <c r="AD551" s="334">
        <f t="shared" si="500"/>
        <v>0</v>
      </c>
      <c r="AE551" s="334">
        <f>$AB551*(1-INDEX(项目参数!$D$5:$D$14,MATCH(服务费底表!$S551,项目参数!$B$5:$B$14,0)))</f>
        <v>0</v>
      </c>
      <c r="AF551" s="334">
        <f>$AD551*INDEX(项目参数!$D$5:$D$14,MATCH(服务费底表!$S551,项目参数!$B$5:$B$14,0))</f>
        <v>0</v>
      </c>
      <c r="AG551" s="334">
        <f t="shared" si="489"/>
        <v>0</v>
      </c>
      <c r="AH551" s="328"/>
      <c r="AI551" s="328" t="s">
        <v>635</v>
      </c>
      <c r="AJ551" s="327">
        <v>16</v>
      </c>
      <c r="AK551" s="327">
        <f t="shared" si="462"/>
        <v>16</v>
      </c>
      <c r="AL551" s="327">
        <f t="shared" si="463"/>
        <v>16</v>
      </c>
      <c r="AM551" s="327">
        <f t="shared" si="464"/>
        <v>16</v>
      </c>
      <c r="AN551" s="327">
        <f t="shared" si="465"/>
        <v>16</v>
      </c>
      <c r="AO551" s="327">
        <f t="shared" si="461"/>
        <v>16</v>
      </c>
      <c r="AP551" s="327">
        <v>16</v>
      </c>
      <c r="AQ551" s="327">
        <f t="shared" si="501"/>
        <v>24</v>
      </c>
      <c r="AR551" s="338"/>
      <c r="AS551" s="328">
        <f t="shared" si="490"/>
        <v>0</v>
      </c>
      <c r="AT551" s="328">
        <f t="shared" si="491"/>
        <v>0</v>
      </c>
      <c r="AU551" s="523">
        <v>16</v>
      </c>
      <c r="AV551" s="328"/>
      <c r="AW551" s="328"/>
      <c r="AX551" s="332">
        <v>16</v>
      </c>
      <c r="AY551" s="328" t="b">
        <f t="shared" si="502"/>
        <v>1</v>
      </c>
      <c r="AZ551" s="328" t="b">
        <f t="shared" si="448"/>
        <v>1</v>
      </c>
    </row>
    <row r="552" ht="27" customHeight="1" spans="1:52">
      <c r="A552" s="326" t="str">
        <f>INDEX('Rate Card'!$A:$A,MATCH(服务费底表!$T552,'Rate Card'!$F:$F,0))</f>
        <v>数统</v>
      </c>
      <c r="B552" s="327" t="str">
        <f>INDEX(二三级标准!$G:$G,MATCH(服务费底表!$K552,二三级标准!B:B,0))</f>
        <v>次</v>
      </c>
      <c r="C552" s="327">
        <f>INDEX(服务费明细!$E:$E,MATCH(服务费底表!$K552,服务费明细!$B:$B,0))</f>
        <v>0</v>
      </c>
      <c r="D552" s="327" t="str">
        <f t="shared" si="493"/>
        <v>A281SA</v>
      </c>
      <c r="E552" s="327" t="str">
        <f t="shared" si="494"/>
        <v>T0792SA</v>
      </c>
      <c r="F552" s="328"/>
      <c r="G552" s="328" t="s">
        <v>684</v>
      </c>
      <c r="H552" s="326" t="str">
        <f>INDEX('Rate Card'!$B:$B,MATCH(服务费底表!$T552,'Rate Card'!$F:$F,0))</f>
        <v>生物统计及分析</v>
      </c>
      <c r="I552" s="328" t="s">
        <v>924</v>
      </c>
      <c r="J552" s="328" t="str">
        <f>INDEX(二三级标准!$Q:$Q,MATCH(服务费底表!I552,二三级标准!$O:$O,0))</f>
        <v>生物统计及分析</v>
      </c>
      <c r="K552" s="328" t="s">
        <v>1092</v>
      </c>
      <c r="L552" s="328" t="str">
        <f>INDEX(二三级标准!C:C,MATCH(服务费底表!K552,二三级标准!$B:$B,0))</f>
        <v>CDE申报后额外分析</v>
      </c>
      <c r="M552" s="328" t="s">
        <v>1586</v>
      </c>
      <c r="N552" s="328" t="str">
        <f>INDEX(二三级标准!$M:$M,MATCH(服务费底表!$M552,二三级标准!$L:$L,0))</f>
        <v>CDE申报后额外分析</v>
      </c>
      <c r="O552" s="328"/>
      <c r="P552" s="531">
        <f>IF(R552=1,INDEX(服务费明细!$E:$E,MATCH(服务费底表!$K552,服务费明细!$B:$B,0)),0)</f>
        <v>0</v>
      </c>
      <c r="Q552" s="328" t="s">
        <v>1178</v>
      </c>
      <c r="R552" s="520">
        <f>IF(AND(CDE申报后额外分析YN=1,统计分析YN=1),1,0)</f>
        <v>0</v>
      </c>
      <c r="S552" s="524" t="str">
        <f>INDEX('Rate Card'!$D:$D,MATCH(服务费底表!$T552,'Rate Card'!F:F,0))</f>
        <v>统计分析</v>
      </c>
      <c r="T552" s="328" t="s">
        <v>635</v>
      </c>
      <c r="U552" s="522" t="str">
        <f>INDEX('Rate Card'!$E:$E,MATCH(服务费底表!$T552,'Rate Card'!$F:$F,0))</f>
        <v>统计分析师</v>
      </c>
      <c r="V552" s="331">
        <f>INDEX('Rate Card'!$J:$J,MATCH($T552,'Rate Card'!$F:$F,0))</f>
        <v>225</v>
      </c>
      <c r="W552" s="523">
        <f t="shared" si="495"/>
        <v>225</v>
      </c>
      <c r="X552" s="523">
        <f t="shared" si="496"/>
        <v>24</v>
      </c>
      <c r="Y552" s="327" cm="1">
        <f t="array" ref="Y552">_xlfn.IFS(报价场景=服务费底表!$AJ$2,服务费底表!$AJ552,报价场景=服务费底表!$AP$2,服务费底表!$AP552,报价场景=服务费底表!$AK$2,服务费底表!$AK552,报价场景=服务费底表!$AL$2,服务费底表!$AL552,报价场景=服务费底表!$AM$2,服务费底表!$AM552,报价场景=服务费底表!$AN$2,服务费底表!$AN552,报价场景=服务费底表!$AQ$2,服务费底表!$AQ552,报价场景=服务费底表!$AO$2,服务费底表!$AO552)</f>
        <v>24</v>
      </c>
      <c r="Z552" s="327"/>
      <c r="AA552" s="332">
        <f t="shared" si="497"/>
        <v>24</v>
      </c>
      <c r="AB552" s="333">
        <f t="shared" si="498"/>
        <v>0</v>
      </c>
      <c r="AC552" s="328">
        <f t="shared" si="499"/>
        <v>0</v>
      </c>
      <c r="AD552" s="334">
        <f t="shared" si="500"/>
        <v>0</v>
      </c>
      <c r="AE552" s="334">
        <f>$AB552*(1-INDEX(项目参数!$D$5:$D$14,MATCH(服务费底表!$S552,项目参数!$B$5:$B$14,0)))</f>
        <v>0</v>
      </c>
      <c r="AF552" s="334">
        <f>$AD552*INDEX(项目参数!$D$5:$D$14,MATCH(服务费底表!$S552,项目参数!$B$5:$B$14,0))</f>
        <v>0</v>
      </c>
      <c r="AG552" s="334">
        <f t="shared" si="489"/>
        <v>0</v>
      </c>
      <c r="AH552" s="328"/>
      <c r="AI552" s="328" t="s">
        <v>635</v>
      </c>
      <c r="AJ552" s="327">
        <v>24</v>
      </c>
      <c r="AK552" s="327">
        <f t="shared" si="462"/>
        <v>24</v>
      </c>
      <c r="AL552" s="327">
        <f t="shared" si="463"/>
        <v>24</v>
      </c>
      <c r="AM552" s="327">
        <f t="shared" si="464"/>
        <v>24</v>
      </c>
      <c r="AN552" s="327">
        <f t="shared" si="465"/>
        <v>24</v>
      </c>
      <c r="AO552" s="327">
        <f t="shared" si="461"/>
        <v>24</v>
      </c>
      <c r="AP552" s="327">
        <v>24</v>
      </c>
      <c r="AQ552" s="327">
        <f t="shared" si="501"/>
        <v>36</v>
      </c>
      <c r="AR552" s="338"/>
      <c r="AS552" s="328">
        <f t="shared" si="490"/>
        <v>0</v>
      </c>
      <c r="AT552" s="328">
        <f t="shared" si="491"/>
        <v>0</v>
      </c>
      <c r="AU552" s="523">
        <v>24</v>
      </c>
      <c r="AV552" s="328"/>
      <c r="AW552" s="328"/>
      <c r="AX552" s="332">
        <v>24</v>
      </c>
      <c r="AY552" s="328" t="b">
        <f t="shared" si="502"/>
        <v>1</v>
      </c>
      <c r="AZ552" s="328" t="b">
        <f t="shared" si="448"/>
        <v>0</v>
      </c>
    </row>
    <row r="553" ht="27" customHeight="1" spans="1:52">
      <c r="A553" s="326" t="str">
        <f>INDEX('Rate Card'!$A:$A,MATCH(服务费底表!$T553,'Rate Card'!$F:$F,0))</f>
        <v>临床药理</v>
      </c>
      <c r="B553" s="327" t="str">
        <f>INDEX(二三级标准!$G:$G,MATCH(服务费底表!$K553,二三级标准!B:B,0))</f>
        <v>次</v>
      </c>
      <c r="C553" s="327">
        <f>INDEX(服务费明细!$E:$E,MATCH(服务费底表!$K553,服务费明细!$B:$B,0))</f>
        <v>0</v>
      </c>
      <c r="D553" s="327" t="str">
        <f t="shared" ref="D553:D570" si="503">K553&amp;T553</f>
        <v>A214CPS</v>
      </c>
      <c r="E553" s="327" t="str">
        <f t="shared" ref="E553:E570" si="504">M553&amp;T553</f>
        <v>T0638CPS</v>
      </c>
      <c r="F553" s="328"/>
      <c r="G553" s="328" t="s">
        <v>684</v>
      </c>
      <c r="H553" s="326" t="str">
        <f>INDEX('Rate Card'!$B:$B,MATCH(服务费底表!$T553,'Rate Card'!$F:$F,0))</f>
        <v>临床药理</v>
      </c>
      <c r="I553" s="328" t="s">
        <v>925</v>
      </c>
      <c r="J553" s="328" t="str">
        <f>INDEX(二三级标准!$Q:$Q,MATCH(服务费底表!I553,二三级标准!$O:$O,0))</f>
        <v>临床药理</v>
      </c>
      <c r="K553" s="328" t="s">
        <v>1093</v>
      </c>
      <c r="L553" s="328" t="str">
        <f>INDEX(二三级标准!C:C,MATCH(服务费底表!K553,二三级标准!$B:$B,0))</f>
        <v>FIH研究剂量预测-数据/文献的传输支持和整理</v>
      </c>
      <c r="M553" s="328" t="s">
        <v>1587</v>
      </c>
      <c r="N553" s="328" t="str">
        <f>INDEX(二三级标准!$M:$M,MATCH(服务费底表!$M553,二三级标准!$L:$L,0))</f>
        <v>数据/文献的传输支持和整理</v>
      </c>
      <c r="O553" s="328"/>
      <c r="P553" s="531">
        <f>IF(R553=1,INDEX(服务费明细!$E:$E,MATCH(服务费底表!$K553,服务费明细!$B:$B,0)),0)</f>
        <v>0</v>
      </c>
      <c r="Q553" s="328" t="s">
        <v>1178</v>
      </c>
      <c r="R553" s="520">
        <f>IF(AND(数据_文献的传输支持和整理=1,临床药理YN=1),1,0)</f>
        <v>0</v>
      </c>
      <c r="S553" s="328" t="str">
        <f>INDEX('Rate Card'!$D:$D,MATCH(服务费底表!$T553,'Rate Card'!F:F,0))</f>
        <v>临床药理</v>
      </c>
      <c r="T553" s="328" t="s">
        <v>652</v>
      </c>
      <c r="U553" s="522" t="str">
        <f>INDEX('Rate Card'!$E:$E,MATCH(服务费底表!$T553,'Rate Card'!$F:$F,0))</f>
        <v>临床药理专员</v>
      </c>
      <c r="V553" s="331">
        <f>INDEX('Rate Card'!$J:$J,MATCH($T553,'Rate Card'!$F:$F,0))</f>
        <v>580</v>
      </c>
      <c r="W553" s="523">
        <f t="shared" ref="W553:W594" si="505">V553*(1-$W$1)</f>
        <v>580</v>
      </c>
      <c r="X553" s="523">
        <f t="shared" ref="X553:X594" si="506">Y553*$X$1</f>
        <v>20</v>
      </c>
      <c r="Y553" s="327" cm="1">
        <f t="array" ref="Y553">_xlfn.IFS(报价场景=服务费底表!$AJ$2,服务费底表!$AJ553,报价场景=服务费底表!$AP$2,服务费底表!$AP553,报价场景=服务费底表!$AK$2,服务费底表!$AK553,报价场景=服务费底表!$AL$2,服务费底表!$AL553,报价场景=服务费底表!$AM$2,服务费底表!$AM553,报价场景=服务费底表!$AN$2,服务费底表!$AN553,报价场景=服务费底表!$AQ$2,服务费底表!$AQ553,报价场景=服务费底表!$AO$2,服务费底表!$AO553)</f>
        <v>20</v>
      </c>
      <c r="Z553" s="327"/>
      <c r="AA553" s="332">
        <f t="shared" ref="AA553:AA573" si="507">IF(ISBLANK($Z553),$Y553,$Z553)</f>
        <v>20</v>
      </c>
      <c r="AB553" s="333">
        <f t="shared" ref="AB553:AB570" si="508">IFERROR(AD553/P553,0)</f>
        <v>0</v>
      </c>
      <c r="AC553" s="328">
        <f t="shared" ref="AC553:AC570" si="509">AA553*P553*R553</f>
        <v>0</v>
      </c>
      <c r="AD553" s="334">
        <f t="shared" ref="AD553:AD569" si="510">AC553*V553</f>
        <v>0</v>
      </c>
      <c r="AE553" s="334">
        <f>$AB553*(1-INDEX(项目参数!$D$5:$D$14,MATCH(服务费底表!$S553,项目参数!$B$5:$B$14,0)))</f>
        <v>0</v>
      </c>
      <c r="AF553" s="334">
        <f>$AD553*INDEX(项目参数!$D$5:$D$14,MATCH(服务费底表!$S553,项目参数!$B$5:$B$14,0))</f>
        <v>0</v>
      </c>
      <c r="AG553" s="334">
        <f t="shared" ref="AG553:AG570" si="511">AD553-AF553</f>
        <v>0</v>
      </c>
      <c r="AH553" s="328"/>
      <c r="AI553" s="328" t="s">
        <v>652</v>
      </c>
      <c r="AJ553" s="327">
        <v>20</v>
      </c>
      <c r="AK553" s="327">
        <v>20</v>
      </c>
      <c r="AL553" s="327">
        <v>20</v>
      </c>
      <c r="AM553" s="327">
        <v>20</v>
      </c>
      <c r="AN553" s="327">
        <v>20</v>
      </c>
      <c r="AO553" s="327">
        <f t="shared" si="461"/>
        <v>20</v>
      </c>
      <c r="AP553" s="327">
        <v>20</v>
      </c>
      <c r="AQ553" s="327">
        <f t="shared" ref="AQ553:AQ594" si="512">AJ553*$AQ$1</f>
        <v>30</v>
      </c>
      <c r="AR553" s="338"/>
      <c r="AS553" s="328">
        <f t="shared" ref="AS553:AS573" si="513">AC553</f>
        <v>0</v>
      </c>
      <c r="AT553" s="328">
        <f t="shared" ref="AT553:AT573" si="514">Y553*P553</f>
        <v>0</v>
      </c>
      <c r="AU553" s="523">
        <v>20</v>
      </c>
      <c r="AV553" s="328"/>
      <c r="AW553" s="328"/>
      <c r="AX553" s="332">
        <v>20</v>
      </c>
      <c r="AY553" s="328" t="b">
        <f t="shared" ref="AY553:AY573" si="515">IF(AX553=AJ553,TRUE,FALSE)</f>
        <v>1</v>
      </c>
      <c r="AZ553" s="328" t="b">
        <f t="shared" si="448"/>
        <v>1</v>
      </c>
    </row>
    <row r="554" ht="27" customHeight="1" spans="1:52">
      <c r="A554" s="326" t="str">
        <f>INDEX('Rate Card'!$A:$A,MATCH(服务费底表!$T554,'Rate Card'!$F:$F,0))</f>
        <v>临床药理</v>
      </c>
      <c r="B554" s="327" t="str">
        <f>INDEX(二三级标准!$G:$G,MATCH(服务费底表!$K554,二三级标准!B:B,0))</f>
        <v>次</v>
      </c>
      <c r="C554" s="327">
        <f>INDEX(服务费明细!$E:$E,MATCH(服务费底表!$K554,服务费明细!$B:$B,0))</f>
        <v>0</v>
      </c>
      <c r="D554" s="327" t="str">
        <f t="shared" si="503"/>
        <v>A215CPSS</v>
      </c>
      <c r="E554" s="327" t="str">
        <f t="shared" si="504"/>
        <v>T0639CPSS</v>
      </c>
      <c r="F554" s="328"/>
      <c r="G554" s="328" t="s">
        <v>684</v>
      </c>
      <c r="H554" s="326" t="str">
        <f>INDEX('Rate Card'!$B:$B,MATCH(服务费底表!$T554,'Rate Card'!$F:$F,0))</f>
        <v>临床药理</v>
      </c>
      <c r="I554" s="328" t="s">
        <v>925</v>
      </c>
      <c r="J554" s="328" t="str">
        <f>INDEX(二三级标准!$Q:$Q,MATCH(服务费底表!I554,二三级标准!$O:$O,0))</f>
        <v>临床药理</v>
      </c>
      <c r="K554" s="328" t="s">
        <v>1094</v>
      </c>
      <c r="L554" s="328" t="str">
        <f>INDEX(二三级标准!C:C,MATCH(服务费底表!K554,二三级标准!$B:$B,0))</f>
        <v>FIH研究剂量预测-异速放大法</v>
      </c>
      <c r="M554" s="328" t="s">
        <v>1588</v>
      </c>
      <c r="N554" s="328" t="str">
        <f>INDEX(二三级标准!$M:$M,MATCH(服务费底表!$M554,二三级标准!$L:$L,0))</f>
        <v>预估人体PK参数（CL,Vss）、起始剂量及有效剂量</v>
      </c>
      <c r="O554" s="328"/>
      <c r="P554" s="531">
        <f>IF(R554=1,INDEX(服务费明细!$E:$E,MATCH(服务费底表!$K554,服务费明细!$B:$B,0)),0)</f>
        <v>0</v>
      </c>
      <c r="Q554" s="328" t="s">
        <v>1178</v>
      </c>
      <c r="R554" s="520">
        <f>IF(AND(异速放大法=1,临床药理YN=1),1,0)</f>
        <v>0</v>
      </c>
      <c r="S554" s="328" t="str">
        <f>INDEX('Rate Card'!$D:$D,MATCH(服务费底表!$T554,'Rate Card'!F:F,0))</f>
        <v>临床药理</v>
      </c>
      <c r="T554" s="328" t="s">
        <v>654</v>
      </c>
      <c r="U554" s="522" t="str">
        <f>INDEX('Rate Card'!$E:$E,MATCH(服务费底表!$T554,'Rate Card'!$F:$F,0))</f>
        <v>临床药理高级专员</v>
      </c>
      <c r="V554" s="331">
        <f>INDEX('Rate Card'!$J:$J,MATCH($T554,'Rate Card'!$F:$F,0))</f>
        <v>700</v>
      </c>
      <c r="W554" s="523">
        <f t="shared" si="505"/>
        <v>700</v>
      </c>
      <c r="X554" s="523">
        <f t="shared" si="506"/>
        <v>16</v>
      </c>
      <c r="Y554" s="327" cm="1">
        <f t="array" ref="Y554">_xlfn.IFS(报价场景=服务费底表!$AJ$2,服务费底表!$AJ554,报价场景=服务费底表!$AP$2,服务费底表!$AP554,报价场景=服务费底表!$AK$2,服务费底表!$AK554,报价场景=服务费底表!$AL$2,服务费底表!$AL554,报价场景=服务费底表!$AM$2,服务费底表!$AM554,报价场景=服务费底表!$AN$2,服务费底表!$AN554,报价场景=服务费底表!$AQ$2,服务费底表!$AQ554,报价场景=服务费底表!$AO$2,服务费底表!$AO554)</f>
        <v>16</v>
      </c>
      <c r="Z554" s="327"/>
      <c r="AA554" s="332">
        <f t="shared" si="507"/>
        <v>16</v>
      </c>
      <c r="AB554" s="333">
        <f t="shared" si="508"/>
        <v>0</v>
      </c>
      <c r="AC554" s="328">
        <f t="shared" si="509"/>
        <v>0</v>
      </c>
      <c r="AD554" s="334">
        <f t="shared" si="510"/>
        <v>0</v>
      </c>
      <c r="AE554" s="334">
        <f>$AB554*(1-INDEX(项目参数!$D$5:$D$14,MATCH(服务费底表!$S554,项目参数!$B$5:$B$14,0)))</f>
        <v>0</v>
      </c>
      <c r="AF554" s="334">
        <f>$AD554*INDEX(项目参数!$D$5:$D$14,MATCH(服务费底表!$S554,项目参数!$B$5:$B$14,0))</f>
        <v>0</v>
      </c>
      <c r="AG554" s="334">
        <f t="shared" si="511"/>
        <v>0</v>
      </c>
      <c r="AH554" s="328"/>
      <c r="AI554" s="328" t="s">
        <v>654</v>
      </c>
      <c r="AJ554" s="327">
        <v>16</v>
      </c>
      <c r="AK554" s="327">
        <v>16</v>
      </c>
      <c r="AL554" s="327">
        <v>16</v>
      </c>
      <c r="AM554" s="327">
        <v>16</v>
      </c>
      <c r="AN554" s="327">
        <v>16</v>
      </c>
      <c r="AO554" s="327">
        <f t="shared" si="461"/>
        <v>16</v>
      </c>
      <c r="AP554" s="327">
        <v>16</v>
      </c>
      <c r="AQ554" s="327">
        <f t="shared" si="512"/>
        <v>24</v>
      </c>
      <c r="AR554" s="338"/>
      <c r="AS554" s="328">
        <f t="shared" si="513"/>
        <v>0</v>
      </c>
      <c r="AT554" s="328">
        <f t="shared" si="514"/>
        <v>0</v>
      </c>
      <c r="AU554" s="523">
        <v>16</v>
      </c>
      <c r="AV554" s="328"/>
      <c r="AW554" s="328"/>
      <c r="AX554" s="332">
        <v>16</v>
      </c>
      <c r="AY554" s="328" t="b">
        <f t="shared" si="515"/>
        <v>1</v>
      </c>
      <c r="AZ554" s="328" t="b">
        <f t="shared" si="448"/>
        <v>0</v>
      </c>
    </row>
    <row r="555" ht="27" customHeight="1" spans="1:52">
      <c r="A555" s="326" t="str">
        <f>INDEX('Rate Card'!$A:$A,MATCH(服务费底表!$T555,'Rate Card'!$F:$F,0))</f>
        <v>临床药理</v>
      </c>
      <c r="B555" s="327" t="str">
        <f>INDEX(二三级标准!$G:$G,MATCH(服务费底表!$K555,二三级标准!B:B,0))</f>
        <v>次</v>
      </c>
      <c r="C555" s="327">
        <f>INDEX(服务费明细!$E:$E,MATCH(服务费底表!$K555,服务费明细!$B:$B,0))</f>
        <v>0</v>
      </c>
      <c r="D555" s="327" t="str">
        <f t="shared" si="503"/>
        <v>A216CPSS</v>
      </c>
      <c r="E555" s="327" t="str">
        <f t="shared" si="504"/>
        <v>T0640CPSS</v>
      </c>
      <c r="F555" s="328"/>
      <c r="G555" s="328" t="s">
        <v>684</v>
      </c>
      <c r="H555" s="326" t="str">
        <f>INDEX('Rate Card'!$B:$B,MATCH(服务费底表!$T555,'Rate Card'!$F:$F,0))</f>
        <v>临床药理</v>
      </c>
      <c r="I555" s="328" t="s">
        <v>925</v>
      </c>
      <c r="J555" s="328" t="str">
        <f>INDEX(二三级标准!$Q:$Q,MATCH(服务费底表!I555,二三级标准!$O:$O,0))</f>
        <v>临床药理</v>
      </c>
      <c r="K555" s="328" t="s">
        <v>1095</v>
      </c>
      <c r="L555" s="328" t="str">
        <f>INDEX(二三级标准!C:C,MATCH(服务费底表!K555,二三级标准!$B:$B,0))</f>
        <v>FIH研究剂量预测-体表面积法</v>
      </c>
      <c r="M555" s="328" t="s">
        <v>1589</v>
      </c>
      <c r="N555" s="328" t="str">
        <f>INDEX(二三级标准!$M:$M,MATCH(服务费底表!$M555,二三级标准!$L:$L,0))</f>
        <v>预估FIH起始剂量（体表面积法、MABEL法等）</v>
      </c>
      <c r="O555" s="328"/>
      <c r="P555" s="531">
        <f>IF(R555=1,INDEX(服务费明细!$E:$E,MATCH(服务费底表!$K555,服务费明细!$B:$B,0)),0)</f>
        <v>0</v>
      </c>
      <c r="Q555" s="328" t="s">
        <v>1178</v>
      </c>
      <c r="R555" s="520">
        <f>IF(AND(体表面积法=1,临床药理YN=1),1,0)</f>
        <v>0</v>
      </c>
      <c r="S555" s="328" t="str">
        <f>INDEX('Rate Card'!$D:$D,MATCH(服务费底表!$T555,'Rate Card'!F:F,0))</f>
        <v>临床药理</v>
      </c>
      <c r="T555" s="328" t="s">
        <v>654</v>
      </c>
      <c r="U555" s="522" t="str">
        <f>INDEX('Rate Card'!$E:$E,MATCH(服务费底表!$T555,'Rate Card'!$F:$F,0))</f>
        <v>临床药理高级专员</v>
      </c>
      <c r="V555" s="331">
        <f>INDEX('Rate Card'!$J:$J,MATCH($T555,'Rate Card'!$F:$F,0))</f>
        <v>700</v>
      </c>
      <c r="W555" s="523">
        <f t="shared" si="505"/>
        <v>700</v>
      </c>
      <c r="X555" s="523">
        <f t="shared" si="506"/>
        <v>16</v>
      </c>
      <c r="Y555" s="327" cm="1">
        <f t="array" ref="Y555">_xlfn.IFS(报价场景=服务费底表!$AJ$2,服务费底表!$AJ555,报价场景=服务费底表!$AP$2,服务费底表!$AP555,报价场景=服务费底表!$AK$2,服务费底表!$AK555,报价场景=服务费底表!$AL$2,服务费底表!$AL555,报价场景=服务费底表!$AM$2,服务费底表!$AM555,报价场景=服务费底表!$AN$2,服务费底表!$AN555,报价场景=服务费底表!$AQ$2,服务费底表!$AQ555,报价场景=服务费底表!$AO$2,服务费底表!$AO555)</f>
        <v>16</v>
      </c>
      <c r="Z555" s="327"/>
      <c r="AA555" s="332">
        <f t="shared" si="507"/>
        <v>16</v>
      </c>
      <c r="AB555" s="333">
        <f t="shared" si="508"/>
        <v>0</v>
      </c>
      <c r="AC555" s="328">
        <f t="shared" si="509"/>
        <v>0</v>
      </c>
      <c r="AD555" s="334">
        <f t="shared" si="510"/>
        <v>0</v>
      </c>
      <c r="AE555" s="334">
        <f>$AB555*(1-INDEX(项目参数!$D$5:$D$14,MATCH(服务费底表!$S555,项目参数!$B$5:$B$14,0)))</f>
        <v>0</v>
      </c>
      <c r="AF555" s="334">
        <f>$AD555*INDEX(项目参数!$D$5:$D$14,MATCH(服务费底表!$S555,项目参数!$B$5:$B$14,0))</f>
        <v>0</v>
      </c>
      <c r="AG555" s="334">
        <f t="shared" si="511"/>
        <v>0</v>
      </c>
      <c r="AH555" s="328"/>
      <c r="AI555" s="328" t="s">
        <v>654</v>
      </c>
      <c r="AJ555" s="327">
        <v>16</v>
      </c>
      <c r="AK555" s="327">
        <v>16</v>
      </c>
      <c r="AL555" s="327">
        <v>16</v>
      </c>
      <c r="AM555" s="327">
        <v>16</v>
      </c>
      <c r="AN555" s="327">
        <v>16</v>
      </c>
      <c r="AO555" s="327">
        <f t="shared" si="461"/>
        <v>16</v>
      </c>
      <c r="AP555" s="327">
        <v>16</v>
      </c>
      <c r="AQ555" s="327">
        <f t="shared" si="512"/>
        <v>24</v>
      </c>
      <c r="AR555" s="338"/>
      <c r="AS555" s="328">
        <f t="shared" si="513"/>
        <v>0</v>
      </c>
      <c r="AT555" s="328">
        <f t="shared" si="514"/>
        <v>0</v>
      </c>
      <c r="AU555" s="523">
        <v>16</v>
      </c>
      <c r="AV555" s="328"/>
      <c r="AW555" s="328"/>
      <c r="AX555" s="332">
        <v>16</v>
      </c>
      <c r="AY555" s="328" t="b">
        <f t="shared" si="515"/>
        <v>1</v>
      </c>
      <c r="AZ555" s="328" t="b">
        <f t="shared" si="448"/>
        <v>1</v>
      </c>
    </row>
    <row r="556" ht="27" customHeight="1" spans="1:52">
      <c r="A556" s="326" t="str">
        <f>INDEX('Rate Card'!$A:$A,MATCH(服务费底表!$T556,'Rate Card'!$F:$F,0))</f>
        <v>临床药理</v>
      </c>
      <c r="B556" s="327" t="str">
        <f>INDEX(二三级标准!$G:$G,MATCH(服务费底表!$K556,二三级标准!B:B,0))</f>
        <v>次</v>
      </c>
      <c r="C556" s="327">
        <f>INDEX(服务费明细!$E:$E,MATCH(服务费底表!$K556,服务费明细!$B:$B,0))</f>
        <v>0</v>
      </c>
      <c r="D556" s="327" t="str">
        <f t="shared" si="503"/>
        <v>A217CPSS</v>
      </c>
      <c r="E556" s="327" t="str">
        <f t="shared" si="504"/>
        <v>T0641CPSS</v>
      </c>
      <c r="F556" s="328"/>
      <c r="G556" s="328" t="s">
        <v>684</v>
      </c>
      <c r="H556" s="326" t="str">
        <f>INDEX('Rate Card'!$B:$B,MATCH(服务费底表!$T556,'Rate Card'!$F:$F,0))</f>
        <v>临床药理</v>
      </c>
      <c r="I556" s="328" t="s">
        <v>925</v>
      </c>
      <c r="J556" s="328" t="str">
        <f>INDEX(二三级标准!$Q:$Q,MATCH(服务费底表!I556,二三级标准!$O:$O,0))</f>
        <v>临床药理</v>
      </c>
      <c r="K556" s="328" t="s">
        <v>1096</v>
      </c>
      <c r="L556" s="328" t="str">
        <f>INDEX(二三级标准!C:C,MATCH(服务费底表!K556,二三级标准!$B:$B,0))</f>
        <v>转化PK/PD</v>
      </c>
      <c r="M556" s="328" t="s">
        <v>1590</v>
      </c>
      <c r="N556" s="328" t="str">
        <f>INDEX(二三级标准!$M:$M,MATCH(服务费底表!$M556,二三级标准!$L:$L,0))</f>
        <v>转化PK/PD模型建立</v>
      </c>
      <c r="O556" s="328"/>
      <c r="P556" s="531">
        <f>IF(R556=1,INDEX(服务费明细!$E:$E,MATCH(服务费底表!$K556,服务费明细!$B:$B,0)),0)</f>
        <v>0</v>
      </c>
      <c r="Q556" s="328" t="s">
        <v>1178</v>
      </c>
      <c r="R556" s="520">
        <f>IF(AND(转化PK_PD=1,临床药理YN=1),1,0)</f>
        <v>0</v>
      </c>
      <c r="S556" s="328" t="str">
        <f>INDEX('Rate Card'!$D:$D,MATCH(服务费底表!$T556,'Rate Card'!F:F,0))</f>
        <v>临床药理</v>
      </c>
      <c r="T556" s="328" t="s">
        <v>654</v>
      </c>
      <c r="U556" s="522" t="str">
        <f>INDEX('Rate Card'!$E:$E,MATCH(服务费底表!$T556,'Rate Card'!$F:$F,0))</f>
        <v>临床药理高级专员</v>
      </c>
      <c r="V556" s="331">
        <f>INDEX('Rate Card'!$J:$J,MATCH($T556,'Rate Card'!$F:$F,0))</f>
        <v>700</v>
      </c>
      <c r="W556" s="523">
        <f t="shared" si="505"/>
        <v>700</v>
      </c>
      <c r="X556" s="523">
        <f t="shared" si="506"/>
        <v>40</v>
      </c>
      <c r="Y556" s="327" cm="1">
        <f t="array" ref="Y556">_xlfn.IFS(报价场景=服务费底表!$AJ$2,服务费底表!$AJ556,报价场景=服务费底表!$AP$2,服务费底表!$AP556,报价场景=服务费底表!$AK$2,服务费底表!$AK556,报价场景=服务费底表!$AL$2,服务费底表!$AL556,报价场景=服务费底表!$AM$2,服务费底表!$AM556,报价场景=服务费底表!$AN$2,服务费底表!$AN556,报价场景=服务费底表!$AQ$2,服务费底表!$AQ556,报价场景=服务费底表!$AO$2,服务费底表!$AO556)</f>
        <v>40</v>
      </c>
      <c r="Z556" s="327"/>
      <c r="AA556" s="332">
        <f t="shared" si="507"/>
        <v>40</v>
      </c>
      <c r="AB556" s="333">
        <f t="shared" si="508"/>
        <v>0</v>
      </c>
      <c r="AC556" s="328">
        <f t="shared" si="509"/>
        <v>0</v>
      </c>
      <c r="AD556" s="334">
        <f t="shared" si="510"/>
        <v>0</v>
      </c>
      <c r="AE556" s="334">
        <f>$AB556*(1-INDEX(项目参数!$D$5:$D$14,MATCH(服务费底表!$S556,项目参数!$B$5:$B$14,0)))</f>
        <v>0</v>
      </c>
      <c r="AF556" s="334">
        <f>$AD556*INDEX(项目参数!$D$5:$D$14,MATCH(服务费底表!$S556,项目参数!$B$5:$B$14,0))</f>
        <v>0</v>
      </c>
      <c r="AG556" s="334">
        <f t="shared" si="511"/>
        <v>0</v>
      </c>
      <c r="AH556" s="328"/>
      <c r="AI556" s="328" t="s">
        <v>654</v>
      </c>
      <c r="AJ556" s="327">
        <v>40</v>
      </c>
      <c r="AK556" s="327">
        <v>40</v>
      </c>
      <c r="AL556" s="327">
        <v>40</v>
      </c>
      <c r="AM556" s="327">
        <v>40</v>
      </c>
      <c r="AN556" s="327">
        <v>40</v>
      </c>
      <c r="AO556" s="327">
        <f t="shared" si="461"/>
        <v>40</v>
      </c>
      <c r="AP556" s="327">
        <v>40</v>
      </c>
      <c r="AQ556" s="327">
        <f t="shared" si="512"/>
        <v>60</v>
      </c>
      <c r="AR556" s="338"/>
      <c r="AS556" s="328">
        <f t="shared" si="513"/>
        <v>0</v>
      </c>
      <c r="AT556" s="328">
        <f t="shared" si="514"/>
        <v>0</v>
      </c>
      <c r="AU556" s="523">
        <v>40</v>
      </c>
      <c r="AV556" s="328"/>
      <c r="AW556" s="328"/>
      <c r="AX556" s="332">
        <v>40</v>
      </c>
      <c r="AY556" s="328" t="b">
        <f t="shared" si="515"/>
        <v>1</v>
      </c>
      <c r="AZ556" s="328" t="b">
        <f t="shared" si="448"/>
        <v>0</v>
      </c>
    </row>
    <row r="557" ht="27" customHeight="1" spans="1:52">
      <c r="A557" s="326" t="str">
        <f>INDEX('Rate Card'!$A:$A,MATCH(服务费底表!$T557,'Rate Card'!$F:$F,0))</f>
        <v>临床药理</v>
      </c>
      <c r="B557" s="327" t="str">
        <f>INDEX(二三级标准!$G:$G,MATCH(服务费底表!$K557,二三级标准!B:B,0))</f>
        <v>次</v>
      </c>
      <c r="C557" s="327">
        <f>INDEX(服务费明细!$E:$E,MATCH(服务费底表!$K557,服务费明细!$B:$B,0))</f>
        <v>0</v>
      </c>
      <c r="D557" s="327" t="str">
        <f t="shared" si="503"/>
        <v>A217CPSS</v>
      </c>
      <c r="E557" s="327" t="str">
        <f t="shared" si="504"/>
        <v>T0642CPSS</v>
      </c>
      <c r="F557" s="328"/>
      <c r="G557" s="328" t="s">
        <v>684</v>
      </c>
      <c r="H557" s="326" t="str">
        <f>INDEX('Rate Card'!$B:$B,MATCH(服务费底表!$T557,'Rate Card'!$F:$F,0))</f>
        <v>临床药理</v>
      </c>
      <c r="I557" s="328" t="s">
        <v>925</v>
      </c>
      <c r="J557" s="328" t="str">
        <f>INDEX(二三级标准!$Q:$Q,MATCH(服务费底表!I557,二三级标准!$O:$O,0))</f>
        <v>临床药理</v>
      </c>
      <c r="K557" s="328" t="s">
        <v>1096</v>
      </c>
      <c r="L557" s="328" t="str">
        <f>INDEX(二三级标准!C:C,MATCH(服务费底表!K557,二三级标准!$B:$B,0))</f>
        <v>转化PK/PD</v>
      </c>
      <c r="M557" s="328" t="s">
        <v>1591</v>
      </c>
      <c r="N557" s="328" t="str">
        <f>INDEX(二三级标准!$M:$M,MATCH(服务费底表!$M557,二三级标准!$L:$L,0))</f>
        <v>转化PK/PD模型验证</v>
      </c>
      <c r="O557" s="328"/>
      <c r="P557" s="531">
        <f>IF(R557=1,INDEX(服务费明细!$E:$E,MATCH(服务费底表!$K557,服务费明细!$B:$B,0)),0)</f>
        <v>0</v>
      </c>
      <c r="Q557" s="328" t="s">
        <v>1178</v>
      </c>
      <c r="R557" s="520">
        <f>IF(AND(转化PK_PD=1,临床药理YN=1),1,0)</f>
        <v>0</v>
      </c>
      <c r="S557" s="328" t="str">
        <f>INDEX('Rate Card'!$D:$D,MATCH(服务费底表!$T557,'Rate Card'!F:F,0))</f>
        <v>临床药理</v>
      </c>
      <c r="T557" s="328" t="s">
        <v>654</v>
      </c>
      <c r="U557" s="522" t="str">
        <f>INDEX('Rate Card'!$E:$E,MATCH(服务费底表!$T557,'Rate Card'!$F:$F,0))</f>
        <v>临床药理高级专员</v>
      </c>
      <c r="V557" s="331">
        <f>INDEX('Rate Card'!$J:$J,MATCH($T557,'Rate Card'!$F:$F,0))</f>
        <v>700</v>
      </c>
      <c r="W557" s="523">
        <f t="shared" si="505"/>
        <v>700</v>
      </c>
      <c r="X557" s="523">
        <f t="shared" si="506"/>
        <v>12</v>
      </c>
      <c r="Y557" s="327" cm="1">
        <f t="array" ref="Y557">_xlfn.IFS(报价场景=服务费底表!$AJ$2,服务费底表!$AJ557,报价场景=服务费底表!$AP$2,服务费底表!$AP557,报价场景=服务费底表!$AK$2,服务费底表!$AK557,报价场景=服务费底表!$AL$2,服务费底表!$AL557,报价场景=服务费底表!$AM$2,服务费底表!$AM557,报价场景=服务费底表!$AN$2,服务费底表!$AN557,报价场景=服务费底表!$AQ$2,服务费底表!$AQ557,报价场景=服务费底表!$AO$2,服务费底表!$AO557)</f>
        <v>12</v>
      </c>
      <c r="Z557" s="327"/>
      <c r="AA557" s="332">
        <f t="shared" si="507"/>
        <v>12</v>
      </c>
      <c r="AB557" s="333">
        <f t="shared" si="508"/>
        <v>0</v>
      </c>
      <c r="AC557" s="328">
        <f t="shared" si="509"/>
        <v>0</v>
      </c>
      <c r="AD557" s="334">
        <f t="shared" si="510"/>
        <v>0</v>
      </c>
      <c r="AE557" s="334">
        <f>$AB557*(1-INDEX(项目参数!$D$5:$D$14,MATCH(服务费底表!$S557,项目参数!$B$5:$B$14,0)))</f>
        <v>0</v>
      </c>
      <c r="AF557" s="334">
        <f>$AD557*INDEX(项目参数!$D$5:$D$14,MATCH(服务费底表!$S557,项目参数!$B$5:$B$14,0))</f>
        <v>0</v>
      </c>
      <c r="AG557" s="334">
        <f t="shared" si="511"/>
        <v>0</v>
      </c>
      <c r="AH557" s="328"/>
      <c r="AI557" s="328" t="s">
        <v>654</v>
      </c>
      <c r="AJ557" s="327">
        <v>12</v>
      </c>
      <c r="AK557" s="327">
        <v>12</v>
      </c>
      <c r="AL557" s="327">
        <v>12</v>
      </c>
      <c r="AM557" s="327">
        <v>12</v>
      </c>
      <c r="AN557" s="327">
        <v>12</v>
      </c>
      <c r="AO557" s="327">
        <f t="shared" si="461"/>
        <v>12</v>
      </c>
      <c r="AP557" s="327">
        <v>12</v>
      </c>
      <c r="AQ557" s="327">
        <f t="shared" si="512"/>
        <v>18</v>
      </c>
      <c r="AR557" s="338"/>
      <c r="AS557" s="328">
        <f t="shared" si="513"/>
        <v>0</v>
      </c>
      <c r="AT557" s="328">
        <f t="shared" si="514"/>
        <v>0</v>
      </c>
      <c r="AU557" s="523">
        <v>12</v>
      </c>
      <c r="AV557" s="328"/>
      <c r="AW557" s="328"/>
      <c r="AX557" s="332">
        <v>12</v>
      </c>
      <c r="AY557" s="328" t="b">
        <f t="shared" si="515"/>
        <v>1</v>
      </c>
      <c r="AZ557" s="328" t="b">
        <f t="shared" si="448"/>
        <v>0</v>
      </c>
    </row>
    <row r="558" ht="27" customHeight="1" spans="1:52">
      <c r="A558" s="326" t="str">
        <f>INDEX('Rate Card'!$A:$A,MATCH(服务费底表!$T558,'Rate Card'!$F:$F,0))</f>
        <v>临床药理</v>
      </c>
      <c r="B558" s="327" t="str">
        <f>INDEX(二三级标准!$G:$G,MATCH(服务费底表!$K558,二三级标准!B:B,0))</f>
        <v>次</v>
      </c>
      <c r="C558" s="327">
        <f>INDEX(服务费明细!$E:$E,MATCH(服务费底表!$K558,服务费明细!$B:$B,0))</f>
        <v>0</v>
      </c>
      <c r="D558" s="327" t="str">
        <f t="shared" si="503"/>
        <v>A217CPSS</v>
      </c>
      <c r="E558" s="327" t="str">
        <f t="shared" si="504"/>
        <v>T0643CPSS</v>
      </c>
      <c r="F558" s="328"/>
      <c r="G558" s="328" t="s">
        <v>684</v>
      </c>
      <c r="H558" s="326" t="str">
        <f>INDEX('Rate Card'!$B:$B,MATCH(服务费底表!$T558,'Rate Card'!$F:$F,0))</f>
        <v>临床药理</v>
      </c>
      <c r="I558" s="328" t="s">
        <v>925</v>
      </c>
      <c r="J558" s="328" t="str">
        <f>INDEX(二三级标准!$Q:$Q,MATCH(服务费底表!I558,二三级标准!$O:$O,0))</f>
        <v>临床药理</v>
      </c>
      <c r="K558" s="328" t="s">
        <v>1096</v>
      </c>
      <c r="L558" s="328" t="str">
        <f>INDEX(二三级标准!C:C,MATCH(服务费底表!K558,二三级标准!$B:$B,0))</f>
        <v>转化PK/PD</v>
      </c>
      <c r="M558" s="328" t="s">
        <v>1592</v>
      </c>
      <c r="N558" s="328" t="str">
        <f>INDEX(二三级标准!$M:$M,MATCH(服务费底表!$M558,二三级标准!$L:$L,0))</f>
        <v>转化PK/PD模型模拟与分析</v>
      </c>
      <c r="O558" s="328"/>
      <c r="P558" s="531">
        <f>IF(R558=1,INDEX(服务费明细!$E:$E,MATCH(服务费底表!$K558,服务费明细!$B:$B,0)),0)</f>
        <v>0</v>
      </c>
      <c r="Q558" s="328" t="s">
        <v>1178</v>
      </c>
      <c r="R558" s="520">
        <f>IF(AND(转化PK_PD=1,临床药理YN=1),1,0)</f>
        <v>0</v>
      </c>
      <c r="S558" s="328" t="str">
        <f>INDEX('Rate Card'!$D:$D,MATCH(服务费底表!$T558,'Rate Card'!F:F,0))</f>
        <v>临床药理</v>
      </c>
      <c r="T558" s="328" t="s">
        <v>654</v>
      </c>
      <c r="U558" s="522" t="str">
        <f>INDEX('Rate Card'!$E:$E,MATCH(服务费底表!$T558,'Rate Card'!$F:$F,0))</f>
        <v>临床药理高级专员</v>
      </c>
      <c r="V558" s="331">
        <f>INDEX('Rate Card'!$J:$J,MATCH($T558,'Rate Card'!$F:$F,0))</f>
        <v>700</v>
      </c>
      <c r="W558" s="523">
        <f t="shared" si="505"/>
        <v>700</v>
      </c>
      <c r="X558" s="523">
        <f t="shared" si="506"/>
        <v>24</v>
      </c>
      <c r="Y558" s="327" cm="1">
        <f t="array" ref="Y558">_xlfn.IFS(报价场景=服务费底表!$AJ$2,服务费底表!$AJ558,报价场景=服务费底表!$AP$2,服务费底表!$AP558,报价场景=服务费底表!$AK$2,服务费底表!$AK558,报价场景=服务费底表!$AL$2,服务费底表!$AL558,报价场景=服务费底表!$AM$2,服务费底表!$AM558,报价场景=服务费底表!$AN$2,服务费底表!$AN558,报价场景=服务费底表!$AQ$2,服务费底表!$AQ558,报价场景=服务费底表!$AO$2,服务费底表!$AO558)</f>
        <v>24</v>
      </c>
      <c r="Z558" s="327"/>
      <c r="AA558" s="332">
        <f t="shared" si="507"/>
        <v>24</v>
      </c>
      <c r="AB558" s="333">
        <f t="shared" si="508"/>
        <v>0</v>
      </c>
      <c r="AC558" s="328">
        <f t="shared" si="509"/>
        <v>0</v>
      </c>
      <c r="AD558" s="334">
        <f t="shared" si="510"/>
        <v>0</v>
      </c>
      <c r="AE558" s="334">
        <f>$AB558*(1-INDEX(项目参数!$D$5:$D$14,MATCH(服务费底表!$S558,项目参数!$B$5:$B$14,0)))</f>
        <v>0</v>
      </c>
      <c r="AF558" s="334">
        <f>$AD558*INDEX(项目参数!$D$5:$D$14,MATCH(服务费底表!$S558,项目参数!$B$5:$B$14,0))</f>
        <v>0</v>
      </c>
      <c r="AG558" s="334">
        <f t="shared" si="511"/>
        <v>0</v>
      </c>
      <c r="AH558" s="328"/>
      <c r="AI558" s="328" t="s">
        <v>654</v>
      </c>
      <c r="AJ558" s="327">
        <v>24</v>
      </c>
      <c r="AK558" s="327">
        <v>24</v>
      </c>
      <c r="AL558" s="327">
        <v>24</v>
      </c>
      <c r="AM558" s="327">
        <v>24</v>
      </c>
      <c r="AN558" s="327">
        <v>24</v>
      </c>
      <c r="AO558" s="327">
        <f t="shared" si="461"/>
        <v>24</v>
      </c>
      <c r="AP558" s="327">
        <v>24</v>
      </c>
      <c r="AQ558" s="327">
        <f t="shared" si="512"/>
        <v>36</v>
      </c>
      <c r="AR558" s="338"/>
      <c r="AS558" s="328">
        <f t="shared" si="513"/>
        <v>0</v>
      </c>
      <c r="AT558" s="328">
        <f t="shared" si="514"/>
        <v>0</v>
      </c>
      <c r="AU558" s="523">
        <v>24</v>
      </c>
      <c r="AV558" s="328"/>
      <c r="AW558" s="328"/>
      <c r="AX558" s="332">
        <v>24</v>
      </c>
      <c r="AY558" s="328" t="b">
        <f t="shared" si="515"/>
        <v>1</v>
      </c>
      <c r="AZ558" s="328" t="b">
        <f t="shared" si="448"/>
        <v>0</v>
      </c>
    </row>
    <row r="559" ht="27" customHeight="1" spans="1:52">
      <c r="A559" s="326" t="str">
        <f>INDEX('Rate Card'!$A:$A,MATCH(服务费底表!$T559,'Rate Card'!$F:$F,0))</f>
        <v>临床药理</v>
      </c>
      <c r="B559" s="327" t="str">
        <f>INDEX(二三级标准!$G:$G,MATCH(服务费底表!$K559,二三级标准!B:B,0))</f>
        <v>次</v>
      </c>
      <c r="C559" s="327">
        <f>INDEX(服务费明细!$E:$E,MATCH(服务费底表!$K559,服务费明细!$B:$B,0))</f>
        <v>0</v>
      </c>
      <c r="D559" s="327" t="str">
        <f t="shared" si="503"/>
        <v>A217CPS</v>
      </c>
      <c r="E559" s="327" t="str">
        <f t="shared" si="504"/>
        <v>T0644CPS</v>
      </c>
      <c r="F559" s="328"/>
      <c r="G559" s="328" t="s">
        <v>684</v>
      </c>
      <c r="H559" s="326" t="str">
        <f>INDEX('Rate Card'!$B:$B,MATCH(服务费底表!$T559,'Rate Card'!$F:$F,0))</f>
        <v>临床药理</v>
      </c>
      <c r="I559" s="328" t="s">
        <v>925</v>
      </c>
      <c r="J559" s="328" t="str">
        <f>INDEX(二三级标准!$Q:$Q,MATCH(服务费底表!I559,二三级标准!$O:$O,0))</f>
        <v>临床药理</v>
      </c>
      <c r="K559" s="328" t="s">
        <v>1096</v>
      </c>
      <c r="L559" s="328" t="str">
        <f>INDEX(二三级标准!C:C,MATCH(服务费底表!K559,二三级标准!$B:$B,0))</f>
        <v>转化PK/PD</v>
      </c>
      <c r="M559" s="328" t="s">
        <v>1593</v>
      </c>
      <c r="N559" s="328" t="str">
        <f>INDEX(二三级标准!$M:$M,MATCH(服务费底表!$M559,二三级标准!$L:$L,0))</f>
        <v>各种计算及模型审核</v>
      </c>
      <c r="O559" s="328"/>
      <c r="P559" s="531">
        <f>IF(R559=1,INDEX(服务费明细!$E:$E,MATCH(服务费底表!$K559,服务费明细!$B:$B,0)),0)</f>
        <v>0</v>
      </c>
      <c r="Q559" s="328" t="s">
        <v>1178</v>
      </c>
      <c r="R559" s="520">
        <f>IF(AND(外部沟通PPT整理_QC=1,临床药理YN=1),1,0)</f>
        <v>0</v>
      </c>
      <c r="S559" s="328" t="str">
        <f>INDEX('Rate Card'!$D:$D,MATCH(服务费底表!$T559,'Rate Card'!F:F,0))</f>
        <v>临床药理</v>
      </c>
      <c r="T559" s="328" t="s">
        <v>652</v>
      </c>
      <c r="U559" s="522" t="str">
        <f>INDEX('Rate Card'!$E:$E,MATCH(服务费底表!$T559,'Rate Card'!$F:$F,0))</f>
        <v>临床药理专员</v>
      </c>
      <c r="V559" s="331">
        <f>INDEX('Rate Card'!$J:$J,MATCH($T559,'Rate Card'!$F:$F,0))</f>
        <v>580</v>
      </c>
      <c r="W559" s="523">
        <f t="shared" si="505"/>
        <v>580</v>
      </c>
      <c r="X559" s="523">
        <f t="shared" si="506"/>
        <v>12</v>
      </c>
      <c r="Y559" s="327" cm="1">
        <f t="array" ref="Y559">_xlfn.IFS(报价场景=服务费底表!$AJ$2,服务费底表!$AJ559,报价场景=服务费底表!$AP$2,服务费底表!$AP559,报价场景=服务费底表!$AK$2,服务费底表!$AK559,报价场景=服务费底表!$AL$2,服务费底表!$AL559,报价场景=服务费底表!$AM$2,服务费底表!$AM559,报价场景=服务费底表!$AN$2,服务费底表!$AN559,报价场景=服务费底表!$AQ$2,服务费底表!$AQ559,报价场景=服务费底表!$AO$2,服务费底表!$AO559)</f>
        <v>12</v>
      </c>
      <c r="Z559" s="327"/>
      <c r="AA559" s="332">
        <f t="shared" si="507"/>
        <v>12</v>
      </c>
      <c r="AB559" s="333">
        <f t="shared" si="508"/>
        <v>0</v>
      </c>
      <c r="AC559" s="328">
        <f t="shared" si="509"/>
        <v>0</v>
      </c>
      <c r="AD559" s="334">
        <f t="shared" si="510"/>
        <v>0</v>
      </c>
      <c r="AE559" s="334">
        <f>$AB559*(1-INDEX(项目参数!$D$5:$D$14,MATCH(服务费底表!$S559,项目参数!$B$5:$B$14,0)))</f>
        <v>0</v>
      </c>
      <c r="AF559" s="334">
        <f>$AD559*INDEX(项目参数!$D$5:$D$14,MATCH(服务费底表!$S559,项目参数!$B$5:$B$14,0))</f>
        <v>0</v>
      </c>
      <c r="AG559" s="334">
        <f t="shared" si="511"/>
        <v>0</v>
      </c>
      <c r="AH559" s="328"/>
      <c r="AI559" s="328" t="s">
        <v>652</v>
      </c>
      <c r="AJ559" s="327">
        <v>12</v>
      </c>
      <c r="AK559" s="327">
        <v>12</v>
      </c>
      <c r="AL559" s="327">
        <v>12</v>
      </c>
      <c r="AM559" s="327">
        <v>12</v>
      </c>
      <c r="AN559" s="327">
        <v>12</v>
      </c>
      <c r="AO559" s="327">
        <f t="shared" si="461"/>
        <v>12</v>
      </c>
      <c r="AP559" s="327">
        <v>12</v>
      </c>
      <c r="AQ559" s="327">
        <f t="shared" si="512"/>
        <v>18</v>
      </c>
      <c r="AR559" s="338"/>
      <c r="AS559" s="328">
        <f t="shared" si="513"/>
        <v>0</v>
      </c>
      <c r="AT559" s="328">
        <f t="shared" si="514"/>
        <v>0</v>
      </c>
      <c r="AU559" s="523">
        <v>12</v>
      </c>
      <c r="AV559" s="328"/>
      <c r="AW559" s="328"/>
      <c r="AX559" s="332">
        <v>12</v>
      </c>
      <c r="AY559" s="328" t="b">
        <f t="shared" si="515"/>
        <v>1</v>
      </c>
      <c r="AZ559" s="328" t="b">
        <f t="shared" si="448"/>
        <v>0</v>
      </c>
    </row>
    <row r="560" ht="27" customHeight="1" spans="1:52">
      <c r="A560" s="326" t="str">
        <f>INDEX('Rate Card'!$A:$A,MATCH(服务费底表!$T560,'Rate Card'!$F:$F,0))</f>
        <v>临床药理</v>
      </c>
      <c r="B560" s="327" t="str">
        <f>INDEX(二三级标准!$G:$G,MATCH(服务费底表!$K560,二三级标准!B:B,0))</f>
        <v>次</v>
      </c>
      <c r="C560" s="327">
        <f>INDEX(服务费明细!$E:$E,MATCH(服务费底表!$K560,服务费明细!$B:$B,0))</f>
        <v>0</v>
      </c>
      <c r="D560" s="327" t="str">
        <f t="shared" si="503"/>
        <v>A218CPS</v>
      </c>
      <c r="E560" s="327" t="str">
        <f t="shared" si="504"/>
        <v>T0645CPS</v>
      </c>
      <c r="F560" s="328"/>
      <c r="G560" s="328" t="s">
        <v>684</v>
      </c>
      <c r="H560" s="326" t="str">
        <f>INDEX('Rate Card'!$B:$B,MATCH(服务费底表!$T560,'Rate Card'!$F:$F,0))</f>
        <v>临床药理</v>
      </c>
      <c r="I560" s="328" t="s">
        <v>925</v>
      </c>
      <c r="J560" s="328" t="str">
        <f>INDEX(二三级标准!$Q:$Q,MATCH(服务费底表!I560,二三级标准!$O:$O,0))</f>
        <v>临床药理</v>
      </c>
      <c r="K560" s="328" t="s">
        <v>1097</v>
      </c>
      <c r="L560" s="328" t="str">
        <f>INDEX(二三级标准!C:C,MATCH(服务费底表!K560,二三级标准!$B:$B,0))</f>
        <v>外部沟通PPT整理,QC</v>
      </c>
      <c r="M560" s="328" t="s">
        <v>1594</v>
      </c>
      <c r="N560" s="328" t="str">
        <f>INDEX(二三级标准!$M:$M,MATCH(服务费底表!$M560,二三级标准!$L:$L,0))</f>
        <v>外部沟通PPT整理,QC</v>
      </c>
      <c r="O560" s="328"/>
      <c r="P560" s="531">
        <f>IF(R560=1,INDEX(服务费明细!$E:$E,MATCH(服务费底表!$K560,服务费明细!$B:$B,0)),0)</f>
        <v>0</v>
      </c>
      <c r="Q560" s="328" t="s">
        <v>1178</v>
      </c>
      <c r="R560" s="520">
        <f>IF(AND(外部沟通PPT整理_QC=1,临床药理YN=1),1,0)</f>
        <v>0</v>
      </c>
      <c r="S560" s="328" t="str">
        <f>INDEX('Rate Card'!$D:$D,MATCH(服务费底表!$T560,'Rate Card'!F:F,0))</f>
        <v>临床药理</v>
      </c>
      <c r="T560" s="328" t="s">
        <v>652</v>
      </c>
      <c r="U560" s="522" t="str">
        <f>INDEX('Rate Card'!$E:$E,MATCH(服务费底表!$T560,'Rate Card'!$F:$F,0))</f>
        <v>临床药理专员</v>
      </c>
      <c r="V560" s="331">
        <f>INDEX('Rate Card'!$J:$J,MATCH($T560,'Rate Card'!$F:$F,0))</f>
        <v>580</v>
      </c>
      <c r="W560" s="523">
        <f t="shared" si="505"/>
        <v>580</v>
      </c>
      <c r="X560" s="523">
        <f t="shared" si="506"/>
        <v>24</v>
      </c>
      <c r="Y560" s="327" cm="1">
        <f t="array" ref="Y560">_xlfn.IFS(报价场景=服务费底表!$AJ$2,服务费底表!$AJ560,报价场景=服务费底表!$AP$2,服务费底表!$AP560,报价场景=服务费底表!$AK$2,服务费底表!$AK560,报价场景=服务费底表!$AL$2,服务费底表!$AL560,报价场景=服务费底表!$AM$2,服务费底表!$AM560,报价场景=服务费底表!$AN$2,服务费底表!$AN560,报价场景=服务费底表!$AQ$2,服务费底表!$AQ560,报价场景=服务费底表!$AO$2,服务费底表!$AO560)</f>
        <v>24</v>
      </c>
      <c r="Z560" s="327"/>
      <c r="AA560" s="332">
        <f t="shared" si="507"/>
        <v>24</v>
      </c>
      <c r="AB560" s="333">
        <f t="shared" si="508"/>
        <v>0</v>
      </c>
      <c r="AC560" s="328">
        <f t="shared" si="509"/>
        <v>0</v>
      </c>
      <c r="AD560" s="334">
        <f t="shared" si="510"/>
        <v>0</v>
      </c>
      <c r="AE560" s="334">
        <f>$AB560*(1-INDEX(项目参数!$D$5:$D$14,MATCH(服务费底表!$S560,项目参数!$B$5:$B$14,0)))</f>
        <v>0</v>
      </c>
      <c r="AF560" s="334">
        <f>$AD560*INDEX(项目参数!$D$5:$D$14,MATCH(服务费底表!$S560,项目参数!$B$5:$B$14,0))</f>
        <v>0</v>
      </c>
      <c r="AG560" s="334">
        <f t="shared" si="511"/>
        <v>0</v>
      </c>
      <c r="AH560" s="328"/>
      <c r="AI560" s="328" t="s">
        <v>652</v>
      </c>
      <c r="AJ560" s="327">
        <v>24</v>
      </c>
      <c r="AK560" s="327">
        <v>24</v>
      </c>
      <c r="AL560" s="327">
        <v>24</v>
      </c>
      <c r="AM560" s="327">
        <v>24</v>
      </c>
      <c r="AN560" s="327">
        <v>24</v>
      </c>
      <c r="AO560" s="327">
        <f t="shared" si="461"/>
        <v>24</v>
      </c>
      <c r="AP560" s="327">
        <v>24</v>
      </c>
      <c r="AQ560" s="327">
        <f t="shared" si="512"/>
        <v>36</v>
      </c>
      <c r="AR560" s="338"/>
      <c r="AS560" s="328">
        <f t="shared" si="513"/>
        <v>0</v>
      </c>
      <c r="AT560" s="328">
        <f t="shared" si="514"/>
        <v>0</v>
      </c>
      <c r="AU560" s="523">
        <v>24</v>
      </c>
      <c r="AV560" s="328"/>
      <c r="AW560" s="328"/>
      <c r="AX560" s="332">
        <v>24</v>
      </c>
      <c r="AY560" s="328" t="b">
        <f t="shared" si="515"/>
        <v>1</v>
      </c>
      <c r="AZ560" s="328" t="b">
        <f t="shared" si="448"/>
        <v>1</v>
      </c>
    </row>
    <row r="561" ht="27" customHeight="1" spans="1:52">
      <c r="A561" s="326" t="str">
        <f>INDEX('Rate Card'!$A:$A,MATCH(服务费底表!$T561,'Rate Card'!$F:$F,0))</f>
        <v>临床药理</v>
      </c>
      <c r="B561" s="327" t="str">
        <f>INDEX(二三级标准!$G:$G,MATCH(服务费底表!$K561,二三级标准!B:B,0))</f>
        <v>次</v>
      </c>
      <c r="C561" s="327">
        <f>INDEX(服务费明细!$E:$E,MATCH(服务费底表!$K561,服务费明细!$B:$B,0))</f>
        <v>0</v>
      </c>
      <c r="D561" s="327" t="str">
        <f t="shared" si="503"/>
        <v>A219CPSS</v>
      </c>
      <c r="E561" s="327" t="str">
        <f t="shared" si="504"/>
        <v>T0646CPSS</v>
      </c>
      <c r="F561" s="328"/>
      <c r="G561" s="328" t="s">
        <v>684</v>
      </c>
      <c r="H561" s="326" t="str">
        <f>INDEX('Rate Card'!$B:$B,MATCH(服务费底表!$T561,'Rate Card'!$F:$F,0))</f>
        <v>临床药理</v>
      </c>
      <c r="I561" s="328" t="s">
        <v>925</v>
      </c>
      <c r="J561" s="328" t="str">
        <f>INDEX(二三级标准!$Q:$Q,MATCH(服务费底表!I561,二三级标准!$O:$O,0))</f>
        <v>临床药理</v>
      </c>
      <c r="K561" s="328" t="s">
        <v>1098</v>
      </c>
      <c r="L561" s="328" t="str">
        <f>INDEX(二三级标准!C:C,MATCH(服务费底表!K561,二三级标准!$B:$B,0))</f>
        <v>外部会议讨论</v>
      </c>
      <c r="M561" s="328" t="s">
        <v>1595</v>
      </c>
      <c r="N561" s="328" t="str">
        <f>INDEX(二三级标准!$M:$M,MATCH(服务费底表!$M561,二三级标准!$L:$L,0))</f>
        <v>外部会议讨论</v>
      </c>
      <c r="O561" s="328"/>
      <c r="P561" s="531">
        <f>IF(R561=1,INDEX(服务费明细!$E:$E,MATCH(服务费底表!$K561,服务费明细!$B:$B,0)),0)</f>
        <v>0</v>
      </c>
      <c r="Q561" s="328" t="s">
        <v>1178</v>
      </c>
      <c r="R561" s="520">
        <f>IF(AND(外部会议讨论=1,临床药理YN=1),1,0)</f>
        <v>0</v>
      </c>
      <c r="S561" s="328" t="str">
        <f>INDEX('Rate Card'!$D:$D,MATCH(服务费底表!$T561,'Rate Card'!F:F,0))</f>
        <v>临床药理</v>
      </c>
      <c r="T561" s="328" t="s">
        <v>654</v>
      </c>
      <c r="U561" s="522" t="str">
        <f>INDEX('Rate Card'!$E:$E,MATCH(服务费底表!$T561,'Rate Card'!$F:$F,0))</f>
        <v>临床药理高级专员</v>
      </c>
      <c r="V561" s="331">
        <f>INDEX('Rate Card'!$J:$J,MATCH($T561,'Rate Card'!$F:$F,0))</f>
        <v>700</v>
      </c>
      <c r="W561" s="523">
        <f t="shared" si="505"/>
        <v>700</v>
      </c>
      <c r="X561" s="523">
        <f t="shared" si="506"/>
        <v>6</v>
      </c>
      <c r="Y561" s="327" cm="1">
        <f t="array" ref="Y561">_xlfn.IFS(报价场景=服务费底表!$AJ$2,服务费底表!$AJ561,报价场景=服务费底表!$AP$2,服务费底表!$AP561,报价场景=服务费底表!$AK$2,服务费底表!$AK561,报价场景=服务费底表!$AL$2,服务费底表!$AL561,报价场景=服务费底表!$AM$2,服务费底表!$AM561,报价场景=服务费底表!$AN$2,服务费底表!$AN561,报价场景=服务费底表!$AQ$2,服务费底表!$AQ561,报价场景=服务费底表!$AO$2,服务费底表!$AO561)</f>
        <v>6</v>
      </c>
      <c r="Z561" s="327"/>
      <c r="AA561" s="332">
        <f t="shared" si="507"/>
        <v>6</v>
      </c>
      <c r="AB561" s="333">
        <f t="shared" si="508"/>
        <v>0</v>
      </c>
      <c r="AC561" s="328">
        <f t="shared" si="509"/>
        <v>0</v>
      </c>
      <c r="AD561" s="334">
        <f t="shared" si="510"/>
        <v>0</v>
      </c>
      <c r="AE561" s="334">
        <f>$AB561*(1-INDEX(项目参数!$D$5:$D$14,MATCH(服务费底表!$S561,项目参数!$B$5:$B$14,0)))</f>
        <v>0</v>
      </c>
      <c r="AF561" s="334">
        <f>$AD561*INDEX(项目参数!$D$5:$D$14,MATCH(服务费底表!$S561,项目参数!$B$5:$B$14,0))</f>
        <v>0</v>
      </c>
      <c r="AG561" s="334">
        <f t="shared" si="511"/>
        <v>0</v>
      </c>
      <c r="AH561" s="328"/>
      <c r="AI561" s="328" t="s">
        <v>654</v>
      </c>
      <c r="AJ561" s="327">
        <v>6</v>
      </c>
      <c r="AK561" s="327">
        <v>6</v>
      </c>
      <c r="AL561" s="327">
        <v>6</v>
      </c>
      <c r="AM561" s="327">
        <v>6</v>
      </c>
      <c r="AN561" s="327">
        <v>6</v>
      </c>
      <c r="AO561" s="327">
        <f t="shared" si="461"/>
        <v>6</v>
      </c>
      <c r="AP561" s="327">
        <v>6</v>
      </c>
      <c r="AQ561" s="327">
        <f t="shared" si="512"/>
        <v>9</v>
      </c>
      <c r="AR561" s="338"/>
      <c r="AS561" s="328">
        <f t="shared" si="513"/>
        <v>0</v>
      </c>
      <c r="AT561" s="328">
        <f t="shared" si="514"/>
        <v>0</v>
      </c>
      <c r="AU561" s="523">
        <v>6</v>
      </c>
      <c r="AV561" s="328"/>
      <c r="AW561" s="328"/>
      <c r="AX561" s="332">
        <v>6</v>
      </c>
      <c r="AY561" s="328" t="b">
        <f t="shared" si="515"/>
        <v>1</v>
      </c>
      <c r="AZ561" s="328" t="b">
        <f t="shared" si="448"/>
        <v>0</v>
      </c>
    </row>
    <row r="562" ht="27" customHeight="1" spans="1:52">
      <c r="A562" s="326" t="str">
        <f>INDEX('Rate Card'!$A:$A,MATCH(服务费底表!$T562,'Rate Card'!$F:$F,0))</f>
        <v>临床药理</v>
      </c>
      <c r="B562" s="327" t="str">
        <f>INDEX(二三级标准!$G:$G,MATCH(服务费底表!$K562,二三级标准!B:B,0))</f>
        <v>份</v>
      </c>
      <c r="C562" s="327">
        <f>INDEX(服务费明细!$E:$E,MATCH(服务费底表!$K562,服务费明细!$B:$B,0))</f>
        <v>0</v>
      </c>
      <c r="D562" s="327" t="str">
        <f t="shared" si="503"/>
        <v>A220CPS</v>
      </c>
      <c r="E562" s="327" t="str">
        <f t="shared" si="504"/>
        <v>T0647CPS</v>
      </c>
      <c r="F562" s="328"/>
      <c r="G562" s="328" t="s">
        <v>684</v>
      </c>
      <c r="H562" s="326" t="str">
        <f>INDEX('Rate Card'!$B:$B,MATCH(服务费底表!$T562,'Rate Card'!$F:$F,0))</f>
        <v>临床药理</v>
      </c>
      <c r="I562" s="328" t="s">
        <v>925</v>
      </c>
      <c r="J562" s="328" t="str">
        <f>INDEX(二三级标准!$Q:$Q,MATCH(服务费底表!I562,二三级标准!$O:$O,0))</f>
        <v>临床药理</v>
      </c>
      <c r="K562" s="328" t="s">
        <v>1099</v>
      </c>
      <c r="L562" s="328" t="str">
        <f>INDEX(二三级标准!C:C,MATCH(服务费底表!K562,二三级标准!$B:$B,0))</f>
        <v>中文报告</v>
      </c>
      <c r="M562" s="328" t="s">
        <v>1596</v>
      </c>
      <c r="N562" s="328" t="str">
        <f>INDEX(二三级标准!$M:$M,MATCH(服务费底表!$M562,二三级标准!$L:$L,0))</f>
        <v>中文报告撰写</v>
      </c>
      <c r="O562" s="328"/>
      <c r="P562" s="531">
        <f>IF(R562=1,INDEX(服务费明细!$E:$E,MATCH(服务费底表!$K562,服务费明细!$B:$B,0)),0)</f>
        <v>0</v>
      </c>
      <c r="Q562" s="328" t="s">
        <v>1178</v>
      </c>
      <c r="R562" s="520">
        <f>IF(AND(中文报告=1,临床药理YN=1),1,0)</f>
        <v>0</v>
      </c>
      <c r="S562" s="328" t="str">
        <f>INDEX('Rate Card'!$D:$D,MATCH(服务费底表!$T562,'Rate Card'!F:F,0))</f>
        <v>临床药理</v>
      </c>
      <c r="T562" s="328" t="s">
        <v>652</v>
      </c>
      <c r="U562" s="522" t="str">
        <f>INDEX('Rate Card'!$E:$E,MATCH(服务费底表!$T562,'Rate Card'!$F:$F,0))</f>
        <v>临床药理专员</v>
      </c>
      <c r="V562" s="331">
        <f>INDEX('Rate Card'!$J:$J,MATCH($T562,'Rate Card'!$F:$F,0))</f>
        <v>580</v>
      </c>
      <c r="W562" s="523">
        <f t="shared" si="505"/>
        <v>580</v>
      </c>
      <c r="X562" s="523">
        <f t="shared" si="506"/>
        <v>40</v>
      </c>
      <c r="Y562" s="327" cm="1">
        <f t="array" ref="Y562">_xlfn.IFS(报价场景=服务费底表!$AJ$2,服务费底表!$AJ562,报价场景=服务费底表!$AP$2,服务费底表!$AP562,报价场景=服务费底表!$AK$2,服务费底表!$AK562,报价场景=服务费底表!$AL$2,服务费底表!$AL562,报价场景=服务费底表!$AM$2,服务费底表!$AM562,报价场景=服务费底表!$AN$2,服务费底表!$AN562,报价场景=服务费底表!$AQ$2,服务费底表!$AQ562,报价场景=服务费底表!$AO$2,服务费底表!$AO562)</f>
        <v>40</v>
      </c>
      <c r="Z562" s="327"/>
      <c r="AA562" s="332">
        <f t="shared" si="507"/>
        <v>40</v>
      </c>
      <c r="AB562" s="333">
        <f t="shared" si="508"/>
        <v>0</v>
      </c>
      <c r="AC562" s="328">
        <f t="shared" si="509"/>
        <v>0</v>
      </c>
      <c r="AD562" s="334">
        <f t="shared" si="510"/>
        <v>0</v>
      </c>
      <c r="AE562" s="334">
        <f>$AB562*(1-INDEX(项目参数!$D$5:$D$14,MATCH(服务费底表!$S562,项目参数!$B$5:$B$14,0)))</f>
        <v>0</v>
      </c>
      <c r="AF562" s="334">
        <f>$AD562*INDEX(项目参数!$D$5:$D$14,MATCH(服务费底表!$S562,项目参数!$B$5:$B$14,0))</f>
        <v>0</v>
      </c>
      <c r="AG562" s="334">
        <f t="shared" si="511"/>
        <v>0</v>
      </c>
      <c r="AH562" s="328"/>
      <c r="AI562" s="328" t="s">
        <v>652</v>
      </c>
      <c r="AJ562" s="327">
        <v>40</v>
      </c>
      <c r="AK562" s="327">
        <v>40</v>
      </c>
      <c r="AL562" s="327">
        <v>40</v>
      </c>
      <c r="AM562" s="327">
        <v>40</v>
      </c>
      <c r="AN562" s="327">
        <v>40</v>
      </c>
      <c r="AO562" s="327">
        <f t="shared" si="461"/>
        <v>40</v>
      </c>
      <c r="AP562" s="327">
        <v>40</v>
      </c>
      <c r="AQ562" s="327">
        <f t="shared" si="512"/>
        <v>60</v>
      </c>
      <c r="AR562" s="338"/>
      <c r="AS562" s="328">
        <f t="shared" si="513"/>
        <v>0</v>
      </c>
      <c r="AT562" s="328">
        <f t="shared" si="514"/>
        <v>0</v>
      </c>
      <c r="AU562" s="523">
        <v>40</v>
      </c>
      <c r="AV562" s="328"/>
      <c r="AW562" s="328"/>
      <c r="AX562" s="332">
        <v>40</v>
      </c>
      <c r="AY562" s="328" t="b">
        <f t="shared" si="515"/>
        <v>1</v>
      </c>
      <c r="AZ562" s="328" t="b">
        <f t="shared" si="448"/>
        <v>1</v>
      </c>
    </row>
    <row r="563" ht="27" customHeight="1" spans="1:52">
      <c r="A563" s="326" t="str">
        <f>INDEX('Rate Card'!$A:$A,MATCH(服务费底表!$T563,'Rate Card'!$F:$F,0))</f>
        <v>临床药理</v>
      </c>
      <c r="B563" s="327" t="str">
        <f>INDEX(二三级标准!$G:$G,MATCH(服务费底表!$K563,二三级标准!B:B,0))</f>
        <v>份</v>
      </c>
      <c r="C563" s="327">
        <f>INDEX(服务费明细!$E:$E,MATCH(服务费底表!$K563,服务费明细!$B:$B,0))</f>
        <v>0</v>
      </c>
      <c r="D563" s="327" t="str">
        <f t="shared" si="503"/>
        <v>A220CPSS</v>
      </c>
      <c r="E563" s="327" t="str">
        <f t="shared" si="504"/>
        <v>T0648CPSS</v>
      </c>
      <c r="F563" s="328"/>
      <c r="G563" s="328" t="s">
        <v>684</v>
      </c>
      <c r="H563" s="326" t="str">
        <f>INDEX('Rate Card'!$B:$B,MATCH(服务费底表!$T563,'Rate Card'!$F:$F,0))</f>
        <v>临床药理</v>
      </c>
      <c r="I563" s="328" t="s">
        <v>925</v>
      </c>
      <c r="J563" s="328" t="str">
        <f>INDEX(二三级标准!$Q:$Q,MATCH(服务费底表!I563,二三级标准!$O:$O,0))</f>
        <v>临床药理</v>
      </c>
      <c r="K563" s="328" t="s">
        <v>1099</v>
      </c>
      <c r="L563" s="328" t="str">
        <f>INDEX(二三级标准!C:C,MATCH(服务费底表!K563,二三级标准!$B:$B,0))</f>
        <v>中文报告</v>
      </c>
      <c r="M563" s="328" t="s">
        <v>1597</v>
      </c>
      <c r="N563" s="328" t="str">
        <f>INDEX(二三级标准!$M:$M,MATCH(服务费底表!$M563,二三级标准!$L:$L,0))</f>
        <v>中文报告审核</v>
      </c>
      <c r="O563" s="328"/>
      <c r="P563" s="531">
        <f>IF(R563=1,INDEX(服务费明细!$E:$E,MATCH(服务费底表!$K563,服务费明细!$B:$B,0)),0)</f>
        <v>0</v>
      </c>
      <c r="Q563" s="328" t="s">
        <v>1178</v>
      </c>
      <c r="R563" s="520">
        <f>IF(AND(中文报告=1,临床药理YN=1),1,0)</f>
        <v>0</v>
      </c>
      <c r="S563" s="328" t="str">
        <f>INDEX('Rate Card'!$D:$D,MATCH(服务费底表!$T563,'Rate Card'!F:F,0))</f>
        <v>临床药理</v>
      </c>
      <c r="T563" s="328" t="s">
        <v>654</v>
      </c>
      <c r="U563" s="522" t="str">
        <f>INDEX('Rate Card'!$E:$E,MATCH(服务费底表!$T563,'Rate Card'!$F:$F,0))</f>
        <v>临床药理高级专员</v>
      </c>
      <c r="V563" s="331">
        <f>INDEX('Rate Card'!$J:$J,MATCH($T563,'Rate Card'!$F:$F,0))</f>
        <v>700</v>
      </c>
      <c r="W563" s="523">
        <f t="shared" si="505"/>
        <v>700</v>
      </c>
      <c r="X563" s="523">
        <f t="shared" si="506"/>
        <v>6</v>
      </c>
      <c r="Y563" s="327" cm="1">
        <f t="array" ref="Y563">_xlfn.IFS(报价场景=服务费底表!$AJ$2,服务费底表!$AJ563,报价场景=服务费底表!$AP$2,服务费底表!$AP563,报价场景=服务费底表!$AK$2,服务费底表!$AK563,报价场景=服务费底表!$AL$2,服务费底表!$AL563,报价场景=服务费底表!$AM$2,服务费底表!$AM563,报价场景=服务费底表!$AN$2,服务费底表!$AN563,报价场景=服务费底表!$AQ$2,服务费底表!$AQ563,报价场景=服务费底表!$AO$2,服务费底表!$AO563)</f>
        <v>6</v>
      </c>
      <c r="Z563" s="327"/>
      <c r="AA563" s="332">
        <f t="shared" si="507"/>
        <v>6</v>
      </c>
      <c r="AB563" s="333">
        <f t="shared" si="508"/>
        <v>0</v>
      </c>
      <c r="AC563" s="328">
        <f t="shared" si="509"/>
        <v>0</v>
      </c>
      <c r="AD563" s="334">
        <f t="shared" si="510"/>
        <v>0</v>
      </c>
      <c r="AE563" s="334">
        <f>$AB563*(1-INDEX(项目参数!$D$5:$D$14,MATCH(服务费底表!$S563,项目参数!$B$5:$B$14,0)))</f>
        <v>0</v>
      </c>
      <c r="AF563" s="334">
        <f>$AD563*INDEX(项目参数!$D$5:$D$14,MATCH(服务费底表!$S563,项目参数!$B$5:$B$14,0))</f>
        <v>0</v>
      </c>
      <c r="AG563" s="334">
        <f t="shared" si="511"/>
        <v>0</v>
      </c>
      <c r="AH563" s="328"/>
      <c r="AI563" s="328" t="s">
        <v>654</v>
      </c>
      <c r="AJ563" s="327">
        <v>6</v>
      </c>
      <c r="AK563" s="327">
        <v>6</v>
      </c>
      <c r="AL563" s="327">
        <v>6</v>
      </c>
      <c r="AM563" s="327">
        <v>6</v>
      </c>
      <c r="AN563" s="327">
        <v>6</v>
      </c>
      <c r="AO563" s="327">
        <f t="shared" si="461"/>
        <v>6</v>
      </c>
      <c r="AP563" s="327">
        <v>6</v>
      </c>
      <c r="AQ563" s="327">
        <f t="shared" si="512"/>
        <v>9</v>
      </c>
      <c r="AR563" s="338"/>
      <c r="AS563" s="328">
        <f t="shared" si="513"/>
        <v>0</v>
      </c>
      <c r="AT563" s="328">
        <f t="shared" si="514"/>
        <v>0</v>
      </c>
      <c r="AU563" s="523">
        <v>6</v>
      </c>
      <c r="AV563" s="328"/>
      <c r="AW563" s="328"/>
      <c r="AX563" s="332">
        <v>6</v>
      </c>
      <c r="AY563" s="328" t="b">
        <f t="shared" si="515"/>
        <v>1</v>
      </c>
      <c r="AZ563" s="328" t="b">
        <f t="shared" si="448"/>
        <v>1</v>
      </c>
    </row>
    <row r="564" ht="27" customHeight="1" spans="1:52">
      <c r="A564" s="326" t="str">
        <f>INDEX('Rate Card'!$A:$A,MATCH(服务费底表!$T564,'Rate Card'!$F:$F,0))</f>
        <v>临床药理</v>
      </c>
      <c r="B564" s="327" t="str">
        <f>INDEX(二三级标准!$G:$G,MATCH(服务费底表!$K564,二三级标准!B:B,0))</f>
        <v>份</v>
      </c>
      <c r="C564" s="327">
        <f>INDEX(服务费明细!$E:$E,MATCH(服务费底表!$K564,服务费明细!$B:$B,0))</f>
        <v>0</v>
      </c>
      <c r="D564" s="327" t="str">
        <f t="shared" si="503"/>
        <v>A220CPS</v>
      </c>
      <c r="E564" s="327" t="str">
        <f t="shared" si="504"/>
        <v>T0649CPS</v>
      </c>
      <c r="F564" s="328"/>
      <c r="G564" s="328" t="s">
        <v>684</v>
      </c>
      <c r="H564" s="326" t="str">
        <f>INDEX('Rate Card'!$B:$B,MATCH(服务费底表!$T564,'Rate Card'!$F:$F,0))</f>
        <v>临床药理</v>
      </c>
      <c r="I564" s="328" t="s">
        <v>925</v>
      </c>
      <c r="J564" s="328" t="str">
        <f>INDEX(二三级标准!$Q:$Q,MATCH(服务费底表!I564,二三级标准!$O:$O,0))</f>
        <v>临床药理</v>
      </c>
      <c r="K564" s="328" t="s">
        <v>1099</v>
      </c>
      <c r="L564" s="328" t="str">
        <f>INDEX(二三级标准!C:C,MATCH(服务费底表!K564,二三级标准!$B:$B,0))</f>
        <v>中文报告</v>
      </c>
      <c r="M564" s="328" t="s">
        <v>1598</v>
      </c>
      <c r="N564" s="328" t="str">
        <f>INDEX(二三级标准!$M:$M,MATCH(服务费底表!$M564,二三级标准!$L:$L,0))</f>
        <v>中文报告修订</v>
      </c>
      <c r="O564" s="328"/>
      <c r="P564" s="531">
        <f>IF(R564=1,INDEX(服务费明细!$E:$E,MATCH(服务费底表!$K564,服务费明细!$B:$B,0)),0)</f>
        <v>0</v>
      </c>
      <c r="Q564" s="328" t="s">
        <v>1178</v>
      </c>
      <c r="R564" s="520">
        <f>IF(AND(中文报告=1,临床药理YN=1),1,0)</f>
        <v>0</v>
      </c>
      <c r="S564" s="328" t="str">
        <f>INDEX('Rate Card'!$D:$D,MATCH(服务费底表!$T564,'Rate Card'!F:F,0))</f>
        <v>临床药理</v>
      </c>
      <c r="T564" s="328" t="s">
        <v>652</v>
      </c>
      <c r="U564" s="522" t="str">
        <f>INDEX('Rate Card'!$E:$E,MATCH(服务费底表!$T564,'Rate Card'!$F:$F,0))</f>
        <v>临床药理专员</v>
      </c>
      <c r="V564" s="331">
        <f>INDEX('Rate Card'!$J:$J,MATCH($T564,'Rate Card'!$F:$F,0))</f>
        <v>580</v>
      </c>
      <c r="W564" s="523">
        <f t="shared" si="505"/>
        <v>580</v>
      </c>
      <c r="X564" s="523">
        <f t="shared" si="506"/>
        <v>6</v>
      </c>
      <c r="Y564" s="327" cm="1">
        <f t="array" ref="Y564">_xlfn.IFS(报价场景=服务费底表!$AJ$2,服务费底表!$AJ564,报价场景=服务费底表!$AP$2,服务费底表!$AP564,报价场景=服务费底表!$AK$2,服务费底表!$AK564,报价场景=服务费底表!$AL$2,服务费底表!$AL564,报价场景=服务费底表!$AM$2,服务费底表!$AM564,报价场景=服务费底表!$AN$2,服务费底表!$AN564,报价场景=服务费底表!$AQ$2,服务费底表!$AQ564,报价场景=服务费底表!$AO$2,服务费底表!$AO564)</f>
        <v>6</v>
      </c>
      <c r="Z564" s="327"/>
      <c r="AA564" s="332">
        <f t="shared" si="507"/>
        <v>6</v>
      </c>
      <c r="AB564" s="333">
        <f t="shared" si="508"/>
        <v>0</v>
      </c>
      <c r="AC564" s="328">
        <f t="shared" si="509"/>
        <v>0</v>
      </c>
      <c r="AD564" s="334">
        <f t="shared" si="510"/>
        <v>0</v>
      </c>
      <c r="AE564" s="334">
        <f>$AB564*(1-INDEX(项目参数!$D$5:$D$14,MATCH(服务费底表!$S564,项目参数!$B$5:$B$14,0)))</f>
        <v>0</v>
      </c>
      <c r="AF564" s="334">
        <f>$AD564*INDEX(项目参数!$D$5:$D$14,MATCH(服务费底表!$S564,项目参数!$B$5:$B$14,0))</f>
        <v>0</v>
      </c>
      <c r="AG564" s="334">
        <f t="shared" si="511"/>
        <v>0</v>
      </c>
      <c r="AH564" s="328"/>
      <c r="AI564" s="328" t="s">
        <v>652</v>
      </c>
      <c r="AJ564" s="327">
        <v>6</v>
      </c>
      <c r="AK564" s="327">
        <v>6</v>
      </c>
      <c r="AL564" s="327">
        <v>6</v>
      </c>
      <c r="AM564" s="327">
        <v>6</v>
      </c>
      <c r="AN564" s="327">
        <v>6</v>
      </c>
      <c r="AO564" s="327">
        <f t="shared" si="461"/>
        <v>6</v>
      </c>
      <c r="AP564" s="327">
        <v>6</v>
      </c>
      <c r="AQ564" s="327">
        <f t="shared" si="512"/>
        <v>9</v>
      </c>
      <c r="AR564" s="338"/>
      <c r="AS564" s="328">
        <f t="shared" si="513"/>
        <v>0</v>
      </c>
      <c r="AT564" s="328">
        <f t="shared" si="514"/>
        <v>0</v>
      </c>
      <c r="AU564" s="523">
        <v>6</v>
      </c>
      <c r="AV564" s="328"/>
      <c r="AW564" s="328"/>
      <c r="AX564" s="332">
        <v>6</v>
      </c>
      <c r="AY564" s="328" t="b">
        <f t="shared" si="515"/>
        <v>1</v>
      </c>
      <c r="AZ564" s="328" t="b">
        <f t="shared" si="448"/>
        <v>1</v>
      </c>
    </row>
    <row r="565" ht="27" customHeight="1" spans="1:52">
      <c r="A565" s="326" t="str">
        <f>INDEX('Rate Card'!$A:$A,MATCH(服务费底表!$T565,'Rate Card'!$F:$F,0))</f>
        <v>临床药理</v>
      </c>
      <c r="B565" s="327" t="str">
        <f>INDEX(二三级标准!$G:$G,MATCH(服务费底表!$K565,二三级标准!B:B,0))</f>
        <v>份</v>
      </c>
      <c r="C565" s="327">
        <f>INDEX(服务费明细!$E:$E,MATCH(服务费底表!$K565,服务费明细!$B:$B,0))</f>
        <v>0</v>
      </c>
      <c r="D565" s="327" t="str">
        <f t="shared" si="503"/>
        <v>A221CPS</v>
      </c>
      <c r="E565" s="327" t="str">
        <f t="shared" si="504"/>
        <v>T0650CPS</v>
      </c>
      <c r="F565" s="328"/>
      <c r="G565" s="328" t="s">
        <v>684</v>
      </c>
      <c r="H565" s="326" t="str">
        <f>INDEX('Rate Card'!$B:$B,MATCH(服务费底表!$T565,'Rate Card'!$F:$F,0))</f>
        <v>临床药理</v>
      </c>
      <c r="I565" s="328" t="s">
        <v>925</v>
      </c>
      <c r="J565" s="328" t="str">
        <f>INDEX(二三级标准!$Q:$Q,MATCH(服务费底表!I565,二三级标准!$O:$O,0))</f>
        <v>临床药理</v>
      </c>
      <c r="K565" s="328" t="s">
        <v>1100</v>
      </c>
      <c r="L565" s="328" t="str">
        <f>INDEX(二三级标准!C:C,MATCH(服务费底表!K565,二三级标准!$B:$B,0))</f>
        <v>英文报告</v>
      </c>
      <c r="M565" s="328" t="s">
        <v>1599</v>
      </c>
      <c r="N565" s="328" t="str">
        <f>INDEX(二三级标准!$M:$M,MATCH(服务费底表!$M565,二三级标准!$L:$L,0))</f>
        <v>英文报告撰写</v>
      </c>
      <c r="O565" s="328"/>
      <c r="P565" s="531">
        <f>IF(R565=1,INDEX(服务费明细!$E:$E,MATCH(服务费底表!$K565,服务费明细!$B:$B,0)),0)</f>
        <v>0</v>
      </c>
      <c r="Q565" s="328" t="s">
        <v>1178</v>
      </c>
      <c r="R565" s="520">
        <f>IF(AND(英文报告=1,临床药理YN=1),1,0)</f>
        <v>0</v>
      </c>
      <c r="S565" s="328" t="str">
        <f>INDEX('Rate Card'!$D:$D,MATCH(服务费底表!$T565,'Rate Card'!F:F,0))</f>
        <v>临床药理</v>
      </c>
      <c r="T565" s="328" t="s">
        <v>652</v>
      </c>
      <c r="U565" s="522" t="str">
        <f>INDEX('Rate Card'!$E:$E,MATCH(服务费底表!$T565,'Rate Card'!$F:$F,0))</f>
        <v>临床药理专员</v>
      </c>
      <c r="V565" s="331">
        <f>INDEX('Rate Card'!$J:$J,MATCH($T565,'Rate Card'!$F:$F,0))</f>
        <v>580</v>
      </c>
      <c r="W565" s="523">
        <f t="shared" si="505"/>
        <v>580</v>
      </c>
      <c r="X565" s="523">
        <f t="shared" si="506"/>
        <v>48</v>
      </c>
      <c r="Y565" s="327" cm="1">
        <f t="array" ref="Y565">_xlfn.IFS(报价场景=服务费底表!$AJ$2,服务费底表!$AJ565,报价场景=服务费底表!$AP$2,服务费底表!$AP565,报价场景=服务费底表!$AK$2,服务费底表!$AK565,报价场景=服务费底表!$AL$2,服务费底表!$AL565,报价场景=服务费底表!$AM$2,服务费底表!$AM565,报价场景=服务费底表!$AN$2,服务费底表!$AN565,报价场景=服务费底表!$AQ$2,服务费底表!$AQ565,报价场景=服务费底表!$AO$2,服务费底表!$AO565)</f>
        <v>48</v>
      </c>
      <c r="Z565" s="327"/>
      <c r="AA565" s="332">
        <f t="shared" si="507"/>
        <v>48</v>
      </c>
      <c r="AB565" s="333">
        <f t="shared" si="508"/>
        <v>0</v>
      </c>
      <c r="AC565" s="328">
        <f t="shared" si="509"/>
        <v>0</v>
      </c>
      <c r="AD565" s="334">
        <f t="shared" si="510"/>
        <v>0</v>
      </c>
      <c r="AE565" s="334">
        <f>$AB565*(1-INDEX(项目参数!$D$5:$D$14,MATCH(服务费底表!$S565,项目参数!$B$5:$B$14,0)))</f>
        <v>0</v>
      </c>
      <c r="AF565" s="334">
        <f>$AD565*INDEX(项目参数!$D$5:$D$14,MATCH(服务费底表!$S565,项目参数!$B$5:$B$14,0))</f>
        <v>0</v>
      </c>
      <c r="AG565" s="334">
        <f t="shared" si="511"/>
        <v>0</v>
      </c>
      <c r="AH565" s="328"/>
      <c r="AI565" s="328" t="s">
        <v>652</v>
      </c>
      <c r="AJ565" s="327">
        <v>48</v>
      </c>
      <c r="AK565" s="327">
        <v>48</v>
      </c>
      <c r="AL565" s="327">
        <v>48</v>
      </c>
      <c r="AM565" s="327">
        <v>48</v>
      </c>
      <c r="AN565" s="327">
        <v>48</v>
      </c>
      <c r="AO565" s="327">
        <f t="shared" si="461"/>
        <v>48</v>
      </c>
      <c r="AP565" s="327">
        <v>48</v>
      </c>
      <c r="AQ565" s="327">
        <f t="shared" si="512"/>
        <v>72</v>
      </c>
      <c r="AR565" s="338"/>
      <c r="AS565" s="328">
        <f t="shared" si="513"/>
        <v>0</v>
      </c>
      <c r="AT565" s="328">
        <f t="shared" si="514"/>
        <v>0</v>
      </c>
      <c r="AU565" s="523">
        <v>48</v>
      </c>
      <c r="AV565" s="328"/>
      <c r="AW565" s="328"/>
      <c r="AX565" s="332">
        <v>48</v>
      </c>
      <c r="AY565" s="328" t="b">
        <f t="shared" si="515"/>
        <v>1</v>
      </c>
      <c r="AZ565" s="328" t="b">
        <f t="shared" si="448"/>
        <v>0</v>
      </c>
    </row>
    <row r="566" ht="27" customHeight="1" spans="1:52">
      <c r="A566" s="326" t="str">
        <f>INDEX('Rate Card'!$A:$A,MATCH(服务费底表!$T566,'Rate Card'!$F:$F,0))</f>
        <v>临床药理</v>
      </c>
      <c r="B566" s="327" t="str">
        <f>INDEX(二三级标准!$G:$G,MATCH(服务费底表!$K566,二三级标准!B:B,0))</f>
        <v>份</v>
      </c>
      <c r="C566" s="327">
        <f>INDEX(服务费明细!$E:$E,MATCH(服务费底表!$K566,服务费明细!$B:$B,0))</f>
        <v>0</v>
      </c>
      <c r="D566" s="327" t="str">
        <f t="shared" si="503"/>
        <v>A221CPSS</v>
      </c>
      <c r="E566" s="327" t="str">
        <f t="shared" si="504"/>
        <v>T0651CPSS</v>
      </c>
      <c r="F566" s="328"/>
      <c r="G566" s="328" t="s">
        <v>684</v>
      </c>
      <c r="H566" s="326" t="str">
        <f>INDEX('Rate Card'!$B:$B,MATCH(服务费底表!$T566,'Rate Card'!$F:$F,0))</f>
        <v>临床药理</v>
      </c>
      <c r="I566" s="328" t="s">
        <v>925</v>
      </c>
      <c r="J566" s="328" t="str">
        <f>INDEX(二三级标准!$Q:$Q,MATCH(服务费底表!I566,二三级标准!$O:$O,0))</f>
        <v>临床药理</v>
      </c>
      <c r="K566" s="328" t="s">
        <v>1100</v>
      </c>
      <c r="L566" s="328" t="str">
        <f>INDEX(二三级标准!C:C,MATCH(服务费底表!K566,二三级标准!$B:$B,0))</f>
        <v>英文报告</v>
      </c>
      <c r="M566" s="328" t="s">
        <v>1600</v>
      </c>
      <c r="N566" s="328" t="str">
        <f>INDEX(二三级标准!$M:$M,MATCH(服务费底表!$M566,二三级标准!$L:$L,0))</f>
        <v>英文报告审核</v>
      </c>
      <c r="O566" s="328"/>
      <c r="P566" s="531">
        <f>IF(R566=1,INDEX(服务费明细!$E:$E,MATCH(服务费底表!$K566,服务费明细!$B:$B,0)),0)</f>
        <v>0</v>
      </c>
      <c r="Q566" s="328" t="s">
        <v>1178</v>
      </c>
      <c r="R566" s="520">
        <f>IF(AND(英文报告=1,临床药理YN=1),1,0)</f>
        <v>0</v>
      </c>
      <c r="S566" s="328" t="str">
        <f>INDEX('Rate Card'!$D:$D,MATCH(服务费底表!$T566,'Rate Card'!F:F,0))</f>
        <v>临床药理</v>
      </c>
      <c r="T566" s="328" t="s">
        <v>654</v>
      </c>
      <c r="U566" s="522" t="str">
        <f>INDEX('Rate Card'!$E:$E,MATCH(服务费底表!$T566,'Rate Card'!$F:$F,0))</f>
        <v>临床药理高级专员</v>
      </c>
      <c r="V566" s="331">
        <f>INDEX('Rate Card'!$J:$J,MATCH($T566,'Rate Card'!$F:$F,0))</f>
        <v>700</v>
      </c>
      <c r="W566" s="523">
        <f t="shared" si="505"/>
        <v>700</v>
      </c>
      <c r="X566" s="523">
        <f t="shared" si="506"/>
        <v>6</v>
      </c>
      <c r="Y566" s="327" cm="1">
        <f t="array" ref="Y566">_xlfn.IFS(报价场景=服务费底表!$AJ$2,服务费底表!$AJ566,报价场景=服务费底表!$AP$2,服务费底表!$AP566,报价场景=服务费底表!$AK$2,服务费底表!$AK566,报价场景=服务费底表!$AL$2,服务费底表!$AL566,报价场景=服务费底表!$AM$2,服务费底表!$AM566,报价场景=服务费底表!$AN$2,服务费底表!$AN566,报价场景=服务费底表!$AQ$2,服务费底表!$AQ566,报价场景=服务费底表!$AO$2,服务费底表!$AO566)</f>
        <v>6</v>
      </c>
      <c r="Z566" s="327"/>
      <c r="AA566" s="332">
        <f t="shared" si="507"/>
        <v>6</v>
      </c>
      <c r="AB566" s="333">
        <f t="shared" si="508"/>
        <v>0</v>
      </c>
      <c r="AC566" s="328">
        <f t="shared" si="509"/>
        <v>0</v>
      </c>
      <c r="AD566" s="334">
        <f t="shared" si="510"/>
        <v>0</v>
      </c>
      <c r="AE566" s="334">
        <f>$AB566*(1-INDEX(项目参数!$D$5:$D$14,MATCH(服务费底表!$S566,项目参数!$B$5:$B$14,0)))</f>
        <v>0</v>
      </c>
      <c r="AF566" s="334">
        <f>$AD566*INDEX(项目参数!$D$5:$D$14,MATCH(服务费底表!$S566,项目参数!$B$5:$B$14,0))</f>
        <v>0</v>
      </c>
      <c r="AG566" s="334">
        <f t="shared" si="511"/>
        <v>0</v>
      </c>
      <c r="AH566" s="328"/>
      <c r="AI566" s="328" t="s">
        <v>654</v>
      </c>
      <c r="AJ566" s="327">
        <v>6</v>
      </c>
      <c r="AK566" s="327">
        <v>6</v>
      </c>
      <c r="AL566" s="327">
        <v>6</v>
      </c>
      <c r="AM566" s="327">
        <v>6</v>
      </c>
      <c r="AN566" s="327">
        <v>6</v>
      </c>
      <c r="AO566" s="327">
        <f t="shared" si="461"/>
        <v>6</v>
      </c>
      <c r="AP566" s="327">
        <v>6</v>
      </c>
      <c r="AQ566" s="327">
        <f t="shared" si="512"/>
        <v>9</v>
      </c>
      <c r="AR566" s="338"/>
      <c r="AS566" s="328">
        <f t="shared" si="513"/>
        <v>0</v>
      </c>
      <c r="AT566" s="328">
        <f t="shared" si="514"/>
        <v>0</v>
      </c>
      <c r="AU566" s="523">
        <v>6</v>
      </c>
      <c r="AV566" s="328"/>
      <c r="AW566" s="328"/>
      <c r="AX566" s="332">
        <v>6</v>
      </c>
      <c r="AY566" s="328" t="b">
        <f t="shared" si="515"/>
        <v>1</v>
      </c>
      <c r="AZ566" s="328" t="b">
        <f t="shared" si="448"/>
        <v>0</v>
      </c>
    </row>
    <row r="567" ht="27" customHeight="1" spans="1:52">
      <c r="A567" s="326" t="str">
        <f>INDEX('Rate Card'!$A:$A,MATCH(服务费底表!$T567,'Rate Card'!$F:$F,0))</f>
        <v>临床药理</v>
      </c>
      <c r="B567" s="327" t="str">
        <f>INDEX(二三级标准!$G:$G,MATCH(服务费底表!$K567,二三级标准!B:B,0))</f>
        <v>份</v>
      </c>
      <c r="C567" s="327">
        <f>INDEX(服务费明细!$E:$E,MATCH(服务费底表!$K567,服务费明细!$B:$B,0))</f>
        <v>0</v>
      </c>
      <c r="D567" s="327" t="str">
        <f t="shared" si="503"/>
        <v>A221CPS</v>
      </c>
      <c r="E567" s="327" t="str">
        <f t="shared" si="504"/>
        <v>T0652CPS</v>
      </c>
      <c r="F567" s="328"/>
      <c r="G567" s="328" t="s">
        <v>684</v>
      </c>
      <c r="H567" s="326" t="str">
        <f>INDEX('Rate Card'!$B:$B,MATCH(服务费底表!$T567,'Rate Card'!$F:$F,0))</f>
        <v>临床药理</v>
      </c>
      <c r="I567" s="328" t="s">
        <v>925</v>
      </c>
      <c r="J567" s="328" t="str">
        <f>INDEX(二三级标准!$Q:$Q,MATCH(服务费底表!I567,二三级标准!$O:$O,0))</f>
        <v>临床药理</v>
      </c>
      <c r="K567" s="328" t="s">
        <v>1100</v>
      </c>
      <c r="L567" s="328" t="str">
        <f>INDEX(二三级标准!C:C,MATCH(服务费底表!K567,二三级标准!$B:$B,0))</f>
        <v>英文报告</v>
      </c>
      <c r="M567" s="328" t="s">
        <v>1601</v>
      </c>
      <c r="N567" s="328" t="str">
        <f>INDEX(二三级标准!$M:$M,MATCH(服务费底表!$M567,二三级标准!$L:$L,0))</f>
        <v>英文报告修订</v>
      </c>
      <c r="O567" s="328"/>
      <c r="P567" s="531">
        <f>IF(R567=1,INDEX(服务费明细!$E:$E,MATCH(服务费底表!$K567,服务费明细!$B:$B,0)),0)</f>
        <v>0</v>
      </c>
      <c r="Q567" s="328" t="s">
        <v>1178</v>
      </c>
      <c r="R567" s="520">
        <f>IF(AND(英文报告=1,临床药理YN=1),1,0)</f>
        <v>0</v>
      </c>
      <c r="S567" s="328" t="str">
        <f>INDEX('Rate Card'!$D:$D,MATCH(服务费底表!$T567,'Rate Card'!F:F,0))</f>
        <v>临床药理</v>
      </c>
      <c r="T567" s="328" t="s">
        <v>652</v>
      </c>
      <c r="U567" s="522" t="str">
        <f>INDEX('Rate Card'!$E:$E,MATCH(服务费底表!$T567,'Rate Card'!$F:$F,0))</f>
        <v>临床药理专员</v>
      </c>
      <c r="V567" s="331">
        <f>INDEX('Rate Card'!$J:$J,MATCH($T567,'Rate Card'!$F:$F,0))</f>
        <v>580</v>
      </c>
      <c r="W567" s="523">
        <f t="shared" si="505"/>
        <v>580</v>
      </c>
      <c r="X567" s="523">
        <f t="shared" si="506"/>
        <v>6</v>
      </c>
      <c r="Y567" s="327" cm="1">
        <f t="array" ref="Y567">_xlfn.IFS(报价场景=服务费底表!$AJ$2,服务费底表!$AJ567,报价场景=服务费底表!$AP$2,服务费底表!$AP567,报价场景=服务费底表!$AK$2,服务费底表!$AK567,报价场景=服务费底表!$AL$2,服务费底表!$AL567,报价场景=服务费底表!$AM$2,服务费底表!$AM567,报价场景=服务费底表!$AN$2,服务费底表!$AN567,报价场景=服务费底表!$AQ$2,服务费底表!$AQ567,报价场景=服务费底表!$AO$2,服务费底表!$AO567)</f>
        <v>6</v>
      </c>
      <c r="Z567" s="327"/>
      <c r="AA567" s="332">
        <f t="shared" si="507"/>
        <v>6</v>
      </c>
      <c r="AB567" s="333">
        <f t="shared" si="508"/>
        <v>0</v>
      </c>
      <c r="AC567" s="328">
        <f t="shared" si="509"/>
        <v>0</v>
      </c>
      <c r="AD567" s="334">
        <f t="shared" si="510"/>
        <v>0</v>
      </c>
      <c r="AE567" s="334">
        <f>$AB567*(1-INDEX(项目参数!$D$5:$D$14,MATCH(服务费底表!$S567,项目参数!$B$5:$B$14,0)))</f>
        <v>0</v>
      </c>
      <c r="AF567" s="334">
        <f>$AD567*INDEX(项目参数!$D$5:$D$14,MATCH(服务费底表!$S567,项目参数!$B$5:$B$14,0))</f>
        <v>0</v>
      </c>
      <c r="AG567" s="334">
        <f t="shared" si="511"/>
        <v>0</v>
      </c>
      <c r="AH567" s="328"/>
      <c r="AI567" s="328" t="s">
        <v>652</v>
      </c>
      <c r="AJ567" s="327">
        <v>6</v>
      </c>
      <c r="AK567" s="327">
        <v>6</v>
      </c>
      <c r="AL567" s="327">
        <v>6</v>
      </c>
      <c r="AM567" s="327">
        <v>6</v>
      </c>
      <c r="AN567" s="327">
        <v>6</v>
      </c>
      <c r="AO567" s="327">
        <f t="shared" si="461"/>
        <v>6</v>
      </c>
      <c r="AP567" s="327">
        <v>6</v>
      </c>
      <c r="AQ567" s="327">
        <f t="shared" si="512"/>
        <v>9</v>
      </c>
      <c r="AR567" s="338"/>
      <c r="AS567" s="328">
        <f t="shared" si="513"/>
        <v>0</v>
      </c>
      <c r="AT567" s="328">
        <f t="shared" si="514"/>
        <v>0</v>
      </c>
      <c r="AU567" s="523">
        <v>6</v>
      </c>
      <c r="AV567" s="328"/>
      <c r="AW567" s="328"/>
      <c r="AX567" s="332">
        <v>6</v>
      </c>
      <c r="AY567" s="328" t="b">
        <f t="shared" si="515"/>
        <v>1</v>
      </c>
      <c r="AZ567" s="328" t="b">
        <f t="shared" si="448"/>
        <v>0</v>
      </c>
    </row>
    <row r="568" ht="27" customHeight="1" spans="1:52">
      <c r="A568" s="326" t="str">
        <f>INDEX('Rate Card'!$A:$A,MATCH(服务费底表!$T568,'Rate Card'!$F:$F,0))</f>
        <v>临床药理</v>
      </c>
      <c r="B568" s="327" t="str">
        <f>INDEX(二三级标准!$G:$G,MATCH(服务费底表!$K568,二三级标准!B:B,0))</f>
        <v>个</v>
      </c>
      <c r="C568" s="327">
        <f>INDEX(服务费明细!$E:$E,MATCH(服务费底表!$K568,服务费明细!$B:$B,0))</f>
        <v>10</v>
      </c>
      <c r="D568" s="327" t="str">
        <f t="shared" si="503"/>
        <v>A222CPSS</v>
      </c>
      <c r="E568" s="327" t="str">
        <f t="shared" si="504"/>
        <v>T0653CPSS</v>
      </c>
      <c r="F568" s="328"/>
      <c r="G568" s="328" t="s">
        <v>684</v>
      </c>
      <c r="H568" s="326" t="str">
        <f>INDEX('Rate Card'!$B:$B,MATCH(服务费底表!$T568,'Rate Card'!$F:$F,0))</f>
        <v>临床药理</v>
      </c>
      <c r="I568" s="328" t="s">
        <v>925</v>
      </c>
      <c r="J568" s="328" t="str">
        <f>INDEX(二三级标准!$Q:$Q,MATCH(服务费底表!I568,二三级标准!$O:$O,0))</f>
        <v>临床药理</v>
      </c>
      <c r="K568" s="328" t="s">
        <v>1102</v>
      </c>
      <c r="L568" s="328" t="str">
        <f>INDEX(二三级标准!C:C,MATCH(服务费底表!K568,二三级标准!$B:$B,0))</f>
        <v>制定PK/PD TFLs模板</v>
      </c>
      <c r="M568" s="328" t="s">
        <v>1602</v>
      </c>
      <c r="N568" s="328" t="str">
        <f>INDEX(二三级标准!$M:$M,MATCH(服务费底表!$M568,二三级标准!$L:$L,0))</f>
        <v>PK/PD/ADA TFLs模板起草- Unique</v>
      </c>
      <c r="O568" s="328"/>
      <c r="P568" s="531">
        <f>IF(R568=1,INDEX(服务费明细!$E:$E,MATCH(服务费底表!$K568,服务费明细!$B:$B,0)),0)</f>
        <v>10</v>
      </c>
      <c r="Q568" s="328" t="s">
        <v>1281</v>
      </c>
      <c r="R568" s="520">
        <f>IF(AND(制定PK_PDTFLs模板=1,临床药理YN=1),1,0)</f>
        <v>1</v>
      </c>
      <c r="S568" s="328" t="str">
        <f>INDEX('Rate Card'!$D:$D,MATCH(服务费底表!$T568,'Rate Card'!F:F,0))</f>
        <v>临床药理</v>
      </c>
      <c r="T568" s="328" t="s">
        <v>654</v>
      </c>
      <c r="U568" s="522" t="str">
        <f>INDEX('Rate Card'!$E:$E,MATCH(服务费底表!$T568,'Rate Card'!$F:$F,0))</f>
        <v>临床药理高级专员</v>
      </c>
      <c r="V568" s="331">
        <f>INDEX('Rate Card'!$J:$J,MATCH($T568,'Rate Card'!$F:$F,0))</f>
        <v>700</v>
      </c>
      <c r="W568" s="523">
        <f t="shared" si="505"/>
        <v>700</v>
      </c>
      <c r="X568" s="523">
        <f t="shared" si="506"/>
        <v>0.5</v>
      </c>
      <c r="Y568" s="327" cm="1">
        <f t="array" ref="Y568">_xlfn.IFS(报价场景=服务费底表!$AJ$2,服务费底表!$AJ568,报价场景=服务费底表!$AP$2,服务费底表!$AP568,报价场景=服务费底表!$AK$2,服务费底表!$AK568,报价场景=服务费底表!$AL$2,服务费底表!$AL568,报价场景=服务费底表!$AM$2,服务费底表!$AM568,报价场景=服务费底表!$AN$2,服务费底表!$AN568,报价场景=服务费底表!$AQ$2,服务费底表!$AQ568,报价场景=服务费底表!$AO$2,服务费底表!$AO568)</f>
        <v>0.5</v>
      </c>
      <c r="Z568" s="327"/>
      <c r="AA568" s="332">
        <f t="shared" si="507"/>
        <v>0.5</v>
      </c>
      <c r="AB568" s="333">
        <f t="shared" si="508"/>
        <v>350</v>
      </c>
      <c r="AC568" s="328">
        <f t="shared" si="509"/>
        <v>5</v>
      </c>
      <c r="AD568" s="334">
        <f t="shared" si="510"/>
        <v>3500</v>
      </c>
      <c r="AE568" s="334">
        <f>$AB568*(1-INDEX(项目参数!$D$5:$D$14,MATCH(服务费底表!$S568,项目参数!$B$5:$B$14,0)))</f>
        <v>350</v>
      </c>
      <c r="AF568" s="334">
        <f>$AD568*INDEX(项目参数!$D$5:$D$14,MATCH(服务费底表!$S568,项目参数!$B$5:$B$14,0))</f>
        <v>0</v>
      </c>
      <c r="AG568" s="334">
        <f t="shared" si="511"/>
        <v>3500</v>
      </c>
      <c r="AH568" s="328"/>
      <c r="AI568" s="328" t="s">
        <v>654</v>
      </c>
      <c r="AJ568" s="537">
        <v>0.5</v>
      </c>
      <c r="AK568" s="537">
        <v>0.5</v>
      </c>
      <c r="AL568" s="537">
        <v>0.5</v>
      </c>
      <c r="AM568" s="537">
        <v>0.5</v>
      </c>
      <c r="AN568" s="537">
        <v>0.5</v>
      </c>
      <c r="AO568" s="327">
        <f t="shared" si="461"/>
        <v>0.5</v>
      </c>
      <c r="AP568" s="327">
        <v>0.5</v>
      </c>
      <c r="AQ568" s="327">
        <f t="shared" si="512"/>
        <v>0.75</v>
      </c>
      <c r="AR568" s="338"/>
      <c r="AS568" s="328">
        <f t="shared" si="513"/>
        <v>5</v>
      </c>
      <c r="AT568" s="328">
        <f t="shared" si="514"/>
        <v>5</v>
      </c>
      <c r="AU568" s="523">
        <v>0.5</v>
      </c>
      <c r="AV568" s="328"/>
      <c r="AW568" s="328"/>
      <c r="AX568" s="332">
        <v>0.5</v>
      </c>
      <c r="AY568" s="328" t="b">
        <f t="shared" si="515"/>
        <v>1</v>
      </c>
      <c r="AZ568" s="328" t="b">
        <f t="shared" si="448"/>
        <v>1</v>
      </c>
    </row>
    <row r="569" ht="27" customHeight="1" spans="1:52">
      <c r="A569" s="326" t="str">
        <f>INDEX('Rate Card'!$A:$A,MATCH(服务费底表!$T569,'Rate Card'!$F:$F,0))</f>
        <v>临床药理</v>
      </c>
      <c r="B569" s="327" t="str">
        <f>INDEX(二三级标准!$G:$G,MATCH(服务费底表!$K569,二三级标准!B:B,0))</f>
        <v>个</v>
      </c>
      <c r="C569" s="327">
        <f>INDEX(服务费明细!$E:$E,MATCH(服务费底表!$K569,服务费明细!$B:$B,0))</f>
        <v>10</v>
      </c>
      <c r="D569" s="327" t="str">
        <f t="shared" si="503"/>
        <v>A222CPS</v>
      </c>
      <c r="E569" s="327" t="str">
        <f t="shared" si="504"/>
        <v>T0654CPS</v>
      </c>
      <c r="F569" s="328"/>
      <c r="G569" s="328" t="s">
        <v>684</v>
      </c>
      <c r="H569" s="326" t="str">
        <f>INDEX('Rate Card'!$B:$B,MATCH(服务费底表!$T569,'Rate Card'!$F:$F,0))</f>
        <v>临床药理</v>
      </c>
      <c r="I569" s="328" t="s">
        <v>925</v>
      </c>
      <c r="J569" s="328" t="str">
        <f>INDEX(二三级标准!$Q:$Q,MATCH(服务费底表!I569,二三级标准!$O:$O,0))</f>
        <v>临床药理</v>
      </c>
      <c r="K569" s="328" t="s">
        <v>1102</v>
      </c>
      <c r="L569" s="328" t="str">
        <f>INDEX(二三级标准!C:C,MATCH(服务费底表!K569,二三级标准!$B:$B,0))</f>
        <v>制定PK/PD TFLs模板</v>
      </c>
      <c r="M569" s="328" t="s">
        <v>1603</v>
      </c>
      <c r="N569" s="328" t="str">
        <f>INDEX(二三级标准!$M:$M,MATCH(服务费底表!$M569,二三级标准!$L:$L,0))</f>
        <v>PKTFLs模板审核- Unique</v>
      </c>
      <c r="O569" s="328"/>
      <c r="P569" s="531">
        <f>IF(R569=1,INDEX(服务费明细!$E:$E,MATCH(服务费底表!$K569,服务费明细!$B:$B,0)),0)</f>
        <v>10</v>
      </c>
      <c r="Q569" s="328" t="s">
        <v>1281</v>
      </c>
      <c r="R569" s="520">
        <f>IF(AND(制定PK_PDTFLs模板=1,临床药理YN=1),1,0)</f>
        <v>1</v>
      </c>
      <c r="S569" s="328" t="str">
        <f>INDEX('Rate Card'!$D:$D,MATCH(服务费底表!$T569,'Rate Card'!F:F,0))</f>
        <v>临床药理</v>
      </c>
      <c r="T569" s="328" t="s">
        <v>652</v>
      </c>
      <c r="U569" s="522" t="str">
        <f>INDEX('Rate Card'!$E:$E,MATCH(服务费底表!$T569,'Rate Card'!$F:$F,0))</f>
        <v>临床药理专员</v>
      </c>
      <c r="V569" s="331">
        <f>INDEX('Rate Card'!$J:$J,MATCH($T569,'Rate Card'!$F:$F,0))</f>
        <v>580</v>
      </c>
      <c r="W569" s="523">
        <f t="shared" si="505"/>
        <v>580</v>
      </c>
      <c r="X569" s="523">
        <f t="shared" si="506"/>
        <v>0.15</v>
      </c>
      <c r="Y569" s="327" cm="1">
        <f t="array" ref="Y569">_xlfn.IFS(报价场景=服务费底表!$AJ$2,服务费底表!$AJ569,报价场景=服务费底表!$AP$2,服务费底表!$AP569,报价场景=服务费底表!$AK$2,服务费底表!$AK569,报价场景=服务费底表!$AL$2,服务费底表!$AL569,报价场景=服务费底表!$AM$2,服务费底表!$AM569,报价场景=服务费底表!$AN$2,服务费底表!$AN569,报价场景=服务费底表!$AQ$2,服务费底表!$AQ569,报价场景=服务费底表!$AO$2,服务费底表!$AO569)</f>
        <v>0.15</v>
      </c>
      <c r="Z569" s="327"/>
      <c r="AA569" s="332">
        <f t="shared" si="507"/>
        <v>0.15</v>
      </c>
      <c r="AB569" s="333">
        <f t="shared" si="508"/>
        <v>87</v>
      </c>
      <c r="AC569" s="328">
        <f t="shared" si="509"/>
        <v>1.5</v>
      </c>
      <c r="AD569" s="334">
        <f t="shared" si="510"/>
        <v>870</v>
      </c>
      <c r="AE569" s="334">
        <f>$AB569*(1-INDEX(项目参数!$D$5:$D$14,MATCH(服务费底表!$S569,项目参数!$B$5:$B$14,0)))</f>
        <v>87</v>
      </c>
      <c r="AF569" s="334">
        <f>$AD569*INDEX(项目参数!$D$5:$D$14,MATCH(服务费底表!$S569,项目参数!$B$5:$B$14,0))</f>
        <v>0</v>
      </c>
      <c r="AG569" s="334">
        <f t="shared" si="511"/>
        <v>870</v>
      </c>
      <c r="AH569" s="328"/>
      <c r="AI569" s="328" t="s">
        <v>652</v>
      </c>
      <c r="AJ569" s="537">
        <v>0.15</v>
      </c>
      <c r="AK569" s="537">
        <v>0.15</v>
      </c>
      <c r="AL569" s="537">
        <v>0.15</v>
      </c>
      <c r="AM569" s="537">
        <v>0.15</v>
      </c>
      <c r="AN569" s="537">
        <v>0.15</v>
      </c>
      <c r="AO569" s="327">
        <f t="shared" si="461"/>
        <v>0.15</v>
      </c>
      <c r="AP569" s="327">
        <v>0.15</v>
      </c>
      <c r="AQ569" s="327">
        <f t="shared" si="512"/>
        <v>0.225</v>
      </c>
      <c r="AR569" s="338"/>
      <c r="AS569" s="328">
        <f t="shared" si="513"/>
        <v>1.5</v>
      </c>
      <c r="AT569" s="328">
        <f t="shared" si="514"/>
        <v>1.5</v>
      </c>
      <c r="AU569" s="523">
        <v>0.15</v>
      </c>
      <c r="AV569" s="328"/>
      <c r="AW569" s="328"/>
      <c r="AX569" s="332">
        <v>0.15</v>
      </c>
      <c r="AY569" s="328" t="b">
        <f t="shared" si="515"/>
        <v>1</v>
      </c>
      <c r="AZ569" s="328" t="b">
        <f t="shared" si="448"/>
        <v>1</v>
      </c>
    </row>
    <row r="570" ht="27" customHeight="1" spans="1:52">
      <c r="A570" s="326" t="str">
        <f>INDEX('Rate Card'!$A:$A,MATCH(服务费底表!$T570,'Rate Card'!$F:$F,0))</f>
        <v>临床药理</v>
      </c>
      <c r="B570" s="327" t="str">
        <f>INDEX(二三级标准!$G:$G,MATCH(服务费底表!$K570,二三级标准!B:B,0))</f>
        <v>个</v>
      </c>
      <c r="C570" s="327">
        <f>INDEX(服务费明细!$E:$E,MATCH(服务费底表!$K570,服务费明细!$B:$B,0))</f>
        <v>10</v>
      </c>
      <c r="D570" s="327" t="str">
        <f t="shared" si="503"/>
        <v>A222CPS</v>
      </c>
      <c r="E570" s="327" t="str">
        <f t="shared" si="504"/>
        <v>T0655CPS</v>
      </c>
      <c r="F570" s="328"/>
      <c r="G570" s="328" t="s">
        <v>684</v>
      </c>
      <c r="H570" s="326" t="str">
        <f>INDEX('Rate Card'!$B:$B,MATCH(服务费底表!$T570,'Rate Card'!$F:$F,0))</f>
        <v>临床药理</v>
      </c>
      <c r="I570" s="328" t="s">
        <v>925</v>
      </c>
      <c r="J570" s="328" t="str">
        <f>INDEX(二三级标准!$Q:$Q,MATCH(服务费底表!I570,二三级标准!$O:$O,0))</f>
        <v>临床药理</v>
      </c>
      <c r="K570" s="328" t="s">
        <v>1102</v>
      </c>
      <c r="L570" s="328" t="str">
        <f>INDEX(二三级标准!C:C,MATCH(服务费底表!K570,二三级标准!$B:$B,0))</f>
        <v>制定PK/PD TFLs模板</v>
      </c>
      <c r="M570" s="328" t="s">
        <v>1604</v>
      </c>
      <c r="N570" s="328" t="str">
        <f>INDEX(二三级标准!$M:$M,MATCH(服务费底表!$M570,二三级标准!$L:$L,0))</f>
        <v>PKTFLs模板的修改和定稿- Unique</v>
      </c>
      <c r="O570" s="328"/>
      <c r="P570" s="531">
        <f>IF(R570=1,INDEX(服务费明细!$E:$E,MATCH(服务费底表!$K570,服务费明细!$B:$B,0)),0)</f>
        <v>10</v>
      </c>
      <c r="Q570" s="328" t="s">
        <v>1281</v>
      </c>
      <c r="R570" s="520">
        <f>IF(AND(制定PK_PDTFLs模板=1,临床药理YN=1),1,0)</f>
        <v>1</v>
      </c>
      <c r="S570" s="328" t="str">
        <f>INDEX('Rate Card'!$D:$D,MATCH(服务费底表!$T570,'Rate Card'!F:F,0))</f>
        <v>临床药理</v>
      </c>
      <c r="T570" s="328" t="s">
        <v>652</v>
      </c>
      <c r="U570" s="522" t="str">
        <f>INDEX('Rate Card'!$E:$E,MATCH(服务费底表!$T570,'Rate Card'!$F:$F,0))</f>
        <v>临床药理专员</v>
      </c>
      <c r="V570" s="331">
        <f>INDEX('Rate Card'!$J:$J,MATCH($T570,'Rate Card'!$F:$F,0))</f>
        <v>580</v>
      </c>
      <c r="W570" s="523">
        <f t="shared" si="505"/>
        <v>580</v>
      </c>
      <c r="X570" s="523">
        <f t="shared" si="506"/>
        <v>0.3</v>
      </c>
      <c r="Y570" s="327" cm="1">
        <f t="array" ref="Y570">_xlfn.IFS(报价场景=服务费底表!$AJ$2,服务费底表!$AJ570,报价场景=服务费底表!$AP$2,服务费底表!$AP570,报价场景=服务费底表!$AK$2,服务费底表!$AK570,报价场景=服务费底表!$AL$2,服务费底表!$AL570,报价场景=服务费底表!$AM$2,服务费底表!$AM570,报价场景=服务费底表!$AN$2,服务费底表!$AN570,报价场景=服务费底表!$AQ$2,服务费底表!$AQ570,报价场景=服务费底表!$AO$2,服务费底表!$AO570)</f>
        <v>0.3</v>
      </c>
      <c r="Z570" s="327"/>
      <c r="AA570" s="332">
        <f t="shared" si="507"/>
        <v>0.3</v>
      </c>
      <c r="AB570" s="333">
        <f t="shared" si="508"/>
        <v>174</v>
      </c>
      <c r="AC570" s="328">
        <f t="shared" si="509"/>
        <v>3</v>
      </c>
      <c r="AD570" s="334">
        <f t="shared" ref="AD570:AD580" si="516">AC570*V570</f>
        <v>1740</v>
      </c>
      <c r="AE570" s="334">
        <f>$AB570*(1-INDEX(项目参数!$D$5:$D$14,MATCH(服务费底表!$S570,项目参数!$B$5:$B$14,0)))</f>
        <v>174</v>
      </c>
      <c r="AF570" s="334">
        <f>$AD570*INDEX(项目参数!$D$5:$D$14,MATCH(服务费底表!$S570,项目参数!$B$5:$B$14,0))</f>
        <v>0</v>
      </c>
      <c r="AG570" s="334">
        <f t="shared" si="511"/>
        <v>1740</v>
      </c>
      <c r="AH570" s="328"/>
      <c r="AI570" s="328" t="s">
        <v>652</v>
      </c>
      <c r="AJ570" s="537">
        <v>0.3</v>
      </c>
      <c r="AK570" s="537">
        <v>0.3</v>
      </c>
      <c r="AL570" s="537">
        <v>0.3</v>
      </c>
      <c r="AM570" s="537">
        <v>0.3</v>
      </c>
      <c r="AN570" s="537">
        <v>0.3</v>
      </c>
      <c r="AO570" s="327">
        <f t="shared" si="461"/>
        <v>0.3</v>
      </c>
      <c r="AP570" s="327">
        <v>0.3</v>
      </c>
      <c r="AQ570" s="327">
        <f t="shared" si="512"/>
        <v>0.45</v>
      </c>
      <c r="AR570" s="338"/>
      <c r="AS570" s="328">
        <f t="shared" si="513"/>
        <v>3</v>
      </c>
      <c r="AT570" s="328">
        <f t="shared" si="514"/>
        <v>3</v>
      </c>
      <c r="AU570" s="523">
        <v>0.3</v>
      </c>
      <c r="AV570" s="328"/>
      <c r="AW570" s="328"/>
      <c r="AX570" s="332">
        <v>0.3</v>
      </c>
      <c r="AY570" s="328" t="b">
        <f t="shared" si="515"/>
        <v>1</v>
      </c>
      <c r="AZ570" s="328" t="b">
        <f t="shared" si="448"/>
        <v>1</v>
      </c>
    </row>
    <row r="571" ht="27" customHeight="1" spans="1:52">
      <c r="A571" s="326" t="str">
        <f>INDEX('Rate Card'!$A:$A,MATCH(服务费底表!$T571,'Rate Card'!$F:$F,0))</f>
        <v>临床药理</v>
      </c>
      <c r="B571" s="327" t="str">
        <f>INDEX(二三级标准!$G:$G,MATCH(服务费底表!$K571,二三级标准!B:B,0))</f>
        <v>次</v>
      </c>
      <c r="C571" s="327">
        <f>INDEX(服务费明细!$E:$E,MATCH(服务费底表!$K571,服务费明细!$B:$B,0))</f>
        <v>6</v>
      </c>
      <c r="D571" s="327" t="str">
        <f t="shared" ref="D571:D580" si="517">K571&amp;T571</f>
        <v>A124CPS</v>
      </c>
      <c r="E571" s="327" t="str">
        <f t="shared" ref="E571:E580" si="518">M571&amp;T571</f>
        <v>T0444CPS</v>
      </c>
      <c r="F571" s="328"/>
      <c r="G571" s="328" t="s">
        <v>684</v>
      </c>
      <c r="H571" s="326" t="str">
        <f>INDEX('Rate Card'!$B:$B,MATCH(服务费底表!$T571,'Rate Card'!$F:$F,0))</f>
        <v>临床药理</v>
      </c>
      <c r="I571" s="328" t="s">
        <v>925</v>
      </c>
      <c r="J571" s="328" t="str">
        <f>INDEX(二三级标准!$Q:$Q,MATCH(服务费底表!I571,二三级标准!$O:$O,0))</f>
        <v>临床药理</v>
      </c>
      <c r="K571" s="328" t="s">
        <v>353</v>
      </c>
      <c r="L571" s="328" t="str">
        <f>INDEX(二三级标准!C:C,MATCH(服务费底表!K571,二三级标准!$B:$B,0))</f>
        <v>PK分析</v>
      </c>
      <c r="M571" s="328" t="s">
        <v>1605</v>
      </c>
      <c r="N571" s="328" t="str">
        <f>INDEX(二三级标准!$M:$M,MATCH(服务费底表!$M571,二三级标准!$L:$L,0))</f>
        <v>PK参数计算及图表绘制</v>
      </c>
      <c r="O571" s="328"/>
      <c r="P571" s="531">
        <f>IF(R571=1,INDEX(服务费明细!$E:$E,MATCH(服务费底表!$K571,服务费明细!$B:$B,0)),0)</f>
        <v>6</v>
      </c>
      <c r="Q571" s="328" t="s">
        <v>1178</v>
      </c>
      <c r="R571" s="520" cm="1">
        <f t="array" ref="R571">IF(AND(PK分析=1,临床药理YN=1),1,0)</f>
        <v>1</v>
      </c>
      <c r="S571" s="328" t="str">
        <f>INDEX('Rate Card'!$D:$D,MATCH(服务费底表!$T571,'Rate Card'!F:F,0))</f>
        <v>临床药理</v>
      </c>
      <c r="T571" s="328" t="s">
        <v>652</v>
      </c>
      <c r="U571" s="522" t="str">
        <f>INDEX('Rate Card'!$E:$E,MATCH(服务费底表!$T571,'Rate Card'!$F:$F,0))</f>
        <v>临床药理专员</v>
      </c>
      <c r="V571" s="331">
        <f>INDEX('Rate Card'!$J:$J,MATCH($T571,'Rate Card'!$F:$F,0))</f>
        <v>580</v>
      </c>
      <c r="W571" s="523">
        <f t="shared" si="505"/>
        <v>580</v>
      </c>
      <c r="X571" s="523">
        <f t="shared" si="506"/>
        <v>7</v>
      </c>
      <c r="Y571" s="327" cm="1">
        <f t="array" ref="Y571">_xlfn.IFS(报价场景=服务费底表!$AJ$2,服务费底表!$AJ571,报价场景=服务费底表!$AP$2,服务费底表!$AP571,报价场景=服务费底表!$AK$2,服务费底表!$AK571,报价场景=服务费底表!$AL$2,服务费底表!$AL571,报价场景=服务费底表!$AM$2,服务费底表!$AM571,报价场景=服务费底表!$AN$2,服务费底表!$AN571,报价场景=服务费底表!$AQ$2,服务费底表!$AQ571,报价场景=服务费底表!$AO$2,服务费底表!$AO571)</f>
        <v>7</v>
      </c>
      <c r="Z571" s="327"/>
      <c r="AA571" s="332">
        <f t="shared" si="507"/>
        <v>7</v>
      </c>
      <c r="AB571" s="333">
        <f t="shared" ref="AB571:AB580" si="519">IFERROR(AD571/P571,0)</f>
        <v>4060</v>
      </c>
      <c r="AC571" s="328">
        <f t="shared" ref="AC571:AC580" si="520">AA571*P571*R571</f>
        <v>42</v>
      </c>
      <c r="AD571" s="334">
        <f t="shared" si="516"/>
        <v>24360</v>
      </c>
      <c r="AE571" s="334">
        <f>$AB571*(1-INDEX(项目参数!$D$5:$D$14,MATCH(服务费底表!$S571,项目参数!$B$5:$B$14,0)))</f>
        <v>4060</v>
      </c>
      <c r="AF571" s="334">
        <f>$AD571*INDEX(项目参数!$D$5:$D$14,MATCH(服务费底表!$S571,项目参数!$B$5:$B$14,0))</f>
        <v>0</v>
      </c>
      <c r="AG571" s="334">
        <f t="shared" ref="AG571:AG580" si="521">AD571-AF571</f>
        <v>24360</v>
      </c>
      <c r="AH571" s="328"/>
      <c r="AI571" s="328" t="s">
        <v>652</v>
      </c>
      <c r="AJ571" s="327">
        <v>7</v>
      </c>
      <c r="AK571" s="327">
        <v>7</v>
      </c>
      <c r="AL571" s="327">
        <v>7</v>
      </c>
      <c r="AM571" s="327">
        <v>7</v>
      </c>
      <c r="AN571" s="327">
        <v>7</v>
      </c>
      <c r="AO571" s="327">
        <f t="shared" si="461"/>
        <v>7</v>
      </c>
      <c r="AP571" s="327">
        <v>7</v>
      </c>
      <c r="AQ571" s="327">
        <f t="shared" si="512"/>
        <v>10.5</v>
      </c>
      <c r="AR571" s="338"/>
      <c r="AS571" s="328">
        <f t="shared" si="513"/>
        <v>42</v>
      </c>
      <c r="AT571" s="328">
        <f t="shared" si="514"/>
        <v>42</v>
      </c>
      <c r="AU571" s="523">
        <v>7</v>
      </c>
      <c r="AV571" s="328"/>
      <c r="AW571" s="328"/>
      <c r="AX571" s="332">
        <v>7</v>
      </c>
      <c r="AY571" s="328" t="b">
        <f t="shared" si="515"/>
        <v>1</v>
      </c>
      <c r="AZ571" s="328" t="b">
        <f t="shared" si="448"/>
        <v>0</v>
      </c>
    </row>
    <row r="572" ht="27" customHeight="1" spans="1:52">
      <c r="A572" s="326" t="str">
        <f>INDEX('Rate Card'!$A:$A,MATCH(服务费底表!$T572,'Rate Card'!$F:$F,0))</f>
        <v>临床药理</v>
      </c>
      <c r="B572" s="327" t="str">
        <f>INDEX(二三级标准!$G:$G,MATCH(服务费底表!$K572,二三级标准!B:B,0))</f>
        <v>次</v>
      </c>
      <c r="C572" s="327">
        <f>INDEX(服务费明细!$E:$E,MATCH(服务费底表!$K572,服务费明细!$B:$B,0))</f>
        <v>6</v>
      </c>
      <c r="D572" s="327" t="str">
        <f t="shared" si="517"/>
        <v>A124CPSS</v>
      </c>
      <c r="E572" s="327" t="str">
        <f t="shared" si="518"/>
        <v>T0444CPSS</v>
      </c>
      <c r="F572" s="328"/>
      <c r="G572" s="328" t="s">
        <v>684</v>
      </c>
      <c r="H572" s="326" t="str">
        <f>INDEX('Rate Card'!$B:$B,MATCH(服务费底表!$T572,'Rate Card'!$F:$F,0))</f>
        <v>临床药理</v>
      </c>
      <c r="I572" s="328" t="s">
        <v>925</v>
      </c>
      <c r="J572" s="328" t="str">
        <f>INDEX(二三级标准!$Q:$Q,MATCH(服务费底表!I572,二三级标准!$O:$O,0))</f>
        <v>临床药理</v>
      </c>
      <c r="K572" s="328" t="s">
        <v>353</v>
      </c>
      <c r="L572" s="328" t="str">
        <f>INDEX(二三级标准!C:C,MATCH(服务费底表!K572,二三级标准!$B:$B,0))</f>
        <v>PK分析</v>
      </c>
      <c r="M572" s="328" t="s">
        <v>1605</v>
      </c>
      <c r="N572" s="328" t="str">
        <f>INDEX(二三级标准!$M:$M,MATCH(服务费底表!$M572,二三级标准!$L:$L,0))</f>
        <v>PK参数计算及图表绘制</v>
      </c>
      <c r="O572" s="328"/>
      <c r="P572" s="531">
        <f>IF(R572=1,INDEX(服务费明细!$E:$E,MATCH(服务费底表!$K572,服务费明细!$B:$B,0)),0)</f>
        <v>6</v>
      </c>
      <c r="Q572" s="328" t="s">
        <v>1178</v>
      </c>
      <c r="R572" s="520" cm="1">
        <f t="array" ref="R572">IF(AND(PK分析=1,临床药理YN=1),1,0)</f>
        <v>1</v>
      </c>
      <c r="S572" s="328" t="str">
        <f>INDEX('Rate Card'!$D:$D,MATCH(服务费底表!$T572,'Rate Card'!F:F,0))</f>
        <v>临床药理</v>
      </c>
      <c r="T572" s="328" t="s">
        <v>654</v>
      </c>
      <c r="U572" s="522" t="str">
        <f>INDEX('Rate Card'!$E:$E,MATCH(服务费底表!$T572,'Rate Card'!$F:$F,0))</f>
        <v>临床药理高级专员</v>
      </c>
      <c r="V572" s="331">
        <f>INDEX('Rate Card'!$J:$J,MATCH($T572,'Rate Card'!$F:$F,0))</f>
        <v>700</v>
      </c>
      <c r="W572" s="523">
        <f t="shared" si="505"/>
        <v>700</v>
      </c>
      <c r="X572" s="523">
        <f t="shared" si="506"/>
        <v>1</v>
      </c>
      <c r="Y572" s="327" cm="1">
        <f t="array" ref="Y572">_xlfn.IFS(报价场景=服务费底表!$AJ$2,服务费底表!$AJ572,报价场景=服务费底表!$AP$2,服务费底表!$AP572,报价场景=服务费底表!$AK$2,服务费底表!$AK572,报价场景=服务费底表!$AL$2,服务费底表!$AL572,报价场景=服务费底表!$AM$2,服务费底表!$AM572,报价场景=服务费底表!$AN$2,服务费底表!$AN572,报价场景=服务费底表!$AQ$2,服务费底表!$AQ572,报价场景=服务费底表!$AO$2,服务费底表!$AO572)</f>
        <v>1</v>
      </c>
      <c r="Z572" s="327"/>
      <c r="AA572" s="332">
        <f t="shared" si="507"/>
        <v>1</v>
      </c>
      <c r="AB572" s="333">
        <f t="shared" si="519"/>
        <v>700</v>
      </c>
      <c r="AC572" s="328">
        <f t="shared" si="520"/>
        <v>6</v>
      </c>
      <c r="AD572" s="334">
        <f t="shared" si="516"/>
        <v>4200</v>
      </c>
      <c r="AE572" s="334">
        <f>$AB572*(1-INDEX(项目参数!$D$5:$D$14,MATCH(服务费底表!$S572,项目参数!$B$5:$B$14,0)))</f>
        <v>700</v>
      </c>
      <c r="AF572" s="334">
        <f>$AD572*INDEX(项目参数!$D$5:$D$14,MATCH(服务费底表!$S572,项目参数!$B$5:$B$14,0))</f>
        <v>0</v>
      </c>
      <c r="AG572" s="334">
        <f t="shared" si="521"/>
        <v>4200</v>
      </c>
      <c r="AH572" s="328"/>
      <c r="AI572" s="328" t="s">
        <v>654</v>
      </c>
      <c r="AJ572" s="327">
        <v>1</v>
      </c>
      <c r="AK572" s="327">
        <v>1</v>
      </c>
      <c r="AL572" s="327">
        <v>1</v>
      </c>
      <c r="AM572" s="327">
        <v>1</v>
      </c>
      <c r="AN572" s="327">
        <v>1</v>
      </c>
      <c r="AO572" s="327">
        <f t="shared" si="461"/>
        <v>1</v>
      </c>
      <c r="AP572" s="327">
        <v>1</v>
      </c>
      <c r="AQ572" s="327">
        <f t="shared" si="512"/>
        <v>1.5</v>
      </c>
      <c r="AR572" s="338"/>
      <c r="AS572" s="328">
        <f t="shared" si="513"/>
        <v>6</v>
      </c>
      <c r="AT572" s="328">
        <f t="shared" si="514"/>
        <v>6</v>
      </c>
      <c r="AU572" s="523">
        <v>1</v>
      </c>
      <c r="AV572" s="328"/>
      <c r="AW572" s="328"/>
      <c r="AX572" s="332">
        <v>1</v>
      </c>
      <c r="AY572" s="328" t="b">
        <f t="shared" si="515"/>
        <v>1</v>
      </c>
      <c r="AZ572" s="328" t="b">
        <f t="shared" si="448"/>
        <v>0</v>
      </c>
    </row>
    <row r="573" ht="27" customHeight="1" spans="1:52">
      <c r="A573" s="326" t="str">
        <f>INDEX('Rate Card'!$A:$A,MATCH(服务费底表!$T573,'Rate Card'!$F:$F,0))</f>
        <v>临床药理</v>
      </c>
      <c r="B573" s="327" t="str">
        <f>INDEX(二三级标准!$G:$G,MATCH(服务费底表!$K573,二三级标准!B:B,0))</f>
        <v>次</v>
      </c>
      <c r="C573" s="327">
        <f>INDEX(服务费明细!$E:$E,MATCH(服务费底表!$K573,服务费明细!$B:$B,0))</f>
        <v>6</v>
      </c>
      <c r="D573" s="327" t="str">
        <f t="shared" si="517"/>
        <v>A124CPS</v>
      </c>
      <c r="E573" s="327" t="str">
        <f t="shared" si="518"/>
        <v>T0445CPS</v>
      </c>
      <c r="F573" s="328"/>
      <c r="G573" s="328" t="s">
        <v>684</v>
      </c>
      <c r="H573" s="326" t="str">
        <f>INDEX('Rate Card'!$B:$B,MATCH(服务费底表!$T573,'Rate Card'!$F:$F,0))</f>
        <v>临床药理</v>
      </c>
      <c r="I573" s="328" t="s">
        <v>925</v>
      </c>
      <c r="J573" s="328" t="str">
        <f>INDEX(二三级标准!$Q:$Q,MATCH(服务费底表!I573,二三级标准!$O:$O,0))</f>
        <v>临床药理</v>
      </c>
      <c r="K573" s="328" t="s">
        <v>353</v>
      </c>
      <c r="L573" s="328" t="str">
        <f>INDEX(二三级标准!C:C,MATCH(服务费底表!K573,二三级标准!$B:$B,0))</f>
        <v>PK分析</v>
      </c>
      <c r="M573" s="328" t="s">
        <v>1606</v>
      </c>
      <c r="N573" s="328" t="str">
        <f>INDEX(二三级标准!$M:$M,MATCH(服务费底表!$M573,二三级标准!$L:$L,0))</f>
        <v>PK结果汇总及解读(PPT)</v>
      </c>
      <c r="O573" s="328"/>
      <c r="P573" s="531">
        <f>IF(R573=1,INDEX(服务费明细!$E:$E,MATCH(服务费底表!$K573,服务费明细!$B:$B,0)),0)</f>
        <v>6</v>
      </c>
      <c r="Q573" s="328" t="s">
        <v>1178</v>
      </c>
      <c r="R573" s="520" cm="1">
        <f t="array" ref="R573">IF(AND(PK分析=1,临床药理YN=1),1,0)</f>
        <v>1</v>
      </c>
      <c r="S573" s="328" t="str">
        <f>INDEX('Rate Card'!$D:$D,MATCH(服务费底表!$T573,'Rate Card'!F:F,0))</f>
        <v>临床药理</v>
      </c>
      <c r="T573" s="328" t="s">
        <v>652</v>
      </c>
      <c r="U573" s="522" t="str">
        <f>INDEX('Rate Card'!$E:$E,MATCH(服务费底表!$T573,'Rate Card'!$F:$F,0))</f>
        <v>临床药理专员</v>
      </c>
      <c r="V573" s="331">
        <f>INDEX('Rate Card'!$J:$J,MATCH($T573,'Rate Card'!$F:$F,0))</f>
        <v>580</v>
      </c>
      <c r="W573" s="523">
        <f t="shared" si="505"/>
        <v>580</v>
      </c>
      <c r="X573" s="523">
        <f t="shared" si="506"/>
        <v>6</v>
      </c>
      <c r="Y573" s="327" cm="1">
        <f t="array" ref="Y573">_xlfn.IFS(报价场景=服务费底表!$AJ$2,服务费底表!$AJ573,报价场景=服务费底表!$AP$2,服务费底表!$AP573,报价场景=服务费底表!$AK$2,服务费底表!$AK573,报价场景=服务费底表!$AL$2,服务费底表!$AL573,报价场景=服务费底表!$AM$2,服务费底表!$AM573,报价场景=服务费底表!$AN$2,服务费底表!$AN573,报价场景=服务费底表!$AQ$2,服务费底表!$AQ573,报价场景=服务费底表!$AO$2,服务费底表!$AO573)</f>
        <v>6</v>
      </c>
      <c r="Z573" s="327"/>
      <c r="AA573" s="332">
        <f t="shared" si="507"/>
        <v>6</v>
      </c>
      <c r="AB573" s="333">
        <f t="shared" si="519"/>
        <v>3480</v>
      </c>
      <c r="AC573" s="328">
        <f t="shared" si="520"/>
        <v>36</v>
      </c>
      <c r="AD573" s="334">
        <f t="shared" si="516"/>
        <v>20880</v>
      </c>
      <c r="AE573" s="334">
        <f>$AB573*(1-INDEX(项目参数!$D$5:$D$14,MATCH(服务费底表!$S573,项目参数!$B$5:$B$14,0)))</f>
        <v>3480</v>
      </c>
      <c r="AF573" s="334">
        <f>$AD573*INDEX(项目参数!$D$5:$D$14,MATCH(服务费底表!$S573,项目参数!$B$5:$B$14,0))</f>
        <v>0</v>
      </c>
      <c r="AG573" s="334">
        <f t="shared" si="521"/>
        <v>20880</v>
      </c>
      <c r="AH573" s="328"/>
      <c r="AI573" s="328" t="s">
        <v>652</v>
      </c>
      <c r="AJ573" s="327">
        <v>6</v>
      </c>
      <c r="AK573" s="327">
        <v>6</v>
      </c>
      <c r="AL573" s="327">
        <v>6</v>
      </c>
      <c r="AM573" s="327">
        <v>6</v>
      </c>
      <c r="AN573" s="327">
        <v>6</v>
      </c>
      <c r="AO573" s="327">
        <f t="shared" si="461"/>
        <v>6</v>
      </c>
      <c r="AP573" s="327">
        <v>6</v>
      </c>
      <c r="AQ573" s="327">
        <f t="shared" si="512"/>
        <v>9</v>
      </c>
      <c r="AR573" s="338"/>
      <c r="AS573" s="328">
        <f t="shared" si="513"/>
        <v>36</v>
      </c>
      <c r="AT573" s="328">
        <f t="shared" si="514"/>
        <v>36</v>
      </c>
      <c r="AU573" s="523">
        <v>6</v>
      </c>
      <c r="AV573" s="328"/>
      <c r="AW573" s="328"/>
      <c r="AX573" s="332">
        <v>6</v>
      </c>
      <c r="AY573" s="328" t="b">
        <f t="shared" si="515"/>
        <v>1</v>
      </c>
      <c r="AZ573" s="328" t="b">
        <f t="shared" si="448"/>
        <v>0</v>
      </c>
    </row>
    <row r="574" ht="27" customHeight="1" spans="1:52">
      <c r="A574" s="326" t="str">
        <f>INDEX('Rate Card'!$A:$A,MATCH(服务费底表!$T574,'Rate Card'!$F:$F,0))</f>
        <v>临床药理</v>
      </c>
      <c r="B574" s="327" t="str">
        <f>INDEX(二三级标准!$G:$G,MATCH(服务费底表!$K574,二三级标准!B:B,0))</f>
        <v>次</v>
      </c>
      <c r="C574" s="327">
        <f>INDEX(服务费明细!$E:$E,MATCH(服务费底表!$K574,服务费明细!$B:$B,0))</f>
        <v>6</v>
      </c>
      <c r="D574" s="327" t="str">
        <f t="shared" si="517"/>
        <v>A124CPSS</v>
      </c>
      <c r="E574" s="327" t="str">
        <f t="shared" si="518"/>
        <v>T0445CPSS</v>
      </c>
      <c r="F574" s="328"/>
      <c r="G574" s="328" t="s">
        <v>684</v>
      </c>
      <c r="H574" s="326" t="str">
        <f>INDEX('Rate Card'!$B:$B,MATCH(服务费底表!$T574,'Rate Card'!$F:$F,0))</f>
        <v>临床药理</v>
      </c>
      <c r="I574" s="328" t="s">
        <v>925</v>
      </c>
      <c r="J574" s="328" t="str">
        <f>INDEX(二三级标准!$Q:$Q,MATCH(服务费底表!I574,二三级标准!$O:$O,0))</f>
        <v>临床药理</v>
      </c>
      <c r="K574" s="328" t="s">
        <v>353</v>
      </c>
      <c r="L574" s="328" t="str">
        <f>INDEX(二三级标准!C:C,MATCH(服务费底表!K574,二三级标准!$B:$B,0))</f>
        <v>PK分析</v>
      </c>
      <c r="M574" s="328" t="s">
        <v>1606</v>
      </c>
      <c r="N574" s="328" t="str">
        <f>INDEX(二三级标准!$M:$M,MATCH(服务费底表!$M574,二三级标准!$L:$L,0))</f>
        <v>PK结果汇总及解读(PPT)</v>
      </c>
      <c r="O574" s="328"/>
      <c r="P574" s="531">
        <f>IF(R574=1,INDEX(服务费明细!$E:$E,MATCH(服务费底表!$K574,服务费明细!$B:$B,0)),0)</f>
        <v>6</v>
      </c>
      <c r="Q574" s="328" t="s">
        <v>1178</v>
      </c>
      <c r="R574" s="520" cm="1">
        <f t="array" ref="R574">IF(AND(PK分析=1,临床药理YN=1),1,0)</f>
        <v>1</v>
      </c>
      <c r="S574" s="328" t="str">
        <f>INDEX('Rate Card'!$D:$D,MATCH(服务费底表!$T574,'Rate Card'!F:F,0))</f>
        <v>临床药理</v>
      </c>
      <c r="T574" s="328" t="s">
        <v>654</v>
      </c>
      <c r="U574" s="522" t="str">
        <f>INDEX('Rate Card'!$E:$E,MATCH(服务费底表!$T574,'Rate Card'!$F:$F,0))</f>
        <v>临床药理高级专员</v>
      </c>
      <c r="V574" s="331">
        <f>INDEX('Rate Card'!$J:$J,MATCH($T574,'Rate Card'!$F:$F,0))</f>
        <v>700</v>
      </c>
      <c r="W574" s="523">
        <f t="shared" si="505"/>
        <v>700</v>
      </c>
      <c r="X574" s="523">
        <f t="shared" si="506"/>
        <v>2</v>
      </c>
      <c r="Y574" s="327" cm="1">
        <f t="array" ref="Y574">_xlfn.IFS(报价场景=服务费底表!$AJ$2,服务费底表!$AJ574,报价场景=服务费底表!$AP$2,服务费底表!$AP574,报价场景=服务费底表!$AK$2,服务费底表!$AK574,报价场景=服务费底表!$AL$2,服务费底表!$AL574,报价场景=服务费底表!$AM$2,服务费底表!$AM574,报价场景=服务费底表!$AN$2,服务费底表!$AN574,报价场景=服务费底表!$AQ$2,服务费底表!$AQ574,报价场景=服务费底表!$AO$2,服务费底表!$AO574)</f>
        <v>2</v>
      </c>
      <c r="Z574" s="327"/>
      <c r="AA574" s="332">
        <f t="shared" ref="AA574:AA580" si="522">IF(ISBLANK($Z574),$Y574,$Z574)</f>
        <v>2</v>
      </c>
      <c r="AB574" s="333">
        <f t="shared" si="519"/>
        <v>1400</v>
      </c>
      <c r="AC574" s="328">
        <f t="shared" si="520"/>
        <v>12</v>
      </c>
      <c r="AD574" s="334">
        <f t="shared" si="516"/>
        <v>8400</v>
      </c>
      <c r="AE574" s="334">
        <f>$AB574*(1-INDEX(项目参数!$D$5:$D$14,MATCH(服务费底表!$S574,项目参数!$B$5:$B$14,0)))</f>
        <v>1400</v>
      </c>
      <c r="AF574" s="334">
        <f>$AD574*INDEX(项目参数!$D$5:$D$14,MATCH(服务费底表!$S574,项目参数!$B$5:$B$14,0))</f>
        <v>0</v>
      </c>
      <c r="AG574" s="334">
        <f t="shared" si="521"/>
        <v>8400</v>
      </c>
      <c r="AH574" s="328"/>
      <c r="AI574" s="328" t="s">
        <v>654</v>
      </c>
      <c r="AJ574" s="327">
        <v>2</v>
      </c>
      <c r="AK574" s="327">
        <v>2</v>
      </c>
      <c r="AL574" s="327">
        <v>2</v>
      </c>
      <c r="AM574" s="327">
        <v>2</v>
      </c>
      <c r="AN574" s="327">
        <v>2</v>
      </c>
      <c r="AO574" s="327">
        <f t="shared" si="461"/>
        <v>2</v>
      </c>
      <c r="AP574" s="327">
        <v>2</v>
      </c>
      <c r="AQ574" s="327">
        <f t="shared" si="512"/>
        <v>3</v>
      </c>
      <c r="AR574" s="338"/>
      <c r="AS574" s="328">
        <f t="shared" ref="AS574:AS580" si="523">AC574</f>
        <v>12</v>
      </c>
      <c r="AT574" s="328">
        <f t="shared" ref="AT574:AT580" si="524">Y574*P574</f>
        <v>12</v>
      </c>
      <c r="AU574" s="523">
        <v>2</v>
      </c>
      <c r="AV574" s="328"/>
      <c r="AW574" s="328"/>
      <c r="AX574" s="332">
        <v>2</v>
      </c>
      <c r="AY574" s="328" t="b">
        <f t="shared" ref="AY574:AY580" si="525">IF(AX574=AJ574,TRUE,FALSE)</f>
        <v>1</v>
      </c>
      <c r="AZ574" s="328" t="b">
        <f t="shared" si="448"/>
        <v>0</v>
      </c>
    </row>
    <row r="575" customFormat="1" ht="27" customHeight="1" spans="1:52">
      <c r="A575" s="326" t="str">
        <f>INDEX('Rate Card'!$A:$A,MATCH(服务费底表!$T575,'Rate Card'!$F:$F,0))</f>
        <v>临床药理</v>
      </c>
      <c r="B575" s="327" t="str">
        <f>INDEX(二三级标准!$G:$G,MATCH(服务费底表!$K575,二三级标准!B:B,0))</f>
        <v>次</v>
      </c>
      <c r="C575" s="327">
        <f>INDEX(服务费明细!$E:$E,MATCH(服务费底表!$K575,服务费明细!$B:$B,0))</f>
        <v>6</v>
      </c>
      <c r="D575" s="327" t="str">
        <f t="shared" si="517"/>
        <v>A223CPS</v>
      </c>
      <c r="E575" s="327" t="str">
        <f t="shared" si="518"/>
        <v>T0656CPS</v>
      </c>
      <c r="F575" s="328"/>
      <c r="G575" s="328" t="s">
        <v>684</v>
      </c>
      <c r="H575" s="326" t="str">
        <f>INDEX('Rate Card'!$B:$B,MATCH(服务费底表!$T575,'Rate Card'!$F:$F,0))</f>
        <v>临床药理</v>
      </c>
      <c r="I575" s="328" t="s">
        <v>925</v>
      </c>
      <c r="J575" s="328" t="str">
        <f>INDEX(二三级标准!$Q:$Q,MATCH(服务费底表!I575,二三级标准!$O:$O,0))</f>
        <v>临床药理</v>
      </c>
      <c r="K575" s="328" t="s">
        <v>1104</v>
      </c>
      <c r="L575" s="328" t="str">
        <f>INDEX(二三级标准!C:C,MATCH(服务费底表!K575,二三级标准!$B:$B,0))</f>
        <v>PD分析</v>
      </c>
      <c r="M575" s="328" t="s">
        <v>1607</v>
      </c>
      <c r="N575" s="328" t="str">
        <f>INDEX(二三级标准!$M:$M,MATCH(服务费底表!$M575,二三级标准!$L:$L,0))</f>
        <v>PD参数计算及图表绘制</v>
      </c>
      <c r="O575" s="328"/>
      <c r="P575" s="531">
        <f>IF(R575=1,INDEX(服务费明细!$E:$E,MATCH(服务费底表!$K575,服务费明细!$B:$B,0)),0)</f>
        <v>6</v>
      </c>
      <c r="Q575" s="328" t="s">
        <v>1178</v>
      </c>
      <c r="R575" s="520">
        <f>IF(AND(PD分析=1,临床药理YN=1),1,0)</f>
        <v>1</v>
      </c>
      <c r="S575" s="328" t="str">
        <f>INDEX('Rate Card'!$D:$D,MATCH(服务费底表!$T575,'Rate Card'!F:F,0))</f>
        <v>临床药理</v>
      </c>
      <c r="T575" s="328" t="s">
        <v>652</v>
      </c>
      <c r="U575" s="522" t="str">
        <f>INDEX('Rate Card'!$E:$E,MATCH(服务费底表!$T575,'Rate Card'!$F:$F,0))</f>
        <v>临床药理专员</v>
      </c>
      <c r="V575" s="331">
        <f>INDEX('Rate Card'!$J:$J,MATCH($T575,'Rate Card'!$F:$F,0))</f>
        <v>580</v>
      </c>
      <c r="W575" s="523">
        <f t="shared" si="505"/>
        <v>580</v>
      </c>
      <c r="X575" s="523">
        <f t="shared" si="506"/>
        <v>2</v>
      </c>
      <c r="Y575" s="327" cm="1">
        <f t="array" ref="Y575">_xlfn.IFS(报价场景=服务费底表!$AJ$2,服务费底表!$AJ575,报价场景=服务费底表!$AP$2,服务费底表!$AP575,报价场景=服务费底表!$AK$2,服务费底表!$AK575,报价场景=服务费底表!$AL$2,服务费底表!$AL575,报价场景=服务费底表!$AM$2,服务费底表!$AM575,报价场景=服务费底表!$AN$2,服务费底表!$AN575,报价场景=服务费底表!$AQ$2,服务费底表!$AQ575,报价场景=服务费底表!$AO$2,服务费底表!$AO575)</f>
        <v>2</v>
      </c>
      <c r="Z575" s="327"/>
      <c r="AA575" s="332">
        <f t="shared" si="522"/>
        <v>2</v>
      </c>
      <c r="AB575" s="333">
        <f t="shared" si="519"/>
        <v>1160</v>
      </c>
      <c r="AC575" s="328">
        <f t="shared" si="520"/>
        <v>12</v>
      </c>
      <c r="AD575" s="334">
        <f t="shared" si="516"/>
        <v>6960</v>
      </c>
      <c r="AE575" s="334">
        <f>$AB575*(1-INDEX(项目参数!$D$5:$D$14,MATCH(服务费底表!$S575,项目参数!$B$5:$B$14,0)))</f>
        <v>1160</v>
      </c>
      <c r="AF575" s="334">
        <f>$AD575*INDEX(项目参数!$D$5:$D$14,MATCH(服务费底表!$S575,项目参数!$B$5:$B$14,0))</f>
        <v>0</v>
      </c>
      <c r="AG575" s="334">
        <f t="shared" si="521"/>
        <v>6960</v>
      </c>
      <c r="AH575" s="328"/>
      <c r="AI575" s="328" t="s">
        <v>652</v>
      </c>
      <c r="AJ575" s="327">
        <v>2</v>
      </c>
      <c r="AK575" s="327">
        <v>2</v>
      </c>
      <c r="AL575" s="327">
        <v>2</v>
      </c>
      <c r="AM575" s="327">
        <v>2</v>
      </c>
      <c r="AN575" s="327">
        <v>2</v>
      </c>
      <c r="AO575" s="327">
        <f t="shared" si="461"/>
        <v>2</v>
      </c>
      <c r="AP575" s="327">
        <v>2</v>
      </c>
      <c r="AQ575" s="327">
        <f t="shared" si="512"/>
        <v>3</v>
      </c>
      <c r="AR575" s="338"/>
      <c r="AS575" s="328">
        <f t="shared" si="523"/>
        <v>12</v>
      </c>
      <c r="AT575" s="328">
        <f t="shared" si="524"/>
        <v>12</v>
      </c>
      <c r="AU575" s="523">
        <v>2</v>
      </c>
      <c r="AV575" s="538"/>
      <c r="AW575" s="538"/>
      <c r="AX575" s="332">
        <v>2</v>
      </c>
      <c r="AY575" s="328" t="b">
        <f t="shared" si="525"/>
        <v>1</v>
      </c>
      <c r="AZ575" s="328" t="b">
        <f t="shared" si="448"/>
        <v>1</v>
      </c>
    </row>
    <row r="576" customFormat="1" ht="27" customHeight="1" spans="1:52">
      <c r="A576" s="326" t="str">
        <f>INDEX('Rate Card'!$A:$A,MATCH(服务费底表!$T576,'Rate Card'!$F:$F,0))</f>
        <v>临床药理</v>
      </c>
      <c r="B576" s="327" t="str">
        <f>INDEX(二三级标准!$G:$G,MATCH(服务费底表!$K576,二三级标准!B:B,0))</f>
        <v>次</v>
      </c>
      <c r="C576" s="327">
        <f>INDEX(服务费明细!$E:$E,MATCH(服务费底表!$K576,服务费明细!$B:$B,0))</f>
        <v>6</v>
      </c>
      <c r="D576" s="327" t="str">
        <f t="shared" si="517"/>
        <v>A223CPSS</v>
      </c>
      <c r="E576" s="327" t="str">
        <f t="shared" si="518"/>
        <v>T0656CPSS</v>
      </c>
      <c r="F576" s="328"/>
      <c r="G576" s="328" t="s">
        <v>684</v>
      </c>
      <c r="H576" s="326" t="str">
        <f>INDEX('Rate Card'!$B:$B,MATCH(服务费底表!$T576,'Rate Card'!$F:$F,0))</f>
        <v>临床药理</v>
      </c>
      <c r="I576" s="328" t="s">
        <v>925</v>
      </c>
      <c r="J576" s="328" t="str">
        <f>INDEX(二三级标准!$Q:$Q,MATCH(服务费底表!I576,二三级标准!$O:$O,0))</f>
        <v>临床药理</v>
      </c>
      <c r="K576" s="328" t="s">
        <v>1104</v>
      </c>
      <c r="L576" s="328" t="str">
        <f>INDEX(二三级标准!C:C,MATCH(服务费底表!K576,二三级标准!$B:$B,0))</f>
        <v>PD分析</v>
      </c>
      <c r="M576" s="328" t="s">
        <v>1607</v>
      </c>
      <c r="N576" s="328" t="str">
        <f>INDEX(二三级标准!$M:$M,MATCH(服务费底表!$M576,二三级标准!$L:$L,0))</f>
        <v>PD参数计算及图表绘制</v>
      </c>
      <c r="O576" s="328"/>
      <c r="P576" s="531">
        <f>IF(R576=1,INDEX(服务费明细!$E:$E,MATCH(服务费底表!$K576,服务费明细!$B:$B,0)),0)</f>
        <v>6</v>
      </c>
      <c r="Q576" s="328" t="s">
        <v>1178</v>
      </c>
      <c r="R576" s="520">
        <f>IF(AND(PD分析=1,临床药理YN=1),1,0)</f>
        <v>1</v>
      </c>
      <c r="S576" s="328" t="str">
        <f>INDEX('Rate Card'!$D:$D,MATCH(服务费底表!$T576,'Rate Card'!F:F,0))</f>
        <v>临床药理</v>
      </c>
      <c r="T576" s="328" t="s">
        <v>654</v>
      </c>
      <c r="U576" s="522" t="str">
        <f>INDEX('Rate Card'!$E:$E,MATCH(服务费底表!$T576,'Rate Card'!$F:$F,0))</f>
        <v>临床药理高级专员</v>
      </c>
      <c r="V576" s="331">
        <f>INDEX('Rate Card'!$J:$J,MATCH($T576,'Rate Card'!$F:$F,0))</f>
        <v>700</v>
      </c>
      <c r="W576" s="523">
        <f t="shared" si="505"/>
        <v>700</v>
      </c>
      <c r="X576" s="523">
        <f t="shared" si="506"/>
        <v>1</v>
      </c>
      <c r="Y576" s="327" cm="1">
        <f t="array" ref="Y576">_xlfn.IFS(报价场景=服务费底表!$AJ$2,服务费底表!$AJ576,报价场景=服务费底表!$AP$2,服务费底表!$AP576,报价场景=服务费底表!$AK$2,服务费底表!$AK576,报价场景=服务费底表!$AL$2,服务费底表!$AL576,报价场景=服务费底表!$AM$2,服务费底表!$AM576,报价场景=服务费底表!$AN$2,服务费底表!$AN576,报价场景=服务费底表!$AQ$2,服务费底表!$AQ576,报价场景=服务费底表!$AO$2,服务费底表!$AO576)</f>
        <v>1</v>
      </c>
      <c r="Z576" s="327"/>
      <c r="AA576" s="332">
        <f t="shared" si="522"/>
        <v>1</v>
      </c>
      <c r="AB576" s="333">
        <f t="shared" si="519"/>
        <v>700</v>
      </c>
      <c r="AC576" s="328">
        <f t="shared" si="520"/>
        <v>6</v>
      </c>
      <c r="AD576" s="334">
        <f t="shared" si="516"/>
        <v>4200</v>
      </c>
      <c r="AE576" s="334">
        <f>$AB576*(1-INDEX(项目参数!$D$5:$D$14,MATCH(服务费底表!$S576,项目参数!$B$5:$B$14,0)))</f>
        <v>700</v>
      </c>
      <c r="AF576" s="334">
        <f>$AD576*INDEX(项目参数!$D$5:$D$14,MATCH(服务费底表!$S576,项目参数!$B$5:$B$14,0))</f>
        <v>0</v>
      </c>
      <c r="AG576" s="334">
        <f t="shared" si="521"/>
        <v>4200</v>
      </c>
      <c r="AH576" s="328"/>
      <c r="AI576" s="328" t="s">
        <v>654</v>
      </c>
      <c r="AJ576" s="327">
        <v>1</v>
      </c>
      <c r="AK576" s="327">
        <v>1</v>
      </c>
      <c r="AL576" s="327">
        <v>1</v>
      </c>
      <c r="AM576" s="327">
        <v>1</v>
      </c>
      <c r="AN576" s="327">
        <v>1</v>
      </c>
      <c r="AO576" s="327">
        <f t="shared" si="461"/>
        <v>1</v>
      </c>
      <c r="AP576" s="327">
        <v>1</v>
      </c>
      <c r="AQ576" s="327">
        <f t="shared" si="512"/>
        <v>1.5</v>
      </c>
      <c r="AR576" s="338"/>
      <c r="AS576" s="328">
        <f t="shared" si="523"/>
        <v>6</v>
      </c>
      <c r="AT576" s="328">
        <f t="shared" si="524"/>
        <v>6</v>
      </c>
      <c r="AU576" s="523">
        <v>1</v>
      </c>
      <c r="AV576" s="538"/>
      <c r="AW576" s="538"/>
      <c r="AX576" s="332">
        <v>1</v>
      </c>
      <c r="AY576" s="328" t="b">
        <f t="shared" si="525"/>
        <v>1</v>
      </c>
      <c r="AZ576" s="328" t="b">
        <f t="shared" si="448"/>
        <v>1</v>
      </c>
    </row>
    <row r="577" customFormat="1" ht="27" customHeight="1" spans="1:52">
      <c r="A577" s="326" t="str">
        <f>INDEX('Rate Card'!$A:$A,MATCH(服务费底表!$T577,'Rate Card'!$F:$F,0))</f>
        <v>临床药理</v>
      </c>
      <c r="B577" s="327" t="str">
        <f>INDEX(二三级标准!$G:$G,MATCH(服务费底表!$K577,二三级标准!B:B,0))</f>
        <v>次</v>
      </c>
      <c r="C577" s="327">
        <f>INDEX(服务费明细!$E:$E,MATCH(服务费底表!$K577,服务费明细!$B:$B,0))</f>
        <v>6</v>
      </c>
      <c r="D577" s="327" t="str">
        <f t="shared" si="517"/>
        <v>A223CPS</v>
      </c>
      <c r="E577" s="327" t="str">
        <f t="shared" si="518"/>
        <v>T0657CPS</v>
      </c>
      <c r="F577" s="328"/>
      <c r="G577" s="328" t="s">
        <v>684</v>
      </c>
      <c r="H577" s="326" t="str">
        <f>INDEX('Rate Card'!$B:$B,MATCH(服务费底表!$T577,'Rate Card'!$F:$F,0))</f>
        <v>临床药理</v>
      </c>
      <c r="I577" s="328" t="s">
        <v>925</v>
      </c>
      <c r="J577" s="328" t="str">
        <f>INDEX(二三级标准!$Q:$Q,MATCH(服务费底表!I577,二三级标准!$O:$O,0))</f>
        <v>临床药理</v>
      </c>
      <c r="K577" s="328" t="s">
        <v>1104</v>
      </c>
      <c r="L577" s="328" t="str">
        <f>INDEX(二三级标准!C:C,MATCH(服务费底表!K577,二三级标准!$B:$B,0))</f>
        <v>PD分析</v>
      </c>
      <c r="M577" s="328" t="s">
        <v>1608</v>
      </c>
      <c r="N577" s="328" t="str">
        <f>INDEX(二三级标准!$M:$M,MATCH(服务费底表!$M577,二三级标准!$L:$L,0))</f>
        <v>PD结果汇总及解读(PPT)</v>
      </c>
      <c r="O577" s="328"/>
      <c r="P577" s="531">
        <f>IF(R577=1,INDEX(服务费明细!$E:$E,MATCH(服务费底表!$K577,服务费明细!$B:$B,0)),0)</f>
        <v>6</v>
      </c>
      <c r="Q577" s="328" t="s">
        <v>1178</v>
      </c>
      <c r="R577" s="520">
        <f>IF(AND(PD分析=1,临床药理YN=1),1,0)</f>
        <v>1</v>
      </c>
      <c r="S577" s="328" t="str">
        <f>INDEX('Rate Card'!$D:$D,MATCH(服务费底表!$T577,'Rate Card'!F:F,0))</f>
        <v>临床药理</v>
      </c>
      <c r="T577" s="328" t="s">
        <v>652</v>
      </c>
      <c r="U577" s="522" t="str">
        <f>INDEX('Rate Card'!$E:$E,MATCH(服务费底表!$T577,'Rate Card'!$F:$F,0))</f>
        <v>临床药理专员</v>
      </c>
      <c r="V577" s="331">
        <f>INDEX('Rate Card'!$J:$J,MATCH($T577,'Rate Card'!$F:$F,0))</f>
        <v>580</v>
      </c>
      <c r="W577" s="523">
        <f t="shared" si="505"/>
        <v>580</v>
      </c>
      <c r="X577" s="523">
        <f t="shared" si="506"/>
        <v>1</v>
      </c>
      <c r="Y577" s="327" cm="1">
        <f t="array" ref="Y577">_xlfn.IFS(报价场景=服务费底表!$AJ$2,服务费底表!$AJ577,报价场景=服务费底表!$AP$2,服务费底表!$AP577,报价场景=服务费底表!$AK$2,服务费底表!$AK577,报价场景=服务费底表!$AL$2,服务费底表!$AL577,报价场景=服务费底表!$AM$2,服务费底表!$AM577,报价场景=服务费底表!$AN$2,服务费底表!$AN577,报价场景=服务费底表!$AQ$2,服务费底表!$AQ577,报价场景=服务费底表!$AO$2,服务费底表!$AO577)</f>
        <v>1</v>
      </c>
      <c r="Z577" s="327"/>
      <c r="AA577" s="332">
        <f t="shared" si="522"/>
        <v>1</v>
      </c>
      <c r="AB577" s="333">
        <f t="shared" si="519"/>
        <v>580</v>
      </c>
      <c r="AC577" s="328">
        <f t="shared" si="520"/>
        <v>6</v>
      </c>
      <c r="AD577" s="334">
        <f t="shared" si="516"/>
        <v>3480</v>
      </c>
      <c r="AE577" s="334">
        <f>$AB577*(1-INDEX(项目参数!$D$5:$D$14,MATCH(服务费底表!$S577,项目参数!$B$5:$B$14,0)))</f>
        <v>580</v>
      </c>
      <c r="AF577" s="334">
        <f>$AD577*INDEX(项目参数!$D$5:$D$14,MATCH(服务费底表!$S577,项目参数!$B$5:$B$14,0))</f>
        <v>0</v>
      </c>
      <c r="AG577" s="334">
        <f t="shared" si="521"/>
        <v>3480</v>
      </c>
      <c r="AH577" s="328"/>
      <c r="AI577" s="328" t="s">
        <v>652</v>
      </c>
      <c r="AJ577" s="327">
        <v>1</v>
      </c>
      <c r="AK577" s="327">
        <v>1</v>
      </c>
      <c r="AL577" s="327">
        <v>1</v>
      </c>
      <c r="AM577" s="327">
        <v>1</v>
      </c>
      <c r="AN577" s="327">
        <v>1</v>
      </c>
      <c r="AO577" s="327">
        <f t="shared" si="461"/>
        <v>1</v>
      </c>
      <c r="AP577" s="327">
        <v>1</v>
      </c>
      <c r="AQ577" s="327">
        <f t="shared" si="512"/>
        <v>1.5</v>
      </c>
      <c r="AR577" s="338"/>
      <c r="AS577" s="328">
        <f t="shared" si="523"/>
        <v>6</v>
      </c>
      <c r="AT577" s="328">
        <f t="shared" si="524"/>
        <v>6</v>
      </c>
      <c r="AU577" s="523">
        <v>1</v>
      </c>
      <c r="AV577" s="538"/>
      <c r="AW577" s="538"/>
      <c r="AX577" s="332">
        <v>1</v>
      </c>
      <c r="AY577" s="328" t="b">
        <f t="shared" si="525"/>
        <v>1</v>
      </c>
      <c r="AZ577" s="328" t="b">
        <f t="shared" si="448"/>
        <v>1</v>
      </c>
    </row>
    <row r="578" customFormat="1" ht="27" customHeight="1" spans="1:52">
      <c r="A578" s="326" t="str">
        <f>INDEX('Rate Card'!$A:$A,MATCH(服务费底表!$T578,'Rate Card'!$F:$F,0))</f>
        <v>临床药理</v>
      </c>
      <c r="B578" s="327" t="str">
        <f>INDEX(二三级标准!$G:$G,MATCH(服务费底表!$K578,二三级标准!B:B,0))</f>
        <v>次</v>
      </c>
      <c r="C578" s="327">
        <f>INDEX(服务费明细!$E:$E,MATCH(服务费底表!$K578,服务费明细!$B:$B,0))</f>
        <v>6</v>
      </c>
      <c r="D578" s="327" t="str">
        <f t="shared" si="517"/>
        <v>A223CPSS</v>
      </c>
      <c r="E578" s="327" t="str">
        <f t="shared" si="518"/>
        <v>T0657CPSS</v>
      </c>
      <c r="F578" s="328"/>
      <c r="G578" s="328" t="s">
        <v>684</v>
      </c>
      <c r="H578" s="326" t="str">
        <f>INDEX('Rate Card'!$B:$B,MATCH(服务费底表!$T578,'Rate Card'!$F:$F,0))</f>
        <v>临床药理</v>
      </c>
      <c r="I578" s="328" t="s">
        <v>925</v>
      </c>
      <c r="J578" s="328" t="str">
        <f>INDEX(二三级标准!$Q:$Q,MATCH(服务费底表!I578,二三级标准!$O:$O,0))</f>
        <v>临床药理</v>
      </c>
      <c r="K578" s="328" t="s">
        <v>1104</v>
      </c>
      <c r="L578" s="328" t="str">
        <f>INDEX(二三级标准!C:C,MATCH(服务费底表!K578,二三级标准!$B:$B,0))</f>
        <v>PD分析</v>
      </c>
      <c r="M578" s="328" t="s">
        <v>1608</v>
      </c>
      <c r="N578" s="328" t="str">
        <f>INDEX(二三级标准!$M:$M,MATCH(服务费底表!$M578,二三级标准!$L:$L,0))</f>
        <v>PD结果汇总及解读(PPT)</v>
      </c>
      <c r="O578" s="328"/>
      <c r="P578" s="531">
        <f>IF(R578=1,INDEX(服务费明细!$E:$E,MATCH(服务费底表!$K578,服务费明细!$B:$B,0)),0)</f>
        <v>6</v>
      </c>
      <c r="Q578" s="328" t="s">
        <v>1178</v>
      </c>
      <c r="R578" s="520">
        <f>IF(AND(PD分析=1,临床药理YN=1),1,0)</f>
        <v>1</v>
      </c>
      <c r="S578" s="328" t="str">
        <f>INDEX('Rate Card'!$D:$D,MATCH(服务费底表!$T578,'Rate Card'!F:F,0))</f>
        <v>临床药理</v>
      </c>
      <c r="T578" s="328" t="s">
        <v>654</v>
      </c>
      <c r="U578" s="522" t="str">
        <f>INDEX('Rate Card'!$E:$E,MATCH(服务费底表!$T578,'Rate Card'!$F:$F,0))</f>
        <v>临床药理高级专员</v>
      </c>
      <c r="V578" s="331">
        <f>INDEX('Rate Card'!$J:$J,MATCH($T578,'Rate Card'!$F:$F,0))</f>
        <v>700</v>
      </c>
      <c r="W578" s="523">
        <f t="shared" si="505"/>
        <v>700</v>
      </c>
      <c r="X578" s="523">
        <f t="shared" si="506"/>
        <v>1</v>
      </c>
      <c r="Y578" s="327" cm="1">
        <f t="array" ref="Y578">_xlfn.IFS(报价场景=服务费底表!$AJ$2,服务费底表!$AJ578,报价场景=服务费底表!$AP$2,服务费底表!$AP578,报价场景=服务费底表!$AK$2,服务费底表!$AK578,报价场景=服务费底表!$AL$2,服务费底表!$AL578,报价场景=服务费底表!$AM$2,服务费底表!$AM578,报价场景=服务费底表!$AN$2,服务费底表!$AN578,报价场景=服务费底表!$AQ$2,服务费底表!$AQ578,报价场景=服务费底表!$AO$2,服务费底表!$AO578)</f>
        <v>1</v>
      </c>
      <c r="Z578" s="327"/>
      <c r="AA578" s="332">
        <f t="shared" si="522"/>
        <v>1</v>
      </c>
      <c r="AB578" s="333">
        <f t="shared" si="519"/>
        <v>700</v>
      </c>
      <c r="AC578" s="328">
        <f t="shared" si="520"/>
        <v>6</v>
      </c>
      <c r="AD578" s="334">
        <f t="shared" si="516"/>
        <v>4200</v>
      </c>
      <c r="AE578" s="334">
        <f>$AB578*(1-INDEX(项目参数!$D$5:$D$14,MATCH(服务费底表!$S578,项目参数!$B$5:$B$14,0)))</f>
        <v>700</v>
      </c>
      <c r="AF578" s="334">
        <f>$AD578*INDEX(项目参数!$D$5:$D$14,MATCH(服务费底表!$S578,项目参数!$B$5:$B$14,0))</f>
        <v>0</v>
      </c>
      <c r="AG578" s="334">
        <f t="shared" si="521"/>
        <v>4200</v>
      </c>
      <c r="AH578" s="328"/>
      <c r="AI578" s="328" t="s">
        <v>654</v>
      </c>
      <c r="AJ578" s="327">
        <v>1</v>
      </c>
      <c r="AK578" s="327">
        <v>1</v>
      </c>
      <c r="AL578" s="327">
        <v>1</v>
      </c>
      <c r="AM578" s="327">
        <v>1</v>
      </c>
      <c r="AN578" s="327">
        <v>1</v>
      </c>
      <c r="AO578" s="327">
        <f t="shared" si="461"/>
        <v>1</v>
      </c>
      <c r="AP578" s="327">
        <v>1</v>
      </c>
      <c r="AQ578" s="327">
        <f t="shared" si="512"/>
        <v>1.5</v>
      </c>
      <c r="AR578" s="338"/>
      <c r="AS578" s="328">
        <f t="shared" si="523"/>
        <v>6</v>
      </c>
      <c r="AT578" s="328">
        <f t="shared" si="524"/>
        <v>6</v>
      </c>
      <c r="AU578" s="523">
        <v>1</v>
      </c>
      <c r="AV578" s="538"/>
      <c r="AW578" s="538"/>
      <c r="AX578" s="332">
        <v>1</v>
      </c>
      <c r="AY578" s="328" t="b">
        <f t="shared" si="525"/>
        <v>1</v>
      </c>
      <c r="AZ578" s="328" t="b">
        <f t="shared" si="448"/>
        <v>1</v>
      </c>
    </row>
    <row r="579" customFormat="1" ht="27" customHeight="1" spans="1:52">
      <c r="A579" s="326" t="str">
        <f>INDEX('Rate Card'!$A:$A,MATCH(服务费底表!$T579,'Rate Card'!$F:$F,0))</f>
        <v>临床药理</v>
      </c>
      <c r="B579" s="327" t="str">
        <f>INDEX(二三级标准!$G:$G,MATCH(服务费底表!$K579,二三级标准!B:B,0))</f>
        <v>次</v>
      </c>
      <c r="C579" s="327">
        <f>INDEX(服务费明细!$E:$E,MATCH(服务费底表!$K579,服务费明细!$B:$B,0))</f>
        <v>0</v>
      </c>
      <c r="D579" s="327" t="str">
        <f t="shared" si="517"/>
        <v>A268CPSS</v>
      </c>
      <c r="E579" s="327" t="str">
        <f t="shared" si="518"/>
        <v>T0781CPSS</v>
      </c>
      <c r="F579" s="328"/>
      <c r="G579" s="328" t="s">
        <v>684</v>
      </c>
      <c r="H579" s="326" t="str">
        <f>INDEX('Rate Card'!$B:$B,MATCH(服务费底表!$T579,'Rate Card'!$F:$F,0))</f>
        <v>临床药理</v>
      </c>
      <c r="I579" s="328" t="s">
        <v>925</v>
      </c>
      <c r="J579" s="328" t="str">
        <f>INDEX(二三级标准!$Q:$Q,MATCH(服务费底表!I579,二三级标准!$O:$O,0))</f>
        <v>临床药理</v>
      </c>
      <c r="K579" s="328" t="s">
        <v>1106</v>
      </c>
      <c r="L579" s="328" t="str">
        <f>INDEX(二三级标准!C:C,MATCH(服务费底表!K579,二三级标准!$B:$B,0))</f>
        <v>PK/PD相关性分析</v>
      </c>
      <c r="M579" s="328" t="s">
        <v>1609</v>
      </c>
      <c r="N579" s="328" t="str">
        <f>INDEX(二三级标准!$M:$M,MATCH(服务费底表!$M579,二三级标准!$L:$L,0))</f>
        <v>PK/PD相关性分析及图表绘制</v>
      </c>
      <c r="O579" s="328"/>
      <c r="P579" s="531">
        <f>IF(R579=1,INDEX(服务费明细!$E:$E,MATCH(服务费底表!$K579,服务费明细!$B:$B,0)),0)</f>
        <v>0</v>
      </c>
      <c r="Q579" s="328" t="s">
        <v>1178</v>
      </c>
      <c r="R579" s="520">
        <f>IF(AND(相关性分析YN=1,临床药理YN=1),1,0)</f>
        <v>0</v>
      </c>
      <c r="S579" s="328" t="str">
        <f>INDEX('Rate Card'!$D:$D,MATCH(服务费底表!$T579,'Rate Card'!F:F,0))</f>
        <v>临床药理</v>
      </c>
      <c r="T579" s="328" t="s">
        <v>654</v>
      </c>
      <c r="U579" s="522" t="str">
        <f>INDEX('Rate Card'!$E:$E,MATCH(服务费底表!$T579,'Rate Card'!$F:$F,0))</f>
        <v>临床药理高级专员</v>
      </c>
      <c r="V579" s="331">
        <f>INDEX('Rate Card'!$J:$J,MATCH($T579,'Rate Card'!$F:$F,0))</f>
        <v>700</v>
      </c>
      <c r="W579" s="523">
        <f t="shared" si="505"/>
        <v>700</v>
      </c>
      <c r="X579" s="523">
        <f t="shared" si="506"/>
        <v>4</v>
      </c>
      <c r="Y579" s="327" cm="1">
        <f t="array" ref="Y579">_xlfn.IFS(报价场景=服务费底表!$AJ$2,服务费底表!$AJ579,报价场景=服务费底表!$AP$2,服务费底表!$AP579,报价场景=服务费底表!$AK$2,服务费底表!$AK579,报价场景=服务费底表!$AL$2,服务费底表!$AL579,报价场景=服务费底表!$AM$2,服务费底表!$AM579,报价场景=服务费底表!$AN$2,服务费底表!$AN579,报价场景=服务费底表!$AQ$2,服务费底表!$AQ579,报价场景=服务费底表!$AO$2,服务费底表!$AO579)</f>
        <v>4</v>
      </c>
      <c r="Z579" s="327"/>
      <c r="AA579" s="332">
        <f t="shared" si="522"/>
        <v>4</v>
      </c>
      <c r="AB579" s="333">
        <f t="shared" si="519"/>
        <v>0</v>
      </c>
      <c r="AC579" s="328">
        <f t="shared" si="520"/>
        <v>0</v>
      </c>
      <c r="AD579" s="334">
        <f t="shared" si="516"/>
        <v>0</v>
      </c>
      <c r="AE579" s="334">
        <f>$AB579*(1-INDEX(项目参数!$D$5:$D$14,MATCH(服务费底表!$S579,项目参数!$B$5:$B$14,0)))</f>
        <v>0</v>
      </c>
      <c r="AF579" s="334">
        <f>$AD579*INDEX(项目参数!$D$5:$D$14,MATCH(服务费底表!$S579,项目参数!$B$5:$B$14,0))</f>
        <v>0</v>
      </c>
      <c r="AG579" s="334">
        <f t="shared" si="521"/>
        <v>0</v>
      </c>
      <c r="AH579" s="328"/>
      <c r="AI579" s="328" t="s">
        <v>654</v>
      </c>
      <c r="AJ579" s="327">
        <v>4</v>
      </c>
      <c r="AK579" s="327">
        <v>4</v>
      </c>
      <c r="AL579" s="327">
        <v>4</v>
      </c>
      <c r="AM579" s="327">
        <v>4</v>
      </c>
      <c r="AN579" s="327">
        <v>4</v>
      </c>
      <c r="AO579" s="327">
        <f t="shared" si="461"/>
        <v>4</v>
      </c>
      <c r="AP579" s="327">
        <v>4</v>
      </c>
      <c r="AQ579" s="327">
        <f t="shared" si="512"/>
        <v>6</v>
      </c>
      <c r="AR579" s="338"/>
      <c r="AS579" s="328">
        <f t="shared" si="523"/>
        <v>0</v>
      </c>
      <c r="AT579" s="328">
        <f t="shared" si="524"/>
        <v>0</v>
      </c>
      <c r="AU579" s="523">
        <v>4</v>
      </c>
      <c r="AV579" s="538"/>
      <c r="AW579" s="538"/>
      <c r="AX579" s="332">
        <v>4</v>
      </c>
      <c r="AY579" s="328" t="b">
        <f t="shared" si="525"/>
        <v>1</v>
      </c>
      <c r="AZ579" s="328" t="b">
        <f t="shared" si="448"/>
        <v>0</v>
      </c>
    </row>
    <row r="580" customFormat="1" ht="27" customHeight="1" spans="1:52">
      <c r="A580" s="326" t="str">
        <f>INDEX('Rate Card'!$A:$A,MATCH(服务费底表!$T580,'Rate Card'!$F:$F,0))</f>
        <v>临床药理</v>
      </c>
      <c r="B580" s="327" t="str">
        <f>INDEX(二三级标准!$G:$G,MATCH(服务费底表!$K580,二三级标准!B:B,0))</f>
        <v>次</v>
      </c>
      <c r="C580" s="327">
        <f>INDEX(服务费明细!$E:$E,MATCH(服务费底表!$K580,服务费明细!$B:$B,0))</f>
        <v>0</v>
      </c>
      <c r="D580" s="327" t="str">
        <f t="shared" si="517"/>
        <v>A268CPSS</v>
      </c>
      <c r="E580" s="327" t="str">
        <f t="shared" si="518"/>
        <v>T0782CPSS</v>
      </c>
      <c r="F580" s="328"/>
      <c r="G580" s="328" t="s">
        <v>684</v>
      </c>
      <c r="H580" s="326" t="str">
        <f>INDEX('Rate Card'!$B:$B,MATCH(服务费底表!$T580,'Rate Card'!$F:$F,0))</f>
        <v>临床药理</v>
      </c>
      <c r="I580" s="328" t="s">
        <v>925</v>
      </c>
      <c r="J580" s="328" t="str">
        <f>INDEX(二三级标准!$Q:$Q,MATCH(服务费底表!I580,二三级标准!$O:$O,0))</f>
        <v>临床药理</v>
      </c>
      <c r="K580" s="328" t="s">
        <v>1106</v>
      </c>
      <c r="L580" s="328" t="str">
        <f>INDEX(二三级标准!C:C,MATCH(服务费底表!K580,二三级标准!$B:$B,0))</f>
        <v>PK/PD相关性分析</v>
      </c>
      <c r="M580" s="328" t="s">
        <v>1610</v>
      </c>
      <c r="N580" s="328" t="str">
        <f>INDEX(二三级标准!$M:$M,MATCH(服务费底表!$M580,二三级标准!$L:$L,0))</f>
        <v>PK/PD相关性结果汇总及解读（PPT）</v>
      </c>
      <c r="O580" s="328"/>
      <c r="P580" s="531">
        <f>IF(R580=1,INDEX(服务费明细!$E:$E,MATCH(服务费底表!$K580,服务费明细!$B:$B,0)),0)</f>
        <v>0</v>
      </c>
      <c r="Q580" s="328" t="s">
        <v>1178</v>
      </c>
      <c r="R580" s="520">
        <f>IF(AND(相关性分析YN=1,临床药理YN=1),1,0)</f>
        <v>0</v>
      </c>
      <c r="S580" s="328" t="str">
        <f>INDEX('Rate Card'!$D:$D,MATCH(服务费底表!$T580,'Rate Card'!F:F,0))</f>
        <v>临床药理</v>
      </c>
      <c r="T580" s="328" t="s">
        <v>654</v>
      </c>
      <c r="U580" s="522" t="str">
        <f>INDEX('Rate Card'!$E:$E,MATCH(服务费底表!$T580,'Rate Card'!$F:$F,0))</f>
        <v>临床药理高级专员</v>
      </c>
      <c r="V580" s="331">
        <f>INDEX('Rate Card'!$J:$J,MATCH($T580,'Rate Card'!$F:$F,0))</f>
        <v>700</v>
      </c>
      <c r="W580" s="523">
        <f t="shared" si="505"/>
        <v>700</v>
      </c>
      <c r="X580" s="523">
        <f t="shared" si="506"/>
        <v>4</v>
      </c>
      <c r="Y580" s="327" cm="1">
        <f t="array" ref="Y580">_xlfn.IFS(报价场景=服务费底表!$AJ$2,服务费底表!$AJ580,报价场景=服务费底表!$AP$2,服务费底表!$AP580,报价场景=服务费底表!$AK$2,服务费底表!$AK580,报价场景=服务费底表!$AL$2,服务费底表!$AL580,报价场景=服务费底表!$AM$2,服务费底表!$AM580,报价场景=服务费底表!$AN$2,服务费底表!$AN580,报价场景=服务费底表!$AQ$2,服务费底表!$AQ580,报价场景=服务费底表!$AO$2,服务费底表!$AO580)</f>
        <v>4</v>
      </c>
      <c r="Z580" s="327"/>
      <c r="AA580" s="332">
        <f t="shared" si="522"/>
        <v>4</v>
      </c>
      <c r="AB580" s="333">
        <f t="shared" si="519"/>
        <v>0</v>
      </c>
      <c r="AC580" s="328">
        <f t="shared" si="520"/>
        <v>0</v>
      </c>
      <c r="AD580" s="334">
        <f t="shared" si="516"/>
        <v>0</v>
      </c>
      <c r="AE580" s="334">
        <f>$AB580*(1-INDEX(项目参数!$D$5:$D$14,MATCH(服务费底表!$S580,项目参数!$B$5:$B$14,0)))</f>
        <v>0</v>
      </c>
      <c r="AF580" s="334">
        <f>$AD580*INDEX(项目参数!$D$5:$D$14,MATCH(服务费底表!$S580,项目参数!$B$5:$B$14,0))</f>
        <v>0</v>
      </c>
      <c r="AG580" s="334">
        <f t="shared" si="521"/>
        <v>0</v>
      </c>
      <c r="AH580" s="328"/>
      <c r="AI580" s="328" t="s">
        <v>654</v>
      </c>
      <c r="AJ580" s="327">
        <v>4</v>
      </c>
      <c r="AK580" s="327">
        <v>4</v>
      </c>
      <c r="AL580" s="327">
        <v>4</v>
      </c>
      <c r="AM580" s="327">
        <v>4</v>
      </c>
      <c r="AN580" s="327">
        <v>4</v>
      </c>
      <c r="AO580" s="327">
        <f t="shared" si="461"/>
        <v>4</v>
      </c>
      <c r="AP580" s="327">
        <v>4</v>
      </c>
      <c r="AQ580" s="327">
        <f t="shared" si="512"/>
        <v>6</v>
      </c>
      <c r="AR580" s="338"/>
      <c r="AS580" s="328">
        <f t="shared" si="523"/>
        <v>0</v>
      </c>
      <c r="AT580" s="328">
        <f t="shared" si="524"/>
        <v>0</v>
      </c>
      <c r="AU580" s="523">
        <v>4</v>
      </c>
      <c r="AV580" s="538"/>
      <c r="AW580" s="538"/>
      <c r="AX580" s="332">
        <v>4</v>
      </c>
      <c r="AY580" s="328" t="b">
        <f t="shared" si="525"/>
        <v>1</v>
      </c>
      <c r="AZ580" s="328" t="b">
        <f t="shared" ref="AZ580:AZ643" si="526">IF(K580&lt;&gt;K579,IF(AZ579=TRUE,FALSE,TRUE),AZ579)</f>
        <v>0</v>
      </c>
    </row>
    <row r="581" ht="27" customHeight="1" spans="1:52">
      <c r="A581" s="326" t="str">
        <f>INDEX('Rate Card'!$A:$A,MATCH(服务费底表!$T581,'Rate Card'!$F:$F,0))</f>
        <v>临床药理</v>
      </c>
      <c r="B581" s="327" t="str">
        <f>INDEX(二三级标准!$G:$G,MATCH(服务费底表!$K581,二三级标准!B:B,0))</f>
        <v>次</v>
      </c>
      <c r="C581" s="327">
        <f>INDEX(服务费明细!$E:$E,MATCH(服务费底表!$K581,服务费明细!$B:$B,0))</f>
        <v>0</v>
      </c>
      <c r="D581" s="327" t="str">
        <f t="shared" ref="D581:D594" si="527">K581&amp;T581</f>
        <v>A125CPS</v>
      </c>
      <c r="E581" s="327" t="str">
        <f t="shared" ref="E581:E594" si="528">M581&amp;T581</f>
        <v>T0446CPS</v>
      </c>
      <c r="F581" s="328"/>
      <c r="G581" s="328" t="s">
        <v>684</v>
      </c>
      <c r="H581" s="326" t="str">
        <f>INDEX('Rate Card'!$B:$B,MATCH(服务费底表!$T581,'Rate Card'!$F:$F,0))</f>
        <v>临床药理</v>
      </c>
      <c r="I581" s="328" t="s">
        <v>925</v>
      </c>
      <c r="J581" s="328" t="str">
        <f>INDEX(二三级标准!$Q:$Q,MATCH(服务费底表!I581,二三级标准!$O:$O,0))</f>
        <v>临床药理</v>
      </c>
      <c r="K581" s="328" t="s">
        <v>355</v>
      </c>
      <c r="L581" s="328" t="str">
        <f>INDEX(二三级标准!C:C,MATCH(服务费底表!K581,二三级标准!$B:$B,0))</f>
        <v>Pop PK/PD(E-R)分析计划撰写</v>
      </c>
      <c r="M581" s="328" t="s">
        <v>1611</v>
      </c>
      <c r="N581" s="328" t="str">
        <f>INDEX(二三级标准!$M:$M,MATCH(服务费底表!$M581,二三级标准!$L:$L,0))</f>
        <v>PopPK/PD(E-R)分析计划起草和修订</v>
      </c>
      <c r="O581" s="328"/>
      <c r="P581" s="531">
        <f>IF(R581=1,INDEX(服务费明细!$E:$E,MATCH(服务费底表!$K581,服务费明细!$B:$B,0)),0)</f>
        <v>0</v>
      </c>
      <c r="Q581" s="328" t="s">
        <v>1176</v>
      </c>
      <c r="R581" s="520">
        <f>IF(AND(Pop计划撰写YN=1,临床药理YN=1),1,0)</f>
        <v>0</v>
      </c>
      <c r="S581" s="328" t="str">
        <f>INDEX('Rate Card'!$D:$D,MATCH(服务费底表!$T581,'Rate Card'!F:F,0))</f>
        <v>临床药理</v>
      </c>
      <c r="T581" s="328" t="s">
        <v>652</v>
      </c>
      <c r="U581" s="522" t="str">
        <f>INDEX('Rate Card'!$E:$E,MATCH(服务费底表!$T581,'Rate Card'!$F:$F,0))</f>
        <v>临床药理专员</v>
      </c>
      <c r="V581" s="331">
        <f>INDEX('Rate Card'!$J:$J,MATCH($T581,'Rate Card'!$F:$F,0))</f>
        <v>580</v>
      </c>
      <c r="W581" s="523">
        <f t="shared" si="505"/>
        <v>580</v>
      </c>
      <c r="X581" s="523">
        <f t="shared" si="506"/>
        <v>24</v>
      </c>
      <c r="Y581" s="327" cm="1">
        <f t="array" ref="Y581">_xlfn.IFS(报价场景=服务费底表!$AJ$2,服务费底表!$AJ581,报价场景=服务费底表!$AP$2,服务费底表!$AP581,报价场景=服务费底表!$AK$2,服务费底表!$AK581,报价场景=服务费底表!$AL$2,服务费底表!$AL581,报价场景=服务费底表!$AM$2,服务费底表!$AM581,报价场景=服务费底表!$AN$2,服务费底表!$AN581,报价场景=服务费底表!$AQ$2,服务费底表!$AQ581,报价场景=服务费底表!$AO$2,服务费底表!$AO581)</f>
        <v>24</v>
      </c>
      <c r="Z581" s="327"/>
      <c r="AA581" s="332">
        <f t="shared" ref="AA581:AA594" si="529">IF(ISBLANK($Z581),$Y581,$Z581)</f>
        <v>24</v>
      </c>
      <c r="AB581" s="333">
        <f t="shared" ref="AB581:AB594" si="530">IFERROR(AD581/P581,0)</f>
        <v>0</v>
      </c>
      <c r="AC581" s="328">
        <f t="shared" ref="AC581:AC594" si="531">AA581*P581*R581</f>
        <v>0</v>
      </c>
      <c r="AD581" s="334">
        <f t="shared" ref="AD581:AD594" si="532">AC581*V581</f>
        <v>0</v>
      </c>
      <c r="AE581" s="334">
        <f>$AB581*(1-INDEX(项目参数!$D$5:$D$14,MATCH(服务费底表!$S581,项目参数!$B$5:$B$14,0)))</f>
        <v>0</v>
      </c>
      <c r="AF581" s="334">
        <f>$AD581*INDEX(项目参数!$D$5:$D$14,MATCH(服务费底表!$S581,项目参数!$B$5:$B$14,0))</f>
        <v>0</v>
      </c>
      <c r="AG581" s="334">
        <f t="shared" ref="AG581:AG612" si="533">AD581-AF581</f>
        <v>0</v>
      </c>
      <c r="AH581" s="328"/>
      <c r="AI581" s="328" t="s">
        <v>652</v>
      </c>
      <c r="AJ581" s="327">
        <v>24</v>
      </c>
      <c r="AK581" s="327">
        <v>24</v>
      </c>
      <c r="AL581" s="327">
        <v>24</v>
      </c>
      <c r="AM581" s="327">
        <v>24</v>
      </c>
      <c r="AN581" s="327">
        <v>24</v>
      </c>
      <c r="AO581" s="327">
        <f t="shared" si="461"/>
        <v>24</v>
      </c>
      <c r="AP581" s="327">
        <v>24</v>
      </c>
      <c r="AQ581" s="327">
        <f t="shared" si="512"/>
        <v>36</v>
      </c>
      <c r="AR581" s="338"/>
      <c r="AS581" s="328">
        <f t="shared" ref="AS581:AS596" si="534">AC581</f>
        <v>0</v>
      </c>
      <c r="AT581" s="328">
        <f t="shared" ref="AT581:AT596" si="535">Y581*P581</f>
        <v>0</v>
      </c>
      <c r="AU581" s="523">
        <v>24</v>
      </c>
      <c r="AV581" s="328"/>
      <c r="AW581" s="328"/>
      <c r="AX581" s="332">
        <v>24</v>
      </c>
      <c r="AY581" s="328" t="b">
        <f t="shared" ref="AY581:AY596" si="536">IF(AX581=AJ581,TRUE,FALSE)</f>
        <v>1</v>
      </c>
      <c r="AZ581" s="328" t="b">
        <f t="shared" si="526"/>
        <v>1</v>
      </c>
    </row>
    <row r="582" ht="27" customHeight="1" spans="1:52">
      <c r="A582" s="326" t="str">
        <f>INDEX('Rate Card'!$A:$A,MATCH(服务费底表!$T582,'Rate Card'!$F:$F,0))</f>
        <v>临床药理</v>
      </c>
      <c r="B582" s="327" t="str">
        <f>INDEX(二三级标准!$G:$G,MATCH(服务费底表!$K582,二三级标准!B:B,0))</f>
        <v>次</v>
      </c>
      <c r="C582" s="327">
        <f>INDEX(服务费明细!$E:$E,MATCH(服务费底表!$K582,服务费明细!$B:$B,0))</f>
        <v>0</v>
      </c>
      <c r="D582" s="327" t="str">
        <f t="shared" si="527"/>
        <v>A125CPSS</v>
      </c>
      <c r="E582" s="327" t="str">
        <f t="shared" si="528"/>
        <v>T0447CPSS</v>
      </c>
      <c r="F582" s="328"/>
      <c r="G582" s="328" t="s">
        <v>684</v>
      </c>
      <c r="H582" s="326" t="str">
        <f>INDEX('Rate Card'!$B:$B,MATCH(服务费底表!$T582,'Rate Card'!$F:$F,0))</f>
        <v>临床药理</v>
      </c>
      <c r="I582" s="328" t="s">
        <v>925</v>
      </c>
      <c r="J582" s="328" t="str">
        <f>INDEX(二三级标准!$Q:$Q,MATCH(服务费底表!I582,二三级标准!$O:$O,0))</f>
        <v>临床药理</v>
      </c>
      <c r="K582" s="328" t="s">
        <v>355</v>
      </c>
      <c r="L582" s="328" t="str">
        <f>INDEX(二三级标准!C:C,MATCH(服务费底表!K582,二三级标准!$B:$B,0))</f>
        <v>Pop PK/PD(E-R)分析计划撰写</v>
      </c>
      <c r="M582" s="328" t="s">
        <v>1612</v>
      </c>
      <c r="N582" s="328" t="str">
        <f>INDEX(二三级标准!$M:$M,MATCH(服务费底表!$M582,二三级标准!$L:$L,0))</f>
        <v>PopPK/PD(E-R)分析计划审核和定稿</v>
      </c>
      <c r="O582" s="328"/>
      <c r="P582" s="531">
        <f>IF(R582=1,INDEX(服务费明细!$E:$E,MATCH(服务费底表!$K582,服务费明细!$B:$B,0)),0)</f>
        <v>0</v>
      </c>
      <c r="Q582" s="328" t="s">
        <v>1176</v>
      </c>
      <c r="R582" s="520">
        <f>IF(AND(Pop计划撰写YN=1,临床药理YN=1),1,0)</f>
        <v>0</v>
      </c>
      <c r="S582" s="328" t="str">
        <f>INDEX('Rate Card'!$D:$D,MATCH(服务费底表!$T582,'Rate Card'!F:F,0))</f>
        <v>临床药理</v>
      </c>
      <c r="T582" s="328" t="s">
        <v>654</v>
      </c>
      <c r="U582" s="522" t="str">
        <f>INDEX('Rate Card'!$E:$E,MATCH(服务费底表!$T582,'Rate Card'!$F:$F,0))</f>
        <v>临床药理高级专员</v>
      </c>
      <c r="V582" s="331">
        <f>INDEX('Rate Card'!$J:$J,MATCH($T582,'Rate Card'!$F:$F,0))</f>
        <v>700</v>
      </c>
      <c r="W582" s="523">
        <f t="shared" si="505"/>
        <v>700</v>
      </c>
      <c r="X582" s="523">
        <f t="shared" si="506"/>
        <v>4</v>
      </c>
      <c r="Y582" s="327" cm="1">
        <f t="array" ref="Y582">_xlfn.IFS(报价场景=服务费底表!$AJ$2,服务费底表!$AJ582,报价场景=服务费底表!$AP$2,服务费底表!$AP582,报价场景=服务费底表!$AK$2,服务费底表!$AK582,报价场景=服务费底表!$AL$2,服务费底表!$AL582,报价场景=服务费底表!$AM$2,服务费底表!$AM582,报价场景=服务费底表!$AN$2,服务费底表!$AN582,报价场景=服务费底表!$AQ$2,服务费底表!$AQ582,报价场景=服务费底表!$AO$2,服务费底表!$AO582)</f>
        <v>4</v>
      </c>
      <c r="Z582" s="327"/>
      <c r="AA582" s="332">
        <f t="shared" si="529"/>
        <v>4</v>
      </c>
      <c r="AB582" s="333">
        <f t="shared" si="530"/>
        <v>0</v>
      </c>
      <c r="AC582" s="328">
        <f t="shared" si="531"/>
        <v>0</v>
      </c>
      <c r="AD582" s="334">
        <f t="shared" si="532"/>
        <v>0</v>
      </c>
      <c r="AE582" s="334">
        <f>$AB582*(1-INDEX(项目参数!$D$5:$D$14,MATCH(服务费底表!$S582,项目参数!$B$5:$B$14,0)))</f>
        <v>0</v>
      </c>
      <c r="AF582" s="334">
        <f>$AD582*INDEX(项目参数!$D$5:$D$14,MATCH(服务费底表!$S582,项目参数!$B$5:$B$14,0))</f>
        <v>0</v>
      </c>
      <c r="AG582" s="334">
        <f t="shared" si="533"/>
        <v>0</v>
      </c>
      <c r="AH582" s="328"/>
      <c r="AI582" s="328" t="s">
        <v>654</v>
      </c>
      <c r="AJ582" s="327">
        <v>4</v>
      </c>
      <c r="AK582" s="327">
        <v>4</v>
      </c>
      <c r="AL582" s="327">
        <v>4</v>
      </c>
      <c r="AM582" s="327">
        <v>4</v>
      </c>
      <c r="AN582" s="327">
        <v>4</v>
      </c>
      <c r="AO582" s="327">
        <f t="shared" si="461"/>
        <v>4</v>
      </c>
      <c r="AP582" s="327">
        <v>4</v>
      </c>
      <c r="AQ582" s="327">
        <f t="shared" si="512"/>
        <v>6</v>
      </c>
      <c r="AR582" s="338"/>
      <c r="AS582" s="328">
        <f t="shared" si="534"/>
        <v>0</v>
      </c>
      <c r="AT582" s="328">
        <f t="shared" si="535"/>
        <v>0</v>
      </c>
      <c r="AU582" s="523">
        <v>4</v>
      </c>
      <c r="AV582" s="328"/>
      <c r="AW582" s="328"/>
      <c r="AX582" s="332">
        <v>4</v>
      </c>
      <c r="AY582" s="328" t="b">
        <f t="shared" si="536"/>
        <v>1</v>
      </c>
      <c r="AZ582" s="328" t="b">
        <f t="shared" si="526"/>
        <v>1</v>
      </c>
    </row>
    <row r="583" ht="27" customHeight="1" spans="1:52">
      <c r="A583" s="326" t="str">
        <f>INDEX('Rate Card'!$A:$A,MATCH(服务费底表!$T583,'Rate Card'!$F:$F,0))</f>
        <v>临床药理</v>
      </c>
      <c r="B583" s="327" t="str">
        <f>INDEX(二三级标准!$G:$G,MATCH(服务费底表!$K583,二三级标准!B:B,0))</f>
        <v>次</v>
      </c>
      <c r="C583" s="327">
        <f>INDEX(服务费明细!$E:$E,MATCH(服务费底表!$K583,服务费明细!$B:$B,0))</f>
        <v>0</v>
      </c>
      <c r="D583" s="327" t="str">
        <f t="shared" si="527"/>
        <v>A126CPS</v>
      </c>
      <c r="E583" s="327" t="str">
        <f t="shared" si="528"/>
        <v>T0448CPS</v>
      </c>
      <c r="F583" s="328"/>
      <c r="G583" s="328" t="s">
        <v>684</v>
      </c>
      <c r="H583" s="326" t="str">
        <f>INDEX('Rate Card'!$B:$B,MATCH(服务费底表!$T583,'Rate Card'!$F:$F,0))</f>
        <v>临床药理</v>
      </c>
      <c r="I583" s="328" t="s">
        <v>925</v>
      </c>
      <c r="J583" s="328" t="str">
        <f>INDEX(二三级标准!$Q:$Q,MATCH(服务费底表!I583,二三级标准!$O:$O,0))</f>
        <v>临床药理</v>
      </c>
      <c r="K583" s="328" t="s">
        <v>357</v>
      </c>
      <c r="L583" s="328" t="str">
        <f>INDEX(二三级标准!C:C,MATCH(服务费底表!K583,二三级标准!$B:$B,0))</f>
        <v>整理Pop PK/PD(E-R)分析数据集</v>
      </c>
      <c r="M583" s="328" t="s">
        <v>1613</v>
      </c>
      <c r="N583" s="328" t="str">
        <f>INDEX(二三级标准!$M:$M,MATCH(服务费底表!$M583,二三级标准!$L:$L,0))</f>
        <v>Pop PK/PD(E-R)分析数据清洗和整理</v>
      </c>
      <c r="O583" s="328"/>
      <c r="P583" s="531">
        <f>IF(R583=1,INDEX(服务费明细!$E:$E,MATCH(服务费底表!$K583,服务费明细!$B:$B,0)),0)</f>
        <v>0</v>
      </c>
      <c r="Q583" s="328" t="s">
        <v>1178</v>
      </c>
      <c r="R583" s="520">
        <f>IF(AND(整理Pop数据集YN=1,临床药理YN=1),1,0)</f>
        <v>0</v>
      </c>
      <c r="S583" s="328" t="str">
        <f>INDEX('Rate Card'!$D:$D,MATCH(服务费底表!$T583,'Rate Card'!F:F,0))</f>
        <v>临床药理</v>
      </c>
      <c r="T583" s="328" t="s">
        <v>652</v>
      </c>
      <c r="U583" s="522" t="str">
        <f>INDEX('Rate Card'!$E:$E,MATCH(服务费底表!$T583,'Rate Card'!$F:$F,0))</f>
        <v>临床药理专员</v>
      </c>
      <c r="V583" s="331">
        <f>INDEX('Rate Card'!$J:$J,MATCH($T583,'Rate Card'!$F:$F,0))</f>
        <v>580</v>
      </c>
      <c r="W583" s="523">
        <f t="shared" si="505"/>
        <v>580</v>
      </c>
      <c r="X583" s="523">
        <f t="shared" si="506"/>
        <v>20</v>
      </c>
      <c r="Y583" s="327" cm="1">
        <f t="array" ref="Y583">_xlfn.IFS(报价场景=服务费底表!$AJ$2,服务费底表!$AJ583,报价场景=服务费底表!$AP$2,服务费底表!$AP583,报价场景=服务费底表!$AK$2,服务费底表!$AK583,报价场景=服务费底表!$AL$2,服务费底表!$AL583,报价场景=服务费底表!$AM$2,服务费底表!$AM583,报价场景=服务费底表!$AN$2,服务费底表!$AN583,报价场景=服务费底表!$AQ$2,服务费底表!$AQ583,报价场景=服务费底表!$AO$2,服务费底表!$AO583)</f>
        <v>20</v>
      </c>
      <c r="Z583" s="327"/>
      <c r="AA583" s="332">
        <f t="shared" si="529"/>
        <v>20</v>
      </c>
      <c r="AB583" s="333">
        <f t="shared" si="530"/>
        <v>0</v>
      </c>
      <c r="AC583" s="328">
        <f t="shared" si="531"/>
        <v>0</v>
      </c>
      <c r="AD583" s="334">
        <f t="shared" si="532"/>
        <v>0</v>
      </c>
      <c r="AE583" s="334">
        <f>$AB583*(1-INDEX(项目参数!$D$5:$D$14,MATCH(服务费底表!$S583,项目参数!$B$5:$B$14,0)))</f>
        <v>0</v>
      </c>
      <c r="AF583" s="334">
        <f>$AD583*INDEX(项目参数!$D$5:$D$14,MATCH(服务费底表!$S583,项目参数!$B$5:$B$14,0))</f>
        <v>0</v>
      </c>
      <c r="AG583" s="334">
        <f t="shared" si="533"/>
        <v>0</v>
      </c>
      <c r="AH583" s="328"/>
      <c r="AI583" s="328" t="s">
        <v>652</v>
      </c>
      <c r="AJ583" s="327">
        <v>20</v>
      </c>
      <c r="AK583" s="327">
        <v>20</v>
      </c>
      <c r="AL583" s="327">
        <v>20</v>
      </c>
      <c r="AM583" s="327">
        <v>20</v>
      </c>
      <c r="AN583" s="327">
        <v>20</v>
      </c>
      <c r="AO583" s="327">
        <f t="shared" si="461"/>
        <v>20</v>
      </c>
      <c r="AP583" s="327">
        <v>20</v>
      </c>
      <c r="AQ583" s="327">
        <f t="shared" si="512"/>
        <v>30</v>
      </c>
      <c r="AR583" s="338"/>
      <c r="AS583" s="328">
        <f t="shared" si="534"/>
        <v>0</v>
      </c>
      <c r="AT583" s="328">
        <f t="shared" si="535"/>
        <v>0</v>
      </c>
      <c r="AU583" s="523">
        <v>20</v>
      </c>
      <c r="AV583" s="328"/>
      <c r="AW583" s="328"/>
      <c r="AX583" s="332">
        <v>20</v>
      </c>
      <c r="AY583" s="328" t="b">
        <f t="shared" si="536"/>
        <v>1</v>
      </c>
      <c r="AZ583" s="328" t="b">
        <f t="shared" si="526"/>
        <v>0</v>
      </c>
    </row>
    <row r="584" ht="27" customHeight="1" spans="1:52">
      <c r="A584" s="326" t="str">
        <f>INDEX('Rate Card'!$A:$A,MATCH(服务费底表!$T584,'Rate Card'!$F:$F,0))</f>
        <v>临床药理</v>
      </c>
      <c r="B584" s="327" t="str">
        <f>INDEX(二三级标准!$G:$G,MATCH(服务费底表!$K584,二三级标准!B:B,0))</f>
        <v>次</v>
      </c>
      <c r="C584" s="327">
        <f>INDEX(服务费明细!$E:$E,MATCH(服务费底表!$K584,服务费明细!$B:$B,0))</f>
        <v>0</v>
      </c>
      <c r="D584" s="327" t="str">
        <f t="shared" si="527"/>
        <v>A126CPSS</v>
      </c>
      <c r="E584" s="327" t="str">
        <f t="shared" si="528"/>
        <v>T0449CPSS</v>
      </c>
      <c r="F584" s="328"/>
      <c r="G584" s="328" t="s">
        <v>684</v>
      </c>
      <c r="H584" s="326" t="str">
        <f>INDEX('Rate Card'!$B:$B,MATCH(服务费底表!$T584,'Rate Card'!$F:$F,0))</f>
        <v>临床药理</v>
      </c>
      <c r="I584" s="328" t="s">
        <v>925</v>
      </c>
      <c r="J584" s="328" t="str">
        <f>INDEX(二三级标准!$Q:$Q,MATCH(服务费底表!I584,二三级标准!$O:$O,0))</f>
        <v>临床药理</v>
      </c>
      <c r="K584" s="328" t="s">
        <v>357</v>
      </c>
      <c r="L584" s="328" t="str">
        <f>INDEX(二三级标准!C:C,MATCH(服务费底表!K584,二三级标准!$B:$B,0))</f>
        <v>整理Pop PK/PD(E-R)分析数据集</v>
      </c>
      <c r="M584" s="328" t="s">
        <v>1614</v>
      </c>
      <c r="N584" s="328" t="str">
        <f>INDEX(二三级标准!$M:$M,MATCH(服务费底表!$M584,二三级标准!$L:$L,0))</f>
        <v>Pop PK/PD(E-R)分析数据集复核</v>
      </c>
      <c r="O584" s="328"/>
      <c r="P584" s="531">
        <f>IF(R584=1,INDEX(服务费明细!$E:$E,MATCH(服务费底表!$K584,服务费明细!$B:$B,0)),0)</f>
        <v>0</v>
      </c>
      <c r="Q584" s="328" t="s">
        <v>1178</v>
      </c>
      <c r="R584" s="520">
        <f>IF(AND(Pop计划撰写YN=1,临床药理YN=1),1,0)</f>
        <v>0</v>
      </c>
      <c r="S584" s="328" t="str">
        <f>INDEX('Rate Card'!$D:$D,MATCH(服务费底表!$T584,'Rate Card'!F:F,0))</f>
        <v>临床药理</v>
      </c>
      <c r="T584" s="328" t="s">
        <v>654</v>
      </c>
      <c r="U584" s="522" t="str">
        <f>INDEX('Rate Card'!$E:$E,MATCH(服务费底表!$T584,'Rate Card'!$F:$F,0))</f>
        <v>临床药理高级专员</v>
      </c>
      <c r="V584" s="331">
        <f>INDEX('Rate Card'!$J:$J,MATCH($T584,'Rate Card'!$F:$F,0))</f>
        <v>700</v>
      </c>
      <c r="W584" s="523">
        <f t="shared" si="505"/>
        <v>700</v>
      </c>
      <c r="X584" s="523">
        <f t="shared" si="506"/>
        <v>4</v>
      </c>
      <c r="Y584" s="327" cm="1">
        <f t="array" ref="Y584">_xlfn.IFS(报价场景=服务费底表!$AJ$2,服务费底表!$AJ584,报价场景=服务费底表!$AP$2,服务费底表!$AP584,报价场景=服务费底表!$AK$2,服务费底表!$AK584,报价场景=服务费底表!$AL$2,服务费底表!$AL584,报价场景=服务费底表!$AM$2,服务费底表!$AM584,报价场景=服务费底表!$AN$2,服务费底表!$AN584,报价场景=服务费底表!$AQ$2,服务费底表!$AQ584,报价场景=服务费底表!$AO$2,服务费底表!$AO584)</f>
        <v>4</v>
      </c>
      <c r="Z584" s="327"/>
      <c r="AA584" s="332">
        <f t="shared" si="529"/>
        <v>4</v>
      </c>
      <c r="AB584" s="333">
        <f t="shared" si="530"/>
        <v>0</v>
      </c>
      <c r="AC584" s="328">
        <f t="shared" si="531"/>
        <v>0</v>
      </c>
      <c r="AD584" s="334">
        <f t="shared" si="532"/>
        <v>0</v>
      </c>
      <c r="AE584" s="334">
        <f>$AB584*(1-INDEX(项目参数!$D$5:$D$14,MATCH(服务费底表!$S584,项目参数!$B$5:$B$14,0)))</f>
        <v>0</v>
      </c>
      <c r="AF584" s="334">
        <f>$AD584*INDEX(项目参数!$D$5:$D$14,MATCH(服务费底表!$S584,项目参数!$B$5:$B$14,0))</f>
        <v>0</v>
      </c>
      <c r="AG584" s="334">
        <f t="shared" si="533"/>
        <v>0</v>
      </c>
      <c r="AH584" s="328"/>
      <c r="AI584" s="328" t="s">
        <v>654</v>
      </c>
      <c r="AJ584" s="327">
        <v>4</v>
      </c>
      <c r="AK584" s="327">
        <v>4</v>
      </c>
      <c r="AL584" s="327">
        <v>4</v>
      </c>
      <c r="AM584" s="327">
        <v>4</v>
      </c>
      <c r="AN584" s="327">
        <v>4</v>
      </c>
      <c r="AO584" s="327">
        <f t="shared" si="461"/>
        <v>4</v>
      </c>
      <c r="AP584" s="327">
        <v>4</v>
      </c>
      <c r="AQ584" s="327">
        <f t="shared" si="512"/>
        <v>6</v>
      </c>
      <c r="AR584" s="338"/>
      <c r="AS584" s="328">
        <f t="shared" si="534"/>
        <v>0</v>
      </c>
      <c r="AT584" s="328">
        <f t="shared" si="535"/>
        <v>0</v>
      </c>
      <c r="AU584" s="523">
        <v>4</v>
      </c>
      <c r="AV584" s="328"/>
      <c r="AW584" s="328"/>
      <c r="AX584" s="332">
        <v>4</v>
      </c>
      <c r="AY584" s="328" t="b">
        <f t="shared" si="536"/>
        <v>1</v>
      </c>
      <c r="AZ584" s="328" t="b">
        <f t="shared" si="526"/>
        <v>0</v>
      </c>
    </row>
    <row r="585" ht="27" customHeight="1" spans="1:52">
      <c r="A585" s="326" t="str">
        <f>INDEX('Rate Card'!$A:$A,MATCH(服务费底表!$T585,'Rate Card'!$F:$F,0))</f>
        <v>临床药理</v>
      </c>
      <c r="B585" s="327" t="str">
        <f>INDEX(二三级标准!$G:$G,MATCH(服务费底表!$K585,二三级标准!B:B,0))</f>
        <v>次</v>
      </c>
      <c r="C585" s="327">
        <f>INDEX(服务费明细!$E:$E,MATCH(服务费底表!$K585,服务费明细!$B:$B,0))</f>
        <v>0</v>
      </c>
      <c r="D585" s="327" t="str">
        <f t="shared" si="527"/>
        <v>A127CPS</v>
      </c>
      <c r="E585" s="327" t="str">
        <f t="shared" si="528"/>
        <v>T0450CPS</v>
      </c>
      <c r="F585" s="328"/>
      <c r="G585" s="328" t="s">
        <v>684</v>
      </c>
      <c r="H585" s="326" t="str">
        <f>INDEX('Rate Card'!$B:$B,MATCH(服务费底表!$T585,'Rate Card'!$F:$F,0))</f>
        <v>临床药理</v>
      </c>
      <c r="I585" s="328" t="s">
        <v>925</v>
      </c>
      <c r="J585" s="328" t="str">
        <f>INDEX(二三级标准!$Q:$Q,MATCH(服务费底表!I585,二三级标准!$O:$O,0))</f>
        <v>临床药理</v>
      </c>
      <c r="K585" s="328" t="s">
        <v>359</v>
      </c>
      <c r="L585" s="328" t="str">
        <f>INDEX(二三级标准!C:C,MATCH(服务费底表!K585,二三级标准!$B:$B,0))</f>
        <v>Pop PK/PD(E-R)分析建模与模拟</v>
      </c>
      <c r="M585" s="328" t="s">
        <v>1615</v>
      </c>
      <c r="N585" s="328" t="str">
        <f>INDEX(二三级标准!$M:$M,MATCH(服务费底表!$M585,二三级标准!$L:$L,0))</f>
        <v>PopPK/PD模型建立</v>
      </c>
      <c r="O585" s="328"/>
      <c r="P585" s="531">
        <f>IF(R585=1,INDEX(服务费明细!$E:$E,MATCH(服务费底表!$K585,服务费明细!$B:$B,0)),0)</f>
        <v>0</v>
      </c>
      <c r="Q585" s="328" t="s">
        <v>1178</v>
      </c>
      <c r="R585" s="520">
        <f t="shared" ref="R585:R594" si="537">IF(AND(Pop建模与模拟YN=1,临床药理YN=1),1,0)</f>
        <v>0</v>
      </c>
      <c r="S585" s="328" t="str">
        <f>INDEX('Rate Card'!$D:$D,MATCH(服务费底表!$T585,'Rate Card'!F:F,0))</f>
        <v>临床药理</v>
      </c>
      <c r="T585" s="328" t="s">
        <v>652</v>
      </c>
      <c r="U585" s="522" t="str">
        <f>INDEX('Rate Card'!$E:$E,MATCH(服务费底表!$T585,'Rate Card'!$F:$F,0))</f>
        <v>临床药理专员</v>
      </c>
      <c r="V585" s="331">
        <f>INDEX('Rate Card'!$J:$J,MATCH($T585,'Rate Card'!$F:$F,0))</f>
        <v>580</v>
      </c>
      <c r="W585" s="523">
        <f t="shared" si="505"/>
        <v>580</v>
      </c>
      <c r="X585" s="523">
        <f t="shared" si="506"/>
        <v>64</v>
      </c>
      <c r="Y585" s="327" cm="1">
        <f t="array" ref="Y585">_xlfn.IFS(报价场景=服务费底表!$AJ$2,服务费底表!$AJ585,报价场景=服务费底表!$AP$2,服务费底表!$AP585,报价场景=服务费底表!$AK$2,服务费底表!$AK585,报价场景=服务费底表!$AL$2,服务费底表!$AL585,报价场景=服务费底表!$AM$2,服务费底表!$AM585,报价场景=服务费底表!$AN$2,服务费底表!$AN585,报价场景=服务费底表!$AQ$2,服务费底表!$AQ585,报价场景=服务费底表!$AO$2,服务费底表!$AO585)</f>
        <v>64</v>
      </c>
      <c r="Z585" s="327"/>
      <c r="AA585" s="332">
        <f t="shared" si="529"/>
        <v>64</v>
      </c>
      <c r="AB585" s="333">
        <f t="shared" si="530"/>
        <v>0</v>
      </c>
      <c r="AC585" s="328">
        <f t="shared" si="531"/>
        <v>0</v>
      </c>
      <c r="AD585" s="334">
        <f t="shared" si="532"/>
        <v>0</v>
      </c>
      <c r="AE585" s="334">
        <f>$AB585*(1-INDEX(项目参数!$D$5:$D$14,MATCH(服务费底表!$S585,项目参数!$B$5:$B$14,0)))</f>
        <v>0</v>
      </c>
      <c r="AF585" s="334">
        <f>$AD585*INDEX(项目参数!$D$5:$D$14,MATCH(服务费底表!$S585,项目参数!$B$5:$B$14,0))</f>
        <v>0</v>
      </c>
      <c r="AG585" s="334">
        <f t="shared" si="533"/>
        <v>0</v>
      </c>
      <c r="AH585" s="328"/>
      <c r="AI585" s="328" t="s">
        <v>652</v>
      </c>
      <c r="AJ585" s="327">
        <v>64</v>
      </c>
      <c r="AK585" s="327">
        <v>64</v>
      </c>
      <c r="AL585" s="327">
        <v>64</v>
      </c>
      <c r="AM585" s="327">
        <v>64</v>
      </c>
      <c r="AN585" s="327">
        <v>64</v>
      </c>
      <c r="AO585" s="327">
        <f t="shared" si="461"/>
        <v>64</v>
      </c>
      <c r="AP585" s="327">
        <v>64</v>
      </c>
      <c r="AQ585" s="327">
        <f t="shared" si="512"/>
        <v>96</v>
      </c>
      <c r="AR585" s="338"/>
      <c r="AS585" s="328">
        <f t="shared" si="534"/>
        <v>0</v>
      </c>
      <c r="AT585" s="328">
        <f t="shared" si="535"/>
        <v>0</v>
      </c>
      <c r="AU585" s="523">
        <v>64</v>
      </c>
      <c r="AV585" s="328"/>
      <c r="AW585" s="328"/>
      <c r="AX585" s="332">
        <v>64</v>
      </c>
      <c r="AY585" s="328" t="b">
        <f t="shared" si="536"/>
        <v>1</v>
      </c>
      <c r="AZ585" s="328" t="b">
        <f t="shared" si="526"/>
        <v>1</v>
      </c>
    </row>
    <row r="586" ht="27" customHeight="1" spans="1:52">
      <c r="A586" s="326" t="str">
        <f>INDEX('Rate Card'!$A:$A,MATCH(服务费底表!$T586,'Rate Card'!$F:$F,0))</f>
        <v>临床药理</v>
      </c>
      <c r="B586" s="327" t="str">
        <f>INDEX(二三级标准!$G:$G,MATCH(服务费底表!$K586,二三级标准!B:B,0))</f>
        <v>次</v>
      </c>
      <c r="C586" s="327">
        <f>INDEX(服务费明细!$E:$E,MATCH(服务费底表!$K586,服务费明细!$B:$B,0))</f>
        <v>0</v>
      </c>
      <c r="D586" s="327" t="str">
        <f t="shared" si="527"/>
        <v>A127CPSS</v>
      </c>
      <c r="E586" s="327" t="str">
        <f t="shared" si="528"/>
        <v>T0450CPSS</v>
      </c>
      <c r="F586" s="328"/>
      <c r="G586" s="328" t="s">
        <v>684</v>
      </c>
      <c r="H586" s="326" t="str">
        <f>INDEX('Rate Card'!$B:$B,MATCH(服务费底表!$T586,'Rate Card'!$F:$F,0))</f>
        <v>临床药理</v>
      </c>
      <c r="I586" s="328" t="s">
        <v>925</v>
      </c>
      <c r="J586" s="328" t="str">
        <f>INDEX(二三级标准!$Q:$Q,MATCH(服务费底表!I586,二三级标准!$O:$O,0))</f>
        <v>临床药理</v>
      </c>
      <c r="K586" s="328" t="s">
        <v>359</v>
      </c>
      <c r="L586" s="328" t="str">
        <f>INDEX(二三级标准!C:C,MATCH(服务费底表!K586,二三级标准!$B:$B,0))</f>
        <v>Pop PK/PD(E-R)分析建模与模拟</v>
      </c>
      <c r="M586" s="328" t="s">
        <v>1615</v>
      </c>
      <c r="N586" s="328" t="str">
        <f>INDEX(二三级标准!$M:$M,MATCH(服务费底表!$M586,二三级标准!$L:$L,0))</f>
        <v>PopPK/PD模型建立</v>
      </c>
      <c r="O586" s="328"/>
      <c r="P586" s="531">
        <f>IF(R586=1,INDEX(服务费明细!$E:$E,MATCH(服务费底表!$K586,服务费明细!$B:$B,0)),0)</f>
        <v>0</v>
      </c>
      <c r="Q586" s="328" t="s">
        <v>1178</v>
      </c>
      <c r="R586" s="520">
        <f t="shared" si="537"/>
        <v>0</v>
      </c>
      <c r="S586" s="328" t="str">
        <f>INDEX('Rate Card'!$D:$D,MATCH(服务费底表!$T586,'Rate Card'!F:F,0))</f>
        <v>临床药理</v>
      </c>
      <c r="T586" s="328" t="s">
        <v>654</v>
      </c>
      <c r="U586" s="522" t="str">
        <f>INDEX('Rate Card'!$E:$E,MATCH(服务费底表!$T586,'Rate Card'!$F:$F,0))</f>
        <v>临床药理高级专员</v>
      </c>
      <c r="V586" s="331">
        <f>INDEX('Rate Card'!$J:$J,MATCH($T586,'Rate Card'!$F:$F,0))</f>
        <v>700</v>
      </c>
      <c r="W586" s="523">
        <f t="shared" si="505"/>
        <v>700</v>
      </c>
      <c r="X586" s="523">
        <f t="shared" si="506"/>
        <v>24</v>
      </c>
      <c r="Y586" s="327" cm="1">
        <f t="array" ref="Y586">_xlfn.IFS(报价场景=服务费底表!$AJ$2,服务费底表!$AJ586,报价场景=服务费底表!$AP$2,服务费底表!$AP586,报价场景=服务费底表!$AK$2,服务费底表!$AK586,报价场景=服务费底表!$AL$2,服务费底表!$AL586,报价场景=服务费底表!$AM$2,服务费底表!$AM586,报价场景=服务费底表!$AN$2,服务费底表!$AN586,报价场景=服务费底表!$AQ$2,服务费底表!$AQ586,报价场景=服务费底表!$AO$2,服务费底表!$AO586)</f>
        <v>24</v>
      </c>
      <c r="Z586" s="327"/>
      <c r="AA586" s="332">
        <f t="shared" si="529"/>
        <v>24</v>
      </c>
      <c r="AB586" s="333">
        <f t="shared" si="530"/>
        <v>0</v>
      </c>
      <c r="AC586" s="328">
        <f t="shared" si="531"/>
        <v>0</v>
      </c>
      <c r="AD586" s="334">
        <f t="shared" si="532"/>
        <v>0</v>
      </c>
      <c r="AE586" s="334">
        <f>$AB586*(1-INDEX(项目参数!$D$5:$D$14,MATCH(服务费底表!$S586,项目参数!$B$5:$B$14,0)))</f>
        <v>0</v>
      </c>
      <c r="AF586" s="334">
        <f>$AD586*INDEX(项目参数!$D$5:$D$14,MATCH(服务费底表!$S586,项目参数!$B$5:$B$14,0))</f>
        <v>0</v>
      </c>
      <c r="AG586" s="334">
        <f t="shared" si="533"/>
        <v>0</v>
      </c>
      <c r="AH586" s="328"/>
      <c r="AI586" s="328" t="s">
        <v>654</v>
      </c>
      <c r="AJ586" s="327">
        <v>24</v>
      </c>
      <c r="AK586" s="327">
        <v>24</v>
      </c>
      <c r="AL586" s="327">
        <v>24</v>
      </c>
      <c r="AM586" s="327">
        <v>24</v>
      </c>
      <c r="AN586" s="327">
        <v>24</v>
      </c>
      <c r="AO586" s="327">
        <f t="shared" ref="AO586:AO594" si="538">AL586</f>
        <v>24</v>
      </c>
      <c r="AP586" s="327">
        <v>24</v>
      </c>
      <c r="AQ586" s="327">
        <f t="shared" si="512"/>
        <v>36</v>
      </c>
      <c r="AR586" s="338"/>
      <c r="AS586" s="328">
        <f t="shared" si="534"/>
        <v>0</v>
      </c>
      <c r="AT586" s="328">
        <f t="shared" si="535"/>
        <v>0</v>
      </c>
      <c r="AU586" s="523">
        <v>24</v>
      </c>
      <c r="AV586" s="328"/>
      <c r="AW586" s="328"/>
      <c r="AX586" s="332">
        <v>24</v>
      </c>
      <c r="AY586" s="328" t="b">
        <f t="shared" si="536"/>
        <v>1</v>
      </c>
      <c r="AZ586" s="328" t="b">
        <f t="shared" si="526"/>
        <v>1</v>
      </c>
    </row>
    <row r="587" ht="27" customHeight="1" spans="1:52">
      <c r="A587" s="326" t="str">
        <f>INDEX('Rate Card'!$A:$A,MATCH(服务费底表!$T587,'Rate Card'!$F:$F,0))</f>
        <v>临床药理</v>
      </c>
      <c r="B587" s="327" t="str">
        <f>INDEX(二三级标准!$G:$G,MATCH(服务费底表!$K587,二三级标准!B:B,0))</f>
        <v>次</v>
      </c>
      <c r="C587" s="327">
        <f>INDEX(服务费明细!$E:$E,MATCH(服务费底表!$K587,服务费明细!$B:$B,0))</f>
        <v>0</v>
      </c>
      <c r="D587" s="327" t="str">
        <f t="shared" si="527"/>
        <v>A127CPS</v>
      </c>
      <c r="E587" s="327" t="str">
        <f t="shared" si="528"/>
        <v>T0451CPS</v>
      </c>
      <c r="F587" s="328"/>
      <c r="G587" s="328" t="s">
        <v>684</v>
      </c>
      <c r="H587" s="326" t="str">
        <f>INDEX('Rate Card'!$B:$B,MATCH(服务费底表!$T587,'Rate Card'!$F:$F,0))</f>
        <v>临床药理</v>
      </c>
      <c r="I587" s="328" t="s">
        <v>925</v>
      </c>
      <c r="J587" s="328" t="str">
        <f>INDEX(二三级标准!$Q:$Q,MATCH(服务费底表!I587,二三级标准!$O:$O,0))</f>
        <v>临床药理</v>
      </c>
      <c r="K587" s="328" t="s">
        <v>359</v>
      </c>
      <c r="L587" s="328" t="str">
        <f>INDEX(二三级标准!C:C,MATCH(服务费底表!K587,二三级标准!$B:$B,0))</f>
        <v>Pop PK/PD(E-R)分析建模与模拟</v>
      </c>
      <c r="M587" s="328" t="s">
        <v>1616</v>
      </c>
      <c r="N587" s="328" t="str">
        <f>INDEX(二三级标准!$M:$M,MATCH(服务费底表!$M587,二三级标准!$L:$L,0))</f>
        <v>PopPK/PD模型验证</v>
      </c>
      <c r="O587" s="328"/>
      <c r="P587" s="531">
        <f>IF(R587=1,INDEX(服务费明细!$E:$E,MATCH(服务费底表!$K587,服务费明细!$B:$B,0)),0)</f>
        <v>0</v>
      </c>
      <c r="Q587" s="328" t="s">
        <v>1178</v>
      </c>
      <c r="R587" s="520">
        <f t="shared" si="537"/>
        <v>0</v>
      </c>
      <c r="S587" s="328" t="str">
        <f>INDEX('Rate Card'!$D:$D,MATCH(服务费底表!$T587,'Rate Card'!F:F,0))</f>
        <v>临床药理</v>
      </c>
      <c r="T587" s="328" t="s">
        <v>652</v>
      </c>
      <c r="U587" s="522" t="str">
        <f>INDEX('Rate Card'!$E:$E,MATCH(服务费底表!$T587,'Rate Card'!$F:$F,0))</f>
        <v>临床药理专员</v>
      </c>
      <c r="V587" s="331">
        <f>INDEX('Rate Card'!$J:$J,MATCH($T587,'Rate Card'!$F:$F,0))</f>
        <v>580</v>
      </c>
      <c r="W587" s="523">
        <f t="shared" si="505"/>
        <v>580</v>
      </c>
      <c r="X587" s="523">
        <f t="shared" si="506"/>
        <v>8</v>
      </c>
      <c r="Y587" s="327" cm="1">
        <f t="array" ref="Y587">_xlfn.IFS(报价场景=服务费底表!$AJ$2,服务费底表!$AJ587,报价场景=服务费底表!$AP$2,服务费底表!$AP587,报价场景=服务费底表!$AK$2,服务费底表!$AK587,报价场景=服务费底表!$AL$2,服务费底表!$AL587,报价场景=服务费底表!$AM$2,服务费底表!$AM587,报价场景=服务费底表!$AN$2,服务费底表!$AN587,报价场景=服务费底表!$AQ$2,服务费底表!$AQ587,报价场景=服务费底表!$AO$2,服务费底表!$AO587)</f>
        <v>8</v>
      </c>
      <c r="Z587" s="327"/>
      <c r="AA587" s="332">
        <f t="shared" si="529"/>
        <v>8</v>
      </c>
      <c r="AB587" s="333">
        <f t="shared" si="530"/>
        <v>0</v>
      </c>
      <c r="AC587" s="328">
        <f t="shared" si="531"/>
        <v>0</v>
      </c>
      <c r="AD587" s="334">
        <f t="shared" si="532"/>
        <v>0</v>
      </c>
      <c r="AE587" s="334">
        <f>$AB587*(1-INDEX(项目参数!$D$5:$D$14,MATCH(服务费底表!$S587,项目参数!$B$5:$B$14,0)))</f>
        <v>0</v>
      </c>
      <c r="AF587" s="334">
        <f>$AD587*INDEX(项目参数!$D$5:$D$14,MATCH(服务费底表!$S587,项目参数!$B$5:$B$14,0))</f>
        <v>0</v>
      </c>
      <c r="AG587" s="334">
        <f t="shared" si="533"/>
        <v>0</v>
      </c>
      <c r="AH587" s="328"/>
      <c r="AI587" s="328" t="s">
        <v>652</v>
      </c>
      <c r="AJ587" s="327">
        <v>8</v>
      </c>
      <c r="AK587" s="327">
        <v>8</v>
      </c>
      <c r="AL587" s="327">
        <v>8</v>
      </c>
      <c r="AM587" s="327">
        <v>8</v>
      </c>
      <c r="AN587" s="327">
        <v>8</v>
      </c>
      <c r="AO587" s="327">
        <f t="shared" si="538"/>
        <v>8</v>
      </c>
      <c r="AP587" s="327">
        <v>8</v>
      </c>
      <c r="AQ587" s="327">
        <f t="shared" si="512"/>
        <v>12</v>
      </c>
      <c r="AR587" s="338"/>
      <c r="AS587" s="328">
        <f t="shared" si="534"/>
        <v>0</v>
      </c>
      <c r="AT587" s="328">
        <f t="shared" si="535"/>
        <v>0</v>
      </c>
      <c r="AU587" s="523">
        <v>8</v>
      </c>
      <c r="AV587" s="328"/>
      <c r="AW587" s="328"/>
      <c r="AX587" s="332">
        <v>8</v>
      </c>
      <c r="AY587" s="328" t="b">
        <f t="shared" si="536"/>
        <v>1</v>
      </c>
      <c r="AZ587" s="328" t="b">
        <f t="shared" si="526"/>
        <v>1</v>
      </c>
    </row>
    <row r="588" ht="27" customHeight="1" spans="1:52">
      <c r="A588" s="326" t="str">
        <f>INDEX('Rate Card'!$A:$A,MATCH(服务费底表!$T588,'Rate Card'!$F:$F,0))</f>
        <v>临床药理</v>
      </c>
      <c r="B588" s="327" t="str">
        <f>INDEX(二三级标准!$G:$G,MATCH(服务费底表!$K588,二三级标准!B:B,0))</f>
        <v>次</v>
      </c>
      <c r="C588" s="327">
        <f>INDEX(服务费明细!$E:$E,MATCH(服务费底表!$K588,服务费明细!$B:$B,0))</f>
        <v>0</v>
      </c>
      <c r="D588" s="327" t="str">
        <f t="shared" si="527"/>
        <v>A127CPSS</v>
      </c>
      <c r="E588" s="327" t="str">
        <f t="shared" si="528"/>
        <v>T0451CPSS</v>
      </c>
      <c r="F588" s="328"/>
      <c r="G588" s="328" t="s">
        <v>684</v>
      </c>
      <c r="H588" s="326" t="str">
        <f>INDEX('Rate Card'!$B:$B,MATCH(服务费底表!$T588,'Rate Card'!$F:$F,0))</f>
        <v>临床药理</v>
      </c>
      <c r="I588" s="328" t="s">
        <v>925</v>
      </c>
      <c r="J588" s="328" t="str">
        <f>INDEX(二三级标准!$Q:$Q,MATCH(服务费底表!I588,二三级标准!$O:$O,0))</f>
        <v>临床药理</v>
      </c>
      <c r="K588" s="328" t="s">
        <v>359</v>
      </c>
      <c r="L588" s="328" t="str">
        <f>INDEX(二三级标准!C:C,MATCH(服务费底表!K588,二三级标准!$B:$B,0))</f>
        <v>Pop PK/PD(E-R)分析建模与模拟</v>
      </c>
      <c r="M588" s="328" t="s">
        <v>1616</v>
      </c>
      <c r="N588" s="328" t="str">
        <f>INDEX(二三级标准!$M:$M,MATCH(服务费底表!$M588,二三级标准!$L:$L,0))</f>
        <v>PopPK/PD模型验证</v>
      </c>
      <c r="O588" s="328"/>
      <c r="P588" s="531">
        <f>IF(R588=1,INDEX(服务费明细!$E:$E,MATCH(服务费底表!$K588,服务费明细!$B:$B,0)),0)</f>
        <v>0</v>
      </c>
      <c r="Q588" s="328" t="s">
        <v>1178</v>
      </c>
      <c r="R588" s="520">
        <f t="shared" si="537"/>
        <v>0</v>
      </c>
      <c r="S588" s="328" t="str">
        <f>INDEX('Rate Card'!$D:$D,MATCH(服务费底表!$T588,'Rate Card'!F:F,0))</f>
        <v>临床药理</v>
      </c>
      <c r="T588" s="328" t="s">
        <v>654</v>
      </c>
      <c r="U588" s="522" t="str">
        <f>INDEX('Rate Card'!$E:$E,MATCH(服务费底表!$T588,'Rate Card'!$F:$F,0))</f>
        <v>临床药理高级专员</v>
      </c>
      <c r="V588" s="331">
        <f>INDEX('Rate Card'!$J:$J,MATCH($T588,'Rate Card'!$F:$F,0))</f>
        <v>700</v>
      </c>
      <c r="W588" s="523">
        <f t="shared" si="505"/>
        <v>700</v>
      </c>
      <c r="X588" s="523">
        <f t="shared" si="506"/>
        <v>4</v>
      </c>
      <c r="Y588" s="327" cm="1">
        <f t="array" ref="Y588">_xlfn.IFS(报价场景=服务费底表!$AJ$2,服务费底表!$AJ588,报价场景=服务费底表!$AP$2,服务费底表!$AP588,报价场景=服务费底表!$AK$2,服务费底表!$AK588,报价场景=服务费底表!$AL$2,服务费底表!$AL588,报价场景=服务费底表!$AM$2,服务费底表!$AM588,报价场景=服务费底表!$AN$2,服务费底表!$AN588,报价场景=服务费底表!$AQ$2,服务费底表!$AQ588,报价场景=服务费底表!$AO$2,服务费底表!$AO588)</f>
        <v>4</v>
      </c>
      <c r="Z588" s="327"/>
      <c r="AA588" s="332">
        <f t="shared" si="529"/>
        <v>4</v>
      </c>
      <c r="AB588" s="333">
        <f t="shared" si="530"/>
        <v>0</v>
      </c>
      <c r="AC588" s="328">
        <f t="shared" si="531"/>
        <v>0</v>
      </c>
      <c r="AD588" s="334">
        <f t="shared" si="532"/>
        <v>0</v>
      </c>
      <c r="AE588" s="334">
        <f>$AB588*(1-INDEX(项目参数!$D$5:$D$14,MATCH(服务费底表!$S588,项目参数!$B$5:$B$14,0)))</f>
        <v>0</v>
      </c>
      <c r="AF588" s="334">
        <f>$AD588*INDEX(项目参数!$D$5:$D$14,MATCH(服务费底表!$S588,项目参数!$B$5:$B$14,0))</f>
        <v>0</v>
      </c>
      <c r="AG588" s="334">
        <f t="shared" si="533"/>
        <v>0</v>
      </c>
      <c r="AH588" s="328"/>
      <c r="AI588" s="328" t="s">
        <v>654</v>
      </c>
      <c r="AJ588" s="327">
        <v>4</v>
      </c>
      <c r="AK588" s="327">
        <v>4</v>
      </c>
      <c r="AL588" s="327">
        <v>4</v>
      </c>
      <c r="AM588" s="327">
        <v>4</v>
      </c>
      <c r="AN588" s="327">
        <v>4</v>
      </c>
      <c r="AO588" s="327">
        <f t="shared" si="538"/>
        <v>4</v>
      </c>
      <c r="AP588" s="327">
        <v>4</v>
      </c>
      <c r="AQ588" s="327">
        <f t="shared" si="512"/>
        <v>6</v>
      </c>
      <c r="AR588" s="338"/>
      <c r="AS588" s="328">
        <f t="shared" si="534"/>
        <v>0</v>
      </c>
      <c r="AT588" s="328">
        <f t="shared" si="535"/>
        <v>0</v>
      </c>
      <c r="AU588" s="523">
        <v>4</v>
      </c>
      <c r="AV588" s="328"/>
      <c r="AW588" s="328"/>
      <c r="AX588" s="332">
        <v>4</v>
      </c>
      <c r="AY588" s="328" t="b">
        <f t="shared" si="536"/>
        <v>1</v>
      </c>
      <c r="AZ588" s="328" t="b">
        <f t="shared" si="526"/>
        <v>1</v>
      </c>
    </row>
    <row r="589" ht="27" customHeight="1" spans="1:52">
      <c r="A589" s="326" t="str">
        <f>INDEX('Rate Card'!$A:$A,MATCH(服务费底表!$T589,'Rate Card'!$F:$F,0))</f>
        <v>临床药理</v>
      </c>
      <c r="B589" s="327" t="str">
        <f>INDEX(二三级标准!$G:$G,MATCH(服务费底表!$K589,二三级标准!B:B,0))</f>
        <v>次</v>
      </c>
      <c r="C589" s="327">
        <f>INDEX(服务费明细!$E:$E,MATCH(服务费底表!$K589,服务费明细!$B:$B,0))</f>
        <v>0</v>
      </c>
      <c r="D589" s="327" t="str">
        <f t="shared" si="527"/>
        <v>A127CPS</v>
      </c>
      <c r="E589" s="327" t="str">
        <f t="shared" si="528"/>
        <v>T0452CPS</v>
      </c>
      <c r="F589" s="328"/>
      <c r="G589" s="328" t="s">
        <v>684</v>
      </c>
      <c r="H589" s="326" t="str">
        <f>INDEX('Rate Card'!$B:$B,MATCH(服务费底表!$T589,'Rate Card'!$F:$F,0))</f>
        <v>临床药理</v>
      </c>
      <c r="I589" s="328" t="s">
        <v>925</v>
      </c>
      <c r="J589" s="328" t="str">
        <f>INDEX(二三级标准!$Q:$Q,MATCH(服务费底表!I589,二三级标准!$O:$O,0))</f>
        <v>临床药理</v>
      </c>
      <c r="K589" s="328" t="s">
        <v>359</v>
      </c>
      <c r="L589" s="328" t="str">
        <f>INDEX(二三级标准!C:C,MATCH(服务费底表!K589,二三级标准!$B:$B,0))</f>
        <v>Pop PK/PD(E-R)分析建模与模拟</v>
      </c>
      <c r="M589" s="328" t="s">
        <v>1617</v>
      </c>
      <c r="N589" s="328" t="str">
        <f>INDEX(二三级标准!$M:$M,MATCH(服务费底表!$M589,二三级标准!$L:$L,0))</f>
        <v>PopPK/PD模型模拟</v>
      </c>
      <c r="O589" s="328"/>
      <c r="P589" s="531">
        <f>IF(R589=1,INDEX(服务费明细!$E:$E,MATCH(服务费底表!$K589,服务费明细!$B:$B,0)),0)</f>
        <v>0</v>
      </c>
      <c r="Q589" s="328" t="s">
        <v>1178</v>
      </c>
      <c r="R589" s="520">
        <f t="shared" si="537"/>
        <v>0</v>
      </c>
      <c r="S589" s="328" t="str">
        <f>INDEX('Rate Card'!$D:$D,MATCH(服务费底表!$T589,'Rate Card'!F:F,0))</f>
        <v>临床药理</v>
      </c>
      <c r="T589" s="328" t="s">
        <v>652</v>
      </c>
      <c r="U589" s="522" t="str">
        <f>INDEX('Rate Card'!$E:$E,MATCH(服务费底表!$T589,'Rate Card'!$F:$F,0))</f>
        <v>临床药理专员</v>
      </c>
      <c r="V589" s="331">
        <f>INDEX('Rate Card'!$J:$J,MATCH($T589,'Rate Card'!$F:$F,0))</f>
        <v>580</v>
      </c>
      <c r="W589" s="523">
        <f t="shared" si="505"/>
        <v>580</v>
      </c>
      <c r="X589" s="523">
        <f t="shared" si="506"/>
        <v>8</v>
      </c>
      <c r="Y589" s="327" cm="1">
        <f t="array" ref="Y589">_xlfn.IFS(报价场景=服务费底表!$AJ$2,服务费底表!$AJ589,报价场景=服务费底表!$AP$2,服务费底表!$AP589,报价场景=服务费底表!$AK$2,服务费底表!$AK589,报价场景=服务费底表!$AL$2,服务费底表!$AL589,报价场景=服务费底表!$AM$2,服务费底表!$AM589,报价场景=服务费底表!$AN$2,服务费底表!$AN589,报价场景=服务费底表!$AQ$2,服务费底表!$AQ589,报价场景=服务费底表!$AO$2,服务费底表!$AO589)</f>
        <v>8</v>
      </c>
      <c r="Z589" s="327"/>
      <c r="AA589" s="332">
        <f t="shared" si="529"/>
        <v>8</v>
      </c>
      <c r="AB589" s="333">
        <f t="shared" si="530"/>
        <v>0</v>
      </c>
      <c r="AC589" s="328">
        <f t="shared" si="531"/>
        <v>0</v>
      </c>
      <c r="AD589" s="334">
        <f t="shared" si="532"/>
        <v>0</v>
      </c>
      <c r="AE589" s="334">
        <f>$AB589*(1-INDEX(项目参数!$D$5:$D$14,MATCH(服务费底表!$S589,项目参数!$B$5:$B$14,0)))</f>
        <v>0</v>
      </c>
      <c r="AF589" s="334">
        <f>$AD589*INDEX(项目参数!$D$5:$D$14,MATCH(服务费底表!$S589,项目参数!$B$5:$B$14,0))</f>
        <v>0</v>
      </c>
      <c r="AG589" s="334">
        <f t="shared" si="533"/>
        <v>0</v>
      </c>
      <c r="AH589" s="328"/>
      <c r="AI589" s="328" t="s">
        <v>652</v>
      </c>
      <c r="AJ589" s="327">
        <v>8</v>
      </c>
      <c r="AK589" s="327">
        <v>8</v>
      </c>
      <c r="AL589" s="327">
        <v>8</v>
      </c>
      <c r="AM589" s="327">
        <v>8</v>
      </c>
      <c r="AN589" s="327">
        <v>8</v>
      </c>
      <c r="AO589" s="327">
        <f t="shared" si="538"/>
        <v>8</v>
      </c>
      <c r="AP589" s="327">
        <v>8</v>
      </c>
      <c r="AQ589" s="327">
        <f t="shared" si="512"/>
        <v>12</v>
      </c>
      <c r="AR589" s="338"/>
      <c r="AS589" s="328">
        <f t="shared" si="534"/>
        <v>0</v>
      </c>
      <c r="AT589" s="328">
        <f t="shared" si="535"/>
        <v>0</v>
      </c>
      <c r="AU589" s="523">
        <v>8</v>
      </c>
      <c r="AV589" s="328"/>
      <c r="AW589" s="328"/>
      <c r="AX589" s="332">
        <v>8</v>
      </c>
      <c r="AY589" s="328" t="b">
        <f t="shared" si="536"/>
        <v>1</v>
      </c>
      <c r="AZ589" s="328" t="b">
        <f t="shared" si="526"/>
        <v>1</v>
      </c>
    </row>
    <row r="590" ht="27" customHeight="1" spans="1:52">
      <c r="A590" s="326" t="str">
        <f>INDEX('Rate Card'!$A:$A,MATCH(服务费底表!$T590,'Rate Card'!$F:$F,0))</f>
        <v>临床药理</v>
      </c>
      <c r="B590" s="327" t="str">
        <f>INDEX(二三级标准!$G:$G,MATCH(服务费底表!$K590,二三级标准!B:B,0))</f>
        <v>次</v>
      </c>
      <c r="C590" s="327">
        <f>INDEX(服务费明细!$E:$E,MATCH(服务费底表!$K590,服务费明细!$B:$B,0))</f>
        <v>0</v>
      </c>
      <c r="D590" s="327" t="str">
        <f t="shared" si="527"/>
        <v>A127CPSS</v>
      </c>
      <c r="E590" s="327" t="str">
        <f t="shared" si="528"/>
        <v>T0452CPSS</v>
      </c>
      <c r="F590" s="328"/>
      <c r="G590" s="328" t="s">
        <v>684</v>
      </c>
      <c r="H590" s="326" t="str">
        <f>INDEX('Rate Card'!$B:$B,MATCH(服务费底表!$T590,'Rate Card'!$F:$F,0))</f>
        <v>临床药理</v>
      </c>
      <c r="I590" s="328" t="s">
        <v>925</v>
      </c>
      <c r="J590" s="328" t="str">
        <f>INDEX(二三级标准!$Q:$Q,MATCH(服务费底表!I590,二三级标准!$O:$O,0))</f>
        <v>临床药理</v>
      </c>
      <c r="K590" s="328" t="s">
        <v>359</v>
      </c>
      <c r="L590" s="328" t="str">
        <f>INDEX(二三级标准!C:C,MATCH(服务费底表!K590,二三级标准!$B:$B,0))</f>
        <v>Pop PK/PD(E-R)分析建模与模拟</v>
      </c>
      <c r="M590" s="328" t="s">
        <v>1617</v>
      </c>
      <c r="N590" s="328" t="str">
        <f>INDEX(二三级标准!$M:$M,MATCH(服务费底表!$M590,二三级标准!$L:$L,0))</f>
        <v>PopPK/PD模型模拟</v>
      </c>
      <c r="O590" s="328"/>
      <c r="P590" s="531">
        <f>IF(R590=1,INDEX(服务费明细!$E:$E,MATCH(服务费底表!$K590,服务费明细!$B:$B,0)),0)</f>
        <v>0</v>
      </c>
      <c r="Q590" s="328" t="s">
        <v>1178</v>
      </c>
      <c r="R590" s="520">
        <f t="shared" si="537"/>
        <v>0</v>
      </c>
      <c r="S590" s="328" t="str">
        <f>INDEX('Rate Card'!$D:$D,MATCH(服务费底表!$T590,'Rate Card'!F:F,0))</f>
        <v>临床药理</v>
      </c>
      <c r="T590" s="328" t="s">
        <v>654</v>
      </c>
      <c r="U590" s="522" t="str">
        <f>INDEX('Rate Card'!$E:$E,MATCH(服务费底表!$T590,'Rate Card'!$F:$F,0))</f>
        <v>临床药理高级专员</v>
      </c>
      <c r="V590" s="331">
        <f>INDEX('Rate Card'!$J:$J,MATCH($T590,'Rate Card'!$F:$F,0))</f>
        <v>700</v>
      </c>
      <c r="W590" s="523">
        <f t="shared" si="505"/>
        <v>700</v>
      </c>
      <c r="X590" s="523">
        <f t="shared" si="506"/>
        <v>4</v>
      </c>
      <c r="Y590" s="327" cm="1">
        <f t="array" ref="Y590">_xlfn.IFS(报价场景=服务费底表!$AJ$2,服务费底表!$AJ590,报价场景=服务费底表!$AP$2,服务费底表!$AP590,报价场景=服务费底表!$AK$2,服务费底表!$AK590,报价场景=服务费底表!$AL$2,服务费底表!$AL590,报价场景=服务费底表!$AM$2,服务费底表!$AM590,报价场景=服务费底表!$AN$2,服务费底表!$AN590,报价场景=服务费底表!$AQ$2,服务费底表!$AQ590,报价场景=服务费底表!$AO$2,服务费底表!$AO590)</f>
        <v>4</v>
      </c>
      <c r="Z590" s="327"/>
      <c r="AA590" s="332">
        <f t="shared" si="529"/>
        <v>4</v>
      </c>
      <c r="AB590" s="333">
        <f t="shared" si="530"/>
        <v>0</v>
      </c>
      <c r="AC590" s="328">
        <f t="shared" si="531"/>
        <v>0</v>
      </c>
      <c r="AD590" s="334">
        <f t="shared" si="532"/>
        <v>0</v>
      </c>
      <c r="AE590" s="334">
        <f>$AB590*(1-INDEX(项目参数!$D$5:$D$14,MATCH(服务费底表!$S590,项目参数!$B$5:$B$14,0)))</f>
        <v>0</v>
      </c>
      <c r="AF590" s="334">
        <f>$AD590*INDEX(项目参数!$D$5:$D$14,MATCH(服务费底表!$S590,项目参数!$B$5:$B$14,0))</f>
        <v>0</v>
      </c>
      <c r="AG590" s="334">
        <f t="shared" si="533"/>
        <v>0</v>
      </c>
      <c r="AH590" s="328"/>
      <c r="AI590" s="328" t="s">
        <v>654</v>
      </c>
      <c r="AJ590" s="327">
        <v>4</v>
      </c>
      <c r="AK590" s="327">
        <v>4</v>
      </c>
      <c r="AL590" s="327">
        <v>4</v>
      </c>
      <c r="AM590" s="327">
        <v>4</v>
      </c>
      <c r="AN590" s="327">
        <v>4</v>
      </c>
      <c r="AO590" s="327">
        <f t="shared" si="538"/>
        <v>4</v>
      </c>
      <c r="AP590" s="327">
        <v>4</v>
      </c>
      <c r="AQ590" s="327">
        <f t="shared" si="512"/>
        <v>6</v>
      </c>
      <c r="AR590" s="338"/>
      <c r="AS590" s="328">
        <f t="shared" si="534"/>
        <v>0</v>
      </c>
      <c r="AT590" s="328">
        <f t="shared" si="535"/>
        <v>0</v>
      </c>
      <c r="AU590" s="523">
        <v>4</v>
      </c>
      <c r="AV590" s="328"/>
      <c r="AW590" s="328"/>
      <c r="AX590" s="332">
        <v>4</v>
      </c>
      <c r="AY590" s="328" t="b">
        <f t="shared" si="536"/>
        <v>1</v>
      </c>
      <c r="AZ590" s="328" t="b">
        <f t="shared" si="526"/>
        <v>1</v>
      </c>
    </row>
    <row r="591" ht="27" customHeight="1" spans="1:52">
      <c r="A591" s="326" t="str">
        <f>INDEX('Rate Card'!$A:$A,MATCH(服务费底表!$T591,'Rate Card'!$F:$F,0))</f>
        <v>临床药理</v>
      </c>
      <c r="B591" s="327" t="str">
        <f>INDEX(二三级标准!$G:$G,MATCH(服务费底表!$K591,二三级标准!B:B,0))</f>
        <v>次</v>
      </c>
      <c r="C591" s="327">
        <f>INDEX(服务费明细!$E:$E,MATCH(服务费底表!$K591,服务费明细!$B:$B,0))</f>
        <v>0</v>
      </c>
      <c r="D591" s="327" t="str">
        <f t="shared" si="527"/>
        <v>A127CPS</v>
      </c>
      <c r="E591" s="327" t="str">
        <f t="shared" si="528"/>
        <v>T0453CPS</v>
      </c>
      <c r="F591" s="328"/>
      <c r="G591" s="328" t="s">
        <v>684</v>
      </c>
      <c r="H591" s="326" t="str">
        <f>INDEX('Rate Card'!$B:$B,MATCH(服务费底表!$T591,'Rate Card'!$F:$F,0))</f>
        <v>临床药理</v>
      </c>
      <c r="I591" s="328" t="s">
        <v>925</v>
      </c>
      <c r="J591" s="328" t="str">
        <f>INDEX(二三级标准!$Q:$Q,MATCH(服务费底表!I591,二三级标准!$O:$O,0))</f>
        <v>临床药理</v>
      </c>
      <c r="K591" s="328" t="s">
        <v>359</v>
      </c>
      <c r="L591" s="328" t="str">
        <f>INDEX(二三级标准!C:C,MATCH(服务费底表!K591,二三级标准!$B:$B,0))</f>
        <v>Pop PK/PD(E-R)分析建模与模拟</v>
      </c>
      <c r="M591" s="328" t="s">
        <v>1618</v>
      </c>
      <c r="N591" s="328" t="str">
        <f>INDEX(二三级标准!$M:$M,MATCH(服务费底表!$M591,二三级标准!$L:$L,0))</f>
        <v>暴露-效应(E-R)分析</v>
      </c>
      <c r="O591" s="328"/>
      <c r="P591" s="531">
        <f>IF(R591=1,INDEX(服务费明细!$E:$E,MATCH(服务费底表!$K591,服务费明细!$B:$B,0)),0)</f>
        <v>0</v>
      </c>
      <c r="Q591" s="328" t="s">
        <v>1178</v>
      </c>
      <c r="R591" s="520">
        <f t="shared" si="537"/>
        <v>0</v>
      </c>
      <c r="S591" s="328" t="str">
        <f>INDEX('Rate Card'!$D:$D,MATCH(服务费底表!$T591,'Rate Card'!F:F,0))</f>
        <v>临床药理</v>
      </c>
      <c r="T591" s="328" t="s">
        <v>652</v>
      </c>
      <c r="U591" s="522" t="str">
        <f>INDEX('Rate Card'!$E:$E,MATCH(服务费底表!$T591,'Rate Card'!$F:$F,0))</f>
        <v>临床药理专员</v>
      </c>
      <c r="V591" s="331">
        <f>INDEX('Rate Card'!$J:$J,MATCH($T591,'Rate Card'!$F:$F,0))</f>
        <v>580</v>
      </c>
      <c r="W591" s="523">
        <f t="shared" si="505"/>
        <v>580</v>
      </c>
      <c r="X591" s="523">
        <f t="shared" si="506"/>
        <v>32</v>
      </c>
      <c r="Y591" s="327" cm="1">
        <f t="array" ref="Y591">_xlfn.IFS(报价场景=服务费底表!$AJ$2,服务费底表!$AJ591,报价场景=服务费底表!$AP$2,服务费底表!$AP591,报价场景=服务费底表!$AK$2,服务费底表!$AK591,报价场景=服务费底表!$AL$2,服务费底表!$AL591,报价场景=服务费底表!$AM$2,服务费底表!$AM591,报价场景=服务费底表!$AN$2,服务费底表!$AN591,报价场景=服务费底表!$AQ$2,服务费底表!$AQ591,报价场景=服务费底表!$AO$2,服务费底表!$AO591)</f>
        <v>32</v>
      </c>
      <c r="Z591" s="327"/>
      <c r="AA591" s="332">
        <f t="shared" si="529"/>
        <v>32</v>
      </c>
      <c r="AB591" s="333">
        <f t="shared" si="530"/>
        <v>0</v>
      </c>
      <c r="AC591" s="328">
        <f t="shared" si="531"/>
        <v>0</v>
      </c>
      <c r="AD591" s="334">
        <f t="shared" si="532"/>
        <v>0</v>
      </c>
      <c r="AE591" s="334">
        <f>$AB591*(1-INDEX(项目参数!$D$5:$D$14,MATCH(服务费底表!$S591,项目参数!$B$5:$B$14,0)))</f>
        <v>0</v>
      </c>
      <c r="AF591" s="334">
        <f>$AD591*INDEX(项目参数!$D$5:$D$14,MATCH(服务费底表!$S591,项目参数!$B$5:$B$14,0))</f>
        <v>0</v>
      </c>
      <c r="AG591" s="334">
        <f t="shared" si="533"/>
        <v>0</v>
      </c>
      <c r="AH591" s="328"/>
      <c r="AI591" s="328" t="s">
        <v>652</v>
      </c>
      <c r="AJ591" s="327">
        <v>32</v>
      </c>
      <c r="AK591" s="327">
        <v>32</v>
      </c>
      <c r="AL591" s="327">
        <v>32</v>
      </c>
      <c r="AM591" s="327">
        <v>32</v>
      </c>
      <c r="AN591" s="327">
        <v>32</v>
      </c>
      <c r="AO591" s="327">
        <f t="shared" si="538"/>
        <v>32</v>
      </c>
      <c r="AP591" s="327">
        <v>32</v>
      </c>
      <c r="AQ591" s="327">
        <f t="shared" si="512"/>
        <v>48</v>
      </c>
      <c r="AR591" s="338"/>
      <c r="AS591" s="328">
        <f t="shared" si="534"/>
        <v>0</v>
      </c>
      <c r="AT591" s="328">
        <f t="shared" si="535"/>
        <v>0</v>
      </c>
      <c r="AU591" s="523">
        <v>32</v>
      </c>
      <c r="AV591" s="328"/>
      <c r="AW591" s="328"/>
      <c r="AX591" s="332">
        <v>32</v>
      </c>
      <c r="AY591" s="328" t="b">
        <f t="shared" si="536"/>
        <v>1</v>
      </c>
      <c r="AZ591" s="328" t="b">
        <f t="shared" si="526"/>
        <v>1</v>
      </c>
    </row>
    <row r="592" ht="27" customHeight="1" spans="1:52">
      <c r="A592" s="326" t="str">
        <f>INDEX('Rate Card'!$A:$A,MATCH(服务费底表!$T592,'Rate Card'!$F:$F,0))</f>
        <v>临床药理</v>
      </c>
      <c r="B592" s="327" t="str">
        <f>INDEX(二三级标准!$G:$G,MATCH(服务费底表!$K592,二三级标准!B:B,0))</f>
        <v>次</v>
      </c>
      <c r="C592" s="327">
        <f>INDEX(服务费明细!$E:$E,MATCH(服务费底表!$K592,服务费明细!$B:$B,0))</f>
        <v>0</v>
      </c>
      <c r="D592" s="327" t="str">
        <f t="shared" si="527"/>
        <v>A127CPSS</v>
      </c>
      <c r="E592" s="327" t="str">
        <f t="shared" si="528"/>
        <v>T0453CPSS</v>
      </c>
      <c r="F592" s="328"/>
      <c r="G592" s="328" t="s">
        <v>684</v>
      </c>
      <c r="H592" s="326" t="str">
        <f>INDEX('Rate Card'!$B:$B,MATCH(服务费底表!$T592,'Rate Card'!$F:$F,0))</f>
        <v>临床药理</v>
      </c>
      <c r="I592" s="328" t="s">
        <v>925</v>
      </c>
      <c r="J592" s="328" t="str">
        <f>INDEX(二三级标准!$Q:$Q,MATCH(服务费底表!I592,二三级标准!$O:$O,0))</f>
        <v>临床药理</v>
      </c>
      <c r="K592" s="328" t="s">
        <v>359</v>
      </c>
      <c r="L592" s="328" t="str">
        <f>INDEX(二三级标准!C:C,MATCH(服务费底表!K592,二三级标准!$B:$B,0))</f>
        <v>Pop PK/PD(E-R)分析建模与模拟</v>
      </c>
      <c r="M592" s="328" t="s">
        <v>1618</v>
      </c>
      <c r="N592" s="328" t="str">
        <f>INDEX(二三级标准!$M:$M,MATCH(服务费底表!$M592,二三级标准!$L:$L,0))</f>
        <v>暴露-效应(E-R)分析</v>
      </c>
      <c r="O592" s="328"/>
      <c r="P592" s="531">
        <f>IF(R592=1,INDEX(服务费明细!$E:$E,MATCH(服务费底表!$K592,服务费明细!$B:$B,0)),0)</f>
        <v>0</v>
      </c>
      <c r="Q592" s="328" t="s">
        <v>1178</v>
      </c>
      <c r="R592" s="520">
        <f t="shared" si="537"/>
        <v>0</v>
      </c>
      <c r="S592" s="328" t="str">
        <f>INDEX('Rate Card'!$D:$D,MATCH(服务费底表!$T592,'Rate Card'!F:F,0))</f>
        <v>临床药理</v>
      </c>
      <c r="T592" s="328" t="s">
        <v>654</v>
      </c>
      <c r="U592" s="522" t="str">
        <f>INDEX('Rate Card'!$E:$E,MATCH(服务费底表!$T592,'Rate Card'!$F:$F,0))</f>
        <v>临床药理高级专员</v>
      </c>
      <c r="V592" s="331">
        <f>INDEX('Rate Card'!$J:$J,MATCH($T592,'Rate Card'!$F:$F,0))</f>
        <v>700</v>
      </c>
      <c r="W592" s="523">
        <f t="shared" si="505"/>
        <v>700</v>
      </c>
      <c r="X592" s="523">
        <f t="shared" si="506"/>
        <v>8</v>
      </c>
      <c r="Y592" s="327" cm="1">
        <f t="array" ref="Y592">_xlfn.IFS(报价场景=服务费底表!$AJ$2,服务费底表!$AJ592,报价场景=服务费底表!$AP$2,服务费底表!$AP592,报价场景=服务费底表!$AK$2,服务费底表!$AK592,报价场景=服务费底表!$AL$2,服务费底表!$AL592,报价场景=服务费底表!$AM$2,服务费底表!$AM592,报价场景=服务费底表!$AN$2,服务费底表!$AN592,报价场景=服务费底表!$AQ$2,服务费底表!$AQ592,报价场景=服务费底表!$AO$2,服务费底表!$AO592)</f>
        <v>8</v>
      </c>
      <c r="Z592" s="327"/>
      <c r="AA592" s="332">
        <f t="shared" si="529"/>
        <v>8</v>
      </c>
      <c r="AB592" s="333">
        <f t="shared" si="530"/>
        <v>0</v>
      </c>
      <c r="AC592" s="328">
        <f t="shared" si="531"/>
        <v>0</v>
      </c>
      <c r="AD592" s="334">
        <f t="shared" si="532"/>
        <v>0</v>
      </c>
      <c r="AE592" s="334">
        <f>$AB592*(1-INDEX(项目参数!$D$5:$D$14,MATCH(服务费底表!$S592,项目参数!$B$5:$B$14,0)))</f>
        <v>0</v>
      </c>
      <c r="AF592" s="334">
        <f>$AD592*INDEX(项目参数!$D$5:$D$14,MATCH(服务费底表!$S592,项目参数!$B$5:$B$14,0))</f>
        <v>0</v>
      </c>
      <c r="AG592" s="334">
        <f t="shared" si="533"/>
        <v>0</v>
      </c>
      <c r="AH592" s="328"/>
      <c r="AI592" s="328" t="s">
        <v>654</v>
      </c>
      <c r="AJ592" s="327">
        <v>8</v>
      </c>
      <c r="AK592" s="327">
        <v>8</v>
      </c>
      <c r="AL592" s="327">
        <v>8</v>
      </c>
      <c r="AM592" s="327">
        <v>8</v>
      </c>
      <c r="AN592" s="327">
        <v>8</v>
      </c>
      <c r="AO592" s="327">
        <f t="shared" si="538"/>
        <v>8</v>
      </c>
      <c r="AP592" s="327">
        <v>8</v>
      </c>
      <c r="AQ592" s="327">
        <f t="shared" si="512"/>
        <v>12</v>
      </c>
      <c r="AR592" s="338"/>
      <c r="AS592" s="328">
        <f t="shared" si="534"/>
        <v>0</v>
      </c>
      <c r="AT592" s="328">
        <f t="shared" si="535"/>
        <v>0</v>
      </c>
      <c r="AU592" s="523">
        <v>8</v>
      </c>
      <c r="AV592" s="328"/>
      <c r="AW592" s="328"/>
      <c r="AX592" s="332">
        <v>8</v>
      </c>
      <c r="AY592" s="328" t="b">
        <f t="shared" si="536"/>
        <v>1</v>
      </c>
      <c r="AZ592" s="328" t="b">
        <f t="shared" si="526"/>
        <v>1</v>
      </c>
    </row>
    <row r="593" ht="27" customHeight="1" spans="1:52">
      <c r="A593" s="326" t="str">
        <f>INDEX('Rate Card'!$A:$A,MATCH(服务费底表!$T593,'Rate Card'!$F:$F,0))</f>
        <v>临床药理</v>
      </c>
      <c r="B593" s="327" t="str">
        <f>INDEX(二三级标准!$G:$G,MATCH(服务费底表!$K593,二三级标准!B:B,0))</f>
        <v>次</v>
      </c>
      <c r="C593" s="327">
        <f>INDEX(服务费明细!$E:$E,MATCH(服务费底表!$K593,服务费明细!$B:$B,0))</f>
        <v>0</v>
      </c>
      <c r="D593" s="327" t="str">
        <f t="shared" si="527"/>
        <v>A127CPS</v>
      </c>
      <c r="E593" s="327" t="str">
        <f t="shared" si="528"/>
        <v>T0454CPS</v>
      </c>
      <c r="F593" s="328"/>
      <c r="G593" s="328" t="s">
        <v>684</v>
      </c>
      <c r="H593" s="326" t="str">
        <f>INDEX('Rate Card'!$B:$B,MATCH(服务费底表!$T593,'Rate Card'!$F:$F,0))</f>
        <v>临床药理</v>
      </c>
      <c r="I593" s="328" t="s">
        <v>925</v>
      </c>
      <c r="J593" s="328" t="str">
        <f>INDEX(二三级标准!$Q:$Q,MATCH(服务费底表!I593,二三级标准!$O:$O,0))</f>
        <v>临床药理</v>
      </c>
      <c r="K593" s="328" t="s">
        <v>359</v>
      </c>
      <c r="L593" s="328" t="str">
        <f>INDEX(二三级标准!C:C,MATCH(服务费底表!K593,二三级标准!$B:$B,0))</f>
        <v>Pop PK/PD(E-R)分析建模与模拟</v>
      </c>
      <c r="M593" s="328" t="s">
        <v>1619</v>
      </c>
      <c r="N593" s="328" t="str">
        <f>INDEX(二三级标准!$M:$M,MATCH(服务费底表!$M593,二三级标准!$L:$L,0))</f>
        <v>PopPK/PD(E-R)分析结果PPT制作及汇报</v>
      </c>
      <c r="O593" s="328"/>
      <c r="P593" s="531">
        <f>IF(R593=1,INDEX(服务费明细!$E:$E,MATCH(服务费底表!$K593,服务费明细!$B:$B,0)),0)</f>
        <v>0</v>
      </c>
      <c r="Q593" s="328" t="s">
        <v>1178</v>
      </c>
      <c r="R593" s="520">
        <f t="shared" si="537"/>
        <v>0</v>
      </c>
      <c r="S593" s="328" t="str">
        <f>INDEX('Rate Card'!$D:$D,MATCH(服务费底表!$T593,'Rate Card'!F:F,0))</f>
        <v>临床药理</v>
      </c>
      <c r="T593" s="328" t="s">
        <v>652</v>
      </c>
      <c r="U593" s="522" t="str">
        <f>INDEX('Rate Card'!$E:$E,MATCH(服务费底表!$T593,'Rate Card'!$F:$F,0))</f>
        <v>临床药理专员</v>
      </c>
      <c r="V593" s="331">
        <f>INDEX('Rate Card'!$J:$J,MATCH($T593,'Rate Card'!$F:$F,0))</f>
        <v>580</v>
      </c>
      <c r="W593" s="523">
        <f t="shared" si="505"/>
        <v>580</v>
      </c>
      <c r="X593" s="523">
        <f t="shared" si="506"/>
        <v>8</v>
      </c>
      <c r="Y593" s="327" cm="1">
        <f t="array" ref="Y593">_xlfn.IFS(报价场景=服务费底表!$AJ$2,服务费底表!$AJ593,报价场景=服务费底表!$AP$2,服务费底表!$AP593,报价场景=服务费底表!$AK$2,服务费底表!$AK593,报价场景=服务费底表!$AL$2,服务费底表!$AL593,报价场景=服务费底表!$AM$2,服务费底表!$AM593,报价场景=服务费底表!$AN$2,服务费底表!$AN593,报价场景=服务费底表!$AQ$2,服务费底表!$AQ593,报价场景=服务费底表!$AO$2,服务费底表!$AO593)</f>
        <v>8</v>
      </c>
      <c r="Z593" s="327"/>
      <c r="AA593" s="332">
        <f t="shared" si="529"/>
        <v>8</v>
      </c>
      <c r="AB593" s="333">
        <f t="shared" si="530"/>
        <v>0</v>
      </c>
      <c r="AC593" s="328">
        <f t="shared" si="531"/>
        <v>0</v>
      </c>
      <c r="AD593" s="334">
        <f t="shared" si="532"/>
        <v>0</v>
      </c>
      <c r="AE593" s="334">
        <f>$AB593*(1-INDEX(项目参数!$D$5:$D$14,MATCH(服务费底表!$S593,项目参数!$B$5:$B$14,0)))</f>
        <v>0</v>
      </c>
      <c r="AF593" s="334">
        <f>$AD593*INDEX(项目参数!$D$5:$D$14,MATCH(服务费底表!$S593,项目参数!$B$5:$B$14,0))</f>
        <v>0</v>
      </c>
      <c r="AG593" s="334">
        <f t="shared" si="533"/>
        <v>0</v>
      </c>
      <c r="AH593" s="328"/>
      <c r="AI593" s="328" t="s">
        <v>652</v>
      </c>
      <c r="AJ593" s="327">
        <v>8</v>
      </c>
      <c r="AK593" s="327">
        <v>8</v>
      </c>
      <c r="AL593" s="327">
        <v>8</v>
      </c>
      <c r="AM593" s="327">
        <v>8</v>
      </c>
      <c r="AN593" s="327">
        <v>8</v>
      </c>
      <c r="AO593" s="327">
        <f t="shared" si="538"/>
        <v>8</v>
      </c>
      <c r="AP593" s="327">
        <v>8</v>
      </c>
      <c r="AQ593" s="327">
        <f t="shared" si="512"/>
        <v>12</v>
      </c>
      <c r="AR593" s="338"/>
      <c r="AS593" s="328">
        <f t="shared" si="534"/>
        <v>0</v>
      </c>
      <c r="AT593" s="328">
        <f t="shared" si="535"/>
        <v>0</v>
      </c>
      <c r="AU593" s="523">
        <v>8</v>
      </c>
      <c r="AV593" s="328"/>
      <c r="AW593" s="328"/>
      <c r="AX593" s="332">
        <v>8</v>
      </c>
      <c r="AY593" s="328" t="b">
        <f t="shared" si="536"/>
        <v>1</v>
      </c>
      <c r="AZ593" s="328" t="b">
        <f t="shared" si="526"/>
        <v>1</v>
      </c>
    </row>
    <row r="594" ht="27" customHeight="1" spans="1:52">
      <c r="A594" s="326" t="str">
        <f>INDEX('Rate Card'!$A:$A,MATCH(服务费底表!$T594,'Rate Card'!$F:$F,0))</f>
        <v>临床药理</v>
      </c>
      <c r="B594" s="327" t="str">
        <f>INDEX(二三级标准!$G:$G,MATCH(服务费底表!$K594,二三级标准!B:B,0))</f>
        <v>次</v>
      </c>
      <c r="C594" s="327">
        <f>INDEX(服务费明细!$E:$E,MATCH(服务费底表!$K594,服务费明细!$B:$B,0))</f>
        <v>0</v>
      </c>
      <c r="D594" s="327" t="str">
        <f t="shared" si="527"/>
        <v>A127CPSS</v>
      </c>
      <c r="E594" s="327" t="str">
        <f t="shared" si="528"/>
        <v>T0454CPSS</v>
      </c>
      <c r="F594" s="328"/>
      <c r="G594" s="328" t="s">
        <v>684</v>
      </c>
      <c r="H594" s="326" t="str">
        <f>INDEX('Rate Card'!$B:$B,MATCH(服务费底表!$T594,'Rate Card'!$F:$F,0))</f>
        <v>临床药理</v>
      </c>
      <c r="I594" s="328" t="s">
        <v>925</v>
      </c>
      <c r="J594" s="328" t="str">
        <f>INDEX(二三级标准!$Q:$Q,MATCH(服务费底表!I594,二三级标准!$O:$O,0))</f>
        <v>临床药理</v>
      </c>
      <c r="K594" s="328" t="s">
        <v>359</v>
      </c>
      <c r="L594" s="328" t="str">
        <f>INDEX(二三级标准!C:C,MATCH(服务费底表!K594,二三级标准!$B:$B,0))</f>
        <v>Pop PK/PD(E-R)分析建模与模拟</v>
      </c>
      <c r="M594" s="328" t="s">
        <v>1619</v>
      </c>
      <c r="N594" s="328" t="str">
        <f>INDEX(二三级标准!$M:$M,MATCH(服务费底表!$M594,二三级标准!$L:$L,0))</f>
        <v>PopPK/PD(E-R)分析结果PPT制作及汇报</v>
      </c>
      <c r="O594" s="328"/>
      <c r="P594" s="531">
        <f>IF(R594=1,INDEX(服务费明细!$E:$E,MATCH(服务费底表!$K594,服务费明细!$B:$B,0)),0)</f>
        <v>0</v>
      </c>
      <c r="Q594" s="328" t="s">
        <v>1178</v>
      </c>
      <c r="R594" s="520">
        <f t="shared" si="537"/>
        <v>0</v>
      </c>
      <c r="S594" s="328" t="str">
        <f>INDEX('Rate Card'!$D:$D,MATCH(服务费底表!$T594,'Rate Card'!F:F,0))</f>
        <v>临床药理</v>
      </c>
      <c r="T594" s="328" t="s">
        <v>654</v>
      </c>
      <c r="U594" s="522" t="str">
        <f>INDEX('Rate Card'!$E:$E,MATCH(服务费底表!$T594,'Rate Card'!$F:$F,0))</f>
        <v>临床药理高级专员</v>
      </c>
      <c r="V594" s="331">
        <f>INDEX('Rate Card'!$J:$J,MATCH($T594,'Rate Card'!$F:$F,0))</f>
        <v>700</v>
      </c>
      <c r="W594" s="523">
        <f t="shared" si="505"/>
        <v>700</v>
      </c>
      <c r="X594" s="523">
        <f t="shared" si="506"/>
        <v>8</v>
      </c>
      <c r="Y594" s="327" cm="1">
        <f t="array" ref="Y594">_xlfn.IFS(报价场景=服务费底表!$AJ$2,服务费底表!$AJ594,报价场景=服务费底表!$AP$2,服务费底表!$AP594,报价场景=服务费底表!$AK$2,服务费底表!$AK594,报价场景=服务费底表!$AL$2,服务费底表!$AL594,报价场景=服务费底表!$AM$2,服务费底表!$AM594,报价场景=服务费底表!$AN$2,服务费底表!$AN594,报价场景=服务费底表!$AQ$2,服务费底表!$AQ594,报价场景=服务费底表!$AO$2,服务费底表!$AO594)</f>
        <v>8</v>
      </c>
      <c r="Z594" s="327"/>
      <c r="AA594" s="332">
        <f t="shared" si="529"/>
        <v>8</v>
      </c>
      <c r="AB594" s="333">
        <f t="shared" si="530"/>
        <v>0</v>
      </c>
      <c r="AC594" s="328">
        <f t="shared" si="531"/>
        <v>0</v>
      </c>
      <c r="AD594" s="334">
        <f t="shared" si="532"/>
        <v>0</v>
      </c>
      <c r="AE594" s="334">
        <f>$AB594*(1-INDEX(项目参数!$D$5:$D$14,MATCH(服务费底表!$S594,项目参数!$B$5:$B$14,0)))</f>
        <v>0</v>
      </c>
      <c r="AF594" s="334">
        <f>$AD594*INDEX(项目参数!$D$5:$D$14,MATCH(服务费底表!$S594,项目参数!$B$5:$B$14,0))</f>
        <v>0</v>
      </c>
      <c r="AG594" s="334">
        <f t="shared" si="533"/>
        <v>0</v>
      </c>
      <c r="AH594" s="328"/>
      <c r="AI594" s="328" t="s">
        <v>654</v>
      </c>
      <c r="AJ594" s="327">
        <v>8</v>
      </c>
      <c r="AK594" s="327">
        <v>8</v>
      </c>
      <c r="AL594" s="327">
        <v>8</v>
      </c>
      <c r="AM594" s="327">
        <v>8</v>
      </c>
      <c r="AN594" s="327">
        <v>8</v>
      </c>
      <c r="AO594" s="327">
        <f t="shared" si="538"/>
        <v>8</v>
      </c>
      <c r="AP594" s="327">
        <v>8</v>
      </c>
      <c r="AQ594" s="327">
        <f t="shared" si="512"/>
        <v>12</v>
      </c>
      <c r="AR594" s="338"/>
      <c r="AS594" s="328">
        <f t="shared" si="534"/>
        <v>0</v>
      </c>
      <c r="AT594" s="328">
        <f t="shared" si="535"/>
        <v>0</v>
      </c>
      <c r="AU594" s="523">
        <v>8</v>
      </c>
      <c r="AV594" s="328"/>
      <c r="AW594" s="328"/>
      <c r="AX594" s="332">
        <v>8</v>
      </c>
      <c r="AY594" s="328" t="b">
        <f t="shared" si="536"/>
        <v>1</v>
      </c>
      <c r="AZ594" s="328" t="b">
        <f t="shared" si="526"/>
        <v>1</v>
      </c>
    </row>
    <row r="595" ht="27" customHeight="1" spans="1:52">
      <c r="A595" s="326" t="str">
        <f>INDEX('Rate Card'!$A:$A,MATCH(服务费底表!$T595,'Rate Card'!$F:$F,0))</f>
        <v>临床药理</v>
      </c>
      <c r="B595" s="327" t="str">
        <f>INDEX(二三级标准!$G:$G,MATCH(服务费底表!$K595,二三级标准!B:B,0))</f>
        <v>次</v>
      </c>
      <c r="C595" s="327">
        <f>INDEX(服务费明细!$E:$E,MATCH(服务费底表!$K595,服务费明细!$B:$B,0))</f>
        <v>0</v>
      </c>
      <c r="D595" s="327" t="str">
        <f t="shared" ref="D595:D598" si="539">K595&amp;T595</f>
        <v>A128CPS</v>
      </c>
      <c r="E595" s="327" t="str">
        <f t="shared" ref="E595:E598" si="540">M595&amp;T595</f>
        <v>T0455CPS</v>
      </c>
      <c r="F595" s="328"/>
      <c r="G595" s="328" t="s">
        <v>684</v>
      </c>
      <c r="H595" s="326" t="str">
        <f>INDEX('Rate Card'!$B:$B,MATCH(服务费底表!$T595,'Rate Card'!$F:$F,0))</f>
        <v>临床药理</v>
      </c>
      <c r="I595" s="328" t="s">
        <v>925</v>
      </c>
      <c r="J595" s="328" t="str">
        <f>INDEX(二三级标准!$Q:$Q,MATCH(服务费底表!I595,二三级标准!$O:$O,0))</f>
        <v>临床药理</v>
      </c>
      <c r="K595" s="328" t="s">
        <v>361</v>
      </c>
      <c r="L595" s="328" t="str">
        <f>INDEX(二三级标准!C:C,MATCH(服务费底表!K595,二三级标准!$B:$B,0))</f>
        <v>Pop PK/PD(E-R)分析报告撰写</v>
      </c>
      <c r="M595" s="328" t="s">
        <v>1620</v>
      </c>
      <c r="N595" s="328" t="str">
        <f>INDEX(二三级标准!$M:$M,MATCH(服务费底表!$M595,二三级标准!$L:$L,0))</f>
        <v>Pop PK/PD(E-R)分析报告起草和修订</v>
      </c>
      <c r="O595" s="328"/>
      <c r="P595" s="531">
        <f>IF(R595=1,INDEX(服务费明细!$E:$E,MATCH(服务费底表!$K595,服务费明细!$B:$B,0)),0)</f>
        <v>0</v>
      </c>
      <c r="Q595" s="328" t="s">
        <v>1178</v>
      </c>
      <c r="R595" s="520">
        <f>IF(AND(Pop报告撰写YN=1,临床药理YN=1),1,0)</f>
        <v>0</v>
      </c>
      <c r="S595" s="328" t="str">
        <f>INDEX('Rate Card'!$D:$D,MATCH(服务费底表!$T595,'Rate Card'!F:F,0))</f>
        <v>临床药理</v>
      </c>
      <c r="T595" s="328" t="s">
        <v>652</v>
      </c>
      <c r="U595" s="522" t="str">
        <f>INDEX('Rate Card'!$E:$E,MATCH(服务费底表!$T595,'Rate Card'!$F:$F,0))</f>
        <v>临床药理专员</v>
      </c>
      <c r="V595" s="331">
        <f>INDEX('Rate Card'!$J:$J,MATCH($T595,'Rate Card'!$F:$F,0))</f>
        <v>580</v>
      </c>
      <c r="W595" s="523">
        <f t="shared" ref="W595:W600" si="541">V595*(1-$W$1)</f>
        <v>580</v>
      </c>
      <c r="X595" s="523">
        <f t="shared" ref="X595:X600" si="542">Y595*$X$1</f>
        <v>40</v>
      </c>
      <c r="Y595" s="327" cm="1">
        <f t="array" ref="Y595">_xlfn.IFS(报价场景=服务费底表!$AJ$2,服务费底表!$AJ595,报价场景=服务费底表!$AP$2,服务费底表!$AP595,报价场景=服务费底表!$AK$2,服务费底表!$AK595,报价场景=服务费底表!$AL$2,服务费底表!$AL595,报价场景=服务费底表!$AM$2,服务费底表!$AM595,报价场景=服务费底表!$AN$2,服务费底表!$AN595,报价场景=服务费底表!$AQ$2,服务费底表!$AQ595,报价场景=服务费底表!$AO$2,服务费底表!$AO595)</f>
        <v>40</v>
      </c>
      <c r="Z595" s="327"/>
      <c r="AA595" s="332">
        <f t="shared" ref="AA595:AA600" si="543">IF(ISBLANK($Z595),$Y595,$Z595)</f>
        <v>40</v>
      </c>
      <c r="AB595" s="333">
        <f t="shared" ref="AB595:AB600" si="544">IFERROR(AD595/P595,0)</f>
        <v>0</v>
      </c>
      <c r="AC595" s="328">
        <f t="shared" ref="AC595:AC600" si="545">AA595*P595*R595</f>
        <v>0</v>
      </c>
      <c r="AD595" s="334">
        <f t="shared" ref="AD595:AD600" si="546">AC595*V595</f>
        <v>0</v>
      </c>
      <c r="AE595" s="334">
        <f>$AB595*(1-INDEX(项目参数!$D$5:$D$14,MATCH(服务费底表!$S595,项目参数!$B$5:$B$14,0)))</f>
        <v>0</v>
      </c>
      <c r="AF595" s="334">
        <f>$AD595*INDEX(项目参数!$D$5:$D$14,MATCH(服务费底表!$S595,项目参数!$B$5:$B$14,0))</f>
        <v>0</v>
      </c>
      <c r="AG595" s="334">
        <f t="shared" si="533"/>
        <v>0</v>
      </c>
      <c r="AH595" s="328"/>
      <c r="AI595" s="328" t="s">
        <v>652</v>
      </c>
      <c r="AJ595" s="327">
        <v>40</v>
      </c>
      <c r="AK595" s="327">
        <v>40</v>
      </c>
      <c r="AL595" s="327">
        <v>40</v>
      </c>
      <c r="AM595" s="327">
        <v>40</v>
      </c>
      <c r="AN595" s="327">
        <v>40</v>
      </c>
      <c r="AO595" s="327">
        <f t="shared" ref="AO595:AO600" si="547">AL595</f>
        <v>40</v>
      </c>
      <c r="AP595" s="327">
        <v>40</v>
      </c>
      <c r="AQ595" s="327">
        <f t="shared" ref="AQ595:AQ600" si="548">AJ595*$AQ$1</f>
        <v>60</v>
      </c>
      <c r="AR595" s="338"/>
      <c r="AS595" s="328">
        <f t="shared" si="534"/>
        <v>0</v>
      </c>
      <c r="AT595" s="328">
        <f t="shared" si="535"/>
        <v>0</v>
      </c>
      <c r="AU595" s="523">
        <v>40</v>
      </c>
      <c r="AV595" s="328"/>
      <c r="AW595" s="328"/>
      <c r="AX595" s="332">
        <v>40</v>
      </c>
      <c r="AY595" s="328" t="b">
        <f t="shared" si="536"/>
        <v>1</v>
      </c>
      <c r="AZ595" s="328" t="b">
        <f t="shared" si="526"/>
        <v>0</v>
      </c>
    </row>
    <row r="596" ht="27" customHeight="1" spans="1:52">
      <c r="A596" s="326" t="str">
        <f>INDEX('Rate Card'!$A:$A,MATCH(服务费底表!$T596,'Rate Card'!$F:$F,0))</f>
        <v>临床药理</v>
      </c>
      <c r="B596" s="327" t="str">
        <f>INDEX(二三级标准!$G:$G,MATCH(服务费底表!$K596,二三级标准!B:B,0))</f>
        <v>次</v>
      </c>
      <c r="C596" s="327">
        <f>INDEX(服务费明细!$E:$E,MATCH(服务费底表!$K596,服务费明细!$B:$B,0))</f>
        <v>0</v>
      </c>
      <c r="D596" s="327" t="str">
        <f t="shared" si="539"/>
        <v>A128CPSS</v>
      </c>
      <c r="E596" s="327" t="str">
        <f t="shared" si="540"/>
        <v>T0456CPSS</v>
      </c>
      <c r="F596" s="328"/>
      <c r="G596" s="328" t="s">
        <v>684</v>
      </c>
      <c r="H596" s="326" t="str">
        <f>INDEX('Rate Card'!$B:$B,MATCH(服务费底表!$T596,'Rate Card'!$F:$F,0))</f>
        <v>临床药理</v>
      </c>
      <c r="I596" s="328" t="s">
        <v>925</v>
      </c>
      <c r="J596" s="328" t="str">
        <f>INDEX(二三级标准!$Q:$Q,MATCH(服务费底表!I596,二三级标准!$O:$O,0))</f>
        <v>临床药理</v>
      </c>
      <c r="K596" s="328" t="s">
        <v>361</v>
      </c>
      <c r="L596" s="328" t="str">
        <f>INDEX(二三级标准!C:C,MATCH(服务费底表!K596,二三级标准!$B:$B,0))</f>
        <v>Pop PK/PD(E-R)分析报告撰写</v>
      </c>
      <c r="M596" s="328" t="s">
        <v>1621</v>
      </c>
      <c r="N596" s="328" t="str">
        <f>INDEX(二三级标准!$M:$M,MATCH(服务费底表!$M596,二三级标准!$L:$L,0))</f>
        <v>Pop PK/PD(E-R)分析报告审核和定稿</v>
      </c>
      <c r="O596" s="328"/>
      <c r="P596" s="531">
        <f>IF(R596=1,INDEX(服务费明细!$E:$E,MATCH(服务费底表!$K596,服务费明细!$B:$B,0)),0)</f>
        <v>0</v>
      </c>
      <c r="Q596" s="328" t="s">
        <v>1178</v>
      </c>
      <c r="R596" s="520">
        <f>IF(AND(Pop报告撰写YN=1,临床药理YN=1),1,0)</f>
        <v>0</v>
      </c>
      <c r="S596" s="328" t="str">
        <f>INDEX('Rate Card'!$D:$D,MATCH(服务费底表!$T596,'Rate Card'!F:F,0))</f>
        <v>临床药理</v>
      </c>
      <c r="T596" s="328" t="s">
        <v>654</v>
      </c>
      <c r="U596" s="522" t="str">
        <f>INDEX('Rate Card'!$E:$E,MATCH(服务费底表!$T596,'Rate Card'!$F:$F,0))</f>
        <v>临床药理高级专员</v>
      </c>
      <c r="V596" s="331">
        <f>INDEX('Rate Card'!$J:$J,MATCH($T596,'Rate Card'!$F:$F,0))</f>
        <v>700</v>
      </c>
      <c r="W596" s="523">
        <f t="shared" si="541"/>
        <v>700</v>
      </c>
      <c r="X596" s="523">
        <f t="shared" si="542"/>
        <v>8</v>
      </c>
      <c r="Y596" s="327" cm="1">
        <f t="array" ref="Y596">_xlfn.IFS(报价场景=服务费底表!$AJ$2,服务费底表!$AJ596,报价场景=服务费底表!$AP$2,服务费底表!$AP596,报价场景=服务费底表!$AK$2,服务费底表!$AK596,报价场景=服务费底表!$AL$2,服务费底表!$AL596,报价场景=服务费底表!$AM$2,服务费底表!$AM596,报价场景=服务费底表!$AN$2,服务费底表!$AN596,报价场景=服务费底表!$AQ$2,服务费底表!$AQ596,报价场景=服务费底表!$AO$2,服务费底表!$AO596)</f>
        <v>8</v>
      </c>
      <c r="Z596" s="327"/>
      <c r="AA596" s="332">
        <f t="shared" si="543"/>
        <v>8</v>
      </c>
      <c r="AB596" s="333">
        <f t="shared" si="544"/>
        <v>0</v>
      </c>
      <c r="AC596" s="328">
        <f t="shared" si="545"/>
        <v>0</v>
      </c>
      <c r="AD596" s="334">
        <f t="shared" si="546"/>
        <v>0</v>
      </c>
      <c r="AE596" s="334">
        <f>$AB596*(1-INDEX(项目参数!$D$5:$D$14,MATCH(服务费底表!$S596,项目参数!$B$5:$B$14,0)))</f>
        <v>0</v>
      </c>
      <c r="AF596" s="334">
        <f>$AD596*INDEX(项目参数!$D$5:$D$14,MATCH(服务费底表!$S596,项目参数!$B$5:$B$14,0))</f>
        <v>0</v>
      </c>
      <c r="AG596" s="334">
        <f t="shared" si="533"/>
        <v>0</v>
      </c>
      <c r="AH596" s="328"/>
      <c r="AI596" s="328" t="s">
        <v>654</v>
      </c>
      <c r="AJ596" s="327">
        <v>8</v>
      </c>
      <c r="AK596" s="327">
        <v>8</v>
      </c>
      <c r="AL596" s="327">
        <v>8</v>
      </c>
      <c r="AM596" s="327">
        <v>8</v>
      </c>
      <c r="AN596" s="327">
        <v>8</v>
      </c>
      <c r="AO596" s="327">
        <f t="shared" si="547"/>
        <v>8</v>
      </c>
      <c r="AP596" s="327">
        <v>8</v>
      </c>
      <c r="AQ596" s="327">
        <f t="shared" si="548"/>
        <v>12</v>
      </c>
      <c r="AR596" s="338"/>
      <c r="AS596" s="328">
        <f t="shared" si="534"/>
        <v>0</v>
      </c>
      <c r="AT596" s="328">
        <f t="shared" si="535"/>
        <v>0</v>
      </c>
      <c r="AU596" s="523">
        <v>8</v>
      </c>
      <c r="AV596" s="328"/>
      <c r="AW596" s="328"/>
      <c r="AX596" s="332">
        <v>8</v>
      </c>
      <c r="AY596" s="328" t="b">
        <f t="shared" si="536"/>
        <v>1</v>
      </c>
      <c r="AZ596" s="328" t="b">
        <f t="shared" si="526"/>
        <v>0</v>
      </c>
    </row>
    <row r="597" ht="27" customHeight="1" spans="1:52">
      <c r="A597" s="326" t="str">
        <f>INDEX('Rate Card'!$A:$A,MATCH(服务费底表!$T597,'Rate Card'!$F:$F,0))</f>
        <v>临床药理</v>
      </c>
      <c r="B597" s="327" t="str">
        <f>INDEX(二三级标准!$G:$G,MATCH(服务费底表!$K597,二三级标准!B:B,0))</f>
        <v>次</v>
      </c>
      <c r="C597" s="327">
        <f>INDEX(服务费明细!$E:$E,MATCH(服务费底表!$K597,服务费明细!$B:$B,0))</f>
        <v>0</v>
      </c>
      <c r="D597" s="327" t="str">
        <f t="shared" si="539"/>
        <v>A235CPS</v>
      </c>
      <c r="E597" s="327" t="str">
        <f t="shared" si="540"/>
        <v>T0691CPS</v>
      </c>
      <c r="F597" s="328"/>
      <c r="G597" s="328" t="s">
        <v>684</v>
      </c>
      <c r="H597" s="326" t="str">
        <f>INDEX('Rate Card'!$B:$B,MATCH(服务费底表!$T597,'Rate Card'!$F:$F,0))</f>
        <v>临床药理</v>
      </c>
      <c r="I597" s="328" t="s">
        <v>925</v>
      </c>
      <c r="J597" s="328" t="str">
        <f>INDEX(二三级标准!$Q:$Q,MATCH(服务费底表!I597,二三级标准!$O:$O,0))</f>
        <v>临床药理</v>
      </c>
      <c r="K597" s="328" t="s">
        <v>1111</v>
      </c>
      <c r="L597" s="328" t="str">
        <f>INDEX(二三级标准!C:C,MATCH(服务费底表!K597,二三级标准!$B:$B,0))</f>
        <v>C-QTc分析计划</v>
      </c>
      <c r="M597" s="328" t="s">
        <v>1622</v>
      </c>
      <c r="N597" s="328" t="str">
        <f>INDEX(二三级标准!$M:$M,MATCH(服务费底表!$M597,二三级标准!$L:$L,0))</f>
        <v>C-QTc分析计划起草与制定</v>
      </c>
      <c r="O597" s="328"/>
      <c r="P597" s="531">
        <f>IF(R597=1,INDEX(服务费明细!$E:$E,MATCH(服务费底表!$K597,服务费明细!$B:$B,0)),0)</f>
        <v>0</v>
      </c>
      <c r="Q597" s="328" t="s">
        <v>1176</v>
      </c>
      <c r="R597" s="520">
        <f>IF(AND(CQTc分析计划YN=1,临床药理YN=1),1,0)</f>
        <v>0</v>
      </c>
      <c r="S597" s="328" t="str">
        <f>INDEX('Rate Card'!$D:$D,MATCH(服务费底表!$T597,'Rate Card'!F:F,0))</f>
        <v>临床药理</v>
      </c>
      <c r="T597" s="328" t="s">
        <v>652</v>
      </c>
      <c r="U597" s="522" t="str">
        <f>INDEX('Rate Card'!$E:$E,MATCH(服务费底表!$T597,'Rate Card'!$F:$F,0))</f>
        <v>临床药理专员</v>
      </c>
      <c r="V597" s="331">
        <f>INDEX('Rate Card'!$J:$J,MATCH($T597,'Rate Card'!$F:$F,0))</f>
        <v>580</v>
      </c>
      <c r="W597" s="523">
        <f t="shared" si="541"/>
        <v>580</v>
      </c>
      <c r="X597" s="523">
        <f t="shared" si="542"/>
        <v>24</v>
      </c>
      <c r="Y597" s="327" cm="1">
        <f t="array" ref="Y597">_xlfn.IFS(报价场景=服务费底表!$AJ$2,服务费底表!$AJ597,报价场景=服务费底表!$AP$2,服务费底表!$AP597,报价场景=服务费底表!$AK$2,服务费底表!$AK597,报价场景=服务费底表!$AL$2,服务费底表!$AL597,报价场景=服务费底表!$AM$2,服务费底表!$AM597,报价场景=服务费底表!$AN$2,服务费底表!$AN597,报价场景=服务费底表!$AQ$2,服务费底表!$AQ597,报价场景=服务费底表!$AO$2,服务费底表!$AO597)</f>
        <v>24</v>
      </c>
      <c r="Z597" s="327"/>
      <c r="AA597" s="332">
        <f t="shared" si="543"/>
        <v>24</v>
      </c>
      <c r="AB597" s="333">
        <f t="shared" si="544"/>
        <v>0</v>
      </c>
      <c r="AC597" s="328">
        <f t="shared" si="545"/>
        <v>0</v>
      </c>
      <c r="AD597" s="334">
        <f t="shared" si="546"/>
        <v>0</v>
      </c>
      <c r="AE597" s="334">
        <f>$AB597*(1-INDEX(项目参数!$D$5:$D$14,MATCH(服务费底表!$S597,项目参数!$B$5:$B$14,0)))</f>
        <v>0</v>
      </c>
      <c r="AF597" s="334">
        <f>$AD597*INDEX(项目参数!$D$5:$D$14,MATCH(服务费底表!$S597,项目参数!$B$5:$B$14,0))</f>
        <v>0</v>
      </c>
      <c r="AG597" s="334">
        <f t="shared" si="533"/>
        <v>0</v>
      </c>
      <c r="AH597" s="328"/>
      <c r="AI597" s="328" t="s">
        <v>652</v>
      </c>
      <c r="AJ597" s="327">
        <v>24</v>
      </c>
      <c r="AK597" s="327">
        <v>24</v>
      </c>
      <c r="AL597" s="327">
        <v>24</v>
      </c>
      <c r="AM597" s="327">
        <v>24</v>
      </c>
      <c r="AN597" s="327">
        <v>24</v>
      </c>
      <c r="AO597" s="327">
        <f t="shared" si="547"/>
        <v>24</v>
      </c>
      <c r="AP597" s="327">
        <v>24</v>
      </c>
      <c r="AQ597" s="327">
        <f t="shared" si="548"/>
        <v>36</v>
      </c>
      <c r="AR597" s="338"/>
      <c r="AS597" s="328"/>
      <c r="AT597" s="328"/>
      <c r="AU597" s="523">
        <v>24</v>
      </c>
      <c r="AV597" s="328"/>
      <c r="AW597" s="328"/>
      <c r="AX597" s="332">
        <v>24</v>
      </c>
      <c r="AY597" s="328"/>
      <c r="AZ597" s="328" t="b">
        <f t="shared" si="526"/>
        <v>1</v>
      </c>
    </row>
    <row r="598" ht="27" customHeight="1" spans="1:52">
      <c r="A598" s="326" t="str">
        <f>INDEX('Rate Card'!$A:$A,MATCH(服务费底表!$T598,'Rate Card'!$F:$F,0))</f>
        <v>临床药理</v>
      </c>
      <c r="B598" s="327" t="str">
        <f>INDEX(二三级标准!$G:$G,MATCH(服务费底表!$K598,二三级标准!B:B,0))</f>
        <v>次</v>
      </c>
      <c r="C598" s="327">
        <f>INDEX(服务费明细!$E:$E,MATCH(服务费底表!$K598,服务费明细!$B:$B,0))</f>
        <v>0</v>
      </c>
      <c r="D598" s="327" t="str">
        <f t="shared" si="539"/>
        <v>A235CPSS</v>
      </c>
      <c r="E598" s="327" t="str">
        <f t="shared" si="540"/>
        <v>T0692CPSS</v>
      </c>
      <c r="F598" s="328"/>
      <c r="G598" s="328" t="s">
        <v>684</v>
      </c>
      <c r="H598" s="326" t="str">
        <f>INDEX('Rate Card'!$B:$B,MATCH(服务费底表!$T598,'Rate Card'!$F:$F,0))</f>
        <v>临床药理</v>
      </c>
      <c r="I598" s="328" t="s">
        <v>925</v>
      </c>
      <c r="J598" s="328" t="str">
        <f>INDEX(二三级标准!$Q:$Q,MATCH(服务费底表!I598,二三级标准!$O:$O,0))</f>
        <v>临床药理</v>
      </c>
      <c r="K598" s="328" t="s">
        <v>1111</v>
      </c>
      <c r="L598" s="328" t="str">
        <f>INDEX(二三级标准!C:C,MATCH(服务费底表!K598,二三级标准!$B:$B,0))</f>
        <v>C-QTc分析计划</v>
      </c>
      <c r="M598" s="328" t="s">
        <v>1623</v>
      </c>
      <c r="N598" s="328" t="str">
        <f>INDEX(二三级标准!$M:$M,MATCH(服务费底表!$M598,二三级标准!$L:$L,0))</f>
        <v>C-QTc分析计划审核和定稿</v>
      </c>
      <c r="O598" s="328"/>
      <c r="P598" s="531">
        <f>IF(R598=1,INDEX(服务费明细!$E:$E,MATCH(服务费底表!$K598,服务费明细!$B:$B,0)),0)</f>
        <v>0</v>
      </c>
      <c r="Q598" s="328" t="s">
        <v>1176</v>
      </c>
      <c r="R598" s="520">
        <f>IF(AND(CQTc分析计划YN=1,临床药理YN=1),1,0)</f>
        <v>0</v>
      </c>
      <c r="S598" s="328" t="str">
        <f>INDEX('Rate Card'!$D:$D,MATCH(服务费底表!$T598,'Rate Card'!F:F,0))</f>
        <v>临床药理</v>
      </c>
      <c r="T598" s="328" t="s">
        <v>654</v>
      </c>
      <c r="U598" s="522" t="str">
        <f>INDEX('Rate Card'!$E:$E,MATCH(服务费底表!$T598,'Rate Card'!$F:$F,0))</f>
        <v>临床药理高级专员</v>
      </c>
      <c r="V598" s="331">
        <f>INDEX('Rate Card'!$J:$J,MATCH($T598,'Rate Card'!$F:$F,0))</f>
        <v>700</v>
      </c>
      <c r="W598" s="523">
        <f t="shared" si="541"/>
        <v>700</v>
      </c>
      <c r="X598" s="523">
        <f t="shared" si="542"/>
        <v>4</v>
      </c>
      <c r="Y598" s="327" cm="1">
        <f t="array" ref="Y598">_xlfn.IFS(报价场景=服务费底表!$AJ$2,服务费底表!$AJ598,报价场景=服务费底表!$AP$2,服务费底表!$AP598,报价场景=服务费底表!$AK$2,服务费底表!$AK598,报价场景=服务费底表!$AL$2,服务费底表!$AL598,报价场景=服务费底表!$AM$2,服务费底表!$AM598,报价场景=服务费底表!$AN$2,服务费底表!$AN598,报价场景=服务费底表!$AQ$2,服务费底表!$AQ598,报价场景=服务费底表!$AO$2,服务费底表!$AO598)</f>
        <v>4</v>
      </c>
      <c r="Z598" s="327"/>
      <c r="AA598" s="332">
        <f t="shared" si="543"/>
        <v>4</v>
      </c>
      <c r="AB598" s="333">
        <f t="shared" si="544"/>
        <v>0</v>
      </c>
      <c r="AC598" s="328">
        <f t="shared" si="545"/>
        <v>0</v>
      </c>
      <c r="AD598" s="334">
        <f t="shared" si="546"/>
        <v>0</v>
      </c>
      <c r="AE598" s="334">
        <f>$AB598*(1-INDEX(项目参数!$D$5:$D$14,MATCH(服务费底表!$S598,项目参数!$B$5:$B$14,0)))</f>
        <v>0</v>
      </c>
      <c r="AF598" s="334">
        <f>$AD598*INDEX(项目参数!$D$5:$D$14,MATCH(服务费底表!$S598,项目参数!$B$5:$B$14,0))</f>
        <v>0</v>
      </c>
      <c r="AG598" s="334">
        <f t="shared" si="533"/>
        <v>0</v>
      </c>
      <c r="AH598" s="328"/>
      <c r="AI598" s="328" t="s">
        <v>654</v>
      </c>
      <c r="AJ598" s="327">
        <v>4</v>
      </c>
      <c r="AK598" s="327">
        <v>4</v>
      </c>
      <c r="AL598" s="327">
        <v>4</v>
      </c>
      <c r="AM598" s="327">
        <v>4</v>
      </c>
      <c r="AN598" s="327">
        <v>4</v>
      </c>
      <c r="AO598" s="327">
        <f t="shared" si="547"/>
        <v>4</v>
      </c>
      <c r="AP598" s="327">
        <v>4</v>
      </c>
      <c r="AQ598" s="327">
        <f t="shared" si="548"/>
        <v>6</v>
      </c>
      <c r="AR598" s="338"/>
      <c r="AS598" s="328"/>
      <c r="AT598" s="328"/>
      <c r="AU598" s="523">
        <v>4</v>
      </c>
      <c r="AV598" s="328"/>
      <c r="AW598" s="328"/>
      <c r="AX598" s="332">
        <v>4</v>
      </c>
      <c r="AY598" s="328"/>
      <c r="AZ598" s="328" t="b">
        <f t="shared" si="526"/>
        <v>1</v>
      </c>
    </row>
    <row r="599" ht="27" customHeight="1" spans="1:52">
      <c r="A599" s="326" t="str">
        <f>INDEX('Rate Card'!$A:$A,MATCH(服务费底表!$T599,'Rate Card'!$F:$F,0))</f>
        <v>临床药理</v>
      </c>
      <c r="B599" s="327" t="str">
        <f>INDEX(二三级标准!$G:$G,MATCH(服务费底表!$K599,二三级标准!B:B,0))</f>
        <v>次</v>
      </c>
      <c r="C599" s="327">
        <f>INDEX(服务费明细!$E:$E,MATCH(服务费底表!$K599,服务费明细!$B:$B,0))</f>
        <v>0</v>
      </c>
      <c r="D599" s="327" t="str">
        <f t="shared" ref="D599:D602" si="549">K599&amp;T599</f>
        <v>A236CPS</v>
      </c>
      <c r="E599" s="327" t="str">
        <f t="shared" ref="E599:E602" si="550">M599&amp;T599</f>
        <v>T0693CPS</v>
      </c>
      <c r="F599" s="328"/>
      <c r="G599" s="328" t="s">
        <v>684</v>
      </c>
      <c r="H599" s="326" t="str">
        <f>INDEX('Rate Card'!$B:$B,MATCH(服务费底表!$T599,'Rate Card'!$F:$F,0))</f>
        <v>临床药理</v>
      </c>
      <c r="I599" s="328" t="s">
        <v>925</v>
      </c>
      <c r="J599" s="328" t="str">
        <f>INDEX(二三级标准!$Q:$Q,MATCH(服务费底表!I599,二三级标准!$O:$O,0))</f>
        <v>临床药理</v>
      </c>
      <c r="K599" s="328" t="s">
        <v>1112</v>
      </c>
      <c r="L599" s="328" t="str">
        <f>INDEX(二三级标准!C:C,MATCH(服务费底表!K599,二三级标准!$B:$B,0))</f>
        <v>数据整理</v>
      </c>
      <c r="M599" s="328" t="s">
        <v>1624</v>
      </c>
      <c r="N599" s="328" t="str">
        <f>INDEX(二三级标准!$M:$M,MATCH(服务费底表!$M599,二三级标准!$L:$L,0))</f>
        <v>数据整理</v>
      </c>
      <c r="O599" s="328"/>
      <c r="P599" s="531">
        <f>IF(R599=1,INDEX(服务费明细!$E:$E,MATCH(服务费底表!$K599,服务费明细!$B:$B,0)),0)</f>
        <v>0</v>
      </c>
      <c r="Q599" s="328" t="s">
        <v>1176</v>
      </c>
      <c r="R599" s="520">
        <f>IF(AND(数据整理YN=1,临床药理YN=1),1,0)</f>
        <v>0</v>
      </c>
      <c r="S599" s="328" t="str">
        <f>INDEX('Rate Card'!$D:$D,MATCH(服务费底表!$T599,'Rate Card'!F:F,0))</f>
        <v>临床药理</v>
      </c>
      <c r="T599" s="328" t="s">
        <v>652</v>
      </c>
      <c r="U599" s="522" t="str">
        <f>INDEX('Rate Card'!$E:$E,MATCH(服务费底表!$T599,'Rate Card'!$F:$F,0))</f>
        <v>临床药理专员</v>
      </c>
      <c r="V599" s="331">
        <f>INDEX('Rate Card'!$J:$J,MATCH($T599,'Rate Card'!$F:$F,0))</f>
        <v>580</v>
      </c>
      <c r="W599" s="523">
        <f t="shared" si="541"/>
        <v>580</v>
      </c>
      <c r="X599" s="523">
        <f t="shared" si="542"/>
        <v>18</v>
      </c>
      <c r="Y599" s="327" cm="1">
        <f t="array" ref="Y599">_xlfn.IFS(报价场景=服务费底表!$AJ$2,服务费底表!$AJ599,报价场景=服务费底表!$AP$2,服务费底表!$AP599,报价场景=服务费底表!$AK$2,服务费底表!$AK599,报价场景=服务费底表!$AL$2,服务费底表!$AL599,报价场景=服务费底表!$AM$2,服务费底表!$AM599,报价场景=服务费底表!$AN$2,服务费底表!$AN599,报价场景=服务费底表!$AQ$2,服务费底表!$AQ599,报价场景=服务费底表!$AO$2,服务费底表!$AO599)</f>
        <v>18</v>
      </c>
      <c r="Z599" s="327"/>
      <c r="AA599" s="332">
        <f t="shared" si="543"/>
        <v>18</v>
      </c>
      <c r="AB599" s="333">
        <f t="shared" si="544"/>
        <v>0</v>
      </c>
      <c r="AC599" s="328">
        <f t="shared" si="545"/>
        <v>0</v>
      </c>
      <c r="AD599" s="334">
        <f t="shared" si="546"/>
        <v>0</v>
      </c>
      <c r="AE599" s="334">
        <f>$AB599*(1-INDEX(项目参数!$D$5:$D$14,MATCH(服务费底表!$S599,项目参数!$B$5:$B$14,0)))</f>
        <v>0</v>
      </c>
      <c r="AF599" s="334">
        <f>$AD599*INDEX(项目参数!$D$5:$D$14,MATCH(服务费底表!$S599,项目参数!$B$5:$B$14,0))</f>
        <v>0</v>
      </c>
      <c r="AG599" s="334">
        <f t="shared" si="533"/>
        <v>0</v>
      </c>
      <c r="AH599" s="328"/>
      <c r="AI599" s="328" t="s">
        <v>652</v>
      </c>
      <c r="AJ599" s="327">
        <v>18</v>
      </c>
      <c r="AK599" s="327">
        <v>18</v>
      </c>
      <c r="AL599" s="327">
        <v>18</v>
      </c>
      <c r="AM599" s="327">
        <v>18</v>
      </c>
      <c r="AN599" s="327">
        <v>18</v>
      </c>
      <c r="AO599" s="327">
        <v>18</v>
      </c>
      <c r="AP599" s="327">
        <v>18</v>
      </c>
      <c r="AQ599" s="327">
        <f t="shared" si="548"/>
        <v>27</v>
      </c>
      <c r="AR599" s="338"/>
      <c r="AS599" s="328"/>
      <c r="AT599" s="328"/>
      <c r="AU599" s="523">
        <v>18</v>
      </c>
      <c r="AV599" s="328"/>
      <c r="AW599" s="328"/>
      <c r="AX599" s="332">
        <v>18</v>
      </c>
      <c r="AY599" s="328"/>
      <c r="AZ599" s="328" t="b">
        <f t="shared" si="526"/>
        <v>0</v>
      </c>
    </row>
    <row r="600" ht="27" customHeight="1" spans="1:52">
      <c r="A600" s="326" t="str">
        <f>INDEX('Rate Card'!$A:$A,MATCH(服务费底表!$T600,'Rate Card'!$F:$F,0))</f>
        <v>数统</v>
      </c>
      <c r="B600" s="327" t="str">
        <f>INDEX(二三级标准!$G:$G,MATCH(服务费底表!$K600,二三级标准!B:B,0))</f>
        <v>次</v>
      </c>
      <c r="C600" s="327">
        <f>INDEX(服务费明细!$E:$E,MATCH(服务费底表!$K600,服务费明细!$B:$B,0))</f>
        <v>0</v>
      </c>
      <c r="D600" s="327" t="str">
        <f t="shared" si="549"/>
        <v>A236SA</v>
      </c>
      <c r="E600" s="327" t="str">
        <f t="shared" si="550"/>
        <v>T0693SA</v>
      </c>
      <c r="F600" s="328"/>
      <c r="G600" s="328" t="s">
        <v>684</v>
      </c>
      <c r="H600" s="326" t="str">
        <f>INDEX('Rate Card'!$B:$B,MATCH(服务费底表!$T600,'Rate Card'!$F:$F,0))</f>
        <v>生物统计及分析</v>
      </c>
      <c r="I600" s="328" t="s">
        <v>925</v>
      </c>
      <c r="J600" s="328" t="str">
        <f>INDEX(二三级标准!$Q:$Q,MATCH(服务费底表!I600,二三级标准!$O:$O,0))</f>
        <v>临床药理</v>
      </c>
      <c r="K600" s="328" t="s">
        <v>1112</v>
      </c>
      <c r="L600" s="328" t="str">
        <f>INDEX(二三级标准!C:C,MATCH(服务费底表!K600,二三级标准!$B:$B,0))</f>
        <v>数据整理</v>
      </c>
      <c r="M600" s="328" t="s">
        <v>1624</v>
      </c>
      <c r="N600" s="328" t="str">
        <f>INDEX(二三级标准!$M:$M,MATCH(服务费底表!$M600,二三级标准!$L:$L,0))</f>
        <v>数据整理</v>
      </c>
      <c r="O600" s="328"/>
      <c r="P600" s="531">
        <f>IF(R600=1,INDEX(服务费明细!$E:$E,MATCH(服务费底表!$K600,服务费明细!$B:$B,0)),0)</f>
        <v>0</v>
      </c>
      <c r="Q600" s="328" t="s">
        <v>1176</v>
      </c>
      <c r="R600" s="520">
        <f>IF(AND(数据整理YN=1,临床药理YN=1),1,0)</f>
        <v>0</v>
      </c>
      <c r="S600" s="328" t="str">
        <f>INDEX('Rate Card'!$D:$D,MATCH(服务费底表!$T600,'Rate Card'!F:F,0))</f>
        <v>统计分析</v>
      </c>
      <c r="T600" s="328" t="s">
        <v>635</v>
      </c>
      <c r="U600" s="522" t="str">
        <f>INDEX('Rate Card'!$E:$E,MATCH(服务费底表!$T600,'Rate Card'!$F:$F,0))</f>
        <v>统计分析师</v>
      </c>
      <c r="V600" s="331">
        <f>INDEX('Rate Card'!$J:$J,MATCH($T600,'Rate Card'!$F:$F,0))</f>
        <v>225</v>
      </c>
      <c r="W600" s="523">
        <f t="shared" si="541"/>
        <v>225</v>
      </c>
      <c r="X600" s="523">
        <f t="shared" si="542"/>
        <v>18</v>
      </c>
      <c r="Y600" s="327" cm="1">
        <f t="array" ref="Y600">_xlfn.IFS(报价场景=服务费底表!$AJ$2,服务费底表!$AJ600,报价场景=服务费底表!$AP$2,服务费底表!$AP600,报价场景=服务费底表!$AK$2,服务费底表!$AK600,报价场景=服务费底表!$AL$2,服务费底表!$AL600,报价场景=服务费底表!$AM$2,服务费底表!$AM600,报价场景=服务费底表!$AN$2,服务费底表!$AN600,报价场景=服务费底表!$AQ$2,服务费底表!$AQ600,报价场景=服务费底表!$AO$2,服务费底表!$AO600)</f>
        <v>18</v>
      </c>
      <c r="Z600" s="327"/>
      <c r="AA600" s="332">
        <f t="shared" si="543"/>
        <v>18</v>
      </c>
      <c r="AB600" s="333">
        <f t="shared" si="544"/>
        <v>0</v>
      </c>
      <c r="AC600" s="328">
        <f t="shared" si="545"/>
        <v>0</v>
      </c>
      <c r="AD600" s="334">
        <f t="shared" si="546"/>
        <v>0</v>
      </c>
      <c r="AE600" s="334">
        <f>$AB600*(1-INDEX(项目参数!$D$5:$D$14,MATCH(服务费底表!$S600,项目参数!$B$5:$B$14,0)))</f>
        <v>0</v>
      </c>
      <c r="AF600" s="334">
        <f>$AD600*INDEX(项目参数!$D$5:$D$14,MATCH(服务费底表!$S600,项目参数!$B$5:$B$14,0))</f>
        <v>0</v>
      </c>
      <c r="AG600" s="334">
        <f t="shared" si="533"/>
        <v>0</v>
      </c>
      <c r="AH600" s="328"/>
      <c r="AI600" s="328" t="s">
        <v>635</v>
      </c>
      <c r="AJ600" s="327">
        <v>18</v>
      </c>
      <c r="AK600" s="327">
        <v>18</v>
      </c>
      <c r="AL600" s="327">
        <v>18</v>
      </c>
      <c r="AM600" s="327">
        <v>18</v>
      </c>
      <c r="AN600" s="327">
        <v>18</v>
      </c>
      <c r="AO600" s="327">
        <v>18</v>
      </c>
      <c r="AP600" s="327">
        <v>18</v>
      </c>
      <c r="AQ600" s="327">
        <f t="shared" si="548"/>
        <v>27</v>
      </c>
      <c r="AR600" s="338"/>
      <c r="AS600" s="328"/>
      <c r="AT600" s="328"/>
      <c r="AU600" s="523">
        <v>18</v>
      </c>
      <c r="AV600" s="328"/>
      <c r="AW600" s="328"/>
      <c r="AX600" s="332">
        <v>18</v>
      </c>
      <c r="AY600" s="328"/>
      <c r="AZ600" s="328" t="b">
        <f t="shared" si="526"/>
        <v>0</v>
      </c>
    </row>
    <row r="601" ht="27" customHeight="1" spans="1:52">
      <c r="A601" s="326" t="str">
        <f>INDEX('Rate Card'!$A:$A,MATCH(服务费底表!$T601,'Rate Card'!$F:$F,0))</f>
        <v>临床药理</v>
      </c>
      <c r="B601" s="327" t="str">
        <f>INDEX(二三级标准!$G:$G,MATCH(服务费底表!$K601,二三级标准!B:B,0))</f>
        <v>次</v>
      </c>
      <c r="C601" s="327">
        <f>INDEX(服务费明细!$E:$E,MATCH(服务费底表!$K601,服务费明细!$B:$B,0))</f>
        <v>0</v>
      </c>
      <c r="D601" s="327" t="str">
        <f t="shared" si="549"/>
        <v>A237CPSS</v>
      </c>
      <c r="E601" s="327" t="str">
        <f t="shared" si="550"/>
        <v>T0694CPSS</v>
      </c>
      <c r="F601" s="328"/>
      <c r="G601" s="328" t="s">
        <v>684</v>
      </c>
      <c r="H601" s="326" t="str">
        <f>INDEX('Rate Card'!$B:$B,MATCH(服务费底表!$T601,'Rate Card'!$F:$F,0))</f>
        <v>临床药理</v>
      </c>
      <c r="I601" s="328" t="s">
        <v>925</v>
      </c>
      <c r="J601" s="328" t="str">
        <f>INDEX(二三级标准!$Q:$Q,MATCH(服务费底表!I601,二三级标准!$O:$O,0))</f>
        <v>临床药理</v>
      </c>
      <c r="K601" s="328" t="s">
        <v>1113</v>
      </c>
      <c r="L601" s="328" t="str">
        <f>INDEX(二三级标准!C:C,MATCH(服务费底表!K601,二三级标准!$B:$B,0))</f>
        <v>探索性分析</v>
      </c>
      <c r="M601" s="328" t="s">
        <v>1625</v>
      </c>
      <c r="N601" s="328" t="str">
        <f>INDEX(二三级标准!$M:$M,MATCH(服务费底表!$M601,二三级标准!$L:$L,0))</f>
        <v>探索性分析</v>
      </c>
      <c r="O601" s="328"/>
      <c r="P601" s="531">
        <f>IF(R601=1,INDEX(服务费明细!$E:$E,MATCH(服务费底表!$K601,服务费明细!$B:$B,0)),0)</f>
        <v>0</v>
      </c>
      <c r="Q601" s="328" t="s">
        <v>1176</v>
      </c>
      <c r="R601" s="520">
        <f>IF(AND(探索性分析YN=1,临床药理YN=1),1,0)</f>
        <v>0</v>
      </c>
      <c r="S601" s="328" t="str">
        <f>INDEX('Rate Card'!$D:$D,MATCH(服务费底表!$T601,'Rate Card'!F:F,0))</f>
        <v>临床药理</v>
      </c>
      <c r="T601" s="328" t="s">
        <v>654</v>
      </c>
      <c r="U601" s="522" t="str">
        <f>INDEX('Rate Card'!$E:$E,MATCH(服务费底表!$T601,'Rate Card'!$F:$F,0))</f>
        <v>临床药理高级专员</v>
      </c>
      <c r="V601" s="331">
        <f>INDEX('Rate Card'!$J:$J,MATCH($T601,'Rate Card'!$F:$F,0))</f>
        <v>700</v>
      </c>
      <c r="W601" s="523">
        <f t="shared" ref="W601:W604" si="551">V601*(1-$W$1)</f>
        <v>700</v>
      </c>
      <c r="X601" s="523">
        <f t="shared" ref="X601:X604" si="552">Y601*$X$1</f>
        <v>14</v>
      </c>
      <c r="Y601" s="327" cm="1">
        <f t="array" ref="Y601">_xlfn.IFS(报价场景=服务费底表!$AJ$2,服务费底表!$AJ601,报价场景=服务费底表!$AP$2,服务费底表!$AP601,报价场景=服务费底表!$AK$2,服务费底表!$AK601,报价场景=服务费底表!$AL$2,服务费底表!$AL601,报价场景=服务费底表!$AM$2,服务费底表!$AM601,报价场景=服务费底表!$AN$2,服务费底表!$AN601,报价场景=服务费底表!$AQ$2,服务费底表!$AQ601,报价场景=服务费底表!$AO$2,服务费底表!$AO601)</f>
        <v>14</v>
      </c>
      <c r="Z601" s="327"/>
      <c r="AA601" s="332">
        <f t="shared" ref="AA601:AA604" si="553">IF(ISBLANK($Z601),$Y601,$Z601)</f>
        <v>14</v>
      </c>
      <c r="AB601" s="333">
        <f t="shared" ref="AB601:AB604" si="554">IFERROR(AD601/P601,0)</f>
        <v>0</v>
      </c>
      <c r="AC601" s="328">
        <f t="shared" ref="AC601:AC604" si="555">AA601*P601*R601</f>
        <v>0</v>
      </c>
      <c r="AD601" s="334">
        <f t="shared" ref="AD601:AD604" si="556">AC601*V601</f>
        <v>0</v>
      </c>
      <c r="AE601" s="334">
        <f>$AB601*(1-INDEX(项目参数!$D$5:$D$14,MATCH(服务费底表!$S601,项目参数!$B$5:$B$14,0)))</f>
        <v>0</v>
      </c>
      <c r="AF601" s="334">
        <f>$AD601*INDEX(项目参数!$D$5:$D$14,MATCH(服务费底表!$S601,项目参数!$B$5:$B$14,0))</f>
        <v>0</v>
      </c>
      <c r="AG601" s="334">
        <f t="shared" ref="AG601:AG604" si="557">AD601-AF601</f>
        <v>0</v>
      </c>
      <c r="AH601" s="328"/>
      <c r="AI601" s="328" t="s">
        <v>654</v>
      </c>
      <c r="AJ601" s="327">
        <v>14</v>
      </c>
      <c r="AK601" s="327">
        <v>14</v>
      </c>
      <c r="AL601" s="327">
        <v>14</v>
      </c>
      <c r="AM601" s="327">
        <v>14</v>
      </c>
      <c r="AN601" s="327">
        <v>14</v>
      </c>
      <c r="AO601" s="327">
        <v>14</v>
      </c>
      <c r="AP601" s="327">
        <v>14</v>
      </c>
      <c r="AQ601" s="327">
        <f t="shared" ref="AQ601:AQ604" si="558">AJ601*$AQ$1</f>
        <v>21</v>
      </c>
      <c r="AR601" s="338"/>
      <c r="AS601" s="328"/>
      <c r="AT601" s="328"/>
      <c r="AU601" s="523">
        <v>14</v>
      </c>
      <c r="AV601" s="328"/>
      <c r="AW601" s="328"/>
      <c r="AX601" s="332">
        <v>14</v>
      </c>
      <c r="AY601" s="328"/>
      <c r="AZ601" s="328" t="b">
        <f t="shared" si="526"/>
        <v>1</v>
      </c>
    </row>
    <row r="602" ht="27" customHeight="1" spans="1:52">
      <c r="A602" s="326" t="str">
        <f>INDEX('Rate Card'!$A:$A,MATCH(服务费底表!$T602,'Rate Card'!$F:$F,0))</f>
        <v>数统</v>
      </c>
      <c r="B602" s="327" t="str">
        <f>INDEX(二三级标准!$G:$G,MATCH(服务费底表!$K602,二三级标准!B:B,0))</f>
        <v>次</v>
      </c>
      <c r="C602" s="327">
        <f>INDEX(服务费明细!$E:$E,MATCH(服务费底表!$K602,服务费明细!$B:$B,0))</f>
        <v>0</v>
      </c>
      <c r="D602" s="327" t="str">
        <f t="shared" si="549"/>
        <v>A237SA</v>
      </c>
      <c r="E602" s="327" t="str">
        <f t="shared" si="550"/>
        <v>T0694SA</v>
      </c>
      <c r="F602" s="328"/>
      <c r="G602" s="328" t="s">
        <v>684</v>
      </c>
      <c r="H602" s="326" t="str">
        <f>INDEX('Rate Card'!$B:$B,MATCH(服务费底表!$T602,'Rate Card'!$F:$F,0))</f>
        <v>生物统计及分析</v>
      </c>
      <c r="I602" s="328" t="s">
        <v>925</v>
      </c>
      <c r="J602" s="328" t="str">
        <f>INDEX(二三级标准!$Q:$Q,MATCH(服务费底表!I602,二三级标准!$O:$O,0))</f>
        <v>临床药理</v>
      </c>
      <c r="K602" s="328" t="s">
        <v>1113</v>
      </c>
      <c r="L602" s="328" t="str">
        <f>INDEX(二三级标准!C:C,MATCH(服务费底表!K602,二三级标准!$B:$B,0))</f>
        <v>探索性分析</v>
      </c>
      <c r="M602" s="328" t="s">
        <v>1625</v>
      </c>
      <c r="N602" s="328" t="str">
        <f>INDEX(二三级标准!$M:$M,MATCH(服务费底表!$M602,二三级标准!$L:$L,0))</f>
        <v>探索性分析</v>
      </c>
      <c r="O602" s="328"/>
      <c r="P602" s="531">
        <f>IF(R602=1,INDEX(服务费明细!$E:$E,MATCH(服务费底表!$K602,服务费明细!$B:$B,0)),0)</f>
        <v>0</v>
      </c>
      <c r="Q602" s="328" t="s">
        <v>1176</v>
      </c>
      <c r="R602" s="520">
        <f>IF(AND(探索性分析YN=1,临床药理YN=1),1,0)</f>
        <v>0</v>
      </c>
      <c r="S602" s="328" t="str">
        <f>INDEX('Rate Card'!$D:$D,MATCH(服务费底表!$T602,'Rate Card'!F:F,0))</f>
        <v>统计分析</v>
      </c>
      <c r="T602" s="328" t="s">
        <v>635</v>
      </c>
      <c r="U602" s="522" t="str">
        <f>INDEX('Rate Card'!$E:$E,MATCH(服务费底表!$T602,'Rate Card'!$F:$F,0))</f>
        <v>统计分析师</v>
      </c>
      <c r="V602" s="331">
        <f>INDEX('Rate Card'!$J:$J,MATCH($T602,'Rate Card'!$F:$F,0))</f>
        <v>225</v>
      </c>
      <c r="W602" s="523">
        <f t="shared" si="551"/>
        <v>225</v>
      </c>
      <c r="X602" s="523">
        <f t="shared" si="552"/>
        <v>10</v>
      </c>
      <c r="Y602" s="327" cm="1">
        <f t="array" ref="Y602">_xlfn.IFS(报价场景=服务费底表!$AJ$2,服务费底表!$AJ602,报价场景=服务费底表!$AP$2,服务费底表!$AP602,报价场景=服务费底表!$AK$2,服务费底表!$AK602,报价场景=服务费底表!$AL$2,服务费底表!$AL602,报价场景=服务费底表!$AM$2,服务费底表!$AM602,报价场景=服务费底表!$AN$2,服务费底表!$AN602,报价场景=服务费底表!$AQ$2,服务费底表!$AQ602,报价场景=服务费底表!$AO$2,服务费底表!$AO602)</f>
        <v>10</v>
      </c>
      <c r="Z602" s="327"/>
      <c r="AA602" s="332">
        <f t="shared" si="553"/>
        <v>10</v>
      </c>
      <c r="AB602" s="333">
        <f t="shared" si="554"/>
        <v>0</v>
      </c>
      <c r="AC602" s="328">
        <f t="shared" si="555"/>
        <v>0</v>
      </c>
      <c r="AD602" s="334">
        <f t="shared" si="556"/>
        <v>0</v>
      </c>
      <c r="AE602" s="334">
        <f>$AB602*(1-INDEX(项目参数!$D$5:$D$14,MATCH(服务费底表!$S602,项目参数!$B$5:$B$14,0)))</f>
        <v>0</v>
      </c>
      <c r="AF602" s="334">
        <f>$AD602*INDEX(项目参数!$D$5:$D$14,MATCH(服务费底表!$S602,项目参数!$B$5:$B$14,0))</f>
        <v>0</v>
      </c>
      <c r="AG602" s="334">
        <f t="shared" si="557"/>
        <v>0</v>
      </c>
      <c r="AH602" s="328"/>
      <c r="AI602" s="328" t="s">
        <v>635</v>
      </c>
      <c r="AJ602" s="327">
        <v>10</v>
      </c>
      <c r="AK602" s="327">
        <v>10</v>
      </c>
      <c r="AL602" s="327">
        <v>10</v>
      </c>
      <c r="AM602" s="327">
        <v>10</v>
      </c>
      <c r="AN602" s="327">
        <v>10</v>
      </c>
      <c r="AO602" s="327">
        <v>10</v>
      </c>
      <c r="AP602" s="327">
        <v>10</v>
      </c>
      <c r="AQ602" s="327">
        <f t="shared" si="558"/>
        <v>15</v>
      </c>
      <c r="AR602" s="338"/>
      <c r="AS602" s="328"/>
      <c r="AT602" s="328"/>
      <c r="AU602" s="523">
        <v>10</v>
      </c>
      <c r="AV602" s="328"/>
      <c r="AW602" s="328"/>
      <c r="AX602" s="332">
        <v>10</v>
      </c>
      <c r="AY602" s="328"/>
      <c r="AZ602" s="328" t="b">
        <f t="shared" si="526"/>
        <v>1</v>
      </c>
    </row>
    <row r="603" ht="27" customHeight="1" spans="1:52">
      <c r="A603" s="326" t="str">
        <f>INDEX('Rate Card'!$A:$A,MATCH(服务费底表!$T603,'Rate Card'!$F:$F,0))</f>
        <v>临床药理</v>
      </c>
      <c r="B603" s="327" t="str">
        <f>INDEX(二三级标准!$G:$G,MATCH(服务费底表!$K603,二三级标准!B:B,0))</f>
        <v>次</v>
      </c>
      <c r="C603" s="327">
        <f>INDEX(服务费明细!$E:$E,MATCH(服务费底表!$K603,服务费明细!$B:$B,0))</f>
        <v>0</v>
      </c>
      <c r="D603" s="327" t="str">
        <f t="shared" ref="D603:D608" si="559">K603&amp;T603</f>
        <v>A238CPS</v>
      </c>
      <c r="E603" s="327" t="str">
        <f t="shared" ref="E603:E608" si="560">M603&amp;T603</f>
        <v>T0695CPS</v>
      </c>
      <c r="F603" s="328"/>
      <c r="G603" s="328" t="s">
        <v>684</v>
      </c>
      <c r="H603" s="326" t="str">
        <f>INDEX('Rate Card'!$B:$B,MATCH(服务费底表!$T603,'Rate Card'!$F:$F,0))</f>
        <v>临床药理</v>
      </c>
      <c r="I603" s="328" t="s">
        <v>925</v>
      </c>
      <c r="J603" s="328" t="str">
        <f>INDEX(二三级标准!$Q:$Q,MATCH(服务费底表!I603,二三级标准!$O:$O,0))</f>
        <v>临床药理</v>
      </c>
      <c r="K603" s="328" t="s">
        <v>1114</v>
      </c>
      <c r="L603" s="328" t="str">
        <f>INDEX(二三级标准!C:C,MATCH(服务费底表!K603,二三级标准!$B:$B,0))</f>
        <v>C-QTc建模分析</v>
      </c>
      <c r="M603" s="328" t="s">
        <v>1626</v>
      </c>
      <c r="N603" s="328" t="str">
        <f>INDEX(二三级标准!$M:$M,MATCH(服务费底表!$M603,二三级标准!$L:$L,0))</f>
        <v>C-QTc模型构建</v>
      </c>
      <c r="O603" s="328"/>
      <c r="P603" s="531">
        <f>IF(R603=1,INDEX(服务费明细!$E:$E,MATCH(服务费底表!$K603,服务费明细!$B:$B,0)),0)</f>
        <v>0</v>
      </c>
      <c r="Q603" s="328" t="s">
        <v>1176</v>
      </c>
      <c r="R603" s="520">
        <f>IF(AND(CQTc建模分析YN=1,临床药理YN=1),1,0)</f>
        <v>0</v>
      </c>
      <c r="S603" s="328" t="str">
        <f>INDEX('Rate Card'!$D:$D,MATCH(服务费底表!$T603,'Rate Card'!F:F,0))</f>
        <v>临床药理</v>
      </c>
      <c r="T603" s="328" t="s">
        <v>652</v>
      </c>
      <c r="U603" s="522" t="str">
        <f>INDEX('Rate Card'!$E:$E,MATCH(服务费底表!$T603,'Rate Card'!$F:$F,0))</f>
        <v>临床药理专员</v>
      </c>
      <c r="V603" s="331">
        <f>INDEX('Rate Card'!$J:$J,MATCH($T603,'Rate Card'!$F:$F,0))</f>
        <v>580</v>
      </c>
      <c r="W603" s="523">
        <f t="shared" si="551"/>
        <v>580</v>
      </c>
      <c r="X603" s="523">
        <f t="shared" si="552"/>
        <v>12</v>
      </c>
      <c r="Y603" s="327" cm="1">
        <f t="array" ref="Y603">_xlfn.IFS(报价场景=服务费底表!$AJ$2,服务费底表!$AJ603,报价场景=服务费底表!$AP$2,服务费底表!$AP603,报价场景=服务费底表!$AK$2,服务费底表!$AK603,报价场景=服务费底表!$AL$2,服务费底表!$AL603,报价场景=服务费底表!$AM$2,服务费底表!$AM603,报价场景=服务费底表!$AN$2,服务费底表!$AN603,报价场景=服务费底表!$AQ$2,服务费底表!$AQ603,报价场景=服务费底表!$AO$2,服务费底表!$AO603)</f>
        <v>12</v>
      </c>
      <c r="Z603" s="327"/>
      <c r="AA603" s="332">
        <f t="shared" si="553"/>
        <v>12</v>
      </c>
      <c r="AB603" s="333">
        <f t="shared" si="554"/>
        <v>0</v>
      </c>
      <c r="AC603" s="328">
        <f t="shared" si="555"/>
        <v>0</v>
      </c>
      <c r="AD603" s="334">
        <f t="shared" si="556"/>
        <v>0</v>
      </c>
      <c r="AE603" s="334">
        <f>$AB603*(1-INDEX(项目参数!$D$5:$D$14,MATCH(服务费底表!$S603,项目参数!$B$5:$B$14,0)))</f>
        <v>0</v>
      </c>
      <c r="AF603" s="334">
        <f>$AD603*INDEX(项目参数!$D$5:$D$14,MATCH(服务费底表!$S603,项目参数!$B$5:$B$14,0))</f>
        <v>0</v>
      </c>
      <c r="AG603" s="334">
        <f t="shared" si="557"/>
        <v>0</v>
      </c>
      <c r="AH603" s="328"/>
      <c r="AI603" s="328" t="s">
        <v>652</v>
      </c>
      <c r="AJ603" s="327">
        <v>12</v>
      </c>
      <c r="AK603" s="327">
        <v>12</v>
      </c>
      <c r="AL603" s="327">
        <v>12</v>
      </c>
      <c r="AM603" s="327">
        <v>12</v>
      </c>
      <c r="AN603" s="327">
        <v>12</v>
      </c>
      <c r="AO603" s="327">
        <v>12</v>
      </c>
      <c r="AP603" s="327">
        <v>12</v>
      </c>
      <c r="AQ603" s="327">
        <f t="shared" si="558"/>
        <v>18</v>
      </c>
      <c r="AR603" s="338"/>
      <c r="AS603" s="328"/>
      <c r="AT603" s="328"/>
      <c r="AU603" s="523">
        <v>12</v>
      </c>
      <c r="AV603" s="328"/>
      <c r="AW603" s="328"/>
      <c r="AX603" s="332">
        <v>12</v>
      </c>
      <c r="AY603" s="328"/>
      <c r="AZ603" s="328" t="b">
        <f t="shared" si="526"/>
        <v>0</v>
      </c>
    </row>
    <row r="604" ht="27" customHeight="1" spans="1:52">
      <c r="A604" s="326" t="str">
        <f>INDEX('Rate Card'!$A:$A,MATCH(服务费底表!$T604,'Rate Card'!$F:$F,0))</f>
        <v>数统</v>
      </c>
      <c r="B604" s="327" t="str">
        <f>INDEX(二三级标准!$G:$G,MATCH(服务费底表!$K604,二三级标准!B:B,0))</f>
        <v>次</v>
      </c>
      <c r="C604" s="327">
        <f>INDEX(服务费明细!$E:$E,MATCH(服务费底表!$K604,服务费明细!$B:$B,0))</f>
        <v>0</v>
      </c>
      <c r="D604" s="327" t="str">
        <f t="shared" si="559"/>
        <v>A238SA</v>
      </c>
      <c r="E604" s="327" t="str">
        <f t="shared" si="560"/>
        <v>T0695SA</v>
      </c>
      <c r="F604" s="328"/>
      <c r="G604" s="328" t="s">
        <v>684</v>
      </c>
      <c r="H604" s="326" t="str">
        <f>INDEX('Rate Card'!$B:$B,MATCH(服务费底表!$T604,'Rate Card'!$F:$F,0))</f>
        <v>生物统计及分析</v>
      </c>
      <c r="I604" s="328" t="s">
        <v>925</v>
      </c>
      <c r="J604" s="328" t="str">
        <f>INDEX(二三级标准!$Q:$Q,MATCH(服务费底表!I604,二三级标准!$O:$O,0))</f>
        <v>临床药理</v>
      </c>
      <c r="K604" s="328" t="s">
        <v>1114</v>
      </c>
      <c r="L604" s="328" t="str">
        <f>INDEX(二三级标准!C:C,MATCH(服务费底表!K604,二三级标准!$B:$B,0))</f>
        <v>C-QTc建模分析</v>
      </c>
      <c r="M604" s="328" t="s">
        <v>1626</v>
      </c>
      <c r="N604" s="328" t="str">
        <f>INDEX(二三级标准!$M:$M,MATCH(服务费底表!$M604,二三级标准!$L:$L,0))</f>
        <v>C-QTc模型构建</v>
      </c>
      <c r="O604" s="328"/>
      <c r="P604" s="531">
        <f>IF(R604=1,INDEX(服务费明细!$E:$E,MATCH(服务费底表!$K604,服务费明细!$B:$B,0)),0)</f>
        <v>0</v>
      </c>
      <c r="Q604" s="328" t="s">
        <v>1176</v>
      </c>
      <c r="R604" s="520">
        <f>IF(AND(CQTc建模分析YN=1,临床药理YN=1),1,0)</f>
        <v>0</v>
      </c>
      <c r="S604" s="328" t="str">
        <f>INDEX('Rate Card'!$D:$D,MATCH(服务费底表!$T604,'Rate Card'!F:F,0))</f>
        <v>统计分析</v>
      </c>
      <c r="T604" s="328" t="s">
        <v>635</v>
      </c>
      <c r="U604" s="522" t="str">
        <f>INDEX('Rate Card'!$E:$E,MATCH(服务费底表!$T604,'Rate Card'!$F:$F,0))</f>
        <v>统计分析师</v>
      </c>
      <c r="V604" s="331">
        <f>INDEX('Rate Card'!$J:$J,MATCH($T604,'Rate Card'!$F:$F,0))</f>
        <v>225</v>
      </c>
      <c r="W604" s="523">
        <f t="shared" si="551"/>
        <v>225</v>
      </c>
      <c r="X604" s="523">
        <f t="shared" si="552"/>
        <v>20</v>
      </c>
      <c r="Y604" s="327" cm="1">
        <f t="array" ref="Y604">_xlfn.IFS(报价场景=服务费底表!$AJ$2,服务费底表!$AJ604,报价场景=服务费底表!$AP$2,服务费底表!$AP604,报价场景=服务费底表!$AK$2,服务费底表!$AK604,报价场景=服务费底表!$AL$2,服务费底表!$AL604,报价场景=服务费底表!$AM$2,服务费底表!$AM604,报价场景=服务费底表!$AN$2,服务费底表!$AN604,报价场景=服务费底表!$AQ$2,服务费底表!$AQ604,报价场景=服务费底表!$AO$2,服务费底表!$AO604)</f>
        <v>20</v>
      </c>
      <c r="Z604" s="327"/>
      <c r="AA604" s="332">
        <f t="shared" si="553"/>
        <v>20</v>
      </c>
      <c r="AB604" s="333">
        <f t="shared" si="554"/>
        <v>0</v>
      </c>
      <c r="AC604" s="328">
        <f t="shared" si="555"/>
        <v>0</v>
      </c>
      <c r="AD604" s="334">
        <f t="shared" si="556"/>
        <v>0</v>
      </c>
      <c r="AE604" s="334">
        <f>$AB604*(1-INDEX(项目参数!$D$5:$D$14,MATCH(服务费底表!$S604,项目参数!$B$5:$B$14,0)))</f>
        <v>0</v>
      </c>
      <c r="AF604" s="334">
        <f>$AD604*INDEX(项目参数!$D$5:$D$14,MATCH(服务费底表!$S604,项目参数!$B$5:$B$14,0))</f>
        <v>0</v>
      </c>
      <c r="AG604" s="334">
        <f t="shared" si="557"/>
        <v>0</v>
      </c>
      <c r="AH604" s="328"/>
      <c r="AI604" s="328" t="s">
        <v>635</v>
      </c>
      <c r="AJ604" s="327">
        <v>20</v>
      </c>
      <c r="AK604" s="327">
        <v>20</v>
      </c>
      <c r="AL604" s="327">
        <v>20</v>
      </c>
      <c r="AM604" s="327">
        <v>20</v>
      </c>
      <c r="AN604" s="327">
        <v>20</v>
      </c>
      <c r="AO604" s="327">
        <v>20</v>
      </c>
      <c r="AP604" s="327">
        <v>20</v>
      </c>
      <c r="AQ604" s="327">
        <f t="shared" si="558"/>
        <v>30</v>
      </c>
      <c r="AR604" s="338"/>
      <c r="AS604" s="328"/>
      <c r="AT604" s="328"/>
      <c r="AU604" s="523">
        <v>20</v>
      </c>
      <c r="AV604" s="328"/>
      <c r="AW604" s="328"/>
      <c r="AX604" s="332">
        <v>20</v>
      </c>
      <c r="AY604" s="328"/>
      <c r="AZ604" s="328" t="b">
        <f t="shared" si="526"/>
        <v>0</v>
      </c>
    </row>
    <row r="605" ht="27" customHeight="1" spans="1:52">
      <c r="A605" s="326" t="str">
        <f>INDEX('Rate Card'!$A:$A,MATCH(服务费底表!$T605,'Rate Card'!$F:$F,0))</f>
        <v>临床药理</v>
      </c>
      <c r="B605" s="327" t="str">
        <f>INDEX(二三级标准!$G:$G,MATCH(服务费底表!$K605,二三级标准!B:B,0))</f>
        <v>次</v>
      </c>
      <c r="C605" s="327">
        <f>INDEX(服务费明细!$E:$E,MATCH(服务费底表!$K605,服务费明细!$B:$B,0))</f>
        <v>0</v>
      </c>
      <c r="D605" s="327" t="str">
        <f t="shared" si="559"/>
        <v>A238CPSS</v>
      </c>
      <c r="E605" s="327" t="str">
        <f t="shared" si="560"/>
        <v>T0696CPSS</v>
      </c>
      <c r="F605" s="328"/>
      <c r="G605" s="328" t="s">
        <v>684</v>
      </c>
      <c r="H605" s="326" t="str">
        <f>INDEX('Rate Card'!$B:$B,MATCH(服务费底表!$T605,'Rate Card'!$F:$F,0))</f>
        <v>临床药理</v>
      </c>
      <c r="I605" s="328" t="s">
        <v>925</v>
      </c>
      <c r="J605" s="328" t="str">
        <f>INDEX(二三级标准!$Q:$Q,MATCH(服务费底表!I605,二三级标准!$O:$O,0))</f>
        <v>临床药理</v>
      </c>
      <c r="K605" s="328" t="s">
        <v>1114</v>
      </c>
      <c r="L605" s="328" t="str">
        <f>INDEX(二三级标准!C:C,MATCH(服务费底表!K605,二三级标准!$B:$B,0))</f>
        <v>C-QTc建模分析</v>
      </c>
      <c r="M605" s="328" t="s">
        <v>1627</v>
      </c>
      <c r="N605" s="328" t="str">
        <f>INDEX(二三级标准!$M:$M,MATCH(服务费底表!$M605,二三级标准!$L:$L,0))</f>
        <v>C-QTc模型评价</v>
      </c>
      <c r="O605" s="328"/>
      <c r="P605" s="531">
        <f>IF(R605=1,INDEX(服务费明细!$E:$E,MATCH(服务费底表!$K605,服务费明细!$B:$B,0)),0)</f>
        <v>0</v>
      </c>
      <c r="Q605" s="328" t="s">
        <v>1176</v>
      </c>
      <c r="R605" s="520">
        <f>IF(AND(CQTc建模分析YN=1,临床药理YN=1),1,0)</f>
        <v>0</v>
      </c>
      <c r="S605" s="328" t="str">
        <f>INDEX('Rate Card'!$D:$D,MATCH(服务费底表!$T605,'Rate Card'!F:F,0))</f>
        <v>临床药理</v>
      </c>
      <c r="T605" s="328" t="s">
        <v>654</v>
      </c>
      <c r="U605" s="522" t="str">
        <f>INDEX('Rate Card'!$E:$E,MATCH(服务费底表!$T605,'Rate Card'!$F:$F,0))</f>
        <v>临床药理高级专员</v>
      </c>
      <c r="V605" s="331">
        <f>INDEX('Rate Card'!$J:$J,MATCH($T605,'Rate Card'!$F:$F,0))</f>
        <v>700</v>
      </c>
      <c r="W605" s="523">
        <f t="shared" ref="W605:W608" si="561">V605*(1-$W$1)</f>
        <v>700</v>
      </c>
      <c r="X605" s="523">
        <f t="shared" ref="X605:X608" si="562">Y605*$X$1</f>
        <v>10</v>
      </c>
      <c r="Y605" s="327" cm="1">
        <f t="array" ref="Y605">_xlfn.IFS(报价场景=服务费底表!$AJ$2,服务费底表!$AJ605,报价场景=服务费底表!$AP$2,服务费底表!$AP605,报价场景=服务费底表!$AK$2,服务费底表!$AK605,报价场景=服务费底表!$AL$2,服务费底表!$AL605,报价场景=服务费底表!$AM$2,服务费底表!$AM605,报价场景=服务费底表!$AN$2,服务费底表!$AN605,报价场景=服务费底表!$AQ$2,服务费底表!$AQ605,报价场景=服务费底表!$AO$2,服务费底表!$AO605)</f>
        <v>10</v>
      </c>
      <c r="Z605" s="327"/>
      <c r="AA605" s="332">
        <f t="shared" ref="AA605:AA608" si="563">IF(ISBLANK($Z605),$Y605,$Z605)</f>
        <v>10</v>
      </c>
      <c r="AB605" s="333">
        <f t="shared" ref="AB605:AB608" si="564">IFERROR(AD605/P605,0)</f>
        <v>0</v>
      </c>
      <c r="AC605" s="328">
        <f t="shared" ref="AC605:AC608" si="565">AA605*P605*R605</f>
        <v>0</v>
      </c>
      <c r="AD605" s="334">
        <f t="shared" ref="AD605:AD608" si="566">AC605*V605</f>
        <v>0</v>
      </c>
      <c r="AE605" s="334">
        <f>$AB605*(1-INDEX(项目参数!$D$5:$D$14,MATCH(服务费底表!$S605,项目参数!$B$5:$B$14,0)))</f>
        <v>0</v>
      </c>
      <c r="AF605" s="334">
        <f>$AD605*INDEX(项目参数!$D$5:$D$14,MATCH(服务费底表!$S605,项目参数!$B$5:$B$14,0))</f>
        <v>0</v>
      </c>
      <c r="AG605" s="334">
        <f t="shared" ref="AG605:AG617" si="567">AD605-AF605</f>
        <v>0</v>
      </c>
      <c r="AH605" s="328"/>
      <c r="AI605" s="328" t="s">
        <v>654</v>
      </c>
      <c r="AJ605" s="327">
        <v>10</v>
      </c>
      <c r="AK605" s="327">
        <v>10</v>
      </c>
      <c r="AL605" s="327">
        <v>10</v>
      </c>
      <c r="AM605" s="327">
        <v>10</v>
      </c>
      <c r="AN605" s="327">
        <v>10</v>
      </c>
      <c r="AO605" s="327">
        <v>10</v>
      </c>
      <c r="AP605" s="327">
        <v>10</v>
      </c>
      <c r="AQ605" s="327">
        <f t="shared" ref="AQ605:AQ608" si="568">AJ605*$AQ$1</f>
        <v>15</v>
      </c>
      <c r="AR605" s="338"/>
      <c r="AS605" s="328"/>
      <c r="AT605" s="328"/>
      <c r="AU605" s="523">
        <v>10</v>
      </c>
      <c r="AV605" s="328"/>
      <c r="AW605" s="328"/>
      <c r="AX605" s="332">
        <v>10</v>
      </c>
      <c r="AY605" s="328"/>
      <c r="AZ605" s="328" t="b">
        <f t="shared" si="526"/>
        <v>0</v>
      </c>
    </row>
    <row r="606" ht="27" customHeight="1" spans="1:52">
      <c r="A606" s="326" t="str">
        <f>INDEX('Rate Card'!$A:$A,MATCH(服务费底表!$T606,'Rate Card'!$F:$F,0))</f>
        <v>数统</v>
      </c>
      <c r="B606" s="327" t="str">
        <f>INDEX(二三级标准!$G:$G,MATCH(服务费底表!$K606,二三级标准!B:B,0))</f>
        <v>次</v>
      </c>
      <c r="C606" s="327">
        <f>INDEX(服务费明细!$E:$E,MATCH(服务费底表!$K606,服务费明细!$B:$B,0))</f>
        <v>0</v>
      </c>
      <c r="D606" s="327" t="str">
        <f t="shared" si="559"/>
        <v>A238SA</v>
      </c>
      <c r="E606" s="327" t="str">
        <f t="shared" si="560"/>
        <v>T0696SA</v>
      </c>
      <c r="F606" s="328"/>
      <c r="G606" s="328" t="s">
        <v>684</v>
      </c>
      <c r="H606" s="326" t="str">
        <f>INDEX('Rate Card'!$B:$B,MATCH(服务费底表!$T606,'Rate Card'!$F:$F,0))</f>
        <v>生物统计及分析</v>
      </c>
      <c r="I606" s="328" t="s">
        <v>925</v>
      </c>
      <c r="J606" s="328" t="str">
        <f>INDEX(二三级标准!$Q:$Q,MATCH(服务费底表!I606,二三级标准!$O:$O,0))</f>
        <v>临床药理</v>
      </c>
      <c r="K606" s="328" t="s">
        <v>1114</v>
      </c>
      <c r="L606" s="328" t="str">
        <f>INDEX(二三级标准!C:C,MATCH(服务费底表!K606,二三级标准!$B:$B,0))</f>
        <v>C-QTc建模分析</v>
      </c>
      <c r="M606" s="328" t="s">
        <v>1627</v>
      </c>
      <c r="N606" s="328" t="str">
        <f>INDEX(二三级标准!$M:$M,MATCH(服务费底表!$M606,二三级标准!$L:$L,0))</f>
        <v>C-QTc模型评价</v>
      </c>
      <c r="O606" s="328"/>
      <c r="P606" s="531">
        <f>IF(R606=1,INDEX(服务费明细!$E:$E,MATCH(服务费底表!$K606,服务费明细!$B:$B,0)),0)</f>
        <v>0</v>
      </c>
      <c r="Q606" s="328" t="s">
        <v>1176</v>
      </c>
      <c r="R606" s="520">
        <f>IF(AND(CQTc建模分析YN=1,临床药理YN=1),1,0)</f>
        <v>0</v>
      </c>
      <c r="S606" s="328" t="str">
        <f>INDEX('Rate Card'!$D:$D,MATCH(服务费底表!$T606,'Rate Card'!F:F,0))</f>
        <v>统计分析</v>
      </c>
      <c r="T606" s="328" t="s">
        <v>635</v>
      </c>
      <c r="U606" s="522" t="str">
        <f>INDEX('Rate Card'!$E:$E,MATCH(服务费底表!$T606,'Rate Card'!$F:$F,0))</f>
        <v>统计分析师</v>
      </c>
      <c r="V606" s="331">
        <f>INDEX('Rate Card'!$J:$J,MATCH($T606,'Rate Card'!$F:$F,0))</f>
        <v>225</v>
      </c>
      <c r="W606" s="523">
        <f t="shared" si="561"/>
        <v>225</v>
      </c>
      <c r="X606" s="523">
        <f t="shared" si="562"/>
        <v>14</v>
      </c>
      <c r="Y606" s="327" cm="1">
        <f t="array" ref="Y606">_xlfn.IFS(报价场景=服务费底表!$AJ$2,服务费底表!$AJ606,报价场景=服务费底表!$AP$2,服务费底表!$AP606,报价场景=服务费底表!$AK$2,服务费底表!$AK606,报价场景=服务费底表!$AL$2,服务费底表!$AL606,报价场景=服务费底表!$AM$2,服务费底表!$AM606,报价场景=服务费底表!$AN$2,服务费底表!$AN606,报价场景=服务费底表!$AQ$2,服务费底表!$AQ606,报价场景=服务费底表!$AO$2,服务费底表!$AO606)</f>
        <v>14</v>
      </c>
      <c r="Z606" s="327"/>
      <c r="AA606" s="332">
        <f t="shared" si="563"/>
        <v>14</v>
      </c>
      <c r="AB606" s="333">
        <f t="shared" si="564"/>
        <v>0</v>
      </c>
      <c r="AC606" s="328">
        <f t="shared" si="565"/>
        <v>0</v>
      </c>
      <c r="AD606" s="334">
        <f t="shared" si="566"/>
        <v>0</v>
      </c>
      <c r="AE606" s="334">
        <f>$AB606*(1-INDEX(项目参数!$D$5:$D$14,MATCH(服务费底表!$S606,项目参数!$B$5:$B$14,0)))</f>
        <v>0</v>
      </c>
      <c r="AF606" s="334">
        <f>$AD606*INDEX(项目参数!$D$5:$D$14,MATCH(服务费底表!$S606,项目参数!$B$5:$B$14,0))</f>
        <v>0</v>
      </c>
      <c r="AG606" s="334">
        <f t="shared" si="567"/>
        <v>0</v>
      </c>
      <c r="AH606" s="328"/>
      <c r="AI606" s="328" t="s">
        <v>635</v>
      </c>
      <c r="AJ606" s="327">
        <v>14</v>
      </c>
      <c r="AK606" s="327">
        <v>14</v>
      </c>
      <c r="AL606" s="327">
        <v>14</v>
      </c>
      <c r="AM606" s="327">
        <v>14</v>
      </c>
      <c r="AN606" s="327">
        <v>14</v>
      </c>
      <c r="AO606" s="327">
        <v>14</v>
      </c>
      <c r="AP606" s="327">
        <v>14</v>
      </c>
      <c r="AQ606" s="327">
        <f t="shared" si="568"/>
        <v>21</v>
      </c>
      <c r="AR606" s="338"/>
      <c r="AS606" s="328"/>
      <c r="AT606" s="328"/>
      <c r="AU606" s="523">
        <v>14</v>
      </c>
      <c r="AV606" s="328"/>
      <c r="AW606" s="328"/>
      <c r="AX606" s="332">
        <v>14</v>
      </c>
      <c r="AY606" s="328"/>
      <c r="AZ606" s="328" t="b">
        <f t="shared" si="526"/>
        <v>0</v>
      </c>
    </row>
    <row r="607" ht="27" customHeight="1" spans="1:52">
      <c r="A607" s="326" t="str">
        <f>INDEX('Rate Card'!$A:$A,MATCH(服务费底表!$T607,'Rate Card'!$F:$F,0))</f>
        <v>临床药理</v>
      </c>
      <c r="B607" s="327" t="str">
        <f>INDEX(二三级标准!$G:$G,MATCH(服务费底表!$K607,二三级标准!B:B,0))</f>
        <v>次</v>
      </c>
      <c r="C607" s="327">
        <f>INDEX(服务费明细!$E:$E,MATCH(服务费底表!$K607,服务费明细!$B:$B,0))</f>
        <v>0</v>
      </c>
      <c r="D607" s="327" t="str">
        <f t="shared" si="559"/>
        <v>A238CPS</v>
      </c>
      <c r="E607" s="327" t="str">
        <f t="shared" si="560"/>
        <v>T0697CPS</v>
      </c>
      <c r="F607" s="328"/>
      <c r="G607" s="328" t="s">
        <v>684</v>
      </c>
      <c r="H607" s="326" t="str">
        <f>INDEX('Rate Card'!$B:$B,MATCH(服务费底表!$T607,'Rate Card'!$F:$F,0))</f>
        <v>临床药理</v>
      </c>
      <c r="I607" s="328" t="s">
        <v>925</v>
      </c>
      <c r="J607" s="328" t="str">
        <f>INDEX(二三级标准!$Q:$Q,MATCH(服务费底表!I607,二三级标准!$O:$O,0))</f>
        <v>临床药理</v>
      </c>
      <c r="K607" s="328" t="s">
        <v>1114</v>
      </c>
      <c r="L607" s="328" t="str">
        <f>INDEX(二三级标准!C:C,MATCH(服务费底表!K607,二三级标准!$B:$B,0))</f>
        <v>C-QTc建模分析</v>
      </c>
      <c r="M607" s="328" t="s">
        <v>1628</v>
      </c>
      <c r="N607" s="328" t="str">
        <f>INDEX(二三级标准!$M:$M,MATCH(服务费底表!$M607,二三级标准!$L:$L,0))</f>
        <v>C-QTc模型预测</v>
      </c>
      <c r="O607" s="328"/>
      <c r="P607" s="531">
        <f>IF(R607=1,INDEX(服务费明细!$E:$E,MATCH(服务费底表!$K607,服务费明细!$B:$B,0)),0)</f>
        <v>0</v>
      </c>
      <c r="Q607" s="328" t="s">
        <v>1176</v>
      </c>
      <c r="R607" s="520">
        <f>IF(AND(CQTc建模分析YN=1,临床药理YN=1),1,0)</f>
        <v>0</v>
      </c>
      <c r="S607" s="328" t="str">
        <f>INDEX('Rate Card'!$D:$D,MATCH(服务费底表!$T607,'Rate Card'!F:F,0))</f>
        <v>临床药理</v>
      </c>
      <c r="T607" s="328" t="s">
        <v>652</v>
      </c>
      <c r="U607" s="522" t="str">
        <f>INDEX('Rate Card'!$E:$E,MATCH(服务费底表!$T607,'Rate Card'!$F:$F,0))</f>
        <v>临床药理专员</v>
      </c>
      <c r="V607" s="331">
        <f>INDEX('Rate Card'!$J:$J,MATCH($T607,'Rate Card'!$F:$F,0))</f>
        <v>580</v>
      </c>
      <c r="W607" s="523">
        <f t="shared" si="561"/>
        <v>580</v>
      </c>
      <c r="X607" s="523">
        <f t="shared" si="562"/>
        <v>12</v>
      </c>
      <c r="Y607" s="327" cm="1">
        <f t="array" ref="Y607">_xlfn.IFS(报价场景=服务费底表!$AJ$2,服务费底表!$AJ607,报价场景=服务费底表!$AP$2,服务费底表!$AP607,报价场景=服务费底表!$AK$2,服务费底表!$AK607,报价场景=服务费底表!$AL$2,服务费底表!$AL607,报价场景=服务费底表!$AM$2,服务费底表!$AM607,报价场景=服务费底表!$AN$2,服务费底表!$AN607,报价场景=服务费底表!$AQ$2,服务费底表!$AQ607,报价场景=服务费底表!$AO$2,服务费底表!$AO607)</f>
        <v>12</v>
      </c>
      <c r="Z607" s="327"/>
      <c r="AA607" s="332">
        <f t="shared" si="563"/>
        <v>12</v>
      </c>
      <c r="AB607" s="333">
        <f t="shared" si="564"/>
        <v>0</v>
      </c>
      <c r="AC607" s="328">
        <f t="shared" si="565"/>
        <v>0</v>
      </c>
      <c r="AD607" s="334">
        <f t="shared" si="566"/>
        <v>0</v>
      </c>
      <c r="AE607" s="334">
        <f>$AB607*(1-INDEX(项目参数!$D$5:$D$14,MATCH(服务费底表!$S607,项目参数!$B$5:$B$14,0)))</f>
        <v>0</v>
      </c>
      <c r="AF607" s="334">
        <f>$AD607*INDEX(项目参数!$D$5:$D$14,MATCH(服务费底表!$S607,项目参数!$B$5:$B$14,0))</f>
        <v>0</v>
      </c>
      <c r="AG607" s="334">
        <f t="shared" si="567"/>
        <v>0</v>
      </c>
      <c r="AH607" s="328"/>
      <c r="AI607" s="328" t="s">
        <v>652</v>
      </c>
      <c r="AJ607" s="327">
        <v>12</v>
      </c>
      <c r="AK607" s="327">
        <v>12</v>
      </c>
      <c r="AL607" s="327">
        <v>12</v>
      </c>
      <c r="AM607" s="327">
        <v>12</v>
      </c>
      <c r="AN607" s="327">
        <v>12</v>
      </c>
      <c r="AO607" s="327">
        <v>12</v>
      </c>
      <c r="AP607" s="327">
        <v>12</v>
      </c>
      <c r="AQ607" s="327">
        <f t="shared" si="568"/>
        <v>18</v>
      </c>
      <c r="AR607" s="338"/>
      <c r="AS607" s="328"/>
      <c r="AT607" s="328"/>
      <c r="AU607" s="523">
        <v>12</v>
      </c>
      <c r="AV607" s="328"/>
      <c r="AW607" s="328"/>
      <c r="AX607" s="332">
        <v>12</v>
      </c>
      <c r="AY607" s="328"/>
      <c r="AZ607" s="328" t="b">
        <f t="shared" si="526"/>
        <v>0</v>
      </c>
    </row>
    <row r="608" ht="27" customHeight="1" spans="1:52">
      <c r="A608" s="326" t="str">
        <f>INDEX('Rate Card'!$A:$A,MATCH(服务费底表!$T608,'Rate Card'!$F:$F,0))</f>
        <v>数统</v>
      </c>
      <c r="B608" s="327" t="str">
        <f>INDEX(二三级标准!$G:$G,MATCH(服务费底表!$K608,二三级标准!B:B,0))</f>
        <v>次</v>
      </c>
      <c r="C608" s="327">
        <f>INDEX(服务费明细!$E:$E,MATCH(服务费底表!$K608,服务费明细!$B:$B,0))</f>
        <v>0</v>
      </c>
      <c r="D608" s="327" t="str">
        <f t="shared" si="559"/>
        <v>A238SA</v>
      </c>
      <c r="E608" s="327" t="str">
        <f t="shared" si="560"/>
        <v>T0697SA</v>
      </c>
      <c r="F608" s="328"/>
      <c r="G608" s="328" t="s">
        <v>684</v>
      </c>
      <c r="H608" s="326" t="str">
        <f>INDEX('Rate Card'!$B:$B,MATCH(服务费底表!$T608,'Rate Card'!$F:$F,0))</f>
        <v>生物统计及分析</v>
      </c>
      <c r="I608" s="328" t="s">
        <v>925</v>
      </c>
      <c r="J608" s="328" t="str">
        <f>INDEX(二三级标准!$Q:$Q,MATCH(服务费底表!I608,二三级标准!$O:$O,0))</f>
        <v>临床药理</v>
      </c>
      <c r="K608" s="328" t="s">
        <v>1114</v>
      </c>
      <c r="L608" s="328" t="str">
        <f>INDEX(二三级标准!C:C,MATCH(服务费底表!K608,二三级标准!$B:$B,0))</f>
        <v>C-QTc建模分析</v>
      </c>
      <c r="M608" s="328" t="s">
        <v>1628</v>
      </c>
      <c r="N608" s="328" t="str">
        <f>INDEX(二三级标准!$M:$M,MATCH(服务费底表!$M608,二三级标准!$L:$L,0))</f>
        <v>C-QTc模型预测</v>
      </c>
      <c r="O608" s="328"/>
      <c r="P608" s="531">
        <f>IF(R608=1,INDEX(服务费明细!$E:$E,MATCH(服务费底表!$K608,服务费明细!$B:$B,0)),0)</f>
        <v>0</v>
      </c>
      <c r="Q608" s="328" t="s">
        <v>1176</v>
      </c>
      <c r="R608" s="520">
        <f>IF(AND(CQTc建模分析YN=1,临床药理YN=1),1,0)</f>
        <v>0</v>
      </c>
      <c r="S608" s="328" t="str">
        <f>INDEX('Rate Card'!$D:$D,MATCH(服务费底表!$T608,'Rate Card'!F:F,0))</f>
        <v>统计分析</v>
      </c>
      <c r="T608" s="328" t="s">
        <v>635</v>
      </c>
      <c r="U608" s="522" t="str">
        <f>INDEX('Rate Card'!$E:$E,MATCH(服务费底表!$T608,'Rate Card'!$F:$F,0))</f>
        <v>统计分析师</v>
      </c>
      <c r="V608" s="331">
        <f>INDEX('Rate Card'!$J:$J,MATCH($T608,'Rate Card'!$F:$F,0))</f>
        <v>225</v>
      </c>
      <c r="W608" s="523">
        <f t="shared" si="561"/>
        <v>225</v>
      </c>
      <c r="X608" s="523">
        <f t="shared" si="562"/>
        <v>12</v>
      </c>
      <c r="Y608" s="327" cm="1">
        <f t="array" ref="Y608">_xlfn.IFS(报价场景=服务费底表!$AJ$2,服务费底表!$AJ608,报价场景=服务费底表!$AP$2,服务费底表!$AP608,报价场景=服务费底表!$AK$2,服务费底表!$AK608,报价场景=服务费底表!$AL$2,服务费底表!$AL608,报价场景=服务费底表!$AM$2,服务费底表!$AM608,报价场景=服务费底表!$AN$2,服务费底表!$AN608,报价场景=服务费底表!$AQ$2,服务费底表!$AQ608,报价场景=服务费底表!$AO$2,服务费底表!$AO608)</f>
        <v>12</v>
      </c>
      <c r="Z608" s="327"/>
      <c r="AA608" s="332">
        <f t="shared" si="563"/>
        <v>12</v>
      </c>
      <c r="AB608" s="333">
        <f t="shared" si="564"/>
        <v>0</v>
      </c>
      <c r="AC608" s="328">
        <f t="shared" si="565"/>
        <v>0</v>
      </c>
      <c r="AD608" s="334">
        <f t="shared" si="566"/>
        <v>0</v>
      </c>
      <c r="AE608" s="334">
        <f>$AB608*(1-INDEX(项目参数!$D$5:$D$14,MATCH(服务费底表!$S608,项目参数!$B$5:$B$14,0)))</f>
        <v>0</v>
      </c>
      <c r="AF608" s="334">
        <f>$AD608*INDEX(项目参数!$D$5:$D$14,MATCH(服务费底表!$S608,项目参数!$B$5:$B$14,0))</f>
        <v>0</v>
      </c>
      <c r="AG608" s="334">
        <f t="shared" si="567"/>
        <v>0</v>
      </c>
      <c r="AH608" s="328"/>
      <c r="AI608" s="328" t="s">
        <v>635</v>
      </c>
      <c r="AJ608" s="327">
        <v>12</v>
      </c>
      <c r="AK608" s="327">
        <v>12</v>
      </c>
      <c r="AL608" s="327">
        <v>12</v>
      </c>
      <c r="AM608" s="327">
        <v>12</v>
      </c>
      <c r="AN608" s="327">
        <v>12</v>
      </c>
      <c r="AO608" s="327">
        <v>12</v>
      </c>
      <c r="AP608" s="327">
        <v>12</v>
      </c>
      <c r="AQ608" s="327">
        <f t="shared" si="568"/>
        <v>18</v>
      </c>
      <c r="AR608" s="338"/>
      <c r="AS608" s="328"/>
      <c r="AT608" s="328"/>
      <c r="AU608" s="523">
        <v>12</v>
      </c>
      <c r="AV608" s="328"/>
      <c r="AW608" s="328"/>
      <c r="AX608" s="332">
        <v>12</v>
      </c>
      <c r="AY608" s="328"/>
      <c r="AZ608" s="328" t="b">
        <f t="shared" si="526"/>
        <v>0</v>
      </c>
    </row>
    <row r="609" ht="27" customHeight="1" spans="1:52">
      <c r="A609" s="326" t="str">
        <f>INDEX('Rate Card'!$A:$A,MATCH(服务费底表!$T609,'Rate Card'!$F:$F,0))</f>
        <v>临床药理</v>
      </c>
      <c r="B609" s="327" t="str">
        <f>INDEX(二三级标准!$G:$G,MATCH(服务费底表!$K609,二三级标准!B:B,0))</f>
        <v>次</v>
      </c>
      <c r="C609" s="327">
        <f>INDEX(服务费明细!$E:$E,MATCH(服务费底表!$K609,服务费明细!$B:$B,0))</f>
        <v>0</v>
      </c>
      <c r="D609" s="327" t="str">
        <f t="shared" ref="D609:D617" si="569">K609&amp;T609</f>
        <v>A239CPSS</v>
      </c>
      <c r="E609" s="327" t="str">
        <f t="shared" ref="E609:E617" si="570">M609&amp;T609</f>
        <v>T0698CPSS</v>
      </c>
      <c r="F609" s="328"/>
      <c r="G609" s="328" t="s">
        <v>684</v>
      </c>
      <c r="H609" s="326" t="str">
        <f>INDEX('Rate Card'!$B:$B,MATCH(服务费底表!$T609,'Rate Card'!$F:$F,0))</f>
        <v>临床药理</v>
      </c>
      <c r="I609" s="328" t="s">
        <v>925</v>
      </c>
      <c r="J609" s="328" t="str">
        <f>INDEX(二三级标准!$Q:$Q,MATCH(服务费底表!I609,二三级标准!$O:$O,0))</f>
        <v>临床药理</v>
      </c>
      <c r="K609" s="328" t="s">
        <v>1115</v>
      </c>
      <c r="L609" s="328" t="str">
        <f>INDEX(二三级标准!C:C,MATCH(服务费底表!K609,二三级标准!$B:$B,0))</f>
        <v>外部沟通会数据整理</v>
      </c>
      <c r="M609" s="328" t="s">
        <v>1629</v>
      </c>
      <c r="N609" s="328" t="str">
        <f>INDEX(二三级标准!$M:$M,MATCH(服务费底表!$M609,二三级标准!$L:$L,0))</f>
        <v>C-QTc外部沟通PPT整理</v>
      </c>
      <c r="O609" s="328"/>
      <c r="P609" s="531">
        <f>IF(R609=1,INDEX(服务费明细!$E:$E,MATCH(服务费底表!$K609,服务费明细!$B:$B,0)),0)</f>
        <v>0</v>
      </c>
      <c r="Q609" s="328" t="s">
        <v>1176</v>
      </c>
      <c r="R609" s="520">
        <f>IF(AND(外部沟通会数据整理YN=1,临床药理YN=1),1,0)</f>
        <v>0</v>
      </c>
      <c r="S609" s="328" t="str">
        <f>INDEX('Rate Card'!$D:$D,MATCH(服务费底表!$T609,'Rate Card'!F:F,0))</f>
        <v>临床药理</v>
      </c>
      <c r="T609" s="328" t="s">
        <v>654</v>
      </c>
      <c r="U609" s="522" t="str">
        <f>INDEX('Rate Card'!$E:$E,MATCH(服务费底表!$T609,'Rate Card'!$F:$F,0))</f>
        <v>临床药理高级专员</v>
      </c>
      <c r="V609" s="331">
        <f>INDEX('Rate Card'!$J:$J,MATCH($T609,'Rate Card'!$F:$F,0))</f>
        <v>700</v>
      </c>
      <c r="W609" s="523">
        <f t="shared" ref="W609:W653" si="571">V609*(1-$W$1)</f>
        <v>700</v>
      </c>
      <c r="X609" s="523">
        <f t="shared" ref="X609:X653" si="572">Y609*$X$1</f>
        <v>24</v>
      </c>
      <c r="Y609" s="327" cm="1">
        <f t="array" ref="Y609">_xlfn.IFS(报价场景=服务费底表!$AJ$2,服务费底表!$AJ609,报价场景=服务费底表!$AP$2,服务费底表!$AP609,报价场景=服务费底表!$AK$2,服务费底表!$AK609,报价场景=服务费底表!$AL$2,服务费底表!$AL609,报价场景=服务费底表!$AM$2,服务费底表!$AM609,报价场景=服务费底表!$AN$2,服务费底表!$AN609,报价场景=服务费底表!$AQ$2,服务费底表!$AQ609,报价场景=服务费底表!$AO$2,服务费底表!$AO609)</f>
        <v>24</v>
      </c>
      <c r="Z609" s="327"/>
      <c r="AA609" s="332">
        <f t="shared" ref="AA609:AA627" si="573">IF(ISBLANK($Z609),$Y609,$Z609)</f>
        <v>24</v>
      </c>
      <c r="AB609" s="333">
        <f t="shared" ref="AB609:AB617" si="574">IFERROR(AD609/P609,0)</f>
        <v>0</v>
      </c>
      <c r="AC609" s="328">
        <f t="shared" ref="AC609:AC617" si="575">AA609*P609*R609</f>
        <v>0</v>
      </c>
      <c r="AD609" s="334">
        <f t="shared" ref="AD609:AD617" si="576">AC609*V609</f>
        <v>0</v>
      </c>
      <c r="AE609" s="334">
        <f>$AB609*(1-INDEX(项目参数!$D$5:$D$14,MATCH(服务费底表!$S609,项目参数!$B$5:$B$14,0)))</f>
        <v>0</v>
      </c>
      <c r="AF609" s="334">
        <f>$AD609*INDEX(项目参数!$D$5:$D$14,MATCH(服务费底表!$S609,项目参数!$B$5:$B$14,0))</f>
        <v>0</v>
      </c>
      <c r="AG609" s="334">
        <f t="shared" si="567"/>
        <v>0</v>
      </c>
      <c r="AH609" s="328"/>
      <c r="AI609" s="328" t="s">
        <v>654</v>
      </c>
      <c r="AJ609" s="327">
        <v>24</v>
      </c>
      <c r="AK609" s="327">
        <v>24</v>
      </c>
      <c r="AL609" s="327">
        <v>24</v>
      </c>
      <c r="AM609" s="327">
        <v>24</v>
      </c>
      <c r="AN609" s="327">
        <v>24</v>
      </c>
      <c r="AO609" s="327">
        <f t="shared" ref="AO609:AO654" si="577">AL609</f>
        <v>24</v>
      </c>
      <c r="AP609" s="327">
        <v>24</v>
      </c>
      <c r="AQ609" s="327">
        <f t="shared" ref="AQ609:AQ653" si="578">AJ609*$AQ$1</f>
        <v>36</v>
      </c>
      <c r="AR609" s="338"/>
      <c r="AS609" s="328">
        <f>AC609</f>
        <v>0</v>
      </c>
      <c r="AT609" s="328">
        <f>Y609*P609</f>
        <v>0</v>
      </c>
      <c r="AU609" s="523">
        <v>24</v>
      </c>
      <c r="AV609" s="328"/>
      <c r="AW609" s="328"/>
      <c r="AX609" s="332">
        <v>24</v>
      </c>
      <c r="AY609" s="328" t="b">
        <f>IF(AX609=AJ609,TRUE,FALSE)</f>
        <v>1</v>
      </c>
      <c r="AZ609" s="328" t="b">
        <f t="shared" si="526"/>
        <v>1</v>
      </c>
    </row>
    <row r="610" ht="27" customHeight="1" spans="1:52">
      <c r="A610" s="326" t="str">
        <f>INDEX('Rate Card'!$A:$A,MATCH(服务费底表!$T610,'Rate Card'!$F:$F,0))</f>
        <v>临床药理</v>
      </c>
      <c r="B610" s="327" t="str">
        <f>INDEX(二三级标准!$G:$G,MATCH(服务费底表!$K610,二三级标准!B:B,0))</f>
        <v>次</v>
      </c>
      <c r="C610" s="327">
        <f>INDEX(服务费明细!$E:$E,MATCH(服务费底表!$K610,服务费明细!$B:$B,0))</f>
        <v>0</v>
      </c>
      <c r="D610" s="327" t="str">
        <f t="shared" si="569"/>
        <v>A240CPS</v>
      </c>
      <c r="E610" s="327" t="str">
        <f t="shared" si="570"/>
        <v>T0699CPS</v>
      </c>
      <c r="F610" s="328"/>
      <c r="G610" s="328" t="s">
        <v>684</v>
      </c>
      <c r="H610" s="326" t="str">
        <f>INDEX('Rate Card'!$B:$B,MATCH(服务费底表!$T610,'Rate Card'!$F:$F,0))</f>
        <v>临床药理</v>
      </c>
      <c r="I610" s="328" t="s">
        <v>925</v>
      </c>
      <c r="J610" s="328" t="str">
        <f>INDEX(二三级标准!$Q:$Q,MATCH(服务费底表!I610,二三级标准!$O:$O,0))</f>
        <v>临床药理</v>
      </c>
      <c r="K610" s="328" t="s">
        <v>1116</v>
      </c>
      <c r="L610" s="328" t="str">
        <f>INDEX(二三级标准!C:C,MATCH(服务费底表!K610,二三级标准!$B:$B,0))</f>
        <v>外部沟通会</v>
      </c>
      <c r="M610" s="328" t="s">
        <v>1630</v>
      </c>
      <c r="N610" s="328" t="str">
        <f>INDEX(二三级标准!$M:$M,MATCH(服务费底表!$M610,二三级标准!$L:$L,0))</f>
        <v>外部沟通会</v>
      </c>
      <c r="O610" s="328"/>
      <c r="P610" s="531">
        <f>IF(R610=1,INDEX(服务费明细!$E:$E,MATCH(服务费底表!$K610,服务费明细!$B:$B,0)),0)</f>
        <v>0</v>
      </c>
      <c r="Q610" s="328" t="s">
        <v>1176</v>
      </c>
      <c r="R610" s="520">
        <f>IF(AND(外部沟通会YN=1,临床药理YN=1),1,0)</f>
        <v>0</v>
      </c>
      <c r="S610" s="328" t="str">
        <f>INDEX('Rate Card'!$D:$D,MATCH(服务费底表!$T610,'Rate Card'!F:F,0))</f>
        <v>临床药理</v>
      </c>
      <c r="T610" s="328" t="s">
        <v>652</v>
      </c>
      <c r="U610" s="522" t="str">
        <f>INDEX('Rate Card'!$E:$E,MATCH(服务费底表!$T610,'Rate Card'!$F:$F,0))</f>
        <v>临床药理专员</v>
      </c>
      <c r="V610" s="331">
        <f>INDEX('Rate Card'!$J:$J,MATCH($T610,'Rate Card'!$F:$F,0))</f>
        <v>580</v>
      </c>
      <c r="W610" s="523">
        <f t="shared" si="571"/>
        <v>580</v>
      </c>
      <c r="X610" s="523">
        <f t="shared" si="572"/>
        <v>8</v>
      </c>
      <c r="Y610" s="327" cm="1">
        <f t="array" ref="Y610">_xlfn.IFS(报价场景=服务费底表!$AJ$2,服务费底表!$AJ610,报价场景=服务费底表!$AP$2,服务费底表!$AP610,报价场景=服务费底表!$AK$2,服务费底表!$AK610,报价场景=服务费底表!$AL$2,服务费底表!$AL610,报价场景=服务费底表!$AM$2,服务费底表!$AM610,报价场景=服务费底表!$AN$2,服务费底表!$AN610,报价场景=服务费底表!$AQ$2,服务费底表!$AQ610,报价场景=服务费底表!$AO$2,服务费底表!$AO610)</f>
        <v>8</v>
      </c>
      <c r="Z610" s="327"/>
      <c r="AA610" s="332">
        <f t="shared" si="573"/>
        <v>8</v>
      </c>
      <c r="AB610" s="333">
        <f t="shared" si="574"/>
        <v>0</v>
      </c>
      <c r="AC610" s="328">
        <f t="shared" si="575"/>
        <v>0</v>
      </c>
      <c r="AD610" s="334">
        <f t="shared" si="576"/>
        <v>0</v>
      </c>
      <c r="AE610" s="334">
        <f>$AB610*(1-INDEX(项目参数!$D$5:$D$14,MATCH(服务费底表!$S610,项目参数!$B$5:$B$14,0)))</f>
        <v>0</v>
      </c>
      <c r="AF610" s="334">
        <f>$AD610*INDEX(项目参数!$D$5:$D$14,MATCH(服务费底表!$S610,项目参数!$B$5:$B$14,0))</f>
        <v>0</v>
      </c>
      <c r="AG610" s="334">
        <f t="shared" si="567"/>
        <v>0</v>
      </c>
      <c r="AH610" s="328"/>
      <c r="AI610" s="328" t="s">
        <v>652</v>
      </c>
      <c r="AJ610" s="327">
        <v>8</v>
      </c>
      <c r="AK610" s="327">
        <v>8</v>
      </c>
      <c r="AL610" s="327">
        <v>8</v>
      </c>
      <c r="AM610" s="327">
        <v>8</v>
      </c>
      <c r="AN610" s="327">
        <v>8</v>
      </c>
      <c r="AO610" s="327">
        <f t="shared" si="577"/>
        <v>8</v>
      </c>
      <c r="AP610" s="327">
        <v>8</v>
      </c>
      <c r="AQ610" s="327">
        <f t="shared" si="578"/>
        <v>12</v>
      </c>
      <c r="AR610" s="338"/>
      <c r="AS610" s="328">
        <f>AC610</f>
        <v>0</v>
      </c>
      <c r="AT610" s="328">
        <f>Y610*P610</f>
        <v>0</v>
      </c>
      <c r="AU610" s="523">
        <v>8</v>
      </c>
      <c r="AV610" s="328"/>
      <c r="AW610" s="328"/>
      <c r="AX610" s="332">
        <v>8</v>
      </c>
      <c r="AY610" s="328" t="b">
        <f>IF(AX610=AJ610,TRUE,FALSE)</f>
        <v>1</v>
      </c>
      <c r="AZ610" s="328" t="b">
        <f t="shared" si="526"/>
        <v>0</v>
      </c>
    </row>
    <row r="611" ht="27" customHeight="1" spans="1:52">
      <c r="A611" s="326" t="str">
        <f>INDEX('Rate Card'!$A:$A,MATCH(服务费底表!$T611,'Rate Card'!$F:$F,0))</f>
        <v>临床药理</v>
      </c>
      <c r="B611" s="327" t="str">
        <f>INDEX(二三级标准!$G:$G,MATCH(服务费底表!$K611,二三级标准!B:B,0))</f>
        <v>次</v>
      </c>
      <c r="C611" s="327">
        <f>INDEX(服务费明细!$E:$E,MATCH(服务费底表!$K611,服务费明细!$B:$B,0))</f>
        <v>0</v>
      </c>
      <c r="D611" s="327" t="str">
        <f t="shared" si="569"/>
        <v>A241CPS</v>
      </c>
      <c r="E611" s="327" t="str">
        <f t="shared" si="570"/>
        <v>T0700CPS</v>
      </c>
      <c r="F611" s="328"/>
      <c r="G611" s="328" t="s">
        <v>684</v>
      </c>
      <c r="H611" s="326" t="str">
        <f>INDEX('Rate Card'!$B:$B,MATCH(服务费底表!$T611,'Rate Card'!$F:$F,0))</f>
        <v>临床药理</v>
      </c>
      <c r="I611" s="328" t="s">
        <v>925</v>
      </c>
      <c r="J611" s="328" t="str">
        <f>INDEX(二三级标准!$Q:$Q,MATCH(服务费底表!I611,二三级标准!$O:$O,0))</f>
        <v>临床药理</v>
      </c>
      <c r="K611" s="328" t="s">
        <v>1117</v>
      </c>
      <c r="L611" s="328" t="str">
        <f>INDEX(二三级标准!C:C,MATCH(服务费底表!K611,二三级标准!$B:$B,0))</f>
        <v>C-QTc分析报告</v>
      </c>
      <c r="M611" s="328" t="s">
        <v>1631</v>
      </c>
      <c r="N611" s="328" t="str">
        <f>INDEX(二三级标准!$M:$M,MATCH(服务费底表!$M611,二三级标准!$L:$L,0))</f>
        <v>C-QTc分析报告起草与制定</v>
      </c>
      <c r="O611" s="328"/>
      <c r="P611" s="531">
        <f>IF(R611=1,INDEX(服务费明细!$E:$E,MATCH(服务费底表!$K611,服务费明细!$B:$B,0)),0)</f>
        <v>0</v>
      </c>
      <c r="Q611" s="328" t="s">
        <v>1176</v>
      </c>
      <c r="R611" s="520">
        <f>IF(AND(CQTc分析报告YN=1,临床药理YN=1),1,0)</f>
        <v>0</v>
      </c>
      <c r="S611" s="328" t="str">
        <f>INDEX('Rate Card'!$D:$D,MATCH(服务费底表!$T611,'Rate Card'!F:F,0))</f>
        <v>临床药理</v>
      </c>
      <c r="T611" s="328" t="s">
        <v>652</v>
      </c>
      <c r="U611" s="522" t="str">
        <f>INDEX('Rate Card'!$E:$E,MATCH(服务费底表!$T611,'Rate Card'!$F:$F,0))</f>
        <v>临床药理专员</v>
      </c>
      <c r="V611" s="331">
        <f>INDEX('Rate Card'!$J:$J,MATCH($T611,'Rate Card'!$F:$F,0))</f>
        <v>580</v>
      </c>
      <c r="W611" s="523">
        <f t="shared" si="571"/>
        <v>580</v>
      </c>
      <c r="X611" s="523">
        <f t="shared" si="572"/>
        <v>40</v>
      </c>
      <c r="Y611" s="327" cm="1">
        <f t="array" ref="Y611">_xlfn.IFS(报价场景=服务费底表!$AJ$2,服务费底表!$AJ611,报价场景=服务费底表!$AP$2,服务费底表!$AP611,报价场景=服务费底表!$AK$2,服务费底表!$AK611,报价场景=服务费底表!$AL$2,服务费底表!$AL611,报价场景=服务费底表!$AM$2,服务费底表!$AM611,报价场景=服务费底表!$AN$2,服务费底表!$AN611,报价场景=服务费底表!$AQ$2,服务费底表!$AQ611,报价场景=服务费底表!$AO$2,服务费底表!$AO611)</f>
        <v>40</v>
      </c>
      <c r="Z611" s="327"/>
      <c r="AA611" s="332">
        <f t="shared" si="573"/>
        <v>40</v>
      </c>
      <c r="AB611" s="333">
        <f t="shared" si="574"/>
        <v>0</v>
      </c>
      <c r="AC611" s="328">
        <f t="shared" si="575"/>
        <v>0</v>
      </c>
      <c r="AD611" s="334">
        <f t="shared" si="576"/>
        <v>0</v>
      </c>
      <c r="AE611" s="334">
        <f>$AB611*(1-INDEX(项目参数!$D$5:$D$14,MATCH(服务费底表!$S611,项目参数!$B$5:$B$14,0)))</f>
        <v>0</v>
      </c>
      <c r="AF611" s="334">
        <f>$AD611*INDEX(项目参数!$D$5:$D$14,MATCH(服务费底表!$S611,项目参数!$B$5:$B$14,0))</f>
        <v>0</v>
      </c>
      <c r="AG611" s="334">
        <f t="shared" si="567"/>
        <v>0</v>
      </c>
      <c r="AH611" s="328"/>
      <c r="AI611" s="328" t="s">
        <v>652</v>
      </c>
      <c r="AJ611" s="327">
        <v>40</v>
      </c>
      <c r="AK611" s="327">
        <v>40</v>
      </c>
      <c r="AL611" s="327">
        <v>40</v>
      </c>
      <c r="AM611" s="327">
        <v>40</v>
      </c>
      <c r="AN611" s="327">
        <v>40</v>
      </c>
      <c r="AO611" s="327">
        <f t="shared" si="577"/>
        <v>40</v>
      </c>
      <c r="AP611" s="327">
        <v>40</v>
      </c>
      <c r="AQ611" s="327">
        <f t="shared" si="578"/>
        <v>60</v>
      </c>
      <c r="AR611" s="338"/>
      <c r="AS611" s="328"/>
      <c r="AT611" s="328"/>
      <c r="AU611" s="523">
        <v>40</v>
      </c>
      <c r="AV611" s="328"/>
      <c r="AW611" s="328"/>
      <c r="AX611" s="332">
        <v>40</v>
      </c>
      <c r="AY611" s="328"/>
      <c r="AZ611" s="328" t="b">
        <f t="shared" si="526"/>
        <v>1</v>
      </c>
    </row>
    <row r="612" ht="27" customHeight="1" spans="1:52">
      <c r="A612" s="326" t="str">
        <f>INDEX('Rate Card'!$A:$A,MATCH(服务费底表!$T612,'Rate Card'!$F:$F,0))</f>
        <v>临床药理</v>
      </c>
      <c r="B612" s="327" t="str">
        <f>INDEX(二三级标准!$G:$G,MATCH(服务费底表!$K612,二三级标准!B:B,0))</f>
        <v>次</v>
      </c>
      <c r="C612" s="327">
        <f>INDEX(服务费明细!$E:$E,MATCH(服务费底表!$K612,服务费明细!$B:$B,0))</f>
        <v>0</v>
      </c>
      <c r="D612" s="327" t="str">
        <f t="shared" si="569"/>
        <v>A241CPSS</v>
      </c>
      <c r="E612" s="327" t="str">
        <f t="shared" si="570"/>
        <v>T0701CPSS</v>
      </c>
      <c r="F612" s="328"/>
      <c r="G612" s="328" t="s">
        <v>684</v>
      </c>
      <c r="H612" s="326" t="str">
        <f>INDEX('Rate Card'!$B:$B,MATCH(服务费底表!$T612,'Rate Card'!$F:$F,0))</f>
        <v>临床药理</v>
      </c>
      <c r="I612" s="328" t="s">
        <v>925</v>
      </c>
      <c r="J612" s="328" t="str">
        <f>INDEX(二三级标准!$Q:$Q,MATCH(服务费底表!I612,二三级标准!$O:$O,0))</f>
        <v>临床药理</v>
      </c>
      <c r="K612" s="328" t="s">
        <v>1117</v>
      </c>
      <c r="L612" s="328" t="str">
        <f>INDEX(二三级标准!C:C,MATCH(服务费底表!K612,二三级标准!$B:$B,0))</f>
        <v>C-QTc分析报告</v>
      </c>
      <c r="M612" s="328" t="s">
        <v>1632</v>
      </c>
      <c r="N612" s="328" t="str">
        <f>INDEX(二三级标准!$M:$M,MATCH(服务费底表!$M612,二三级标准!$L:$L,0))</f>
        <v>C-QTc分析报告审核与定稿</v>
      </c>
      <c r="O612" s="328"/>
      <c r="P612" s="531">
        <f>IF(R612=1,INDEX(服务费明细!$E:$E,MATCH(服务费底表!$K612,服务费明细!$B:$B,0)),0)</f>
        <v>0</v>
      </c>
      <c r="Q612" s="328" t="s">
        <v>1176</v>
      </c>
      <c r="R612" s="520">
        <f>IF(AND(CQTc分析报告YN=1,临床药理YN=1),1,0)</f>
        <v>0</v>
      </c>
      <c r="S612" s="328" t="str">
        <f>INDEX('Rate Card'!$D:$D,MATCH(服务费底表!$T612,'Rate Card'!F:F,0))</f>
        <v>临床药理</v>
      </c>
      <c r="T612" s="328" t="s">
        <v>654</v>
      </c>
      <c r="U612" s="522" t="str">
        <f>INDEX('Rate Card'!$E:$E,MATCH(服务费底表!$T612,'Rate Card'!$F:$F,0))</f>
        <v>临床药理高级专员</v>
      </c>
      <c r="V612" s="331">
        <f>INDEX('Rate Card'!$J:$J,MATCH($T612,'Rate Card'!$F:$F,0))</f>
        <v>700</v>
      </c>
      <c r="W612" s="523">
        <f t="shared" si="571"/>
        <v>700</v>
      </c>
      <c r="X612" s="523">
        <f t="shared" si="572"/>
        <v>8</v>
      </c>
      <c r="Y612" s="327" cm="1">
        <f t="array" ref="Y612">_xlfn.IFS(报价场景=服务费底表!$AJ$2,服务费底表!$AJ612,报价场景=服务费底表!$AP$2,服务费底表!$AP612,报价场景=服务费底表!$AK$2,服务费底表!$AK612,报价场景=服务费底表!$AL$2,服务费底表!$AL612,报价场景=服务费底表!$AM$2,服务费底表!$AM612,报价场景=服务费底表!$AN$2,服务费底表!$AN612,报价场景=服务费底表!$AQ$2,服务费底表!$AQ612,报价场景=服务费底表!$AO$2,服务费底表!$AO612)</f>
        <v>8</v>
      </c>
      <c r="Z612" s="327"/>
      <c r="AA612" s="332">
        <f t="shared" si="573"/>
        <v>8</v>
      </c>
      <c r="AB612" s="333">
        <f t="shared" si="574"/>
        <v>0</v>
      </c>
      <c r="AC612" s="328">
        <f t="shared" si="575"/>
        <v>0</v>
      </c>
      <c r="AD612" s="334">
        <f t="shared" si="576"/>
        <v>0</v>
      </c>
      <c r="AE612" s="334">
        <f>$AB612*(1-INDEX(项目参数!$D$5:$D$14,MATCH(服务费底表!$S612,项目参数!$B$5:$B$14,0)))</f>
        <v>0</v>
      </c>
      <c r="AF612" s="334">
        <f>$AD612*INDEX(项目参数!$D$5:$D$14,MATCH(服务费底表!$S612,项目参数!$B$5:$B$14,0))</f>
        <v>0</v>
      </c>
      <c r="AG612" s="334">
        <f t="shared" si="567"/>
        <v>0</v>
      </c>
      <c r="AH612" s="328"/>
      <c r="AI612" s="328" t="s">
        <v>654</v>
      </c>
      <c r="AJ612" s="327">
        <v>8</v>
      </c>
      <c r="AK612" s="327">
        <v>8</v>
      </c>
      <c r="AL612" s="327">
        <v>8</v>
      </c>
      <c r="AM612" s="327">
        <v>8</v>
      </c>
      <c r="AN612" s="327">
        <v>8</v>
      </c>
      <c r="AO612" s="327">
        <f t="shared" si="577"/>
        <v>8</v>
      </c>
      <c r="AP612" s="327">
        <v>8</v>
      </c>
      <c r="AQ612" s="327">
        <f t="shared" si="578"/>
        <v>12</v>
      </c>
      <c r="AR612" s="338"/>
      <c r="AS612" s="328"/>
      <c r="AT612" s="328"/>
      <c r="AU612" s="523">
        <v>8</v>
      </c>
      <c r="AV612" s="328"/>
      <c r="AW612" s="328"/>
      <c r="AX612" s="332">
        <v>8</v>
      </c>
      <c r="AY612" s="328"/>
      <c r="AZ612" s="328" t="b">
        <f t="shared" si="526"/>
        <v>1</v>
      </c>
    </row>
    <row r="613" ht="27" customHeight="1" spans="1:52">
      <c r="A613" s="326" t="str">
        <f>INDEX('Rate Card'!$A:$A,MATCH(服务费底表!$T613,'Rate Card'!$F:$F,0))</f>
        <v>临床药理</v>
      </c>
      <c r="B613" s="327" t="str">
        <f>INDEX(二三级标准!$G:$G,MATCH(服务费底表!$K613,二三级标准!B:B,0))</f>
        <v>次</v>
      </c>
      <c r="C613" s="327">
        <f>INDEX(服务费明细!$E:$E,MATCH(服务费底表!$K613,服务费明细!$B:$B,0))</f>
        <v>0</v>
      </c>
      <c r="D613" s="327" t="str">
        <f t="shared" si="569"/>
        <v>A269CPS</v>
      </c>
      <c r="E613" s="327" t="str">
        <f t="shared" si="570"/>
        <v>T0783CPS</v>
      </c>
      <c r="F613" s="328"/>
      <c r="G613" s="328" t="s">
        <v>684</v>
      </c>
      <c r="H613" s="326" t="str">
        <f>INDEX('Rate Card'!$B:$B,MATCH(服务费底表!$T613,'Rate Card'!$F:$F,0))</f>
        <v>临床药理</v>
      </c>
      <c r="I613" s="328" t="s">
        <v>925</v>
      </c>
      <c r="J613" s="328" t="str">
        <f>INDEX(二三级标准!$Q:$Q,MATCH(服务费底表!I613,二三级标准!$O:$O,0))</f>
        <v>临床药理</v>
      </c>
      <c r="K613" s="328" t="s">
        <v>1118</v>
      </c>
      <c r="L613" s="328" t="str">
        <f>INDEX(二三级标准!C:C,MATCH(服务费底表!K613,二三级标准!$B:$B,0))</f>
        <v>监管沟通支持（PK/PD）相关</v>
      </c>
      <c r="M613" s="328" t="s">
        <v>1633</v>
      </c>
      <c r="N613" s="328" t="str">
        <f>INDEX(二三级标准!$M:$M,MATCH(服务费底表!$M613,二三级标准!$L:$L,0))</f>
        <v>监管沟通支持（PK/PD）相关准备</v>
      </c>
      <c r="O613" s="328"/>
      <c r="P613" s="531">
        <f>IF(R613=1,INDEX(服务费明细!$E:$E,MATCH(服务费底表!$K613,服务费明细!$B:$B,0)),0)</f>
        <v>0</v>
      </c>
      <c r="Q613" s="328" t="s">
        <v>1178</v>
      </c>
      <c r="R613" s="520">
        <f>IF(AND(监管沟通支持YN=1,临床药理YN=1),1,0)</f>
        <v>0</v>
      </c>
      <c r="S613" s="328" t="str">
        <f>INDEX('Rate Card'!$D:$D,MATCH(服务费底表!$T613,'Rate Card'!F:F,0))</f>
        <v>临床药理</v>
      </c>
      <c r="T613" s="328" t="s">
        <v>652</v>
      </c>
      <c r="U613" s="522" t="str">
        <f>INDEX('Rate Card'!$E:$E,MATCH(服务费底表!$T613,'Rate Card'!$F:$F,0))</f>
        <v>临床药理专员</v>
      </c>
      <c r="V613" s="331">
        <f>INDEX('Rate Card'!$J:$J,MATCH($T613,'Rate Card'!$F:$F,0))</f>
        <v>580</v>
      </c>
      <c r="W613" s="523">
        <f t="shared" si="571"/>
        <v>580</v>
      </c>
      <c r="X613" s="523">
        <f t="shared" si="572"/>
        <v>8</v>
      </c>
      <c r="Y613" s="327" cm="1">
        <f t="array" ref="Y613">_xlfn.IFS(报价场景=服务费底表!$AJ$2,服务费底表!$AJ613,报价场景=服务费底表!$AP$2,服务费底表!$AP613,报价场景=服务费底表!$AK$2,服务费底表!$AK613,报价场景=服务费底表!$AL$2,服务费底表!$AL613,报价场景=服务费底表!$AM$2,服务费底表!$AM613,报价场景=服务费底表!$AN$2,服务费底表!$AN613,报价场景=服务费底表!$AQ$2,服务费底表!$AQ613,报价场景=服务费底表!$AO$2,服务费底表!$AO613)</f>
        <v>8</v>
      </c>
      <c r="Z613" s="327"/>
      <c r="AA613" s="332">
        <f t="shared" si="573"/>
        <v>8</v>
      </c>
      <c r="AB613" s="333">
        <f t="shared" si="574"/>
        <v>0</v>
      </c>
      <c r="AC613" s="328">
        <f t="shared" si="575"/>
        <v>0</v>
      </c>
      <c r="AD613" s="334">
        <f t="shared" si="576"/>
        <v>0</v>
      </c>
      <c r="AE613" s="334">
        <f>$AB613*(1-INDEX(项目参数!$D$5:$D$14,MATCH(服务费底表!$S613,项目参数!$B$5:$B$14,0)))</f>
        <v>0</v>
      </c>
      <c r="AF613" s="334">
        <f>$AD613*INDEX(项目参数!$D$5:$D$14,MATCH(服务费底表!$S613,项目参数!$B$5:$B$14,0))</f>
        <v>0</v>
      </c>
      <c r="AG613" s="334">
        <f t="shared" si="567"/>
        <v>0</v>
      </c>
      <c r="AH613" s="328"/>
      <c r="AI613" s="328" t="s">
        <v>652</v>
      </c>
      <c r="AJ613" s="327">
        <v>8</v>
      </c>
      <c r="AK613" s="327">
        <v>8</v>
      </c>
      <c r="AL613" s="327">
        <v>8</v>
      </c>
      <c r="AM613" s="327">
        <v>8</v>
      </c>
      <c r="AN613" s="327">
        <v>8</v>
      </c>
      <c r="AO613" s="327">
        <f t="shared" si="577"/>
        <v>8</v>
      </c>
      <c r="AP613" s="327">
        <v>8</v>
      </c>
      <c r="AQ613" s="327">
        <f t="shared" si="578"/>
        <v>12</v>
      </c>
      <c r="AR613" s="338"/>
      <c r="AS613" s="328">
        <f>AC613</f>
        <v>0</v>
      </c>
      <c r="AT613" s="328">
        <f>Y613*P613</f>
        <v>0</v>
      </c>
      <c r="AU613" s="523">
        <v>8</v>
      </c>
      <c r="AV613" s="328"/>
      <c r="AW613" s="328"/>
      <c r="AX613" s="332">
        <v>8</v>
      </c>
      <c r="AY613" s="328" t="b">
        <f>IF(AX613=AJ613,TRUE,FALSE)</f>
        <v>1</v>
      </c>
      <c r="AZ613" s="328" t="b">
        <f t="shared" si="526"/>
        <v>0</v>
      </c>
    </row>
    <row r="614" ht="27" customHeight="1" spans="1:52">
      <c r="A614" s="326" t="str">
        <f>INDEX('Rate Card'!$A:$A,MATCH(服务费底表!$T614,'Rate Card'!$F:$F,0))</f>
        <v>临床药理</v>
      </c>
      <c r="B614" s="327" t="str">
        <f>INDEX(二三级标准!$G:$G,MATCH(服务费底表!$K614,二三级标准!B:B,0))</f>
        <v>次</v>
      </c>
      <c r="C614" s="327">
        <f>INDEX(服务费明细!$E:$E,MATCH(服务费底表!$K614,服务费明细!$B:$B,0))</f>
        <v>0</v>
      </c>
      <c r="D614" s="327" t="str">
        <f t="shared" si="569"/>
        <v>A269CPSS</v>
      </c>
      <c r="E614" s="327" t="str">
        <f t="shared" si="570"/>
        <v>T0784CPSS</v>
      </c>
      <c r="F614" s="328"/>
      <c r="G614" s="328" t="s">
        <v>684</v>
      </c>
      <c r="H614" s="326" t="str">
        <f>INDEX('Rate Card'!$B:$B,MATCH(服务费底表!$T614,'Rate Card'!$F:$F,0))</f>
        <v>临床药理</v>
      </c>
      <c r="I614" s="328" t="s">
        <v>925</v>
      </c>
      <c r="J614" s="328" t="str">
        <f>INDEX(二三级标准!$Q:$Q,MATCH(服务费底表!I614,二三级标准!$O:$O,0))</f>
        <v>临床药理</v>
      </c>
      <c r="K614" s="328" t="s">
        <v>1118</v>
      </c>
      <c r="L614" s="328" t="str">
        <f>INDEX(二三级标准!C:C,MATCH(服务费底表!K614,二三级标准!$B:$B,0))</f>
        <v>监管沟通支持（PK/PD）相关</v>
      </c>
      <c r="M614" s="328" t="s">
        <v>1634</v>
      </c>
      <c r="N614" s="328" t="str">
        <f>INDEX(二三级标准!$M:$M,MATCH(服务费底表!$M614,二三级标准!$L:$L,0))</f>
        <v>监管沟通支持（PK/PD）</v>
      </c>
      <c r="O614" s="328"/>
      <c r="P614" s="531">
        <f>IF(R614=1,INDEX(服务费明细!$E:$E,MATCH(服务费底表!$K614,服务费明细!$B:$B,0)),0)</f>
        <v>0</v>
      </c>
      <c r="Q614" s="328" t="s">
        <v>1178</v>
      </c>
      <c r="R614" s="520">
        <f>IF(AND(监管沟通支持YN=1,临床药理YN=1),1,0)</f>
        <v>0</v>
      </c>
      <c r="S614" s="328" t="str">
        <f>INDEX('Rate Card'!$D:$D,MATCH(服务费底表!$T614,'Rate Card'!F:F,0))</f>
        <v>临床药理</v>
      </c>
      <c r="T614" s="328" t="s">
        <v>654</v>
      </c>
      <c r="U614" s="522" t="str">
        <f>INDEX('Rate Card'!$E:$E,MATCH(服务费底表!$T614,'Rate Card'!$F:$F,0))</f>
        <v>临床药理高级专员</v>
      </c>
      <c r="V614" s="331">
        <f>INDEX('Rate Card'!$J:$J,MATCH($T614,'Rate Card'!$F:$F,0))</f>
        <v>700</v>
      </c>
      <c r="W614" s="523">
        <f t="shared" si="571"/>
        <v>700</v>
      </c>
      <c r="X614" s="523">
        <f t="shared" si="572"/>
        <v>4</v>
      </c>
      <c r="Y614" s="327" cm="1">
        <f t="array" ref="Y614">_xlfn.IFS(报价场景=服务费底表!$AJ$2,服务费底表!$AJ614,报价场景=服务费底表!$AP$2,服务费底表!$AP614,报价场景=服务费底表!$AK$2,服务费底表!$AK614,报价场景=服务费底表!$AL$2,服务费底表!$AL614,报价场景=服务费底表!$AM$2,服务费底表!$AM614,报价场景=服务费底表!$AN$2,服务费底表!$AN614,报价场景=服务费底表!$AQ$2,服务费底表!$AQ614,报价场景=服务费底表!$AO$2,服务费底表!$AO614)</f>
        <v>4</v>
      </c>
      <c r="Z614" s="327"/>
      <c r="AA614" s="332">
        <f t="shared" si="573"/>
        <v>4</v>
      </c>
      <c r="AB614" s="333">
        <f t="shared" si="574"/>
        <v>0</v>
      </c>
      <c r="AC614" s="328">
        <f t="shared" si="575"/>
        <v>0</v>
      </c>
      <c r="AD614" s="334">
        <f t="shared" si="576"/>
        <v>0</v>
      </c>
      <c r="AE614" s="334">
        <f>$AB614*(1-INDEX(项目参数!$D$5:$D$14,MATCH(服务费底表!$S614,项目参数!$B$5:$B$14,0)))</f>
        <v>0</v>
      </c>
      <c r="AF614" s="334">
        <f>$AD614*INDEX(项目参数!$D$5:$D$14,MATCH(服务费底表!$S614,项目参数!$B$5:$B$14,0))</f>
        <v>0</v>
      </c>
      <c r="AG614" s="334">
        <f t="shared" si="567"/>
        <v>0</v>
      </c>
      <c r="AH614" s="328"/>
      <c r="AI614" s="328" t="s">
        <v>654</v>
      </c>
      <c r="AJ614" s="327">
        <v>4</v>
      </c>
      <c r="AK614" s="327">
        <v>4</v>
      </c>
      <c r="AL614" s="327">
        <v>4</v>
      </c>
      <c r="AM614" s="327">
        <v>4</v>
      </c>
      <c r="AN614" s="327">
        <v>4</v>
      </c>
      <c r="AO614" s="327">
        <f t="shared" si="577"/>
        <v>4</v>
      </c>
      <c r="AP614" s="327">
        <v>4</v>
      </c>
      <c r="AQ614" s="327">
        <f t="shared" si="578"/>
        <v>6</v>
      </c>
      <c r="AR614" s="338"/>
      <c r="AS614" s="328">
        <f>AC614</f>
        <v>0</v>
      </c>
      <c r="AT614" s="328">
        <f>Y614*P614</f>
        <v>0</v>
      </c>
      <c r="AU614" s="523">
        <v>4</v>
      </c>
      <c r="AV614" s="328"/>
      <c r="AW614" s="328"/>
      <c r="AX614" s="332">
        <v>4</v>
      </c>
      <c r="AY614" s="328" t="b">
        <f>IF(AX614=AJ614,TRUE,FALSE)</f>
        <v>1</v>
      </c>
      <c r="AZ614" s="328" t="b">
        <f t="shared" si="526"/>
        <v>0</v>
      </c>
    </row>
    <row r="615" ht="27" customHeight="1" spans="1:52">
      <c r="A615" s="326" t="str">
        <f>INDEX('Rate Card'!$A:$A,MATCH(服务费底表!$T615,'Rate Card'!$F:$F,0))</f>
        <v>临床药理</v>
      </c>
      <c r="B615" s="327" t="str">
        <f>INDEX(二三级标准!$G:$G,MATCH(服务费底表!$K615,二三级标准!B:B,0))</f>
        <v>月</v>
      </c>
      <c r="C615" s="327">
        <f>INDEX(服务费明细!$E:$E,MATCH(服务费底表!$K615,服务费明细!$B:$B,0))</f>
        <v>15</v>
      </c>
      <c r="D615" s="327" t="str">
        <f t="shared" si="569"/>
        <v>A129CPSS</v>
      </c>
      <c r="E615" s="327" t="str">
        <f t="shared" si="570"/>
        <v>T0457CPSS</v>
      </c>
      <c r="F615" s="328"/>
      <c r="G615" s="328" t="s">
        <v>684</v>
      </c>
      <c r="H615" s="326" t="str">
        <f>INDEX('Rate Card'!$B:$B,MATCH(服务费底表!$T615,'Rate Card'!$F:$F,0))</f>
        <v>临床药理</v>
      </c>
      <c r="I615" s="328" t="s">
        <v>925</v>
      </c>
      <c r="J615" s="328" t="str">
        <f>INDEX(二三级标准!$Q:$Q,MATCH(服务费底表!I615,二三级标准!$O:$O,0))</f>
        <v>临床药理</v>
      </c>
      <c r="K615" s="328" t="s">
        <v>363</v>
      </c>
      <c r="L615" s="328" t="str">
        <f>INDEX(二三级标准!C:C,MATCH(服务费底表!K615,二三级标准!$B:$B,0))</f>
        <v>临床药理项目管理</v>
      </c>
      <c r="M615" s="328" t="s">
        <v>1635</v>
      </c>
      <c r="N615" s="328" t="str">
        <f>INDEX(二三级标准!$M:$M,MATCH(服务费底表!$M615,二三级标准!$L:$L,0))</f>
        <v>临床药理项目管理</v>
      </c>
      <c r="O615" s="527"/>
      <c r="P615" s="531">
        <f>IF(R615=1,INDEX(服务费明细!$E:$E,MATCH(服务费底表!$K615,服务费明细!$B:$B,0)),0)</f>
        <v>15</v>
      </c>
      <c r="Q615" s="328" t="s">
        <v>1220</v>
      </c>
      <c r="R615" s="520">
        <f>IF(AND(临床药理项目管理YN=1,临床药理YN=1),1,0)</f>
        <v>1</v>
      </c>
      <c r="S615" s="328" t="str">
        <f>INDEX('Rate Card'!$D:$D,MATCH(服务费底表!$T615,'Rate Card'!F:F,0))</f>
        <v>临床药理</v>
      </c>
      <c r="T615" s="328" t="s">
        <v>654</v>
      </c>
      <c r="U615" s="522" t="str">
        <f>INDEX('Rate Card'!$E:$E,MATCH(服务费底表!$T615,'Rate Card'!$F:$F,0))</f>
        <v>临床药理高级专员</v>
      </c>
      <c r="V615" s="331">
        <f>INDEX('Rate Card'!$J:$J,MATCH($T615,'Rate Card'!$F:$F,0))</f>
        <v>700</v>
      </c>
      <c r="W615" s="523">
        <f t="shared" si="571"/>
        <v>700</v>
      </c>
      <c r="X615" s="523">
        <f t="shared" si="572"/>
        <v>0.5</v>
      </c>
      <c r="Y615" s="327" cm="1">
        <f t="array" ref="Y615">_xlfn.IFS(报价场景=服务费底表!$AJ$2,服务费底表!$AJ615,报价场景=服务费底表!$AP$2,服务费底表!$AP615,报价场景=服务费底表!$AK$2,服务费底表!$AK615,报价场景=服务费底表!$AL$2,服务费底表!$AL615,报价场景=服务费底表!$AM$2,服务费底表!$AM615,报价场景=服务费底表!$AN$2,服务费底表!$AN615,报价场景=服务费底表!$AQ$2,服务费底表!$AQ615,报价场景=服务费底表!$AO$2,服务费底表!$AO615)</f>
        <v>0.5</v>
      </c>
      <c r="Z615" s="327"/>
      <c r="AA615" s="332">
        <f t="shared" si="573"/>
        <v>0.5</v>
      </c>
      <c r="AB615" s="333">
        <f t="shared" si="574"/>
        <v>350</v>
      </c>
      <c r="AC615" s="328">
        <f t="shared" si="575"/>
        <v>7.5</v>
      </c>
      <c r="AD615" s="334">
        <f t="shared" si="576"/>
        <v>5250</v>
      </c>
      <c r="AE615" s="334">
        <f>$AB615*(1-INDEX(项目参数!$D$5:$D$14,MATCH(服务费底表!$S615,项目参数!$B$5:$B$14,0)))</f>
        <v>350</v>
      </c>
      <c r="AF615" s="334">
        <f>$AD615*INDEX(项目参数!$D$5:$D$14,MATCH(服务费底表!$S615,项目参数!$B$5:$B$14,0))</f>
        <v>0</v>
      </c>
      <c r="AG615" s="334">
        <f t="shared" si="567"/>
        <v>5250</v>
      </c>
      <c r="AH615" s="328"/>
      <c r="AI615" s="328" t="s">
        <v>654</v>
      </c>
      <c r="AJ615" s="327">
        <f>IF(服务月&lt;=24,0.5,0.25)</f>
        <v>0.5</v>
      </c>
      <c r="AK615" s="327">
        <f>IF(服务月&lt;=24,0.5,0.25)</f>
        <v>0.5</v>
      </c>
      <c r="AL615" s="327">
        <f>IF(服务月&lt;=24,0.5,0.25)</f>
        <v>0.5</v>
      </c>
      <c r="AM615" s="327">
        <f>IF(服务月&lt;=24,0.5,0.25)</f>
        <v>0.5</v>
      </c>
      <c r="AN615" s="327">
        <f>IF(服务月&lt;=24,0.5,0.25)</f>
        <v>0.5</v>
      </c>
      <c r="AO615" s="327">
        <f t="shared" si="577"/>
        <v>0.5</v>
      </c>
      <c r="AP615" s="327">
        <v>0.25</v>
      </c>
      <c r="AQ615" s="327">
        <f t="shared" si="578"/>
        <v>0.75</v>
      </c>
      <c r="AR615" s="338"/>
      <c r="AS615" s="328">
        <f t="shared" ref="AS615:AS625" si="579">AC615</f>
        <v>7.5</v>
      </c>
      <c r="AT615" s="328">
        <f t="shared" ref="AT615:AT625" si="580">Y615*P615</f>
        <v>7.5</v>
      </c>
      <c r="AU615" s="523">
        <v>0.5</v>
      </c>
      <c r="AV615" s="328"/>
      <c r="AW615" s="328"/>
      <c r="AX615" s="332">
        <v>0.5</v>
      </c>
      <c r="AY615" s="328" t="b">
        <f t="shared" ref="AY615:AY625" si="581">IF(AX615=AJ615,TRUE,FALSE)</f>
        <v>1</v>
      </c>
      <c r="AZ615" s="328" t="b">
        <f t="shared" si="526"/>
        <v>1</v>
      </c>
    </row>
    <row r="616" ht="27" customHeight="1" spans="1:52">
      <c r="A616" s="326" t="str">
        <f>INDEX('Rate Card'!$A:$A,MATCH(服务费底表!$T616,'Rate Card'!$F:$F,0))</f>
        <v>药物警戒</v>
      </c>
      <c r="B616" s="327" t="str">
        <f>INDEX(二三级标准!$G:$G,MATCH(服务费底表!$K616,二三级标准!B:B,0))</f>
        <v>份</v>
      </c>
      <c r="C616" s="327">
        <f>INDEX(服务费明细!$E:$E,MATCH(服务费底表!$K616,服务费明细!$B:$B,0))</f>
        <v>1</v>
      </c>
      <c r="D616" s="327" t="str">
        <f t="shared" si="569"/>
        <v>A130PVM</v>
      </c>
      <c r="E616" s="327" t="str">
        <f t="shared" si="570"/>
        <v>T0458PVM</v>
      </c>
      <c r="F616" s="328"/>
      <c r="G616" s="328" t="s">
        <v>684</v>
      </c>
      <c r="H616" s="326" t="str">
        <f>INDEX('Rate Card'!$B:$B,MATCH(服务费底表!$T616,'Rate Card'!$F:$F,0))</f>
        <v>药物警戒</v>
      </c>
      <c r="I616" s="328" t="s">
        <v>926</v>
      </c>
      <c r="J616" s="328" t="str">
        <f>INDEX(二三级标准!$Q:$Q,MATCH(服务费底表!I616,二三级标准!$O:$O,0))</f>
        <v>安全警戒</v>
      </c>
      <c r="K616" s="328" t="s">
        <v>365</v>
      </c>
      <c r="L616" s="328" t="str">
        <f>INDEX(二三级标准!C:C,MATCH(服务费底表!K616,二三级标准!$B:$B,0))</f>
        <v>安全管理计划SMP撰写</v>
      </c>
      <c r="M616" s="328" t="s">
        <v>1636</v>
      </c>
      <c r="N616" s="328" t="str">
        <f>INDEX(二三级标准!$M:$M,MATCH(服务费底表!$M616,二三级标准!$L:$L,0))</f>
        <v>安全管理计划(SMP)撰写</v>
      </c>
      <c r="O616" s="328"/>
      <c r="P616" s="531">
        <f>IF(R616=1,INDEX(服务费明细!$E:$E,MATCH(服务费底表!$K616,服务费明细!$B:$B,0)),0)</f>
        <v>1</v>
      </c>
      <c r="Q616" s="328" t="s">
        <v>1176</v>
      </c>
      <c r="R616" s="520">
        <f>IF(AND(SMP撰写YN=1,药物警戒YN=1),1,0)</f>
        <v>1</v>
      </c>
      <c r="S616" s="528" t="str">
        <f>INDEX('Rate Card'!$D:$D,MATCH(服务费底表!$T616,'Rate Card'!F:F,0))</f>
        <v>药物警戒</v>
      </c>
      <c r="T616" s="328" t="s">
        <v>620</v>
      </c>
      <c r="U616" s="522" t="str">
        <f>INDEX('Rate Card'!$E:$E,MATCH(服务费底表!$T616,'Rate Card'!$F:$F,0))</f>
        <v>药物警戒经理</v>
      </c>
      <c r="V616" s="331">
        <f>INDEX('Rate Card'!$J:$J,MATCH($T616,'Rate Card'!$F:$F,0))</f>
        <v>500</v>
      </c>
      <c r="W616" s="523">
        <f t="shared" si="571"/>
        <v>500</v>
      </c>
      <c r="X616" s="523">
        <f t="shared" si="572"/>
        <v>20</v>
      </c>
      <c r="Y616" s="327" cm="1">
        <f t="array" ref="Y616">_xlfn.IFS(报价场景=服务费底表!$AJ$2,服务费底表!$AJ616,报价场景=服务费底表!$AP$2,服务费底表!$AP616,报价场景=服务费底表!$AK$2,服务费底表!$AK616,报价场景=服务费底表!$AL$2,服务费底表!$AL616,报价场景=服务费底表!$AM$2,服务费底表!$AM616,报价场景=服务费底表!$AN$2,服务费底表!$AN616,报价场景=服务费底表!$AQ$2,服务费底表!$AQ616,报价场景=服务费底表!$AO$2,服务费底表!$AO616)</f>
        <v>20</v>
      </c>
      <c r="Z616" s="327"/>
      <c r="AA616" s="332">
        <f t="shared" si="573"/>
        <v>20</v>
      </c>
      <c r="AB616" s="333">
        <f t="shared" si="574"/>
        <v>10000</v>
      </c>
      <c r="AC616" s="328">
        <f t="shared" si="575"/>
        <v>20</v>
      </c>
      <c r="AD616" s="334">
        <f t="shared" si="576"/>
        <v>10000</v>
      </c>
      <c r="AE616" s="334">
        <f>$AB616*(1-INDEX(项目参数!$D$5:$D$14,MATCH(服务费底表!$S616,项目参数!$B$5:$B$14,0)))</f>
        <v>10000</v>
      </c>
      <c r="AF616" s="334">
        <f>$AD616*INDEX(项目参数!$D$5:$D$14,MATCH(服务费底表!$S616,项目参数!$B$5:$B$14,0))</f>
        <v>0</v>
      </c>
      <c r="AG616" s="334">
        <f t="shared" si="567"/>
        <v>10000</v>
      </c>
      <c r="AH616" s="328"/>
      <c r="AI616" s="328" t="s">
        <v>620</v>
      </c>
      <c r="AJ616" s="327">
        <v>20</v>
      </c>
      <c r="AK616" s="327">
        <f t="shared" ref="AK616:AK645" si="582">AJ616*1.5</f>
        <v>30</v>
      </c>
      <c r="AL616" s="327">
        <f>AJ616*0.7</f>
        <v>14</v>
      </c>
      <c r="AM616" s="327">
        <f t="shared" ref="AM616:AM645" si="583">AL616</f>
        <v>14</v>
      </c>
      <c r="AN616" s="327">
        <f>ROUND(AJ616*0.8,2)</f>
        <v>16</v>
      </c>
      <c r="AO616" s="327">
        <f t="shared" si="577"/>
        <v>14</v>
      </c>
      <c r="AP616" s="327">
        <v>20</v>
      </c>
      <c r="AQ616" s="327">
        <f t="shared" si="578"/>
        <v>30</v>
      </c>
      <c r="AR616" s="338"/>
      <c r="AS616" s="327">
        <f t="shared" si="579"/>
        <v>20</v>
      </c>
      <c r="AT616" s="327">
        <f t="shared" si="580"/>
        <v>20</v>
      </c>
      <c r="AU616" s="523">
        <v>20</v>
      </c>
      <c r="AV616" s="328"/>
      <c r="AW616" s="328"/>
      <c r="AX616" s="332">
        <v>20</v>
      </c>
      <c r="AY616" s="328" t="b">
        <f t="shared" si="581"/>
        <v>1</v>
      </c>
      <c r="AZ616" s="328" t="b">
        <f t="shared" si="526"/>
        <v>0</v>
      </c>
    </row>
    <row r="617" ht="27" customHeight="1" spans="1:52">
      <c r="A617" s="326" t="str">
        <f>INDEX('Rate Card'!$A:$A,MATCH(服务费底表!$T617,'Rate Card'!$F:$F,0))</f>
        <v>药物警戒</v>
      </c>
      <c r="B617" s="327" t="str">
        <f>INDEX(二三级标准!$G:$G,MATCH(服务费底表!$K617,二三级标准!B:B,0))</f>
        <v>份</v>
      </c>
      <c r="C617" s="327">
        <f>INDEX(服务费明细!$E:$E,MATCH(服务费底表!$K617,服务费明细!$B:$B,0))</f>
        <v>1</v>
      </c>
      <c r="D617" s="327" t="str">
        <f t="shared" si="569"/>
        <v>A130PVP</v>
      </c>
      <c r="E617" s="327" t="str">
        <f t="shared" si="570"/>
        <v>T0458PVP</v>
      </c>
      <c r="F617" s="328"/>
      <c r="G617" s="328" t="s">
        <v>684</v>
      </c>
      <c r="H617" s="326" t="str">
        <f>INDEX('Rate Card'!$B:$B,MATCH(服务费底表!$T617,'Rate Card'!$F:$F,0))</f>
        <v>药物警戒</v>
      </c>
      <c r="I617" s="328" t="s">
        <v>926</v>
      </c>
      <c r="J617" s="328" t="str">
        <f>INDEX(二三级标准!$Q:$Q,MATCH(服务费底表!I617,二三级标准!$O:$O,0))</f>
        <v>安全警戒</v>
      </c>
      <c r="K617" s="328" t="s">
        <v>365</v>
      </c>
      <c r="L617" s="328" t="str">
        <f>INDEX(二三级标准!C:C,MATCH(服务费底表!K617,二三级标准!$B:$B,0))</f>
        <v>安全管理计划SMP撰写</v>
      </c>
      <c r="M617" s="328" t="s">
        <v>1636</v>
      </c>
      <c r="N617" s="328" t="str">
        <f>INDEX(二三级标准!$M:$M,MATCH(服务费底表!$M617,二三级标准!$L:$L,0))</f>
        <v>安全管理计划(SMP)撰写</v>
      </c>
      <c r="O617" s="328"/>
      <c r="P617" s="531">
        <f>IF(R617=1,INDEX(服务费明细!$E:$E,MATCH(服务费底表!$K617,服务费明细!$B:$B,0)),0)</f>
        <v>1</v>
      </c>
      <c r="Q617" s="328" t="s">
        <v>1176</v>
      </c>
      <c r="R617" s="520">
        <f>IF(AND(SMP撰写YN=1,药物警戒YN=1),1,0)</f>
        <v>1</v>
      </c>
      <c r="S617" s="528" t="str">
        <f>INDEX('Rate Card'!$D:$D,MATCH(服务费底表!$T617,'Rate Card'!F:F,0))</f>
        <v>药物警戒</v>
      </c>
      <c r="T617" s="328" t="s">
        <v>622</v>
      </c>
      <c r="U617" s="522" t="str">
        <f>INDEX('Rate Card'!$E:$E,MATCH(服务费底表!$T617,'Rate Card'!$F:$F,0))</f>
        <v>药物警戒医生</v>
      </c>
      <c r="V617" s="331">
        <f>INDEX('Rate Card'!$J:$J,MATCH($T617,'Rate Card'!$F:$F,0))</f>
        <v>700</v>
      </c>
      <c r="W617" s="523">
        <f t="shared" si="571"/>
        <v>700</v>
      </c>
      <c r="X617" s="523">
        <f t="shared" si="572"/>
        <v>2</v>
      </c>
      <c r="Y617" s="327" cm="1">
        <f t="array" ref="Y617">_xlfn.IFS(报价场景=服务费底表!$AJ$2,服务费底表!$AJ617,报价场景=服务费底表!$AP$2,服务费底表!$AP617,报价场景=服务费底表!$AK$2,服务费底表!$AK617,报价场景=服务费底表!$AL$2,服务费底表!$AL617,报价场景=服务费底表!$AM$2,服务费底表!$AM617,报价场景=服务费底表!$AN$2,服务费底表!$AN617,报价场景=服务费底表!$AQ$2,服务费底表!$AQ617,报价场景=服务费底表!$AO$2,服务费底表!$AO617)</f>
        <v>2</v>
      </c>
      <c r="Z617" s="327"/>
      <c r="AA617" s="332">
        <f t="shared" si="573"/>
        <v>2</v>
      </c>
      <c r="AB617" s="333">
        <f t="shared" si="574"/>
        <v>1400</v>
      </c>
      <c r="AC617" s="328">
        <f t="shared" si="575"/>
        <v>2</v>
      </c>
      <c r="AD617" s="334">
        <f t="shared" si="576"/>
        <v>1400</v>
      </c>
      <c r="AE617" s="334">
        <f>$AB617*(1-INDEX(项目参数!$D$5:$D$14,MATCH(服务费底表!$S617,项目参数!$B$5:$B$14,0)))</f>
        <v>1400</v>
      </c>
      <c r="AF617" s="334">
        <f>$AD617*INDEX(项目参数!$D$5:$D$14,MATCH(服务费底表!$S617,项目参数!$B$5:$B$14,0))</f>
        <v>0</v>
      </c>
      <c r="AG617" s="334">
        <f t="shared" si="567"/>
        <v>1400</v>
      </c>
      <c r="AH617" s="328"/>
      <c r="AI617" s="328" t="s">
        <v>622</v>
      </c>
      <c r="AJ617" s="327">
        <v>2</v>
      </c>
      <c r="AK617" s="327">
        <f t="shared" si="582"/>
        <v>3</v>
      </c>
      <c r="AL617" s="327">
        <v>1.5</v>
      </c>
      <c r="AM617" s="327">
        <f t="shared" si="583"/>
        <v>1.5</v>
      </c>
      <c r="AN617" s="327">
        <f>ROUND(AJ617*0.8,2)</f>
        <v>1.6</v>
      </c>
      <c r="AO617" s="327">
        <f t="shared" si="577"/>
        <v>1.5</v>
      </c>
      <c r="AP617" s="327">
        <v>2</v>
      </c>
      <c r="AQ617" s="327">
        <f t="shared" si="578"/>
        <v>3</v>
      </c>
      <c r="AR617" s="338"/>
      <c r="AS617" s="327">
        <f t="shared" si="579"/>
        <v>2</v>
      </c>
      <c r="AT617" s="327">
        <f t="shared" si="580"/>
        <v>2</v>
      </c>
      <c r="AU617" s="523">
        <v>2</v>
      </c>
      <c r="AV617" s="328"/>
      <c r="AW617" s="328"/>
      <c r="AX617" s="332">
        <v>2</v>
      </c>
      <c r="AY617" s="328" t="b">
        <f t="shared" si="581"/>
        <v>1</v>
      </c>
      <c r="AZ617" s="328" t="b">
        <f t="shared" si="526"/>
        <v>0</v>
      </c>
    </row>
    <row r="618" ht="27" customHeight="1" spans="1:52">
      <c r="A618" s="326" t="str">
        <f>INDEX('Rate Card'!$A:$A,MATCH(服务费底表!$T618,'Rate Card'!$F:$F,0))</f>
        <v>临床运营</v>
      </c>
      <c r="B618" s="327" t="str">
        <f>INDEX(二三级标准!$G:$G,MATCH(服务费底表!$K618,二三级标准!B:B,0))</f>
        <v>份</v>
      </c>
      <c r="C618" s="327">
        <f>INDEX(服务费明细!$E:$E,MATCH(服务费底表!$K618,服务费明细!$B:$B,0))</f>
        <v>1</v>
      </c>
      <c r="D618" s="327" t="str">
        <f t="shared" ref="D618:D651" si="584">K618&amp;T618</f>
        <v>A130PM</v>
      </c>
      <c r="E618" s="327" t="str">
        <f t="shared" ref="E618:E651" si="585">M618&amp;T618</f>
        <v>T0458PM</v>
      </c>
      <c r="F618" s="328"/>
      <c r="G618" s="328" t="s">
        <v>684</v>
      </c>
      <c r="H618" s="326" t="str">
        <f>INDEX('Rate Card'!$B:$B,MATCH(服务费底表!$T618,'Rate Card'!$F:$F,0))</f>
        <v>临床运营</v>
      </c>
      <c r="I618" s="328" t="s">
        <v>926</v>
      </c>
      <c r="J618" s="328" t="str">
        <f>INDEX(二三级标准!$Q:$Q,MATCH(服务费底表!I618,二三级标准!$O:$O,0))</f>
        <v>安全警戒</v>
      </c>
      <c r="K618" s="328" t="s">
        <v>365</v>
      </c>
      <c r="L618" s="328" t="str">
        <f>INDEX(二三级标准!C:C,MATCH(服务费底表!K618,二三级标准!$B:$B,0))</f>
        <v>安全管理计划SMP撰写</v>
      </c>
      <c r="M618" s="328" t="s">
        <v>1636</v>
      </c>
      <c r="N618" s="328" t="str">
        <f>INDEX(二三级标准!$M:$M,MATCH(服务费底表!$M618,二三级标准!$L:$L,0))</f>
        <v>安全管理计划(SMP)撰写</v>
      </c>
      <c r="O618" s="539"/>
      <c r="P618" s="531">
        <f>IF(R618=1,INDEX(服务费明细!$E:$E,MATCH(服务费底表!$K618,服务费明细!$B:$B,0)),0)</f>
        <v>1</v>
      </c>
      <c r="Q618" s="328" t="s">
        <v>1176</v>
      </c>
      <c r="R618" s="520">
        <f>IF(AND(SMP撰写YN=1,项目管理YN=1),1,0)</f>
        <v>1</v>
      </c>
      <c r="S618" s="525" t="str">
        <f>INDEX('Rate Card'!$D:$D,MATCH(服务费底表!$T618,'Rate Card'!F:F,0))</f>
        <v>项目管理</v>
      </c>
      <c r="T618" s="328" t="s">
        <v>599</v>
      </c>
      <c r="U618" s="522" t="str">
        <f>INDEX('Rate Card'!$E:$E,MATCH(服务费底表!$T618,'Rate Card'!$F:$F,0))</f>
        <v>临床项目经理</v>
      </c>
      <c r="V618" s="331">
        <f>INDEX('Rate Card'!$J:$J,MATCH($T618,'Rate Card'!$F:$F,0))</f>
        <v>650</v>
      </c>
      <c r="W618" s="523">
        <f t="shared" si="571"/>
        <v>650</v>
      </c>
      <c r="X618" s="523">
        <f t="shared" si="572"/>
        <v>2</v>
      </c>
      <c r="Y618" s="327" cm="1">
        <f t="array" ref="Y618">_xlfn.IFS(报价场景=服务费底表!$AJ$2,服务费底表!$AJ618,报价场景=服务费底表!$AP$2,服务费底表!$AP618,报价场景=服务费底表!$AK$2,服务费底表!$AK618,报价场景=服务费底表!$AL$2,服务费底表!$AL618,报价场景=服务费底表!$AM$2,服务费底表!$AM618,报价场景=服务费底表!$AN$2,服务费底表!$AN618,报价场景=服务费底表!$AQ$2,服务费底表!$AQ618,报价场景=服务费底表!$AO$2,服务费底表!$AO618)</f>
        <v>2</v>
      </c>
      <c r="Z618" s="327"/>
      <c r="AA618" s="332">
        <f t="shared" si="573"/>
        <v>2</v>
      </c>
      <c r="AB618" s="333">
        <f t="shared" ref="AB618:AB651" si="586">IFERROR(AD618/P618,0)</f>
        <v>1300</v>
      </c>
      <c r="AC618" s="328">
        <f t="shared" ref="AC618:AC651" si="587">AA618*P618*R618</f>
        <v>2</v>
      </c>
      <c r="AD618" s="334">
        <f t="shared" ref="AD618:AD651" si="588">AC618*V618</f>
        <v>1300</v>
      </c>
      <c r="AE618" s="334">
        <f>$AB618*(1-INDEX(项目参数!$D$5:$D$14,MATCH(服务费底表!$S618,项目参数!$B$5:$B$14,0)))</f>
        <v>1300</v>
      </c>
      <c r="AF618" s="334">
        <f>$AD618*INDEX(项目参数!$D$5:$D$14,MATCH(服务费底表!$S618,项目参数!$B$5:$B$14,0))</f>
        <v>0</v>
      </c>
      <c r="AG618" s="334">
        <f t="shared" ref="AG618:AG651" si="589">AD618-AF618</f>
        <v>1300</v>
      </c>
      <c r="AH618" s="328"/>
      <c r="AI618" s="328" t="s">
        <v>599</v>
      </c>
      <c r="AJ618" s="327">
        <v>2</v>
      </c>
      <c r="AK618" s="327">
        <f t="shared" si="582"/>
        <v>3</v>
      </c>
      <c r="AL618" s="327">
        <f>AM618</f>
        <v>1.5</v>
      </c>
      <c r="AM618" s="327">
        <v>1.5</v>
      </c>
      <c r="AN618" s="327">
        <f>AJ618</f>
        <v>2</v>
      </c>
      <c r="AO618" s="327">
        <f t="shared" si="577"/>
        <v>1.5</v>
      </c>
      <c r="AP618" s="327">
        <v>2</v>
      </c>
      <c r="AQ618" s="327">
        <f t="shared" si="578"/>
        <v>3</v>
      </c>
      <c r="AR618" s="338"/>
      <c r="AS618" s="328">
        <f t="shared" si="579"/>
        <v>2</v>
      </c>
      <c r="AT618" s="328">
        <f t="shared" si="580"/>
        <v>2</v>
      </c>
      <c r="AU618" s="523">
        <v>2</v>
      </c>
      <c r="AV618" s="328"/>
      <c r="AW618" s="328"/>
      <c r="AX618" s="332">
        <v>2</v>
      </c>
      <c r="AY618" s="328" t="b">
        <f t="shared" si="581"/>
        <v>1</v>
      </c>
      <c r="AZ618" s="328" t="b">
        <f t="shared" si="526"/>
        <v>0</v>
      </c>
    </row>
    <row r="619" ht="27" customHeight="1" spans="1:52">
      <c r="A619" s="326" t="str">
        <f>INDEX('Rate Card'!$A:$A,MATCH(服务费底表!$T619,'Rate Card'!$F:$F,0))</f>
        <v>药物警戒</v>
      </c>
      <c r="B619" s="327" t="str">
        <f>INDEX(二三级标准!$G:$G,MATCH(服务费底表!$K619,二三级标准!B:B,0))</f>
        <v>份</v>
      </c>
      <c r="C619" s="327">
        <f>INDEX(服务费明细!$E:$E,MATCH(服务费底表!$K619,服务费明细!$B:$B,0))</f>
        <v>0</v>
      </c>
      <c r="D619" s="327" t="str">
        <f t="shared" si="584"/>
        <v>A131PVM</v>
      </c>
      <c r="E619" s="327" t="str">
        <f t="shared" si="585"/>
        <v>T0459PVM</v>
      </c>
      <c r="F619" s="328"/>
      <c r="G619" s="328" t="s">
        <v>684</v>
      </c>
      <c r="H619" s="326" t="str">
        <f>INDEX('Rate Card'!$B:$B,MATCH(服务费底表!$T619,'Rate Card'!$F:$F,0))</f>
        <v>药物警戒</v>
      </c>
      <c r="I619" s="328" t="s">
        <v>926</v>
      </c>
      <c r="J619" s="328" t="str">
        <f>INDEX(二三级标准!$Q:$Q,MATCH(服务费底表!I619,二三级标准!$O:$O,0))</f>
        <v>安全警戒</v>
      </c>
      <c r="K619" s="328" t="s">
        <v>367</v>
      </c>
      <c r="L619" s="328" t="str">
        <f>INDEX(二三级标准!C:C,MATCH(服务费底表!K619,二三级标准!$B:$B,0))</f>
        <v>药物警戒协议撰写</v>
      </c>
      <c r="M619" s="328" t="s">
        <v>1637</v>
      </c>
      <c r="N619" s="328" t="str">
        <f>INDEX(二三级标准!$M:$M,MATCH(服务费底表!$M619,二三级标准!$L:$L,0))</f>
        <v>药物警戒协议撰写</v>
      </c>
      <c r="O619" s="328"/>
      <c r="P619" s="531">
        <f>IF(R619=1,INDEX(服务费明细!$E:$E,MATCH(服务费底表!$K619,服务费明细!$B:$B,0)),0)</f>
        <v>0</v>
      </c>
      <c r="Q619" s="328" t="s">
        <v>1176</v>
      </c>
      <c r="R619" s="520">
        <f>IF(AND(药物警戒协议撰写YN=1,药物警戒YN=1),1,0)</f>
        <v>0</v>
      </c>
      <c r="S619" s="528" t="str">
        <f>INDEX('Rate Card'!$D:$D,MATCH(服务费底表!$T619,'Rate Card'!F:F,0))</f>
        <v>药物警戒</v>
      </c>
      <c r="T619" s="328" t="s">
        <v>620</v>
      </c>
      <c r="U619" s="522" t="str">
        <f>INDEX('Rate Card'!$E:$E,MATCH(服务费底表!$T619,'Rate Card'!$F:$F,0))</f>
        <v>药物警戒经理</v>
      </c>
      <c r="V619" s="331">
        <f>INDEX('Rate Card'!$J:$J,MATCH($T619,'Rate Card'!$F:$F,0))</f>
        <v>500</v>
      </c>
      <c r="W619" s="523">
        <f t="shared" si="571"/>
        <v>500</v>
      </c>
      <c r="X619" s="523">
        <f t="shared" si="572"/>
        <v>32</v>
      </c>
      <c r="Y619" s="327" cm="1">
        <f t="array" ref="Y619">_xlfn.IFS(报价场景=服务费底表!$AJ$2,服务费底表!$AJ619,报价场景=服务费底表!$AP$2,服务费底表!$AP619,报价场景=服务费底表!$AK$2,服务费底表!$AK619,报价场景=服务费底表!$AL$2,服务费底表!$AL619,报价场景=服务费底表!$AM$2,服务费底表!$AM619,报价场景=服务费底表!$AN$2,服务费底表!$AN619,报价场景=服务费底表!$AQ$2,服务费底表!$AQ619,报价场景=服务费底表!$AO$2,服务费底表!$AO619)</f>
        <v>32</v>
      </c>
      <c r="Z619" s="327"/>
      <c r="AA619" s="332">
        <f t="shared" si="573"/>
        <v>32</v>
      </c>
      <c r="AB619" s="333">
        <f t="shared" si="586"/>
        <v>0</v>
      </c>
      <c r="AC619" s="328">
        <f t="shared" si="587"/>
        <v>0</v>
      </c>
      <c r="AD619" s="334">
        <f t="shared" si="588"/>
        <v>0</v>
      </c>
      <c r="AE619" s="334">
        <f>$AB619*(1-INDEX(项目参数!$D$5:$D$14,MATCH(服务费底表!$S619,项目参数!$B$5:$B$14,0)))</f>
        <v>0</v>
      </c>
      <c r="AF619" s="334">
        <f>$AD619*INDEX(项目参数!$D$5:$D$14,MATCH(服务费底表!$S619,项目参数!$B$5:$B$14,0))</f>
        <v>0</v>
      </c>
      <c r="AG619" s="334">
        <f t="shared" si="589"/>
        <v>0</v>
      </c>
      <c r="AH619" s="328"/>
      <c r="AI619" s="328" t="s">
        <v>620</v>
      </c>
      <c r="AJ619" s="327">
        <v>32</v>
      </c>
      <c r="AK619" s="327">
        <f t="shared" si="582"/>
        <v>48</v>
      </c>
      <c r="AL619" s="327">
        <v>22.5</v>
      </c>
      <c r="AM619" s="327">
        <f t="shared" si="583"/>
        <v>22.5</v>
      </c>
      <c r="AN619" s="327">
        <f t="shared" ref="AN619:AN625" si="590">ROUND(AJ619*0.8,2)</f>
        <v>25.6</v>
      </c>
      <c r="AO619" s="327">
        <f t="shared" si="577"/>
        <v>22.5</v>
      </c>
      <c r="AP619" s="327">
        <v>32</v>
      </c>
      <c r="AQ619" s="327">
        <f t="shared" si="578"/>
        <v>48</v>
      </c>
      <c r="AR619" s="338"/>
      <c r="AS619" s="327">
        <f t="shared" si="579"/>
        <v>0</v>
      </c>
      <c r="AT619" s="327">
        <f t="shared" si="580"/>
        <v>0</v>
      </c>
      <c r="AU619" s="523">
        <v>32</v>
      </c>
      <c r="AV619" s="328"/>
      <c r="AW619" s="328"/>
      <c r="AX619" s="332">
        <v>32</v>
      </c>
      <c r="AY619" s="328" t="b">
        <f t="shared" si="581"/>
        <v>1</v>
      </c>
      <c r="AZ619" s="328" t="b">
        <f t="shared" si="526"/>
        <v>1</v>
      </c>
    </row>
    <row r="620" ht="27" customHeight="1" spans="1:52">
      <c r="A620" s="326" t="str">
        <f>INDEX('Rate Card'!$A:$A,MATCH(服务费底表!$T620,'Rate Card'!$F:$F,0))</f>
        <v>药物警戒</v>
      </c>
      <c r="B620" s="327" t="str">
        <f>INDEX(二三级标准!$G:$G,MATCH(服务费底表!$K620,二三级标准!B:B,0))</f>
        <v>份</v>
      </c>
      <c r="C620" s="327">
        <f>INDEX(服务费明细!$E:$E,MATCH(服务费底表!$K620,服务费明细!$B:$B,0))</f>
        <v>0</v>
      </c>
      <c r="D620" s="327" t="str">
        <f t="shared" si="584"/>
        <v>A131PVP</v>
      </c>
      <c r="E620" s="327" t="str">
        <f t="shared" si="585"/>
        <v>T0459PVP</v>
      </c>
      <c r="F620" s="328"/>
      <c r="G620" s="328" t="s">
        <v>684</v>
      </c>
      <c r="H620" s="326" t="str">
        <f>INDEX('Rate Card'!$B:$B,MATCH(服务费底表!$T620,'Rate Card'!$F:$F,0))</f>
        <v>药物警戒</v>
      </c>
      <c r="I620" s="328" t="s">
        <v>926</v>
      </c>
      <c r="J620" s="328" t="str">
        <f>INDEX(二三级标准!$Q:$Q,MATCH(服务费底表!I620,二三级标准!$O:$O,0))</f>
        <v>安全警戒</v>
      </c>
      <c r="K620" s="328" t="s">
        <v>367</v>
      </c>
      <c r="L620" s="328" t="str">
        <f>INDEX(二三级标准!C:C,MATCH(服务费底表!K620,二三级标准!$B:$B,0))</f>
        <v>药物警戒协议撰写</v>
      </c>
      <c r="M620" s="328" t="s">
        <v>1637</v>
      </c>
      <c r="N620" s="328" t="str">
        <f>INDEX(二三级标准!$M:$M,MATCH(服务费底表!$M620,二三级标准!$L:$L,0))</f>
        <v>药物警戒协议撰写</v>
      </c>
      <c r="O620" s="328"/>
      <c r="P620" s="531">
        <f>IF(R620=1,INDEX(服务费明细!$E:$E,MATCH(服务费底表!$K620,服务费明细!$B:$B,0)),0)</f>
        <v>0</v>
      </c>
      <c r="Q620" s="328" t="s">
        <v>1176</v>
      </c>
      <c r="R620" s="520">
        <f>IF(AND(药物警戒协议撰写YN=1,药物警戒YN=1),1,0)</f>
        <v>0</v>
      </c>
      <c r="S620" s="528" t="str">
        <f>INDEX('Rate Card'!$D:$D,MATCH(服务费底表!$T620,'Rate Card'!F:F,0))</f>
        <v>药物警戒</v>
      </c>
      <c r="T620" s="328" t="s">
        <v>622</v>
      </c>
      <c r="U620" s="522" t="str">
        <f>INDEX('Rate Card'!$E:$E,MATCH(服务费底表!$T620,'Rate Card'!$F:$F,0))</f>
        <v>药物警戒医生</v>
      </c>
      <c r="V620" s="331">
        <f>INDEX('Rate Card'!$J:$J,MATCH($T620,'Rate Card'!$F:$F,0))</f>
        <v>700</v>
      </c>
      <c r="W620" s="523">
        <f t="shared" si="571"/>
        <v>700</v>
      </c>
      <c r="X620" s="523">
        <f t="shared" si="572"/>
        <v>6</v>
      </c>
      <c r="Y620" s="327" cm="1">
        <f t="array" ref="Y620">_xlfn.IFS(报价场景=服务费底表!$AJ$2,服务费底表!$AJ620,报价场景=服务费底表!$AP$2,服务费底表!$AP620,报价场景=服务费底表!$AK$2,服务费底表!$AK620,报价场景=服务费底表!$AL$2,服务费底表!$AL620,报价场景=服务费底表!$AM$2,服务费底表!$AM620,报价场景=服务费底表!$AN$2,服务费底表!$AN620,报价场景=服务费底表!$AQ$2,服务费底表!$AQ620,报价场景=服务费底表!$AO$2,服务费底表!$AO620)</f>
        <v>6</v>
      </c>
      <c r="Z620" s="327"/>
      <c r="AA620" s="332">
        <f t="shared" si="573"/>
        <v>6</v>
      </c>
      <c r="AB620" s="333">
        <f t="shared" si="586"/>
        <v>0</v>
      </c>
      <c r="AC620" s="328">
        <f t="shared" si="587"/>
        <v>0</v>
      </c>
      <c r="AD620" s="334">
        <f t="shared" si="588"/>
        <v>0</v>
      </c>
      <c r="AE620" s="334">
        <f>$AB620*(1-INDEX(项目参数!$D$5:$D$14,MATCH(服务费底表!$S620,项目参数!$B$5:$B$14,0)))</f>
        <v>0</v>
      </c>
      <c r="AF620" s="334">
        <f>$AD620*INDEX(项目参数!$D$5:$D$14,MATCH(服务费底表!$S620,项目参数!$B$5:$B$14,0))</f>
        <v>0</v>
      </c>
      <c r="AG620" s="334">
        <f t="shared" si="589"/>
        <v>0</v>
      </c>
      <c r="AH620" s="328"/>
      <c r="AI620" s="328" t="s">
        <v>622</v>
      </c>
      <c r="AJ620" s="327">
        <v>6</v>
      </c>
      <c r="AK620" s="327">
        <f t="shared" si="582"/>
        <v>9</v>
      </c>
      <c r="AL620" s="327">
        <v>4</v>
      </c>
      <c r="AM620" s="327">
        <f t="shared" si="583"/>
        <v>4</v>
      </c>
      <c r="AN620" s="327">
        <f t="shared" si="590"/>
        <v>4.8</v>
      </c>
      <c r="AO620" s="327">
        <f t="shared" si="577"/>
        <v>4</v>
      </c>
      <c r="AP620" s="327">
        <v>6</v>
      </c>
      <c r="AQ620" s="327">
        <f t="shared" si="578"/>
        <v>9</v>
      </c>
      <c r="AR620" s="338"/>
      <c r="AS620" s="327">
        <f t="shared" si="579"/>
        <v>0</v>
      </c>
      <c r="AT620" s="327">
        <f t="shared" si="580"/>
        <v>0</v>
      </c>
      <c r="AU620" s="523">
        <v>6</v>
      </c>
      <c r="AV620" s="328"/>
      <c r="AW620" s="328"/>
      <c r="AX620" s="332">
        <v>6</v>
      </c>
      <c r="AY620" s="328" t="b">
        <f t="shared" si="581"/>
        <v>1</v>
      </c>
      <c r="AZ620" s="328" t="b">
        <f t="shared" si="526"/>
        <v>1</v>
      </c>
    </row>
    <row r="621" ht="27" customHeight="1" spans="1:52">
      <c r="A621" s="326" t="str">
        <f>INDEX('Rate Card'!$A:$A,MATCH(服务费底表!$T621,'Rate Card'!$F:$F,0))</f>
        <v>药物警戒</v>
      </c>
      <c r="B621" s="327" t="str">
        <f>INDEX(二三级标准!$G:$G,MATCH(服务费底表!$K621,二三级标准!B:B,0))</f>
        <v>份</v>
      </c>
      <c r="C621" s="327">
        <f>INDEX(服务费明细!$E:$E,MATCH(服务费底表!$K621,服务费明细!$B:$B,0))</f>
        <v>0</v>
      </c>
      <c r="D621" s="327" t="str">
        <f t="shared" si="584"/>
        <v>A132PVM</v>
      </c>
      <c r="E621" s="327" t="str">
        <f t="shared" si="585"/>
        <v>T0460PVM</v>
      </c>
      <c r="F621" s="328"/>
      <c r="G621" s="328" t="s">
        <v>684</v>
      </c>
      <c r="H621" s="326" t="str">
        <f>INDEX('Rate Card'!$B:$B,MATCH(服务费底表!$T621,'Rate Card'!$F:$F,0))</f>
        <v>药物警戒</v>
      </c>
      <c r="I621" s="328" t="s">
        <v>926</v>
      </c>
      <c r="J621" s="328" t="str">
        <f>INDEX(二三级标准!$Q:$Q,MATCH(服务费底表!I621,二三级标准!$O:$O,0))</f>
        <v>安全警戒</v>
      </c>
      <c r="K621" s="328" t="s">
        <v>369</v>
      </c>
      <c r="L621" s="328" t="str">
        <f>INDEX(二三级标准!C:C,MATCH(服务费底表!K621,二三级标准!$B:$B,0))</f>
        <v>药物警戒委托协议撰写</v>
      </c>
      <c r="M621" s="328" t="s">
        <v>1638</v>
      </c>
      <c r="N621" s="328" t="str">
        <f>INDEX(二三级标准!$M:$M,MATCH(服务费底表!$M621,二三级标准!$L:$L,0))</f>
        <v>药物警戒委托协议撰写</v>
      </c>
      <c r="O621" s="328"/>
      <c r="P621" s="531">
        <f>IF(R621=1,INDEX(服务费明细!$E:$E,MATCH(服务费底表!$K621,服务费明细!$B:$B,0)),0)</f>
        <v>0</v>
      </c>
      <c r="Q621" s="328" t="s">
        <v>1176</v>
      </c>
      <c r="R621" s="520">
        <f>IF(AND(药物警戒委托协议撰写YN=1,药物警戒YN=1),1,0)</f>
        <v>0</v>
      </c>
      <c r="S621" s="528" t="str">
        <f>INDEX('Rate Card'!$D:$D,MATCH(服务费底表!$T621,'Rate Card'!F:F,0))</f>
        <v>药物警戒</v>
      </c>
      <c r="T621" s="328" t="s">
        <v>620</v>
      </c>
      <c r="U621" s="522" t="str">
        <f>INDEX('Rate Card'!$E:$E,MATCH(服务费底表!$T621,'Rate Card'!$F:$F,0))</f>
        <v>药物警戒经理</v>
      </c>
      <c r="V621" s="331">
        <f>INDEX('Rate Card'!$J:$J,MATCH($T621,'Rate Card'!$F:$F,0))</f>
        <v>500</v>
      </c>
      <c r="W621" s="523">
        <f t="shared" si="571"/>
        <v>500</v>
      </c>
      <c r="X621" s="523">
        <f t="shared" si="572"/>
        <v>24</v>
      </c>
      <c r="Y621" s="327" cm="1">
        <f t="array" ref="Y621">_xlfn.IFS(报价场景=服务费底表!$AJ$2,服务费底表!$AJ621,报价场景=服务费底表!$AP$2,服务费底表!$AP621,报价场景=服务费底表!$AK$2,服务费底表!$AK621,报价场景=服务费底表!$AL$2,服务费底表!$AL621,报价场景=服务费底表!$AM$2,服务费底表!$AM621,报价场景=服务费底表!$AN$2,服务费底表!$AN621,报价场景=服务费底表!$AQ$2,服务费底表!$AQ621,报价场景=服务费底表!$AO$2,服务费底表!$AO621)</f>
        <v>24</v>
      </c>
      <c r="Z621" s="327"/>
      <c r="AA621" s="332">
        <f t="shared" si="573"/>
        <v>24</v>
      </c>
      <c r="AB621" s="333">
        <f t="shared" si="586"/>
        <v>0</v>
      </c>
      <c r="AC621" s="328">
        <f t="shared" si="587"/>
        <v>0</v>
      </c>
      <c r="AD621" s="334">
        <f t="shared" si="588"/>
        <v>0</v>
      </c>
      <c r="AE621" s="334">
        <f>$AB621*(1-INDEX(项目参数!$D$5:$D$14,MATCH(服务费底表!$S621,项目参数!$B$5:$B$14,0)))</f>
        <v>0</v>
      </c>
      <c r="AF621" s="334">
        <f>$AD621*INDEX(项目参数!$D$5:$D$14,MATCH(服务费底表!$S621,项目参数!$B$5:$B$14,0))</f>
        <v>0</v>
      </c>
      <c r="AG621" s="334">
        <f t="shared" si="589"/>
        <v>0</v>
      </c>
      <c r="AH621" s="328"/>
      <c r="AI621" s="328" t="s">
        <v>620</v>
      </c>
      <c r="AJ621" s="327">
        <v>24</v>
      </c>
      <c r="AK621" s="327">
        <f t="shared" si="582"/>
        <v>36</v>
      </c>
      <c r="AL621" s="327">
        <v>17</v>
      </c>
      <c r="AM621" s="327">
        <f t="shared" si="583"/>
        <v>17</v>
      </c>
      <c r="AN621" s="327">
        <f t="shared" si="590"/>
        <v>19.2</v>
      </c>
      <c r="AO621" s="327">
        <f t="shared" si="577"/>
        <v>17</v>
      </c>
      <c r="AP621" s="327">
        <v>24</v>
      </c>
      <c r="AQ621" s="327">
        <f t="shared" si="578"/>
        <v>36</v>
      </c>
      <c r="AR621" s="338"/>
      <c r="AS621" s="327">
        <f t="shared" si="579"/>
        <v>0</v>
      </c>
      <c r="AT621" s="327">
        <f t="shared" si="580"/>
        <v>0</v>
      </c>
      <c r="AU621" s="523">
        <v>24</v>
      </c>
      <c r="AV621" s="328"/>
      <c r="AW621" s="328"/>
      <c r="AX621" s="332">
        <v>24</v>
      </c>
      <c r="AY621" s="328" t="b">
        <f t="shared" si="581"/>
        <v>1</v>
      </c>
      <c r="AZ621" s="328" t="b">
        <f t="shared" si="526"/>
        <v>0</v>
      </c>
    </row>
    <row r="622" ht="27" customHeight="1" spans="1:52">
      <c r="A622" s="326" t="str">
        <f>INDEX('Rate Card'!$A:$A,MATCH(服务费底表!$T622,'Rate Card'!$F:$F,0))</f>
        <v>药物警戒</v>
      </c>
      <c r="B622" s="327" t="str">
        <f>INDEX(二三级标准!$G:$G,MATCH(服务费底表!$K622,二三级标准!B:B,0))</f>
        <v>个</v>
      </c>
      <c r="C622" s="327">
        <f>INDEX(服务费明细!$E:$E,MATCH(服务费底表!$K622,服务费明细!$B:$B,0))</f>
        <v>1</v>
      </c>
      <c r="D622" s="327" t="str">
        <f t="shared" si="584"/>
        <v>A133PVS</v>
      </c>
      <c r="E622" s="327" t="str">
        <f t="shared" si="585"/>
        <v>T0461PVS</v>
      </c>
      <c r="F622" s="328"/>
      <c r="G622" s="328" t="s">
        <v>684</v>
      </c>
      <c r="H622" s="326" t="str">
        <f>INDEX('Rate Card'!$B:$B,MATCH(服务费底表!$T622,'Rate Card'!$F:$F,0))</f>
        <v>药物警戒</v>
      </c>
      <c r="I622" s="328" t="s">
        <v>926</v>
      </c>
      <c r="J622" s="328" t="str">
        <f>INDEX(二三级标准!$Q:$Q,MATCH(服务费底表!I622,二三级标准!$O:$O,0))</f>
        <v>安全警戒</v>
      </c>
      <c r="K622" s="328" t="s">
        <v>371</v>
      </c>
      <c r="L622" s="328" t="str">
        <f>INDEX(二三级标准!C:C,MATCH(服务费底表!K622,二三级标准!$B:$B,0))</f>
        <v>启动前项目药物警戒准备工作</v>
      </c>
      <c r="M622" s="328" t="s">
        <v>1639</v>
      </c>
      <c r="N622" s="328" t="str">
        <f>INDEX(二三级标准!$M:$M,MATCH(服务费底表!$M622,二三级标准!$L:$L,0))</f>
        <v>启动前文档准备</v>
      </c>
      <c r="O622" s="328"/>
      <c r="P622" s="531">
        <f>IF(R622=1,INDEX(服务费明细!$E:$E,MATCH(服务费底表!$K622,服务费明细!$B:$B,0)),0)</f>
        <v>1</v>
      </c>
      <c r="Q622" s="328" t="s">
        <v>1178</v>
      </c>
      <c r="R622" s="520">
        <f>IF(AND(启动前项目药物警戒准备工作=1,药物警戒YN=1),1,0)</f>
        <v>1</v>
      </c>
      <c r="S622" s="528" t="str">
        <f>INDEX('Rate Card'!$D:$D,MATCH(服务费底表!$T622,'Rate Card'!F:F,0))</f>
        <v>药物警戒</v>
      </c>
      <c r="T622" s="328" t="s">
        <v>624</v>
      </c>
      <c r="U622" s="522" t="str">
        <f>INDEX('Rate Card'!$E:$E,MATCH(服务费底表!$T622,'Rate Card'!$F:$F,0))</f>
        <v>药物警戒专员</v>
      </c>
      <c r="V622" s="331">
        <f>INDEX('Rate Card'!$J:$J,MATCH($T622,'Rate Card'!$F:$F,0))</f>
        <v>300</v>
      </c>
      <c r="W622" s="523">
        <f t="shared" si="571"/>
        <v>300</v>
      </c>
      <c r="X622" s="523">
        <f t="shared" si="572"/>
        <v>12</v>
      </c>
      <c r="Y622" s="327" cm="1">
        <f t="array" ref="Y622">_xlfn.IFS(报价场景=服务费底表!$AJ$2,服务费底表!$AJ622,报价场景=服务费底表!$AP$2,服务费底表!$AP622,报价场景=服务费底表!$AK$2,服务费底表!$AK622,报价场景=服务费底表!$AL$2,服务费底表!$AL622,报价场景=服务费底表!$AM$2,服务费底表!$AM622,报价场景=服务费底表!$AN$2,服务费底表!$AN622,报价场景=服务费底表!$AQ$2,服务费底表!$AQ622,报价场景=服务费底表!$AO$2,服务费底表!$AO622)</f>
        <v>12</v>
      </c>
      <c r="Z622" s="327"/>
      <c r="AA622" s="332">
        <f t="shared" si="573"/>
        <v>12</v>
      </c>
      <c r="AB622" s="333">
        <f t="shared" si="586"/>
        <v>3600</v>
      </c>
      <c r="AC622" s="328">
        <f t="shared" si="587"/>
        <v>12</v>
      </c>
      <c r="AD622" s="334">
        <f t="shared" si="588"/>
        <v>3600</v>
      </c>
      <c r="AE622" s="334">
        <f>$AB622*(1-INDEX(项目参数!$D$5:$D$14,MATCH(服务费底表!$S622,项目参数!$B$5:$B$14,0)))</f>
        <v>3600</v>
      </c>
      <c r="AF622" s="334">
        <f>$AD622*INDEX(项目参数!$D$5:$D$14,MATCH(服务费底表!$S622,项目参数!$B$5:$B$14,0))</f>
        <v>0</v>
      </c>
      <c r="AG622" s="334">
        <f t="shared" si="589"/>
        <v>3600</v>
      </c>
      <c r="AH622" s="328"/>
      <c r="AI622" s="328" t="s">
        <v>624</v>
      </c>
      <c r="AJ622" s="327">
        <v>12</v>
      </c>
      <c r="AK622" s="327">
        <f t="shared" si="582"/>
        <v>18</v>
      </c>
      <c r="AL622" s="327">
        <v>8.5</v>
      </c>
      <c r="AM622" s="327">
        <f t="shared" si="583"/>
        <v>8.5</v>
      </c>
      <c r="AN622" s="327">
        <f t="shared" si="590"/>
        <v>9.6</v>
      </c>
      <c r="AO622" s="327">
        <f t="shared" si="577"/>
        <v>8.5</v>
      </c>
      <c r="AP622" s="327">
        <v>12</v>
      </c>
      <c r="AQ622" s="327">
        <f t="shared" si="578"/>
        <v>18</v>
      </c>
      <c r="AR622" s="338"/>
      <c r="AS622" s="327">
        <f t="shared" si="579"/>
        <v>12</v>
      </c>
      <c r="AT622" s="327">
        <f t="shared" si="580"/>
        <v>12</v>
      </c>
      <c r="AU622" s="523">
        <v>12</v>
      </c>
      <c r="AV622" s="328"/>
      <c r="AW622" s="328"/>
      <c r="AX622" s="332">
        <v>12</v>
      </c>
      <c r="AY622" s="328" t="b">
        <f t="shared" si="581"/>
        <v>1</v>
      </c>
      <c r="AZ622" s="328" t="b">
        <f t="shared" si="526"/>
        <v>1</v>
      </c>
    </row>
    <row r="623" ht="27" customHeight="1" spans="1:52">
      <c r="A623" s="326" t="str">
        <f>INDEX('Rate Card'!$A:$A,MATCH(服务费底表!$T623,'Rate Card'!$F:$F,0))</f>
        <v>药物警戒</v>
      </c>
      <c r="B623" s="327" t="str">
        <f>INDEX(二三级标准!$G:$G,MATCH(服务费底表!$K623,二三级标准!B:B,0))</f>
        <v>个</v>
      </c>
      <c r="C623" s="327">
        <f>INDEX(服务费明细!$E:$E,MATCH(服务费底表!$K623,服务费明细!$B:$B,0))</f>
        <v>1</v>
      </c>
      <c r="D623" s="327" t="str">
        <f t="shared" si="584"/>
        <v>A133PVS</v>
      </c>
      <c r="E623" s="327" t="str">
        <f t="shared" si="585"/>
        <v>T0462PVS</v>
      </c>
      <c r="F623" s="328"/>
      <c r="G623" s="328" t="s">
        <v>684</v>
      </c>
      <c r="H623" s="326" t="str">
        <f>INDEX('Rate Card'!$B:$B,MATCH(服务费底表!$T623,'Rate Card'!$F:$F,0))</f>
        <v>药物警戒</v>
      </c>
      <c r="I623" s="328" t="s">
        <v>926</v>
      </c>
      <c r="J623" s="328" t="str">
        <f>INDEX(二三级标准!$Q:$Q,MATCH(服务费底表!I623,二三级标准!$O:$O,0))</f>
        <v>安全警戒</v>
      </c>
      <c r="K623" s="328" t="s">
        <v>371</v>
      </c>
      <c r="L623" s="328" t="str">
        <f>INDEX(二三级标准!C:C,MATCH(服务费底表!K623,二三级标准!$B:$B,0))</f>
        <v>启动前项目药物警戒准备工作</v>
      </c>
      <c r="M623" s="328" t="s">
        <v>1640</v>
      </c>
      <c r="N623" s="328" t="str">
        <f>INDEX(二三级标准!$M:$M,MATCH(服务费底表!$M623,二三级标准!$L:$L,0))</f>
        <v>非盲安全性数据集建立及文档访问权限设置</v>
      </c>
      <c r="O623" s="328"/>
      <c r="P623" s="531">
        <f>IF(R623=1,INDEX(服务费明细!$E:$E,MATCH(服务费底表!$K623,服务费明细!$B:$B,0)),0)</f>
        <v>0</v>
      </c>
      <c r="Q623" s="328" t="s">
        <v>1178</v>
      </c>
      <c r="R623" s="520">
        <f>IF(AND(启动前项目药物警戒准备工作=1,药物警戒YN=1,盲法&lt;&gt;"否"),1,0)</f>
        <v>0</v>
      </c>
      <c r="S623" s="528" t="str">
        <f>INDEX('Rate Card'!$D:$D,MATCH(服务费底表!$T623,'Rate Card'!F:F,0))</f>
        <v>药物警戒</v>
      </c>
      <c r="T623" s="328" t="s">
        <v>624</v>
      </c>
      <c r="U623" s="522" t="str">
        <f>INDEX('Rate Card'!$E:$E,MATCH(服务费底表!$T623,'Rate Card'!$F:$F,0))</f>
        <v>药物警戒专员</v>
      </c>
      <c r="V623" s="331">
        <f>INDEX('Rate Card'!$J:$J,MATCH($T623,'Rate Card'!$F:$F,0))</f>
        <v>300</v>
      </c>
      <c r="W623" s="523">
        <f t="shared" si="571"/>
        <v>300</v>
      </c>
      <c r="X623" s="523">
        <f t="shared" si="572"/>
        <v>4</v>
      </c>
      <c r="Y623" s="327" cm="1">
        <f t="array" ref="Y623">_xlfn.IFS(报价场景=服务费底表!$AJ$2,服务费底表!$AJ623,报价场景=服务费底表!$AP$2,服务费底表!$AP623,报价场景=服务费底表!$AK$2,服务费底表!$AK623,报价场景=服务费底表!$AL$2,服务费底表!$AL623,报价场景=服务费底表!$AM$2,服务费底表!$AM623,报价场景=服务费底表!$AN$2,服务费底表!$AN623,报价场景=服务费底表!$AQ$2,服务费底表!$AQ623,报价场景=服务费底表!$AO$2,服务费底表!$AO623)</f>
        <v>4</v>
      </c>
      <c r="Z623" s="327"/>
      <c r="AA623" s="332">
        <f t="shared" si="573"/>
        <v>4</v>
      </c>
      <c r="AB623" s="333">
        <f t="shared" si="586"/>
        <v>0</v>
      </c>
      <c r="AC623" s="328">
        <f t="shared" si="587"/>
        <v>0</v>
      </c>
      <c r="AD623" s="334">
        <f t="shared" si="588"/>
        <v>0</v>
      </c>
      <c r="AE623" s="334">
        <f>$AB623*(1-INDEX(项目参数!$D$5:$D$14,MATCH(服务费底表!$S623,项目参数!$B$5:$B$14,0)))</f>
        <v>0</v>
      </c>
      <c r="AF623" s="334">
        <f>$AD623*INDEX(项目参数!$D$5:$D$14,MATCH(服务费底表!$S623,项目参数!$B$5:$B$14,0))</f>
        <v>0</v>
      </c>
      <c r="AG623" s="334">
        <f t="shared" si="589"/>
        <v>0</v>
      </c>
      <c r="AH623" s="328"/>
      <c r="AI623" s="328" t="s">
        <v>624</v>
      </c>
      <c r="AJ623" s="327">
        <v>4</v>
      </c>
      <c r="AK623" s="327">
        <f t="shared" si="582"/>
        <v>6</v>
      </c>
      <c r="AL623" s="327">
        <v>3</v>
      </c>
      <c r="AM623" s="327">
        <f t="shared" si="583"/>
        <v>3</v>
      </c>
      <c r="AN623" s="327">
        <f t="shared" si="590"/>
        <v>3.2</v>
      </c>
      <c r="AO623" s="327">
        <f t="shared" si="577"/>
        <v>3</v>
      </c>
      <c r="AP623" s="327">
        <v>4</v>
      </c>
      <c r="AQ623" s="327">
        <f t="shared" si="578"/>
        <v>6</v>
      </c>
      <c r="AR623" s="338"/>
      <c r="AS623" s="327">
        <f t="shared" si="579"/>
        <v>0</v>
      </c>
      <c r="AT623" s="327">
        <f t="shared" si="580"/>
        <v>0</v>
      </c>
      <c r="AU623" s="523">
        <v>4</v>
      </c>
      <c r="AV623" s="328"/>
      <c r="AW623" s="328"/>
      <c r="AX623" s="332">
        <v>4</v>
      </c>
      <c r="AY623" s="328" t="b">
        <f t="shared" si="581"/>
        <v>1</v>
      </c>
      <c r="AZ623" s="328" t="b">
        <f t="shared" si="526"/>
        <v>1</v>
      </c>
    </row>
    <row r="624" ht="27" customHeight="1" spans="1:52">
      <c r="A624" s="326" t="str">
        <f>INDEX('Rate Card'!$A:$A,MATCH(服务费底表!$T624,'Rate Card'!$F:$F,0))</f>
        <v>药物警戒</v>
      </c>
      <c r="B624" s="327" t="str">
        <f>INDEX(二三级标准!$G:$G,MATCH(服务费底表!$K624,二三级标准!B:B,0))</f>
        <v>次</v>
      </c>
      <c r="C624" s="327">
        <f>INDEX(服务费明细!$E:$E,MATCH(服务费底表!$K624,服务费明细!$B:$B,0))</f>
        <v>1</v>
      </c>
      <c r="D624" s="327" t="str">
        <f t="shared" si="584"/>
        <v>A134PVM</v>
      </c>
      <c r="E624" s="327" t="str">
        <f t="shared" si="585"/>
        <v>T0463PVM</v>
      </c>
      <c r="F624" s="328"/>
      <c r="G624" s="328" t="s">
        <v>684</v>
      </c>
      <c r="H624" s="326" t="str">
        <f>INDEX('Rate Card'!$B:$B,MATCH(服务费底表!$T624,'Rate Card'!$F:$F,0))</f>
        <v>药物警戒</v>
      </c>
      <c r="I624" s="328" t="s">
        <v>926</v>
      </c>
      <c r="J624" s="328" t="str">
        <f>INDEX(二三级标准!$Q:$Q,MATCH(服务费底表!I624,二三级标准!$O:$O,0))</f>
        <v>安全警戒</v>
      </c>
      <c r="K624" s="328" t="s">
        <v>373</v>
      </c>
      <c r="L624" s="328" t="str">
        <f>INDEX(二三级标准!C:C,MATCH(服务费底表!K624,二三级标准!$B:$B,0))</f>
        <v>安全性数据库配置和测试</v>
      </c>
      <c r="M624" s="328" t="s">
        <v>1641</v>
      </c>
      <c r="N624" s="328" t="str">
        <f>INDEX(二三级标准!$M:$M,MATCH(服务费底表!$M624,二三级标准!$L:$L,0))</f>
        <v> 安全性数据库配置</v>
      </c>
      <c r="O624" s="328"/>
      <c r="P624" s="531">
        <f>IF(R624=1,INDEX(服务费明细!$E:$E,MATCH(服务费底表!$K624,服务费明细!$B:$B,0)),0)</f>
        <v>1</v>
      </c>
      <c r="Q624" s="328" t="s">
        <v>1178</v>
      </c>
      <c r="R624" s="520">
        <f>IF(AND(安全性数据库配置和测试YN=1,药物警戒YN=1),1,0)</f>
        <v>1</v>
      </c>
      <c r="S624" s="528" t="str">
        <f>INDEX('Rate Card'!$D:$D,MATCH(服务费底表!$T624,'Rate Card'!F:F,0))</f>
        <v>药物警戒</v>
      </c>
      <c r="T624" s="328" t="s">
        <v>620</v>
      </c>
      <c r="U624" s="522" t="str">
        <f>INDEX('Rate Card'!$E:$E,MATCH(服务费底表!$T624,'Rate Card'!$F:$F,0))</f>
        <v>药物警戒经理</v>
      </c>
      <c r="V624" s="331">
        <f>INDEX('Rate Card'!$J:$J,MATCH($T624,'Rate Card'!$F:$F,0))</f>
        <v>500</v>
      </c>
      <c r="W624" s="523">
        <f t="shared" si="571"/>
        <v>500</v>
      </c>
      <c r="X624" s="523">
        <f t="shared" si="572"/>
        <v>8</v>
      </c>
      <c r="Y624" s="327" cm="1">
        <f t="array" ref="Y624">_xlfn.IFS(报价场景=服务费底表!$AJ$2,服务费底表!$AJ624,报价场景=服务费底表!$AP$2,服务费底表!$AP624,报价场景=服务费底表!$AK$2,服务费底表!$AK624,报价场景=服务费底表!$AL$2,服务费底表!$AL624,报价场景=服务费底表!$AM$2,服务费底表!$AM624,报价场景=服务费底表!$AN$2,服务费底表!$AN624,报价场景=服务费底表!$AQ$2,服务费底表!$AQ624,报价场景=服务费底表!$AO$2,服务费底表!$AO624)</f>
        <v>8</v>
      </c>
      <c r="Z624" s="327"/>
      <c r="AA624" s="332">
        <f t="shared" si="573"/>
        <v>8</v>
      </c>
      <c r="AB624" s="333">
        <f t="shared" si="586"/>
        <v>4000</v>
      </c>
      <c r="AC624" s="328">
        <f t="shared" si="587"/>
        <v>8</v>
      </c>
      <c r="AD624" s="334">
        <f t="shared" si="588"/>
        <v>4000</v>
      </c>
      <c r="AE624" s="334">
        <f>$AB624*(1-INDEX(项目参数!$D$5:$D$14,MATCH(服务费底表!$S624,项目参数!$B$5:$B$14,0)))</f>
        <v>4000</v>
      </c>
      <c r="AF624" s="334">
        <f>$AD624*INDEX(项目参数!$D$5:$D$14,MATCH(服务费底表!$S624,项目参数!$B$5:$B$14,0))</f>
        <v>0</v>
      </c>
      <c r="AG624" s="334">
        <f t="shared" si="589"/>
        <v>4000</v>
      </c>
      <c r="AH624" s="328"/>
      <c r="AI624" s="328" t="s">
        <v>620</v>
      </c>
      <c r="AJ624" s="327">
        <v>8</v>
      </c>
      <c r="AK624" s="327">
        <f t="shared" si="582"/>
        <v>12</v>
      </c>
      <c r="AL624" s="327">
        <v>5.5</v>
      </c>
      <c r="AM624" s="327">
        <f t="shared" si="583"/>
        <v>5.5</v>
      </c>
      <c r="AN624" s="327">
        <f t="shared" si="590"/>
        <v>6.4</v>
      </c>
      <c r="AO624" s="327">
        <f t="shared" si="577"/>
        <v>5.5</v>
      </c>
      <c r="AP624" s="327">
        <v>8</v>
      </c>
      <c r="AQ624" s="327">
        <f t="shared" si="578"/>
        <v>12</v>
      </c>
      <c r="AR624" s="338"/>
      <c r="AS624" s="327">
        <f t="shared" si="579"/>
        <v>8</v>
      </c>
      <c r="AT624" s="327">
        <f t="shared" si="580"/>
        <v>8</v>
      </c>
      <c r="AU624" s="523">
        <v>8</v>
      </c>
      <c r="AV624" s="328"/>
      <c r="AW624" s="328"/>
      <c r="AX624" s="332">
        <v>8</v>
      </c>
      <c r="AY624" s="328" t="b">
        <f t="shared" si="581"/>
        <v>1</v>
      </c>
      <c r="AZ624" s="328" t="b">
        <f t="shared" si="526"/>
        <v>0</v>
      </c>
    </row>
    <row r="625" ht="27" customHeight="1" spans="1:52">
      <c r="A625" s="326" t="str">
        <f>INDEX('Rate Card'!$A:$A,MATCH(服务费底表!$T625,'Rate Card'!$F:$F,0))</f>
        <v>药物警戒</v>
      </c>
      <c r="B625" s="327" t="str">
        <f>INDEX(二三级标准!$G:$G,MATCH(服务费底表!$K625,二三级标准!B:B,0))</f>
        <v>次</v>
      </c>
      <c r="C625" s="327">
        <f>INDEX(服务费明细!$E:$E,MATCH(服务费底表!$K625,服务费明细!$B:$B,0))</f>
        <v>1</v>
      </c>
      <c r="D625" s="327" t="str">
        <f t="shared" si="584"/>
        <v>A134PVM</v>
      </c>
      <c r="E625" s="327" t="str">
        <f t="shared" si="585"/>
        <v>T0464PVM</v>
      </c>
      <c r="F625" s="328"/>
      <c r="G625" s="328" t="s">
        <v>684</v>
      </c>
      <c r="H625" s="326" t="str">
        <f>INDEX('Rate Card'!$B:$B,MATCH(服务费底表!$T625,'Rate Card'!$F:$F,0))</f>
        <v>药物警戒</v>
      </c>
      <c r="I625" s="328" t="s">
        <v>926</v>
      </c>
      <c r="J625" s="328" t="str">
        <f>INDEX(二三级标准!$Q:$Q,MATCH(服务费底表!I625,二三级标准!$O:$O,0))</f>
        <v>安全警戒</v>
      </c>
      <c r="K625" s="328" t="s">
        <v>373</v>
      </c>
      <c r="L625" s="328" t="str">
        <f>INDEX(二三级标准!C:C,MATCH(服务费底表!K625,二三级标准!$B:$B,0))</f>
        <v>安全性数据库配置和测试</v>
      </c>
      <c r="M625" s="328" t="s">
        <v>1642</v>
      </c>
      <c r="N625" s="328" t="str">
        <f>INDEX(二三级标准!$M:$M,MATCH(服务费底表!$M625,二三级标准!$L:$L,0))</f>
        <v>Gateway测试服务</v>
      </c>
      <c r="O625" s="328"/>
      <c r="P625" s="531">
        <f>IF(R625=1,INDEX(服务费明细!$E:$E,MATCH(服务费底表!$K625,服务费明细!$B:$B,0)),0)</f>
        <v>0</v>
      </c>
      <c r="Q625" s="328" t="s">
        <v>1178</v>
      </c>
      <c r="R625" s="520">
        <v>0</v>
      </c>
      <c r="S625" s="528" t="str">
        <f>INDEX('Rate Card'!$D:$D,MATCH(服务费底表!$T625,'Rate Card'!F:F,0))</f>
        <v>药物警戒</v>
      </c>
      <c r="T625" s="328" t="s">
        <v>620</v>
      </c>
      <c r="U625" s="522" t="str">
        <f>INDEX('Rate Card'!$E:$E,MATCH(服务费底表!$T625,'Rate Card'!$F:$F,0))</f>
        <v>药物警戒经理</v>
      </c>
      <c r="V625" s="331">
        <f>INDEX('Rate Card'!$J:$J,MATCH($T625,'Rate Card'!$F:$F,0))</f>
        <v>500</v>
      </c>
      <c r="W625" s="523">
        <f t="shared" si="571"/>
        <v>500</v>
      </c>
      <c r="X625" s="523">
        <f t="shared" si="572"/>
        <v>4</v>
      </c>
      <c r="Y625" s="327" cm="1">
        <f t="array" ref="Y625">_xlfn.IFS(报价场景=服务费底表!$AJ$2,服务费底表!$AJ625,报价场景=服务费底表!$AP$2,服务费底表!$AP625,报价场景=服务费底表!$AK$2,服务费底表!$AK625,报价场景=服务费底表!$AL$2,服务费底表!$AL625,报价场景=服务费底表!$AM$2,服务费底表!$AM625,报价场景=服务费底表!$AN$2,服务费底表!$AN625,报价场景=服务费底表!$AQ$2,服务费底表!$AQ625,报价场景=服务费底表!$AO$2,服务费底表!$AO625)</f>
        <v>4</v>
      </c>
      <c r="Z625" s="327"/>
      <c r="AA625" s="332">
        <f t="shared" si="573"/>
        <v>4</v>
      </c>
      <c r="AB625" s="333">
        <f t="shared" si="586"/>
        <v>0</v>
      </c>
      <c r="AC625" s="328">
        <f t="shared" si="587"/>
        <v>0</v>
      </c>
      <c r="AD625" s="334">
        <f t="shared" si="588"/>
        <v>0</v>
      </c>
      <c r="AE625" s="334">
        <f>$AB625*(1-INDEX(项目参数!$D$5:$D$14,MATCH(服务费底表!$S625,项目参数!$B$5:$B$14,0)))</f>
        <v>0</v>
      </c>
      <c r="AF625" s="334">
        <f>$AD625*INDEX(项目参数!$D$5:$D$14,MATCH(服务费底表!$S625,项目参数!$B$5:$B$14,0))</f>
        <v>0</v>
      </c>
      <c r="AG625" s="334">
        <f t="shared" si="589"/>
        <v>0</v>
      </c>
      <c r="AH625" s="328"/>
      <c r="AI625" s="328" t="s">
        <v>620</v>
      </c>
      <c r="AJ625" s="327">
        <v>4</v>
      </c>
      <c r="AK625" s="327">
        <f t="shared" si="582"/>
        <v>6</v>
      </c>
      <c r="AL625" s="327">
        <v>3</v>
      </c>
      <c r="AM625" s="327">
        <f t="shared" si="583"/>
        <v>3</v>
      </c>
      <c r="AN625" s="327">
        <f t="shared" si="590"/>
        <v>3.2</v>
      </c>
      <c r="AO625" s="327">
        <f t="shared" si="577"/>
        <v>3</v>
      </c>
      <c r="AP625" s="327">
        <v>4</v>
      </c>
      <c r="AQ625" s="327">
        <f t="shared" si="578"/>
        <v>6</v>
      </c>
      <c r="AR625" s="338"/>
      <c r="AS625" s="327">
        <f t="shared" si="579"/>
        <v>0</v>
      </c>
      <c r="AT625" s="327">
        <f t="shared" si="580"/>
        <v>0</v>
      </c>
      <c r="AU625" s="523">
        <v>4</v>
      </c>
      <c r="AV625" s="328"/>
      <c r="AW625" s="328"/>
      <c r="AX625" s="332">
        <v>4</v>
      </c>
      <c r="AY625" s="328" t="b">
        <f t="shared" si="581"/>
        <v>1</v>
      </c>
      <c r="AZ625" s="328" t="b">
        <f t="shared" si="526"/>
        <v>0</v>
      </c>
    </row>
    <row r="626" ht="27" customHeight="1" spans="1:52">
      <c r="A626" s="326" t="str">
        <f>INDEX('Rate Card'!$A:$A,MATCH(服务费底表!$T626,'Rate Card'!$F:$F,0))</f>
        <v>药物警戒</v>
      </c>
      <c r="B626" s="327" t="str">
        <f>INDEX(二三级标准!$G:$G,MATCH(服务费底表!$K626,二三级标准!B:B,0))</f>
        <v>次</v>
      </c>
      <c r="C626" s="327">
        <f>INDEX(服务费明细!$E:$E,MATCH(服务费底表!$K626,服务费明细!$B:$B,0))</f>
        <v>1</v>
      </c>
      <c r="D626" s="327" t="str">
        <f t="shared" si="584"/>
        <v>A134PVM</v>
      </c>
      <c r="E626" s="327" t="str">
        <f t="shared" si="585"/>
        <v>T0465PVM</v>
      </c>
      <c r="F626" s="328"/>
      <c r="G626" s="328" t="s">
        <v>684</v>
      </c>
      <c r="H626" s="326" t="str">
        <f>INDEX('Rate Card'!$B:$B,MATCH(服务费底表!$T626,'Rate Card'!$F:$F,0))</f>
        <v>药物警戒</v>
      </c>
      <c r="I626" s="328" t="s">
        <v>926</v>
      </c>
      <c r="J626" s="328" t="str">
        <f>INDEX(二三级标准!$Q:$Q,MATCH(服务费底表!I626,二三级标准!$O:$O,0))</f>
        <v>安全警戒</v>
      </c>
      <c r="K626" s="328" t="s">
        <v>373</v>
      </c>
      <c r="L626" s="328" t="str">
        <f>INDEX(二三级标准!C:C,MATCH(服务费底表!K626,二三级标准!$B:$B,0))</f>
        <v>安全性数据库配置和测试</v>
      </c>
      <c r="M626" s="328" t="s">
        <v>1643</v>
      </c>
      <c r="N626" s="328" t="str">
        <f>INDEX(二三级标准!$M:$M,MATCH(服务费底表!$M626,二三级标准!$L:$L,0))</f>
        <v>XML递交测试服务</v>
      </c>
      <c r="O626" s="328"/>
      <c r="P626" s="531">
        <f>IF(R626=1,INDEX(服务费明细!$E:$E,MATCH(服务费底表!$K626,服务费明细!$B:$B,0)),0)</f>
        <v>0</v>
      </c>
      <c r="Q626" s="328" t="s">
        <v>1178</v>
      </c>
      <c r="R626" s="520">
        <v>0</v>
      </c>
      <c r="S626" s="528" t="str">
        <f>INDEX('Rate Card'!$D:$D,MATCH(服务费底表!$T626,'Rate Card'!F:F,0))</f>
        <v>药物警戒</v>
      </c>
      <c r="T626" s="328" t="s">
        <v>620</v>
      </c>
      <c r="U626" s="522" t="str">
        <f>INDEX('Rate Card'!$E:$E,MATCH(服务费底表!$T626,'Rate Card'!$F:$F,0))</f>
        <v>药物警戒经理</v>
      </c>
      <c r="V626" s="331">
        <f>INDEX('Rate Card'!$J:$J,MATCH($T626,'Rate Card'!$F:$F,0))</f>
        <v>500</v>
      </c>
      <c r="W626" s="523">
        <f t="shared" si="571"/>
        <v>500</v>
      </c>
      <c r="X626" s="523">
        <f t="shared" si="572"/>
        <v>4</v>
      </c>
      <c r="Y626" s="327" cm="1">
        <f t="array" ref="Y626">_xlfn.IFS(报价场景=服务费底表!$AJ$2,服务费底表!$AJ626,报价场景=服务费底表!$AP$2,服务费底表!$AP626,报价场景=服务费底表!$AK$2,服务费底表!$AK626,报价场景=服务费底表!$AL$2,服务费底表!$AL626,报价场景=服务费底表!$AM$2,服务费底表!$AM626,报价场景=服务费底表!$AN$2,服务费底表!$AN626,报价场景=服务费底表!$AQ$2,服务费底表!$AQ626,报价场景=服务费底表!$AO$2,服务费底表!$AO626)</f>
        <v>4</v>
      </c>
      <c r="Z626" s="327"/>
      <c r="AA626" s="332">
        <f t="shared" si="573"/>
        <v>4</v>
      </c>
      <c r="AB626" s="333">
        <f t="shared" si="586"/>
        <v>0</v>
      </c>
      <c r="AC626" s="328">
        <f t="shared" si="587"/>
        <v>0</v>
      </c>
      <c r="AD626" s="334">
        <f t="shared" si="588"/>
        <v>0</v>
      </c>
      <c r="AE626" s="334">
        <f>$AB626*(1-INDEX(项目参数!$D$5:$D$14,MATCH(服务费底表!$S626,项目参数!$B$5:$B$14,0)))</f>
        <v>0</v>
      </c>
      <c r="AF626" s="334">
        <f>$AD626*INDEX(项目参数!$D$5:$D$14,MATCH(服务费底表!$S626,项目参数!$B$5:$B$14,0))</f>
        <v>0</v>
      </c>
      <c r="AG626" s="334">
        <f t="shared" si="589"/>
        <v>0</v>
      </c>
      <c r="AH626" s="328"/>
      <c r="AI626" s="328" t="s">
        <v>620</v>
      </c>
      <c r="AJ626" s="336">
        <v>4</v>
      </c>
      <c r="AK626" s="327">
        <f t="shared" si="582"/>
        <v>6</v>
      </c>
      <c r="AL626" s="327">
        <v>3</v>
      </c>
      <c r="AM626" s="327">
        <f t="shared" si="583"/>
        <v>3</v>
      </c>
      <c r="AN626" s="336">
        <v>3.2</v>
      </c>
      <c r="AO626" s="327">
        <f t="shared" si="577"/>
        <v>3</v>
      </c>
      <c r="AP626" s="327">
        <v>4</v>
      </c>
      <c r="AQ626" s="327">
        <f t="shared" si="578"/>
        <v>6</v>
      </c>
      <c r="AR626" s="338"/>
      <c r="AS626" s="327"/>
      <c r="AT626" s="327"/>
      <c r="AU626" s="523">
        <v>4</v>
      </c>
      <c r="AV626" s="328"/>
      <c r="AW626" s="328"/>
      <c r="AX626" s="332">
        <v>4</v>
      </c>
      <c r="AY626" s="328"/>
      <c r="AZ626" s="328" t="b">
        <f t="shared" si="526"/>
        <v>0</v>
      </c>
    </row>
    <row r="627" ht="27" customHeight="1" spans="1:52">
      <c r="A627" s="326" t="str">
        <f>INDEX('Rate Card'!$A:$A,MATCH(服务费底表!$T627,'Rate Card'!$F:$F,0))</f>
        <v>药物警戒</v>
      </c>
      <c r="B627" s="327" t="str">
        <f>INDEX(二三级标准!$G:$G,MATCH(服务费底表!$K627,二三级标准!B:B,0))</f>
        <v>次</v>
      </c>
      <c r="C627" s="327">
        <f>INDEX(服务费明细!$E:$E,MATCH(服务费底表!$K627,服务费明细!$B:$B,0))</f>
        <v>1</v>
      </c>
      <c r="D627" s="327" t="str">
        <f t="shared" si="584"/>
        <v>A134PVM</v>
      </c>
      <c r="E627" s="327" t="str">
        <f t="shared" si="585"/>
        <v>T0466PVM</v>
      </c>
      <c r="F627" s="328"/>
      <c r="G627" s="328" t="s">
        <v>684</v>
      </c>
      <c r="H627" s="326" t="str">
        <f>INDEX('Rate Card'!$B:$B,MATCH(服务费底表!$T627,'Rate Card'!$F:$F,0))</f>
        <v>药物警戒</v>
      </c>
      <c r="I627" s="328" t="s">
        <v>926</v>
      </c>
      <c r="J627" s="328" t="str">
        <f>INDEX(二三级标准!$Q:$Q,MATCH(服务费底表!I627,二三级标准!$O:$O,0))</f>
        <v>安全警戒</v>
      </c>
      <c r="K627" s="328" t="s">
        <v>373</v>
      </c>
      <c r="L627" s="328" t="str">
        <f>INDEX(二三级标准!C:C,MATCH(服务费底表!K627,二三级标准!$B:$B,0))</f>
        <v>安全性数据库配置和测试</v>
      </c>
      <c r="M627" s="328" t="s">
        <v>1644</v>
      </c>
      <c r="N627" s="328" t="str">
        <f>INDEX(二三级标准!$M:$M,MATCH(服务费底表!$M627,二三级标准!$L:$L,0))</f>
        <v>XML导入及导出测试服务</v>
      </c>
      <c r="O627" s="328"/>
      <c r="P627" s="531">
        <f>IF(R627=1,INDEX(服务费明细!$E:$E,MATCH(服务费底表!$K627,服务费明细!$B:$B,0)),0)</f>
        <v>0</v>
      </c>
      <c r="Q627" s="328" t="s">
        <v>1178</v>
      </c>
      <c r="R627" s="520">
        <v>0</v>
      </c>
      <c r="S627" s="528" t="str">
        <f>INDEX('Rate Card'!$D:$D,MATCH(服务费底表!$T627,'Rate Card'!F:F,0))</f>
        <v>药物警戒</v>
      </c>
      <c r="T627" s="328" t="s">
        <v>620</v>
      </c>
      <c r="U627" s="522" t="str">
        <f>INDEX('Rate Card'!$E:$E,MATCH(服务费底表!$T627,'Rate Card'!$F:$F,0))</f>
        <v>药物警戒经理</v>
      </c>
      <c r="V627" s="331">
        <f>INDEX('Rate Card'!$J:$J,MATCH($T627,'Rate Card'!$F:$F,0))</f>
        <v>500</v>
      </c>
      <c r="W627" s="523">
        <f t="shared" si="571"/>
        <v>500</v>
      </c>
      <c r="X627" s="523">
        <f t="shared" si="572"/>
        <v>16</v>
      </c>
      <c r="Y627" s="327" cm="1">
        <f t="array" ref="Y627">_xlfn.IFS(报价场景=服务费底表!$AJ$2,服务费底表!$AJ627,报价场景=服务费底表!$AP$2,服务费底表!$AP627,报价场景=服务费底表!$AK$2,服务费底表!$AK627,报价场景=服务费底表!$AL$2,服务费底表!$AL627,报价场景=服务费底表!$AM$2,服务费底表!$AM627,报价场景=服务费底表!$AN$2,服务费底表!$AN627,报价场景=服务费底表!$AQ$2,服务费底表!$AQ627,报价场景=服务费底表!$AO$2,服务费底表!$AO627)</f>
        <v>16</v>
      </c>
      <c r="Z627" s="327"/>
      <c r="AA627" s="332">
        <f t="shared" si="573"/>
        <v>16</v>
      </c>
      <c r="AB627" s="333">
        <f t="shared" si="586"/>
        <v>0</v>
      </c>
      <c r="AC627" s="328">
        <f t="shared" si="587"/>
        <v>0</v>
      </c>
      <c r="AD627" s="334">
        <f t="shared" si="588"/>
        <v>0</v>
      </c>
      <c r="AE627" s="334">
        <f>$AB627*(1-INDEX(项目参数!$D$5:$D$14,MATCH(服务费底表!$S627,项目参数!$B$5:$B$14,0)))</f>
        <v>0</v>
      </c>
      <c r="AF627" s="334">
        <f>$AD627*INDEX(项目参数!$D$5:$D$14,MATCH(服务费底表!$S627,项目参数!$B$5:$B$14,0))</f>
        <v>0</v>
      </c>
      <c r="AG627" s="334">
        <f t="shared" si="589"/>
        <v>0</v>
      </c>
      <c r="AH627" s="328"/>
      <c r="AI627" s="328" t="s">
        <v>620</v>
      </c>
      <c r="AJ627" s="336">
        <v>16</v>
      </c>
      <c r="AK627" s="327">
        <f t="shared" si="582"/>
        <v>24</v>
      </c>
      <c r="AL627" s="327">
        <v>11</v>
      </c>
      <c r="AM627" s="327">
        <f t="shared" si="583"/>
        <v>11</v>
      </c>
      <c r="AN627" s="336">
        <v>12.8</v>
      </c>
      <c r="AO627" s="327">
        <f t="shared" si="577"/>
        <v>11</v>
      </c>
      <c r="AP627" s="327">
        <v>16</v>
      </c>
      <c r="AQ627" s="327">
        <f t="shared" si="578"/>
        <v>24</v>
      </c>
      <c r="AR627" s="338"/>
      <c r="AS627" s="327"/>
      <c r="AT627" s="327"/>
      <c r="AU627" s="523">
        <v>16</v>
      </c>
      <c r="AV627" s="328"/>
      <c r="AW627" s="328"/>
      <c r="AX627" s="332">
        <v>16</v>
      </c>
      <c r="AY627" s="328"/>
      <c r="AZ627" s="328" t="b">
        <f t="shared" si="526"/>
        <v>0</v>
      </c>
    </row>
    <row r="628" ht="27" customHeight="1" spans="1:52">
      <c r="A628" s="326" t="str">
        <f>INDEX('Rate Card'!$A:$A,MATCH(服务费底表!$T628,'Rate Card'!$F:$F,0))</f>
        <v>药物警戒</v>
      </c>
      <c r="B628" s="327" t="str">
        <f>INDEX(二三级标准!$G:$G,MATCH(服务费底表!$K628,二三级标准!B:B,0))</f>
        <v>次</v>
      </c>
      <c r="C628" s="327">
        <f>INDEX(服务费明细!$E:$E,MATCH(服务费底表!$K628,服务费明细!$B:$B,0))</f>
        <v>1</v>
      </c>
      <c r="D628" s="327" t="str">
        <f t="shared" si="584"/>
        <v>A134PVS</v>
      </c>
      <c r="E628" s="327" t="str">
        <f t="shared" si="585"/>
        <v>T0467PVS</v>
      </c>
      <c r="F628" s="328"/>
      <c r="G628" s="328" t="s">
        <v>684</v>
      </c>
      <c r="H628" s="326" t="str">
        <f>INDEX('Rate Card'!$B:$B,MATCH(服务费底表!$T628,'Rate Card'!$F:$F,0))</f>
        <v>药物警戒</v>
      </c>
      <c r="I628" s="328" t="s">
        <v>926</v>
      </c>
      <c r="J628" s="328" t="str">
        <f>INDEX(二三级标准!$Q:$Q,MATCH(服务费底表!I628,二三级标准!$O:$O,0))</f>
        <v>安全警戒</v>
      </c>
      <c r="K628" s="328" t="s">
        <v>373</v>
      </c>
      <c r="L628" s="328" t="str">
        <f>INDEX(二三级标准!C:C,MATCH(服务费底表!K628,二三级标准!$B:$B,0))</f>
        <v>安全性数据库配置和测试</v>
      </c>
      <c r="M628" s="328" t="s">
        <v>1645</v>
      </c>
      <c r="N628" s="328" t="str">
        <f>INDEX(二三级标准!$M:$M,MATCH(服务费底表!$M628,二三级标准!$L:$L,0))</f>
        <v>安全性数据库用户体验测试</v>
      </c>
      <c r="O628" s="328"/>
      <c r="P628" s="531">
        <f>IF(R628=1,INDEX(服务费明细!$E:$E,MATCH(服务费底表!$K628,服务费明细!$B:$B,0)),0)</f>
        <v>0</v>
      </c>
      <c r="Q628" s="328" t="s">
        <v>1178</v>
      </c>
      <c r="R628" s="520">
        <v>0</v>
      </c>
      <c r="S628" s="528" t="str">
        <f>INDEX('Rate Card'!$D:$D,MATCH(服务费底表!$T628,'Rate Card'!F:F,0))</f>
        <v>药物警戒</v>
      </c>
      <c r="T628" s="328" t="s">
        <v>624</v>
      </c>
      <c r="U628" s="522" t="str">
        <f>INDEX('Rate Card'!$E:$E,MATCH(服务费底表!$T628,'Rate Card'!$F:$F,0))</f>
        <v>药物警戒专员</v>
      </c>
      <c r="V628" s="331">
        <f>INDEX('Rate Card'!$J:$J,MATCH($T628,'Rate Card'!$F:$F,0))</f>
        <v>300</v>
      </c>
      <c r="W628" s="523">
        <f t="shared" si="571"/>
        <v>300</v>
      </c>
      <c r="X628" s="523">
        <f t="shared" si="572"/>
        <v>4</v>
      </c>
      <c r="Y628" s="327" cm="1">
        <f t="array" ref="Y628">_xlfn.IFS(报价场景=服务费底表!$AJ$2,服务费底表!$AJ628,报价场景=服务费底表!$AP$2,服务费底表!$AP628,报价场景=服务费底表!$AK$2,服务费底表!$AK628,报价场景=服务费底表!$AL$2,服务费底表!$AL628,报价场景=服务费底表!$AM$2,服务费底表!$AM628,报价场景=服务费底表!$AN$2,服务费底表!$AN628,报价场景=服务费底表!$AQ$2,服务费底表!$AQ628,报价场景=服务费底表!$AO$2,服务费底表!$AO628)</f>
        <v>4</v>
      </c>
      <c r="Z628" s="327"/>
      <c r="AA628" s="332">
        <f t="shared" ref="AA628:AA659" si="591">IF(ISBLANK($Z628),$Y628,$Z628)</f>
        <v>4</v>
      </c>
      <c r="AB628" s="333">
        <f t="shared" si="586"/>
        <v>0</v>
      </c>
      <c r="AC628" s="328">
        <f t="shared" si="587"/>
        <v>0</v>
      </c>
      <c r="AD628" s="334">
        <f t="shared" si="588"/>
        <v>0</v>
      </c>
      <c r="AE628" s="334">
        <f>$AB628*(1-INDEX(项目参数!$D$5:$D$14,MATCH(服务费底表!$S628,项目参数!$B$5:$B$14,0)))</f>
        <v>0</v>
      </c>
      <c r="AF628" s="334">
        <f>$AD628*INDEX(项目参数!$D$5:$D$14,MATCH(服务费底表!$S628,项目参数!$B$5:$B$14,0))</f>
        <v>0</v>
      </c>
      <c r="AG628" s="334">
        <f t="shared" si="589"/>
        <v>0</v>
      </c>
      <c r="AH628" s="328"/>
      <c r="AI628" s="328" t="s">
        <v>624</v>
      </c>
      <c r="AJ628" s="327">
        <v>4</v>
      </c>
      <c r="AK628" s="327">
        <f t="shared" si="582"/>
        <v>6</v>
      </c>
      <c r="AL628" s="327">
        <v>3</v>
      </c>
      <c r="AM628" s="327">
        <f t="shared" si="583"/>
        <v>3</v>
      </c>
      <c r="AN628" s="327">
        <f>ROUND(AJ628*0.8,2)</f>
        <v>3.2</v>
      </c>
      <c r="AO628" s="327">
        <f t="shared" si="577"/>
        <v>3</v>
      </c>
      <c r="AP628" s="327">
        <v>4</v>
      </c>
      <c r="AQ628" s="327">
        <f t="shared" si="578"/>
        <v>6</v>
      </c>
      <c r="AR628" s="338"/>
      <c r="AS628" s="327">
        <f t="shared" ref="AS628:AS651" si="592">AC628</f>
        <v>0</v>
      </c>
      <c r="AT628" s="327">
        <f t="shared" ref="AT628:AT651" si="593">Y628*P628</f>
        <v>0</v>
      </c>
      <c r="AU628" s="523">
        <v>4</v>
      </c>
      <c r="AV628" s="328"/>
      <c r="AW628" s="328"/>
      <c r="AX628" s="332">
        <v>4</v>
      </c>
      <c r="AY628" s="328" t="b">
        <f t="shared" ref="AY628:AY651" si="594">IF(AX628=AJ628,TRUE,FALSE)</f>
        <v>1</v>
      </c>
      <c r="AZ628" s="328" t="b">
        <f t="shared" si="526"/>
        <v>0</v>
      </c>
    </row>
    <row r="629" ht="27" customHeight="1" spans="1:52">
      <c r="A629" s="326" t="str">
        <f>INDEX('Rate Card'!$A:$A,MATCH(服务费底表!$T629,'Rate Card'!$F:$F,0))</f>
        <v>药物警戒</v>
      </c>
      <c r="B629" s="327" t="str">
        <f>INDEX(二三级标准!$G:$G,MATCH(服务费底表!$K629,二三级标准!B:B,0))</f>
        <v>次</v>
      </c>
      <c r="C629" s="327">
        <f>INDEX(服务费明细!$E:$E,MATCH(服务费底表!$K629,服务费明细!$B:$B,0))</f>
        <v>1</v>
      </c>
      <c r="D629" s="327" t="str">
        <f t="shared" si="584"/>
        <v>A134PVM</v>
      </c>
      <c r="E629" s="327" t="str">
        <f t="shared" si="585"/>
        <v>T0467PVM</v>
      </c>
      <c r="F629" s="328"/>
      <c r="G629" s="328" t="s">
        <v>684</v>
      </c>
      <c r="H629" s="326" t="str">
        <f>INDEX('Rate Card'!$B:$B,MATCH(服务费底表!$T629,'Rate Card'!$F:$F,0))</f>
        <v>药物警戒</v>
      </c>
      <c r="I629" s="328" t="s">
        <v>926</v>
      </c>
      <c r="J629" s="328" t="str">
        <f>INDEX(二三级标准!$Q:$Q,MATCH(服务费底表!I629,二三级标准!$O:$O,0))</f>
        <v>安全警戒</v>
      </c>
      <c r="K629" s="328" t="s">
        <v>373</v>
      </c>
      <c r="L629" s="328" t="str">
        <f>INDEX(二三级标准!C:C,MATCH(服务费底表!K629,二三级标准!$B:$B,0))</f>
        <v>安全性数据库配置和测试</v>
      </c>
      <c r="M629" s="328" t="s">
        <v>1645</v>
      </c>
      <c r="N629" s="328" t="str">
        <f>INDEX(二三级标准!$M:$M,MATCH(服务费底表!$M629,二三级标准!$L:$L,0))</f>
        <v>安全性数据库用户体验测试</v>
      </c>
      <c r="O629" s="328"/>
      <c r="P629" s="531">
        <f>IF(R629=1,INDEX(服务费明细!$E:$E,MATCH(服务费底表!$K629,服务费明细!$B:$B,0)),0)</f>
        <v>1</v>
      </c>
      <c r="Q629" s="328" t="s">
        <v>1178</v>
      </c>
      <c r="R629" s="520">
        <f>IF(AND(安全性数据库配置和测试YN=1,药物警戒YN=1),1,0)</f>
        <v>1</v>
      </c>
      <c r="S629" s="528" t="str">
        <f>INDEX('Rate Card'!$D:$D,MATCH(服务费底表!$T629,'Rate Card'!F:F,0))</f>
        <v>药物警戒</v>
      </c>
      <c r="T629" s="328" t="s">
        <v>620</v>
      </c>
      <c r="U629" s="522" t="str">
        <f>INDEX('Rate Card'!$E:$E,MATCH(服务费底表!$T629,'Rate Card'!$F:$F,0))</f>
        <v>药物警戒经理</v>
      </c>
      <c r="V629" s="331">
        <f>INDEX('Rate Card'!$J:$J,MATCH($T629,'Rate Card'!$F:$F,0))</f>
        <v>500</v>
      </c>
      <c r="W629" s="523">
        <f t="shared" si="571"/>
        <v>500</v>
      </c>
      <c r="X629" s="523">
        <f t="shared" si="572"/>
        <v>4</v>
      </c>
      <c r="Y629" s="327" cm="1">
        <f t="array" ref="Y629">_xlfn.IFS(报价场景=服务费底表!$AJ$2,服务费底表!$AJ629,报价场景=服务费底表!$AP$2,服务费底表!$AP629,报价场景=服务费底表!$AK$2,服务费底表!$AK629,报价场景=服务费底表!$AL$2,服务费底表!$AL629,报价场景=服务费底表!$AM$2,服务费底表!$AM629,报价场景=服务费底表!$AN$2,服务费底表!$AN629,报价场景=服务费底表!$AQ$2,服务费底表!$AQ629,报价场景=服务费底表!$AO$2,服务费底表!$AO629)</f>
        <v>4</v>
      </c>
      <c r="Z629" s="327"/>
      <c r="AA629" s="332">
        <f t="shared" si="591"/>
        <v>4</v>
      </c>
      <c r="AB629" s="333">
        <f t="shared" si="586"/>
        <v>2000</v>
      </c>
      <c r="AC629" s="328">
        <f t="shared" si="587"/>
        <v>4</v>
      </c>
      <c r="AD629" s="334">
        <f t="shared" si="588"/>
        <v>2000</v>
      </c>
      <c r="AE629" s="334">
        <f>$AB629*(1-INDEX(项目参数!$D$5:$D$14,MATCH(服务费底表!$S629,项目参数!$B$5:$B$14,0)))</f>
        <v>2000</v>
      </c>
      <c r="AF629" s="334">
        <f>$AD629*INDEX(项目参数!$D$5:$D$14,MATCH(服务费底表!$S629,项目参数!$B$5:$B$14,0))</f>
        <v>0</v>
      </c>
      <c r="AG629" s="334">
        <f t="shared" si="589"/>
        <v>2000</v>
      </c>
      <c r="AH629" s="328"/>
      <c r="AI629" s="328" t="s">
        <v>620</v>
      </c>
      <c r="AJ629" s="327">
        <v>4</v>
      </c>
      <c r="AK629" s="327">
        <f t="shared" si="582"/>
        <v>6</v>
      </c>
      <c r="AL629" s="327">
        <v>3</v>
      </c>
      <c r="AM629" s="327">
        <f t="shared" si="583"/>
        <v>3</v>
      </c>
      <c r="AN629" s="327">
        <f>ROUND(AJ629*0.8,2)</f>
        <v>3.2</v>
      </c>
      <c r="AO629" s="327">
        <f t="shared" si="577"/>
        <v>3</v>
      </c>
      <c r="AP629" s="327">
        <v>4</v>
      </c>
      <c r="AQ629" s="327">
        <f t="shared" si="578"/>
        <v>6</v>
      </c>
      <c r="AR629" s="338"/>
      <c r="AS629" s="327">
        <f t="shared" si="592"/>
        <v>4</v>
      </c>
      <c r="AT629" s="327">
        <f t="shared" si="593"/>
        <v>4</v>
      </c>
      <c r="AU629" s="523">
        <v>4</v>
      </c>
      <c r="AV629" s="328"/>
      <c r="AW629" s="328"/>
      <c r="AX629" s="332">
        <v>4</v>
      </c>
      <c r="AY629" s="328" t="b">
        <f t="shared" si="594"/>
        <v>1</v>
      </c>
      <c r="AZ629" s="328" t="b">
        <f t="shared" si="526"/>
        <v>0</v>
      </c>
    </row>
    <row r="630" ht="27" customHeight="1" spans="1:52">
      <c r="A630" s="326" t="str">
        <f>INDEX('Rate Card'!$A:$A,MATCH(服务费底表!$T630,'Rate Card'!$F:$F,0))</f>
        <v>药物警戒</v>
      </c>
      <c r="B630" s="327" t="str">
        <f>INDEX(二三级标准!$G:$G,MATCH(服务费底表!$K630,二三级标准!B:B,0))</f>
        <v>次</v>
      </c>
      <c r="C630" s="327">
        <f>INDEX(服务费明细!$E:$E,MATCH(服务费底表!$K630,服务费明细!$B:$B,0))</f>
        <v>1</v>
      </c>
      <c r="D630" s="327" t="str">
        <f t="shared" si="584"/>
        <v>A134PVP</v>
      </c>
      <c r="E630" s="327" t="str">
        <f t="shared" si="585"/>
        <v>T0467PVP</v>
      </c>
      <c r="F630" s="328"/>
      <c r="G630" s="328" t="s">
        <v>684</v>
      </c>
      <c r="H630" s="326" t="str">
        <f>INDEX('Rate Card'!$B:$B,MATCH(服务费底表!$T630,'Rate Card'!$F:$F,0))</f>
        <v>药物警戒</v>
      </c>
      <c r="I630" s="328" t="s">
        <v>926</v>
      </c>
      <c r="J630" s="328" t="str">
        <f>INDEX(二三级标准!$Q:$Q,MATCH(服务费底表!I630,二三级标准!$O:$O,0))</f>
        <v>安全警戒</v>
      </c>
      <c r="K630" s="328" t="s">
        <v>373</v>
      </c>
      <c r="L630" s="328" t="str">
        <f>INDEX(二三级标准!C:C,MATCH(服务费底表!K630,二三级标准!$B:$B,0))</f>
        <v>安全性数据库配置和测试</v>
      </c>
      <c r="M630" s="328" t="s">
        <v>1645</v>
      </c>
      <c r="N630" s="328" t="str">
        <f>INDEX(二三级标准!$M:$M,MATCH(服务费底表!$M630,二三级标准!$L:$L,0))</f>
        <v>安全性数据库用户体验测试</v>
      </c>
      <c r="O630" s="328"/>
      <c r="P630" s="531">
        <f>IF(R630=1,INDEX(服务费明细!$E:$E,MATCH(服务费底表!$K630,服务费明细!$B:$B,0)),0)</f>
        <v>0</v>
      </c>
      <c r="Q630" s="328" t="s">
        <v>1178</v>
      </c>
      <c r="R630" s="520">
        <v>0</v>
      </c>
      <c r="S630" s="528" t="str">
        <f>INDEX('Rate Card'!$D:$D,MATCH(服务费底表!$T630,'Rate Card'!F:F,0))</f>
        <v>药物警戒</v>
      </c>
      <c r="T630" s="328" t="s">
        <v>622</v>
      </c>
      <c r="U630" s="522" t="str">
        <f>INDEX('Rate Card'!$E:$E,MATCH(服务费底表!$T630,'Rate Card'!$F:$F,0))</f>
        <v>药物警戒医生</v>
      </c>
      <c r="V630" s="331">
        <f>INDEX('Rate Card'!$J:$J,MATCH($T630,'Rate Card'!$F:$F,0))</f>
        <v>700</v>
      </c>
      <c r="W630" s="523">
        <f t="shared" si="571"/>
        <v>700</v>
      </c>
      <c r="X630" s="523">
        <f t="shared" si="572"/>
        <v>1</v>
      </c>
      <c r="Y630" s="327" cm="1">
        <f t="array" ref="Y630">_xlfn.IFS(报价场景=服务费底表!$AJ$2,服务费底表!$AJ630,报价场景=服务费底表!$AP$2,服务费底表!$AP630,报价场景=服务费底表!$AK$2,服务费底表!$AK630,报价场景=服务费底表!$AL$2,服务费底表!$AL630,报价场景=服务费底表!$AM$2,服务费底表!$AM630,报价场景=服务费底表!$AN$2,服务费底表!$AN630,报价场景=服务费底表!$AQ$2,服务费底表!$AQ630,报价场景=服务费底表!$AO$2,服务费底表!$AO630)</f>
        <v>1</v>
      </c>
      <c r="Z630" s="327"/>
      <c r="AA630" s="332">
        <f t="shared" si="591"/>
        <v>1</v>
      </c>
      <c r="AB630" s="333">
        <f t="shared" si="586"/>
        <v>0</v>
      </c>
      <c r="AC630" s="328">
        <f t="shared" si="587"/>
        <v>0</v>
      </c>
      <c r="AD630" s="334">
        <f t="shared" si="588"/>
        <v>0</v>
      </c>
      <c r="AE630" s="334">
        <f>$AB630*(1-INDEX(项目参数!$D$5:$D$14,MATCH(服务费底表!$S630,项目参数!$B$5:$B$14,0)))</f>
        <v>0</v>
      </c>
      <c r="AF630" s="334">
        <f>$AD630*INDEX(项目参数!$D$5:$D$14,MATCH(服务费底表!$S630,项目参数!$B$5:$B$14,0))</f>
        <v>0</v>
      </c>
      <c r="AG630" s="334">
        <f t="shared" si="589"/>
        <v>0</v>
      </c>
      <c r="AH630" s="328"/>
      <c r="AI630" s="328" t="s">
        <v>622</v>
      </c>
      <c r="AJ630" s="327">
        <v>1</v>
      </c>
      <c r="AK630" s="327">
        <f t="shared" si="582"/>
        <v>1.5</v>
      </c>
      <c r="AL630" s="327">
        <v>0.8</v>
      </c>
      <c r="AM630" s="327">
        <f t="shared" si="583"/>
        <v>0.8</v>
      </c>
      <c r="AN630" s="327">
        <f>ROUND(AJ630*0.8,2)</f>
        <v>0.8</v>
      </c>
      <c r="AO630" s="327">
        <f t="shared" si="577"/>
        <v>0.8</v>
      </c>
      <c r="AP630" s="327">
        <v>1</v>
      </c>
      <c r="AQ630" s="327">
        <f t="shared" si="578"/>
        <v>1.5</v>
      </c>
      <c r="AR630" s="338"/>
      <c r="AS630" s="327">
        <f t="shared" si="592"/>
        <v>0</v>
      </c>
      <c r="AT630" s="327">
        <f t="shared" si="593"/>
        <v>0</v>
      </c>
      <c r="AU630" s="523">
        <v>1</v>
      </c>
      <c r="AV630" s="328"/>
      <c r="AW630" s="328"/>
      <c r="AX630" s="332">
        <v>1</v>
      </c>
      <c r="AY630" s="328" t="b">
        <f t="shared" si="594"/>
        <v>1</v>
      </c>
      <c r="AZ630" s="328" t="b">
        <f t="shared" si="526"/>
        <v>0</v>
      </c>
    </row>
    <row r="631" ht="27" customHeight="1" spans="1:52">
      <c r="A631" s="326" t="str">
        <f>INDEX('Rate Card'!$A:$A,MATCH(服务费底表!$T631,'Rate Card'!$F:$F,0))</f>
        <v>药物警戒</v>
      </c>
      <c r="B631" s="327" t="str">
        <f>INDEX(二三级标准!$G:$G,MATCH(服务费底表!$K631,二三级标准!B:B,0))</f>
        <v>次</v>
      </c>
      <c r="C631" s="327">
        <f>INDEX(服务费明细!$E:$E,MATCH(服务费底表!$K631,服务费明细!$B:$B,0))</f>
        <v>1</v>
      </c>
      <c r="D631" s="327" t="str">
        <f t="shared" si="584"/>
        <v>A134PVM</v>
      </c>
      <c r="E631" s="327" t="str">
        <f t="shared" si="585"/>
        <v>T0468PVM</v>
      </c>
      <c r="F631" s="328"/>
      <c r="G631" s="328" t="s">
        <v>684</v>
      </c>
      <c r="H631" s="326" t="str">
        <f>INDEX('Rate Card'!$B:$B,MATCH(服务费底表!$T631,'Rate Card'!$F:$F,0))</f>
        <v>药物警戒</v>
      </c>
      <c r="I631" s="328" t="s">
        <v>926</v>
      </c>
      <c r="J631" s="328" t="str">
        <f>INDEX(二三级标准!$Q:$Q,MATCH(服务费底表!I631,二三级标准!$O:$O,0))</f>
        <v>安全警戒</v>
      </c>
      <c r="K631" s="328" t="s">
        <v>373</v>
      </c>
      <c r="L631" s="328" t="str">
        <f>INDEX(二三级标准!C:C,MATCH(服务费底表!K631,二三级标准!$B:$B,0))</f>
        <v>安全性数据库配置和测试</v>
      </c>
      <c r="M631" s="328" t="s">
        <v>1646</v>
      </c>
      <c r="N631" s="328" t="str">
        <f>INDEX(二三级标准!$M:$M,MATCH(服务费底表!$M631,二三级标准!$L:$L,0))</f>
        <v>安全性数据库使用操作培训</v>
      </c>
      <c r="O631" s="338"/>
      <c r="P631" s="531">
        <f>IF(R631=1,INDEX(服务费明细!$E:$E,MATCH(服务费底表!$K631,服务费明细!$B:$B,0)),0)</f>
        <v>0</v>
      </c>
      <c r="Q631" s="328" t="s">
        <v>1178</v>
      </c>
      <c r="R631" s="520">
        <v>0</v>
      </c>
      <c r="S631" s="528" t="str">
        <f>INDEX('Rate Card'!$D:$D,MATCH(服务费底表!$T631,'Rate Card'!F:F,0))</f>
        <v>药物警戒</v>
      </c>
      <c r="T631" s="328" t="s">
        <v>620</v>
      </c>
      <c r="U631" s="522" t="str">
        <f>INDEX('Rate Card'!$E:$E,MATCH(服务费底表!$T631,'Rate Card'!$F:$F,0))</f>
        <v>药物警戒经理</v>
      </c>
      <c r="V631" s="331">
        <f>INDEX('Rate Card'!$J:$J,MATCH($T631,'Rate Card'!$F:$F,0))</f>
        <v>500</v>
      </c>
      <c r="W631" s="523">
        <f t="shared" si="571"/>
        <v>500</v>
      </c>
      <c r="X631" s="523">
        <f t="shared" si="572"/>
        <v>4</v>
      </c>
      <c r="Y631" s="327" cm="1">
        <f t="array" ref="Y631">_xlfn.IFS(报价场景=服务费底表!$AJ$2,服务费底表!$AJ631,报价场景=服务费底表!$AP$2,服务费底表!$AP631,报价场景=服务费底表!$AK$2,服务费底表!$AK631,报价场景=服务费底表!$AL$2,服务费底表!$AL631,报价场景=服务费底表!$AM$2,服务费底表!$AM631,报价场景=服务费底表!$AN$2,服务费底表!$AN631,报价场景=服务费底表!$AQ$2,服务费底表!$AQ631,报价场景=服务费底表!$AO$2,服务费底表!$AO631)</f>
        <v>4</v>
      </c>
      <c r="Z631" s="327"/>
      <c r="AA631" s="332">
        <f t="shared" si="591"/>
        <v>4</v>
      </c>
      <c r="AB631" s="333">
        <f t="shared" si="586"/>
        <v>0</v>
      </c>
      <c r="AC631" s="328">
        <f t="shared" si="587"/>
        <v>0</v>
      </c>
      <c r="AD631" s="334">
        <f t="shared" si="588"/>
        <v>0</v>
      </c>
      <c r="AE631" s="334">
        <f>$AB631*(1-INDEX(项目参数!$D$5:$D$14,MATCH(服务费底表!$S631,项目参数!$B$5:$B$14,0)))</f>
        <v>0</v>
      </c>
      <c r="AF631" s="334">
        <f>$AD631*INDEX(项目参数!$D$5:$D$14,MATCH(服务费底表!$S631,项目参数!$B$5:$B$14,0))</f>
        <v>0</v>
      </c>
      <c r="AG631" s="334">
        <f t="shared" si="589"/>
        <v>0</v>
      </c>
      <c r="AH631" s="328"/>
      <c r="AI631" s="328" t="s">
        <v>620</v>
      </c>
      <c r="AJ631" s="327">
        <v>4</v>
      </c>
      <c r="AK631" s="327">
        <f t="shared" si="582"/>
        <v>6</v>
      </c>
      <c r="AL631" s="327">
        <v>3</v>
      </c>
      <c r="AM631" s="327">
        <f t="shared" si="583"/>
        <v>3</v>
      </c>
      <c r="AN631" s="327">
        <f>ROUND(AJ631*0.8,2)</f>
        <v>3.2</v>
      </c>
      <c r="AO631" s="327">
        <f t="shared" si="577"/>
        <v>3</v>
      </c>
      <c r="AP631" s="327">
        <v>4</v>
      </c>
      <c r="AQ631" s="327">
        <f t="shared" si="578"/>
        <v>6</v>
      </c>
      <c r="AR631" s="338"/>
      <c r="AS631" s="327">
        <f t="shared" si="592"/>
        <v>0</v>
      </c>
      <c r="AT631" s="327">
        <f t="shared" si="593"/>
        <v>0</v>
      </c>
      <c r="AU631" s="523">
        <v>4</v>
      </c>
      <c r="AV631" s="328"/>
      <c r="AW631" s="328"/>
      <c r="AX631" s="332">
        <v>4</v>
      </c>
      <c r="AY631" s="328" t="b">
        <f t="shared" si="594"/>
        <v>1</v>
      </c>
      <c r="AZ631" s="328" t="b">
        <f t="shared" si="526"/>
        <v>0</v>
      </c>
    </row>
    <row r="632" ht="27" customHeight="1" spans="1:52">
      <c r="A632" s="326" t="str">
        <f>INDEX('Rate Card'!$A:$A,MATCH(服务费底表!$T632,'Rate Card'!$F:$F,0))</f>
        <v>药物警戒</v>
      </c>
      <c r="B632" s="327" t="str">
        <f>INDEX(二三级标准!$G:$G,MATCH(服务费底表!$K632,二三级标准!B:B,0))</f>
        <v>次</v>
      </c>
      <c r="C632" s="327">
        <f>INDEX(服务费明细!$E:$E,MATCH(服务费底表!$K632,服务费明细!$B:$B,0))</f>
        <v>1</v>
      </c>
      <c r="D632" s="327" t="str">
        <f t="shared" si="584"/>
        <v>A135PVM</v>
      </c>
      <c r="E632" s="327" t="str">
        <f t="shared" si="585"/>
        <v>T0469PVM</v>
      </c>
      <c r="F632" s="328"/>
      <c r="G632" s="328" t="s">
        <v>684</v>
      </c>
      <c r="H632" s="326" t="str">
        <f>INDEX('Rate Card'!$B:$B,MATCH(服务费底表!$T632,'Rate Card'!$F:$F,0))</f>
        <v>药物警戒</v>
      </c>
      <c r="I632" s="328" t="s">
        <v>926</v>
      </c>
      <c r="J632" s="328" t="str">
        <f>INDEX(二三级标准!$Q:$Q,MATCH(服务费底表!I632,二三级标准!$O:$O,0))</f>
        <v>安全警戒</v>
      </c>
      <c r="K632" s="328" t="s">
        <v>375</v>
      </c>
      <c r="L632" s="328" t="str">
        <f>INDEX(二三级标准!C:C,MATCH(服务费底表!K632,二三级标准!$B:$B,0))</f>
        <v>ICSR报告流程培训</v>
      </c>
      <c r="M632" s="328" t="s">
        <v>1647</v>
      </c>
      <c r="N632" s="328" t="str">
        <f>INDEX(二三级标准!$M:$M,MATCH(服务费底表!$M632,二三级标准!$L:$L,0))</f>
        <v>ICSR报告流程培训</v>
      </c>
      <c r="O632" s="338"/>
      <c r="P632" s="531">
        <f>IF(R632=1,INDEX(服务费明细!$E:$E,MATCH(服务费底表!$K632,服务费明细!$B:$B,0)),0)</f>
        <v>1</v>
      </c>
      <c r="Q632" s="328" t="s">
        <v>1178</v>
      </c>
      <c r="R632" s="520">
        <f>IF(AND(ICSR报告流程培训YN=1,药物警戒YN=1),1,0)</f>
        <v>1</v>
      </c>
      <c r="S632" s="528" t="str">
        <f>INDEX('Rate Card'!$D:$D,MATCH(服务费底表!$T632,'Rate Card'!F:F,0))</f>
        <v>药物警戒</v>
      </c>
      <c r="T632" s="328" t="s">
        <v>620</v>
      </c>
      <c r="U632" s="522" t="str">
        <f>INDEX('Rate Card'!$E:$E,MATCH(服务费底表!$T632,'Rate Card'!$F:$F,0))</f>
        <v>药物警戒经理</v>
      </c>
      <c r="V632" s="331">
        <f>INDEX('Rate Card'!$J:$J,MATCH($T632,'Rate Card'!$F:$F,0))</f>
        <v>500</v>
      </c>
      <c r="W632" s="523">
        <f t="shared" si="571"/>
        <v>500</v>
      </c>
      <c r="X632" s="523">
        <f t="shared" si="572"/>
        <v>5</v>
      </c>
      <c r="Y632" s="327" cm="1">
        <f t="array" ref="Y632">_xlfn.IFS(报价场景=服务费底表!$AJ$2,服务费底表!$AJ632,报价场景=服务费底表!$AP$2,服务费底表!$AP632,报价场景=服务费底表!$AK$2,服务费底表!$AK632,报价场景=服务费底表!$AL$2,服务费底表!$AL632,报价场景=服务费底表!$AM$2,服务费底表!$AM632,报价场景=服务费底表!$AN$2,服务费底表!$AN632,报价场景=服务费底表!$AQ$2,服务费底表!$AQ632,报价场景=服务费底表!$AO$2,服务费底表!$AO632)</f>
        <v>5</v>
      </c>
      <c r="Z632" s="327"/>
      <c r="AA632" s="332">
        <f t="shared" si="591"/>
        <v>5</v>
      </c>
      <c r="AB632" s="333">
        <f t="shared" si="586"/>
        <v>2500</v>
      </c>
      <c r="AC632" s="328">
        <f t="shared" si="587"/>
        <v>5</v>
      </c>
      <c r="AD632" s="334">
        <f t="shared" si="588"/>
        <v>2500</v>
      </c>
      <c r="AE632" s="334">
        <f>$AB632*(1-INDEX(项目参数!$D$5:$D$14,MATCH(服务费底表!$S632,项目参数!$B$5:$B$14,0)))</f>
        <v>2500</v>
      </c>
      <c r="AF632" s="334">
        <f>$AD632*INDEX(项目参数!$D$5:$D$14,MATCH(服务费底表!$S632,项目参数!$B$5:$B$14,0))</f>
        <v>0</v>
      </c>
      <c r="AG632" s="334">
        <f t="shared" si="589"/>
        <v>2500</v>
      </c>
      <c r="AH632" s="328"/>
      <c r="AI632" s="328" t="s">
        <v>620</v>
      </c>
      <c r="AJ632" s="327">
        <v>5</v>
      </c>
      <c r="AK632" s="327">
        <f t="shared" si="582"/>
        <v>7.5</v>
      </c>
      <c r="AL632" s="327">
        <f>AJ632*0.7</f>
        <v>3.5</v>
      </c>
      <c r="AM632" s="327">
        <f t="shared" si="583"/>
        <v>3.5</v>
      </c>
      <c r="AN632" s="327">
        <f>ROUND(AJ632*0.8,2)</f>
        <v>4</v>
      </c>
      <c r="AO632" s="327">
        <f t="shared" si="577"/>
        <v>3.5</v>
      </c>
      <c r="AP632" s="327">
        <v>5</v>
      </c>
      <c r="AQ632" s="327">
        <f t="shared" si="578"/>
        <v>7.5</v>
      </c>
      <c r="AR632" s="338"/>
      <c r="AS632" s="327">
        <f t="shared" si="592"/>
        <v>5</v>
      </c>
      <c r="AT632" s="327">
        <f t="shared" si="593"/>
        <v>5</v>
      </c>
      <c r="AU632" s="523">
        <v>5</v>
      </c>
      <c r="AV632" s="328"/>
      <c r="AW632" s="328"/>
      <c r="AX632" s="332">
        <v>5</v>
      </c>
      <c r="AY632" s="328" t="b">
        <f t="shared" si="594"/>
        <v>1</v>
      </c>
      <c r="AZ632" s="328" t="b">
        <f t="shared" si="526"/>
        <v>1</v>
      </c>
    </row>
    <row r="633" ht="27" customHeight="1" spans="1:52">
      <c r="A633" s="326" t="str">
        <f>INDEX('Rate Card'!$A:$A,MATCH(服务费底表!$T633,'Rate Card'!$F:$F,0))</f>
        <v>药物警戒</v>
      </c>
      <c r="B633" s="327" t="str">
        <f>INDEX(二三级标准!$G:$G,MATCH(服务费底表!$K633,二三级标准!B:B,0))</f>
        <v>报告版本</v>
      </c>
      <c r="C633" s="327">
        <f>INDEX(服务费明细!$E:$E,MATCH(服务费底表!$K633,服务费明细!$B:$B,0))</f>
        <v>27</v>
      </c>
      <c r="D633" s="327" t="str">
        <f t="shared" si="584"/>
        <v>A136PVS</v>
      </c>
      <c r="E633" s="327" t="str">
        <f t="shared" si="585"/>
        <v>T0470PVS</v>
      </c>
      <c r="F633" s="328"/>
      <c r="G633" s="328" t="s">
        <v>684</v>
      </c>
      <c r="H633" s="326" t="str">
        <f>INDEX('Rate Card'!$B:$B,MATCH(服务费底表!$T633,'Rate Card'!$F:$F,0))</f>
        <v>药物警戒</v>
      </c>
      <c r="I633" s="328" t="s">
        <v>926</v>
      </c>
      <c r="J633" s="328" t="str">
        <f>INDEX(二三级标准!$Q:$Q,MATCH(服务费底表!I633,二三级标准!$O:$O,0))</f>
        <v>安全警戒</v>
      </c>
      <c r="K633" s="328" t="s">
        <v>377</v>
      </c>
      <c r="L633" s="328" t="str">
        <f>INDEX(二三级标准!C:C,MATCH(服务费底表!K633,二三级标准!$B:$B,0))</f>
        <v>ICSR报告处理</v>
      </c>
      <c r="M633" s="328" t="s">
        <v>1648</v>
      </c>
      <c r="N633" s="328" t="str">
        <f>INDEX(二三级标准!$M:$M,MATCH(服务费底表!$M633,二三级标准!$L:$L,0))</f>
        <v>ICSR安全性信息的接收、病例描述撰写、录入和MedDRA编码</v>
      </c>
      <c r="O633" s="336"/>
      <c r="P633" s="531">
        <f>IF(R633=1,INDEX(服务费明细!$E:$E,MATCH(服务费底表!$K633,服务费明细!$B:$B,0)),0)</f>
        <v>27</v>
      </c>
      <c r="Q633" s="330" t="s">
        <v>1125</v>
      </c>
      <c r="R633" s="520">
        <f>IF(AND(ICSR报告处理YN=1,药物警戒YN=1),1,0)</f>
        <v>1</v>
      </c>
      <c r="S633" s="528" t="str">
        <f>INDEX('Rate Card'!$D:$D,MATCH(服务费底表!$T633,'Rate Card'!F:F,0))</f>
        <v>药物警戒</v>
      </c>
      <c r="T633" s="328" t="s">
        <v>624</v>
      </c>
      <c r="U633" s="522" t="str">
        <f>INDEX('Rate Card'!$E:$E,MATCH(服务费底表!$T633,'Rate Card'!$F:$F,0))</f>
        <v>药物警戒专员</v>
      </c>
      <c r="V633" s="331">
        <f>INDEX('Rate Card'!$J:$J,MATCH($T633,'Rate Card'!$F:$F,0))</f>
        <v>300</v>
      </c>
      <c r="W633" s="523">
        <f t="shared" si="571"/>
        <v>300</v>
      </c>
      <c r="X633" s="523">
        <f t="shared" si="572"/>
        <v>1.5</v>
      </c>
      <c r="Y633" s="327" cm="1">
        <f t="array" ref="Y633">_xlfn.IFS(报价场景=服务费底表!$AJ$2,服务费底表!$AJ633,报价场景=服务费底表!$AP$2,服务费底表!$AP633,报价场景=服务费底表!$AK$2,服务费底表!$AK633,报价场景=服务费底表!$AL$2,服务费底表!$AL633,报价场景=服务费底表!$AM$2,服务费底表!$AM633,报价场景=服务费底表!$AN$2,服务费底表!$AN633,报价场景=服务费底表!$AQ$2,服务费底表!$AQ633,报价场景=服务费底表!$AO$2,服务费底表!$AO633)</f>
        <v>1.5</v>
      </c>
      <c r="Z633" s="327"/>
      <c r="AA633" s="332">
        <f t="shared" si="591"/>
        <v>1.5</v>
      </c>
      <c r="AB633" s="333">
        <f t="shared" si="586"/>
        <v>450</v>
      </c>
      <c r="AC633" s="328">
        <f t="shared" si="587"/>
        <v>40.5</v>
      </c>
      <c r="AD633" s="334">
        <f t="shared" si="588"/>
        <v>12150</v>
      </c>
      <c r="AE633" s="334">
        <f>$AB633*(1-INDEX(项目参数!$D$5:$D$14,MATCH(服务费底表!$S633,项目参数!$B$5:$B$14,0)))</f>
        <v>450</v>
      </c>
      <c r="AF633" s="334">
        <f>$AD633*INDEX(项目参数!$D$5:$D$14,MATCH(服务费底表!$S633,项目参数!$B$5:$B$14,0))</f>
        <v>0</v>
      </c>
      <c r="AG633" s="334">
        <f t="shared" si="589"/>
        <v>12150</v>
      </c>
      <c r="AH633" s="328"/>
      <c r="AI633" s="328" t="s">
        <v>624</v>
      </c>
      <c r="AJ633" s="327">
        <f>IF(AND(药物警戒YN=1,PV报告双语&lt;&gt;"否"),3,1.5)</f>
        <v>1.5</v>
      </c>
      <c r="AK633" s="327">
        <f>IF(AND(药物警戒YN=1,PV报告双语&lt;&gt;"否"),3,1.5)*1.5</f>
        <v>2.25</v>
      </c>
      <c r="AL633" s="327">
        <f>IF(AND(药物警戒YN=1,PV报告双语&lt;&gt;"否"),3,1.5)*0.7</f>
        <v>1.05</v>
      </c>
      <c r="AM633" s="327">
        <f t="shared" si="583"/>
        <v>1.05</v>
      </c>
      <c r="AN633" s="327">
        <f>IF(AND(药物警戒YN=1,PV报告双语&lt;&gt;"否"),3,1.5)*0.8</f>
        <v>1.2</v>
      </c>
      <c r="AO633" s="327">
        <f t="shared" si="577"/>
        <v>1.05</v>
      </c>
      <c r="AP633" s="327">
        <v>1.5</v>
      </c>
      <c r="AQ633" s="327">
        <f t="shared" si="578"/>
        <v>2.25</v>
      </c>
      <c r="AR633" s="338"/>
      <c r="AS633" s="327">
        <f t="shared" si="592"/>
        <v>40.5</v>
      </c>
      <c r="AT633" s="327">
        <f t="shared" si="593"/>
        <v>40.5</v>
      </c>
      <c r="AU633" s="523">
        <v>1.5</v>
      </c>
      <c r="AV633" s="328"/>
      <c r="AW633" s="328"/>
      <c r="AX633" s="332">
        <v>1.5</v>
      </c>
      <c r="AY633" s="328" t="b">
        <f t="shared" si="594"/>
        <v>1</v>
      </c>
      <c r="AZ633" s="328" t="b">
        <f t="shared" si="526"/>
        <v>0</v>
      </c>
    </row>
    <row r="634" ht="27" customHeight="1" spans="1:52">
      <c r="A634" s="326" t="str">
        <f>INDEX('Rate Card'!$A:$A,MATCH(服务费底表!$T634,'Rate Card'!$F:$F,0))</f>
        <v>药物警戒</v>
      </c>
      <c r="B634" s="327" t="str">
        <f>INDEX(二三级标准!$G:$G,MATCH(服务费底表!$K634,二三级标准!B:B,0))</f>
        <v>报告版本</v>
      </c>
      <c r="C634" s="327">
        <f>INDEX(服务费明细!$E:$E,MATCH(服务费底表!$K634,服务费明细!$B:$B,0))</f>
        <v>27</v>
      </c>
      <c r="D634" s="327" t="str">
        <f t="shared" si="584"/>
        <v>A136PVM</v>
      </c>
      <c r="E634" s="327" t="str">
        <f t="shared" si="585"/>
        <v>T0471PVM</v>
      </c>
      <c r="F634" s="328"/>
      <c r="G634" s="328" t="s">
        <v>684</v>
      </c>
      <c r="H634" s="326" t="str">
        <f>INDEX('Rate Card'!$B:$B,MATCH(服务费底表!$T634,'Rate Card'!$F:$F,0))</f>
        <v>药物警戒</v>
      </c>
      <c r="I634" s="328" t="s">
        <v>926</v>
      </c>
      <c r="J634" s="328" t="str">
        <f>INDEX(二三级标准!$Q:$Q,MATCH(服务费底表!I634,二三级标准!$O:$O,0))</f>
        <v>安全警戒</v>
      </c>
      <c r="K634" s="328" t="s">
        <v>377</v>
      </c>
      <c r="L634" s="328" t="str">
        <f>INDEX(二三级标准!C:C,MATCH(服务费底表!K634,二三级标准!$B:$B,0))</f>
        <v>ICSR报告处理</v>
      </c>
      <c r="M634" s="328" t="s">
        <v>1649</v>
      </c>
      <c r="N634" s="328" t="str">
        <f>INDEX(二三级标准!$M:$M,MATCH(服务费底表!$M634,二三级标准!$L:$L,0))</f>
        <v>ICSR质量控制</v>
      </c>
      <c r="O634" s="336"/>
      <c r="P634" s="531">
        <f>IF(R634=1,INDEX(服务费明细!$E:$E,MATCH(服务费底表!$K634,服务费明细!$B:$B,0)),0)</f>
        <v>27</v>
      </c>
      <c r="Q634" s="330" t="s">
        <v>1125</v>
      </c>
      <c r="R634" s="520">
        <f>IF(AND(ICSR报告处理YN=1,药物警戒YN=1),1,0)</f>
        <v>1</v>
      </c>
      <c r="S634" s="528" t="str">
        <f>INDEX('Rate Card'!$D:$D,MATCH(服务费底表!$T634,'Rate Card'!F:F,0))</f>
        <v>药物警戒</v>
      </c>
      <c r="T634" s="328" t="s">
        <v>620</v>
      </c>
      <c r="U634" s="522" t="str">
        <f>INDEX('Rate Card'!$E:$E,MATCH(服务费底表!$T634,'Rate Card'!$F:$F,0))</f>
        <v>药物警戒经理</v>
      </c>
      <c r="V634" s="331">
        <f>INDEX('Rate Card'!$J:$J,MATCH($T634,'Rate Card'!$F:$F,0))</f>
        <v>500</v>
      </c>
      <c r="W634" s="523">
        <f t="shared" si="571"/>
        <v>500</v>
      </c>
      <c r="X634" s="523">
        <f t="shared" si="572"/>
        <v>1</v>
      </c>
      <c r="Y634" s="327" cm="1">
        <f t="array" ref="Y634">_xlfn.IFS(报价场景=服务费底表!$AJ$2,服务费底表!$AJ634,报价场景=服务费底表!$AP$2,服务费底表!$AP634,报价场景=服务费底表!$AK$2,服务费底表!$AK634,报价场景=服务费底表!$AL$2,服务费底表!$AL634,报价场景=服务费底表!$AM$2,服务费底表!$AM634,报价场景=服务费底表!$AN$2,服务费底表!$AN634,报价场景=服务费底表!$AQ$2,服务费底表!$AQ634,报价场景=服务费底表!$AO$2,服务费底表!$AO634)</f>
        <v>1</v>
      </c>
      <c r="Z634" s="327"/>
      <c r="AA634" s="332">
        <f t="shared" si="591"/>
        <v>1</v>
      </c>
      <c r="AB634" s="333">
        <f t="shared" si="586"/>
        <v>500</v>
      </c>
      <c r="AC634" s="328">
        <f t="shared" si="587"/>
        <v>27</v>
      </c>
      <c r="AD634" s="334">
        <f t="shared" si="588"/>
        <v>13500</v>
      </c>
      <c r="AE634" s="334">
        <f>$AB634*(1-INDEX(项目参数!$D$5:$D$14,MATCH(服务费底表!$S634,项目参数!$B$5:$B$14,0)))</f>
        <v>500</v>
      </c>
      <c r="AF634" s="334">
        <f>$AD634*INDEX(项目参数!$D$5:$D$14,MATCH(服务费底表!$S634,项目参数!$B$5:$B$14,0))</f>
        <v>0</v>
      </c>
      <c r="AG634" s="334">
        <f t="shared" si="589"/>
        <v>13500</v>
      </c>
      <c r="AH634" s="328"/>
      <c r="AI634" s="328" t="s">
        <v>620</v>
      </c>
      <c r="AJ634" s="336">
        <f>IF(AND(药物警戒YN=1,PV报告双语&lt;&gt;"否"),2,1)</f>
        <v>1</v>
      </c>
      <c r="AK634" s="327">
        <f>IF(AND(药物警戒YN=1,PV报告双语&lt;&gt;"否"),2,1)*1.5</f>
        <v>1.5</v>
      </c>
      <c r="AL634" s="327">
        <f>IF(AND(药物警戒YN=1,PV报告双语&lt;&gt;"否"),2,1)*0.7</f>
        <v>0.7</v>
      </c>
      <c r="AM634" s="327">
        <f t="shared" si="583"/>
        <v>0.7</v>
      </c>
      <c r="AN634" s="327">
        <f>IF(AND(药物警戒YN=1,PV报告双语&lt;&gt;"否"),2,1)*0.8</f>
        <v>0.8</v>
      </c>
      <c r="AO634" s="327">
        <f t="shared" si="577"/>
        <v>0.7</v>
      </c>
      <c r="AP634" s="327">
        <v>1</v>
      </c>
      <c r="AQ634" s="327">
        <f t="shared" si="578"/>
        <v>1.5</v>
      </c>
      <c r="AR634" s="338"/>
      <c r="AS634" s="327">
        <f t="shared" si="592"/>
        <v>27</v>
      </c>
      <c r="AT634" s="327">
        <f t="shared" si="593"/>
        <v>27</v>
      </c>
      <c r="AU634" s="523">
        <v>1</v>
      </c>
      <c r="AV634" s="328"/>
      <c r="AW634" s="328"/>
      <c r="AX634" s="332">
        <v>1</v>
      </c>
      <c r="AY634" s="328" t="b">
        <f t="shared" si="594"/>
        <v>1</v>
      </c>
      <c r="AZ634" s="328" t="b">
        <f t="shared" si="526"/>
        <v>0</v>
      </c>
    </row>
    <row r="635" ht="27" customHeight="1" spans="1:52">
      <c r="A635" s="326" t="str">
        <f>INDEX('Rate Card'!$A:$A,MATCH(服务费底表!$T635,'Rate Card'!$F:$F,0))</f>
        <v>药物警戒</v>
      </c>
      <c r="B635" s="327" t="str">
        <f>INDEX(二三级标准!$G:$G,MATCH(服务费底表!$K635,二三级标准!B:B,0))</f>
        <v>报告版本</v>
      </c>
      <c r="C635" s="327">
        <f>INDEX(服务费明细!$E:$E,MATCH(服务费底表!$K635,服务费明细!$B:$B,0))</f>
        <v>27</v>
      </c>
      <c r="D635" s="327" t="str">
        <f t="shared" si="584"/>
        <v>A136PVP</v>
      </c>
      <c r="E635" s="327" t="str">
        <f t="shared" si="585"/>
        <v>T0472PVP</v>
      </c>
      <c r="F635" s="328"/>
      <c r="G635" s="328" t="s">
        <v>684</v>
      </c>
      <c r="H635" s="326" t="str">
        <f>INDEX('Rate Card'!$B:$B,MATCH(服务费底表!$T635,'Rate Card'!$F:$F,0))</f>
        <v>药物警戒</v>
      </c>
      <c r="I635" s="328" t="s">
        <v>926</v>
      </c>
      <c r="J635" s="328" t="str">
        <f>INDEX(二三级标准!$Q:$Q,MATCH(服务费底表!I635,二三级标准!$O:$O,0))</f>
        <v>安全警戒</v>
      </c>
      <c r="K635" s="328" t="s">
        <v>377</v>
      </c>
      <c r="L635" s="328" t="str">
        <f>INDEX(二三级标准!C:C,MATCH(服务费底表!K635,二三级标准!$B:$B,0))</f>
        <v>ICSR报告处理</v>
      </c>
      <c r="M635" s="328" t="s">
        <v>1650</v>
      </c>
      <c r="N635" s="328" t="str">
        <f>INDEX(二三级标准!$M:$M,MATCH(服务费底表!$M635,二三级标准!$L:$L,0))</f>
        <v>ICSR安全性信息医学审核及质疑的总结</v>
      </c>
      <c r="O635" s="336"/>
      <c r="P635" s="531">
        <f>IF(R635=1,INDEX(服务费明细!$E:$E,MATCH(服务费底表!$K635,服务费明细!$B:$B,0)),0)</f>
        <v>27</v>
      </c>
      <c r="Q635" s="330" t="s">
        <v>1125</v>
      </c>
      <c r="R635" s="520">
        <f>IF(AND(ICSR报告处理YN=1,药物警戒YN=1),1,0)</f>
        <v>1</v>
      </c>
      <c r="S635" s="528" t="str">
        <f>INDEX('Rate Card'!$D:$D,MATCH(服务费底表!$T635,'Rate Card'!F:F,0))</f>
        <v>药物警戒</v>
      </c>
      <c r="T635" s="328" t="s">
        <v>622</v>
      </c>
      <c r="U635" s="522" t="str">
        <f>INDEX('Rate Card'!$E:$E,MATCH(服务费底表!$T635,'Rate Card'!$F:$F,0))</f>
        <v>药物警戒医生</v>
      </c>
      <c r="V635" s="331">
        <f>INDEX('Rate Card'!$J:$J,MATCH($T635,'Rate Card'!$F:$F,0))</f>
        <v>700</v>
      </c>
      <c r="W635" s="523">
        <f t="shared" si="571"/>
        <v>700</v>
      </c>
      <c r="X635" s="523">
        <f t="shared" si="572"/>
        <v>1.5</v>
      </c>
      <c r="Y635" s="327" cm="1">
        <f t="array" ref="Y635">_xlfn.IFS(报价场景=服务费底表!$AJ$2,服务费底表!$AJ635,报价场景=服务费底表!$AP$2,服务费底表!$AP635,报价场景=服务费底表!$AK$2,服务费底表!$AK635,报价场景=服务费底表!$AL$2,服务费底表!$AL635,报价场景=服务费底表!$AM$2,服务费底表!$AM635,报价场景=服务费底表!$AN$2,服务费底表!$AN635,报价场景=服务费底表!$AQ$2,服务费底表!$AQ635,报价场景=服务费底表!$AO$2,服务费底表!$AO635)</f>
        <v>1.5</v>
      </c>
      <c r="Z635" s="327"/>
      <c r="AA635" s="332">
        <f t="shared" si="591"/>
        <v>1.5</v>
      </c>
      <c r="AB635" s="333">
        <f t="shared" si="586"/>
        <v>1050</v>
      </c>
      <c r="AC635" s="328">
        <f t="shared" si="587"/>
        <v>40.5</v>
      </c>
      <c r="AD635" s="334">
        <f t="shared" si="588"/>
        <v>28350</v>
      </c>
      <c r="AE635" s="334">
        <f>$AB635*(1-INDEX(项目参数!$D$5:$D$14,MATCH(服务费底表!$S635,项目参数!$B$5:$B$14,0)))</f>
        <v>1050</v>
      </c>
      <c r="AF635" s="334">
        <f>$AD635*INDEX(项目参数!$D$5:$D$14,MATCH(服务费底表!$S635,项目参数!$B$5:$B$14,0))</f>
        <v>0</v>
      </c>
      <c r="AG635" s="334">
        <f t="shared" si="589"/>
        <v>28350</v>
      </c>
      <c r="AH635" s="328"/>
      <c r="AI635" s="328" t="s">
        <v>622</v>
      </c>
      <c r="AJ635" s="336">
        <f>IF(AND(药物警戒YN=1,PV报告双语&lt;&gt;"否"),3,1.5)</f>
        <v>1.5</v>
      </c>
      <c r="AK635" s="327">
        <f>IF(AND(药物警戒YN=1,PV报告双语&lt;&gt;"否"),3,1.5)*1.5</f>
        <v>2.25</v>
      </c>
      <c r="AL635" s="327">
        <f>IF(AND(药物警戒YN=1,PV报告双语&lt;&gt;"否"),3,1.5)*0.7</f>
        <v>1.05</v>
      </c>
      <c r="AM635" s="327">
        <f t="shared" si="583"/>
        <v>1.05</v>
      </c>
      <c r="AN635" s="327">
        <f>IF(AND(药物警戒YN=1,PV报告双语&lt;&gt;"否"),3,1.5)*0.8</f>
        <v>1.2</v>
      </c>
      <c r="AO635" s="327">
        <f t="shared" si="577"/>
        <v>1.05</v>
      </c>
      <c r="AP635" s="327">
        <v>1.5</v>
      </c>
      <c r="AQ635" s="327">
        <f t="shared" si="578"/>
        <v>2.25</v>
      </c>
      <c r="AR635" s="338"/>
      <c r="AS635" s="327">
        <f t="shared" si="592"/>
        <v>40.5</v>
      </c>
      <c r="AT635" s="327">
        <f t="shared" si="593"/>
        <v>40.5</v>
      </c>
      <c r="AU635" s="523">
        <v>1.5</v>
      </c>
      <c r="AV635" s="328"/>
      <c r="AW635" s="328"/>
      <c r="AX635" s="332">
        <v>1.5</v>
      </c>
      <c r="AY635" s="328" t="b">
        <f t="shared" si="594"/>
        <v>1</v>
      </c>
      <c r="AZ635" s="328" t="b">
        <f t="shared" si="526"/>
        <v>0</v>
      </c>
    </row>
    <row r="636" ht="27" customHeight="1" spans="1:52">
      <c r="A636" s="326" t="str">
        <f>INDEX('Rate Card'!$A:$A,MATCH(服务费底表!$T636,'Rate Card'!$F:$F,0))</f>
        <v>药物警戒</v>
      </c>
      <c r="B636" s="327" t="str">
        <f>INDEX(二三级标准!$G:$G,MATCH(服务费底表!$K636,二三级标准!B:B,0))</f>
        <v>报告版本</v>
      </c>
      <c r="C636" s="327">
        <f>INDEX(服务费明细!$E:$E,MATCH(服务费底表!$K636,服务费明细!$B:$B,0))</f>
        <v>27</v>
      </c>
      <c r="D636" s="327" t="str">
        <f t="shared" si="584"/>
        <v>A136PVS</v>
      </c>
      <c r="E636" s="327" t="str">
        <f t="shared" si="585"/>
        <v>T0473PVS</v>
      </c>
      <c r="F636" s="328"/>
      <c r="G636" s="328" t="s">
        <v>684</v>
      </c>
      <c r="H636" s="326" t="str">
        <f>INDEX('Rate Card'!$B:$B,MATCH(服务费底表!$T636,'Rate Card'!$F:$F,0))</f>
        <v>药物警戒</v>
      </c>
      <c r="I636" s="328" t="s">
        <v>926</v>
      </c>
      <c r="J636" s="328" t="str">
        <f>INDEX(二三级标准!$Q:$Q,MATCH(服务费底表!I636,二三级标准!$O:$O,0))</f>
        <v>安全警戒</v>
      </c>
      <c r="K636" s="328" t="s">
        <v>377</v>
      </c>
      <c r="L636" s="328" t="str">
        <f>INDEX(二三级标准!C:C,MATCH(服务费底表!K636,二三级标准!$B:$B,0))</f>
        <v>ICSR报告处理</v>
      </c>
      <c r="M636" s="328" t="s">
        <v>1651</v>
      </c>
      <c r="N636" s="328" t="str">
        <f>INDEX(二三级标准!$M:$M,MATCH(服务费底表!$M636,二三级标准!$L:$L,0))</f>
        <v>ICSR安全性信息的发出质疑和随访追踪</v>
      </c>
      <c r="O636" s="336"/>
      <c r="P636" s="531">
        <f>IF(R636=1,INDEX(服务费明细!$E:$E,MATCH(服务费底表!$K636,服务费明细!$B:$B,0)),0)</f>
        <v>27</v>
      </c>
      <c r="Q636" s="330" t="s">
        <v>1125</v>
      </c>
      <c r="R636" s="520">
        <f>IF(AND(ICSR报告处理YN=1,药物警戒YN=1),1,0)</f>
        <v>1</v>
      </c>
      <c r="S636" s="528" t="str">
        <f>INDEX('Rate Card'!$D:$D,MATCH(服务费底表!$T636,'Rate Card'!F:F,0))</f>
        <v>药物警戒</v>
      </c>
      <c r="T636" s="328" t="s">
        <v>624</v>
      </c>
      <c r="U636" s="522" t="str">
        <f>INDEX('Rate Card'!$E:$E,MATCH(服务费底表!$T636,'Rate Card'!$F:$F,0))</f>
        <v>药物警戒专员</v>
      </c>
      <c r="V636" s="331">
        <f>INDEX('Rate Card'!$J:$J,MATCH($T636,'Rate Card'!$F:$F,0))</f>
        <v>300</v>
      </c>
      <c r="W636" s="523">
        <f t="shared" si="571"/>
        <v>300</v>
      </c>
      <c r="X636" s="523">
        <f t="shared" si="572"/>
        <v>1</v>
      </c>
      <c r="Y636" s="327" cm="1">
        <f t="array" ref="Y636">_xlfn.IFS(报价场景=服务费底表!$AJ$2,服务费底表!$AJ636,报价场景=服务费底表!$AP$2,服务费底表!$AP636,报价场景=服务费底表!$AK$2,服务费底表!$AK636,报价场景=服务费底表!$AL$2,服务费底表!$AL636,报价场景=服务费底表!$AM$2,服务费底表!$AM636,报价场景=服务费底表!$AN$2,服务费底表!$AN636,报价场景=服务费底表!$AQ$2,服务费底表!$AQ636,报价场景=服务费底表!$AO$2,服务费底表!$AO636)</f>
        <v>1</v>
      </c>
      <c r="Z636" s="327"/>
      <c r="AA636" s="332">
        <f t="shared" si="591"/>
        <v>1</v>
      </c>
      <c r="AB636" s="333">
        <f t="shared" si="586"/>
        <v>300</v>
      </c>
      <c r="AC636" s="328">
        <f t="shared" si="587"/>
        <v>27</v>
      </c>
      <c r="AD636" s="334">
        <f t="shared" si="588"/>
        <v>8100</v>
      </c>
      <c r="AE636" s="334">
        <f>$AB636*(1-INDEX(项目参数!$D$5:$D$14,MATCH(服务费底表!$S636,项目参数!$B$5:$B$14,0)))</f>
        <v>300</v>
      </c>
      <c r="AF636" s="334">
        <f>$AD636*INDEX(项目参数!$D$5:$D$14,MATCH(服务费底表!$S636,项目参数!$B$5:$B$14,0))</f>
        <v>0</v>
      </c>
      <c r="AG636" s="334">
        <f t="shared" si="589"/>
        <v>8100</v>
      </c>
      <c r="AH636" s="328"/>
      <c r="AI636" s="328" t="s">
        <v>624</v>
      </c>
      <c r="AJ636" s="336">
        <f>IF(AND(药物警戒YN=1,PV报告双语&lt;&gt;"否"),2,1)</f>
        <v>1</v>
      </c>
      <c r="AK636" s="327">
        <f>IF(AND(药物警戒YN=1,PV报告双语&lt;&gt;"否"),2,1)*1.5</f>
        <v>1.5</v>
      </c>
      <c r="AL636" s="327">
        <f>IF(AND(药物警戒YN=1,PV报告双语&lt;&gt;"否"),2,1)*0.7</f>
        <v>0.7</v>
      </c>
      <c r="AM636" s="327">
        <f t="shared" si="583"/>
        <v>0.7</v>
      </c>
      <c r="AN636" s="327">
        <f>IF(AND(药物警戒YN=1,PV报告双语&lt;&gt;"否"),2,1)*0.8</f>
        <v>0.8</v>
      </c>
      <c r="AO636" s="327">
        <f t="shared" si="577"/>
        <v>0.7</v>
      </c>
      <c r="AP636" s="327">
        <v>1</v>
      </c>
      <c r="AQ636" s="327">
        <f t="shared" si="578"/>
        <v>1.5</v>
      </c>
      <c r="AR636" s="338"/>
      <c r="AS636" s="327">
        <f t="shared" si="592"/>
        <v>27</v>
      </c>
      <c r="AT636" s="327">
        <f t="shared" si="593"/>
        <v>27</v>
      </c>
      <c r="AU636" s="523">
        <v>1</v>
      </c>
      <c r="AV636" s="328"/>
      <c r="AW636" s="328"/>
      <c r="AX636" s="332">
        <v>1</v>
      </c>
      <c r="AY636" s="328" t="b">
        <f t="shared" si="594"/>
        <v>1</v>
      </c>
      <c r="AZ636" s="328" t="b">
        <f t="shared" si="526"/>
        <v>0</v>
      </c>
    </row>
    <row r="637" ht="27" customHeight="1" spans="1:52">
      <c r="A637" s="326" t="str">
        <f>INDEX('Rate Card'!$A:$A,MATCH(服务费底表!$T637,'Rate Card'!$F:$F,0))</f>
        <v>药物警戒</v>
      </c>
      <c r="B637" s="327" t="str">
        <f>INDEX(二三级标准!$G:$G,MATCH(服务费底表!$K637,二三级标准!B:B,0))</f>
        <v>报告版本</v>
      </c>
      <c r="C637" s="327">
        <f>INDEX(服务费明细!$E:$E,MATCH(服务费底表!$K637,服务费明细!$B:$B,0))</f>
        <v>27</v>
      </c>
      <c r="D637" s="327" t="str">
        <f t="shared" si="584"/>
        <v>A136PVM</v>
      </c>
      <c r="E637" s="327" t="str">
        <f t="shared" si="585"/>
        <v>T0474PVM</v>
      </c>
      <c r="F637" s="328"/>
      <c r="G637" s="328" t="s">
        <v>684</v>
      </c>
      <c r="H637" s="326" t="str">
        <f>INDEX('Rate Card'!$B:$B,MATCH(服务费底表!$T637,'Rate Card'!$F:$F,0))</f>
        <v>药物警戒</v>
      </c>
      <c r="I637" s="328" t="s">
        <v>926</v>
      </c>
      <c r="J637" s="328" t="str">
        <f>INDEX(二三级标准!$Q:$Q,MATCH(服务费底表!I637,二三级标准!$O:$O,0))</f>
        <v>安全警戒</v>
      </c>
      <c r="K637" s="328" t="s">
        <v>377</v>
      </c>
      <c r="L637" s="328" t="str">
        <f>INDEX(二三级标准!C:C,MATCH(服务费底表!K637,二三级标准!$B:$B,0))</f>
        <v>ICSR报告处理</v>
      </c>
      <c r="M637" s="328" t="s">
        <v>1652</v>
      </c>
      <c r="N637" s="328" t="str">
        <f>INDEX(二三级标准!$M:$M,MATCH(服务费底表!$M637,二三级标准!$L:$L,0))</f>
        <v>ICSR报告定稿，锁定，归档</v>
      </c>
      <c r="O637" s="336"/>
      <c r="P637" s="531">
        <f>IF(R637=1,INDEX(服务费明细!$E:$E,MATCH(服务费底表!$K637,服务费明细!$B:$B,0)),0)</f>
        <v>27</v>
      </c>
      <c r="Q637" s="330" t="s">
        <v>1125</v>
      </c>
      <c r="R637" s="520">
        <f>IF(AND(ICSR报告处理YN=1,药物警戒YN=1),1,0)</f>
        <v>1</v>
      </c>
      <c r="S637" s="528" t="str">
        <f>INDEX('Rate Card'!$D:$D,MATCH(服务费底表!$T637,'Rate Card'!F:F,0))</f>
        <v>药物警戒</v>
      </c>
      <c r="T637" s="328" t="s">
        <v>620</v>
      </c>
      <c r="U637" s="522" t="str">
        <f>INDEX('Rate Card'!$E:$E,MATCH(服务费底表!$T637,'Rate Card'!$F:$F,0))</f>
        <v>药物警戒经理</v>
      </c>
      <c r="V637" s="331">
        <f>INDEX('Rate Card'!$J:$J,MATCH($T637,'Rate Card'!$F:$F,0))</f>
        <v>500</v>
      </c>
      <c r="W637" s="523">
        <f t="shared" si="571"/>
        <v>500</v>
      </c>
      <c r="X637" s="523">
        <f t="shared" si="572"/>
        <v>0.5</v>
      </c>
      <c r="Y637" s="327" cm="1">
        <f t="array" ref="Y637">_xlfn.IFS(报价场景=服务费底表!$AJ$2,服务费底表!$AJ637,报价场景=服务费底表!$AP$2,服务费底表!$AP637,报价场景=服务费底表!$AK$2,服务费底表!$AK637,报价场景=服务费底表!$AL$2,服务费底表!$AL637,报价场景=服务费底表!$AM$2,服务费底表!$AM637,报价场景=服务费底表!$AN$2,服务费底表!$AN637,报价场景=服务费底表!$AQ$2,服务费底表!$AQ637,报价场景=服务费底表!$AO$2,服务费底表!$AO637)</f>
        <v>0.5</v>
      </c>
      <c r="Z637" s="327"/>
      <c r="AA637" s="332">
        <f t="shared" si="591"/>
        <v>0.5</v>
      </c>
      <c r="AB637" s="333">
        <f t="shared" si="586"/>
        <v>250</v>
      </c>
      <c r="AC637" s="328">
        <f t="shared" si="587"/>
        <v>13.5</v>
      </c>
      <c r="AD637" s="334">
        <f t="shared" si="588"/>
        <v>6750</v>
      </c>
      <c r="AE637" s="334">
        <f>$AB637*(1-INDEX(项目参数!$D$5:$D$14,MATCH(服务费底表!$S637,项目参数!$B$5:$B$14,0)))</f>
        <v>250</v>
      </c>
      <c r="AF637" s="334">
        <f>$AD637*INDEX(项目参数!$D$5:$D$14,MATCH(服务费底表!$S637,项目参数!$B$5:$B$14,0))</f>
        <v>0</v>
      </c>
      <c r="AG637" s="334">
        <f t="shared" si="589"/>
        <v>6750</v>
      </c>
      <c r="AH637" s="328"/>
      <c r="AI637" s="328" t="s">
        <v>620</v>
      </c>
      <c r="AJ637" s="336">
        <f>IF(AND(药物警戒YN=1,PV报告双语&lt;&gt;"否"),1,0.5)</f>
        <v>0.5</v>
      </c>
      <c r="AK637" s="327">
        <f>IF(AND(药物警戒YN=1,PV报告双语&lt;&gt;"否"),1,0.5)*1.5</f>
        <v>0.75</v>
      </c>
      <c r="AL637" s="327">
        <f>IF(AND(药物警戒YN=1,PV报告双语&lt;&gt;"否"),1,0.5)*0.7</f>
        <v>0.35</v>
      </c>
      <c r="AM637" s="327">
        <f t="shared" si="583"/>
        <v>0.35</v>
      </c>
      <c r="AN637" s="327">
        <f>IF(AND(药物警戒YN=1,PV报告双语&lt;&gt;"否"),1,0.5)*0.8</f>
        <v>0.4</v>
      </c>
      <c r="AO637" s="327">
        <f t="shared" si="577"/>
        <v>0.35</v>
      </c>
      <c r="AP637" s="327">
        <v>0.5</v>
      </c>
      <c r="AQ637" s="327">
        <f t="shared" si="578"/>
        <v>0.75</v>
      </c>
      <c r="AR637" s="338"/>
      <c r="AS637" s="327">
        <f t="shared" si="592"/>
        <v>13.5</v>
      </c>
      <c r="AT637" s="327">
        <f t="shared" si="593"/>
        <v>13.5</v>
      </c>
      <c r="AU637" s="523">
        <v>0.5</v>
      </c>
      <c r="AV637" s="328"/>
      <c r="AW637" s="328"/>
      <c r="AX637" s="332">
        <v>0.5</v>
      </c>
      <c r="AY637" s="328" t="b">
        <f t="shared" si="594"/>
        <v>1</v>
      </c>
      <c r="AZ637" s="328" t="b">
        <f t="shared" si="526"/>
        <v>0</v>
      </c>
    </row>
    <row r="638" ht="28" customHeight="1" spans="1:52">
      <c r="A638" s="326" t="str">
        <f>INDEX('Rate Card'!$A:$A,MATCH(服务费底表!$T638,'Rate Card'!$F:$F,0))</f>
        <v>药物警戒</v>
      </c>
      <c r="B638" s="327" t="str">
        <f>INDEX(二三级标准!$G:$G,MATCH(服务费底表!$K638,二三级标准!B:B,0))</f>
        <v>报告版本</v>
      </c>
      <c r="C638" s="327">
        <f>INDEX(服务费明细!$E:$E,MATCH(服务费底表!$K638,服务费明细!$B:$B,0))</f>
        <v>27</v>
      </c>
      <c r="D638" s="327" t="str">
        <f t="shared" si="584"/>
        <v>A136PVM</v>
      </c>
      <c r="E638" s="327" t="str">
        <f t="shared" si="585"/>
        <v>T0475PVM</v>
      </c>
      <c r="F638" s="328"/>
      <c r="G638" s="328" t="s">
        <v>684</v>
      </c>
      <c r="H638" s="326" t="str">
        <f>INDEX('Rate Card'!$B:$B,MATCH(服务费底表!$T638,'Rate Card'!$F:$F,0))</f>
        <v>药物警戒</v>
      </c>
      <c r="I638" s="328" t="s">
        <v>926</v>
      </c>
      <c r="J638" s="328" t="str">
        <f>INDEX(二三级标准!$Q:$Q,MATCH(服务费底表!I638,二三级标准!$O:$O,0))</f>
        <v>安全警戒</v>
      </c>
      <c r="K638" s="328" t="s">
        <v>377</v>
      </c>
      <c r="L638" s="328" t="str">
        <f>INDEX(二三级标准!C:C,MATCH(服务费底表!K638,二三级标准!$B:$B,0))</f>
        <v>ICSR报告处理</v>
      </c>
      <c r="M638" s="328" t="s">
        <v>1653</v>
      </c>
      <c r="N638" s="328" t="str">
        <f>INDEX(二三级标准!$M:$M,MATCH(服务费底表!$M638,二三级标准!$L:$L,0))</f>
        <v>潜在SUSAR的破盲处理</v>
      </c>
      <c r="O638" s="338"/>
      <c r="P638" s="531">
        <f>IF(R638=1,INDEX(服务费明细!$E:$E,MATCH(服务费底表!$K638,服务费明细!$B:$B,0)),0)</f>
        <v>0</v>
      </c>
      <c r="Q638" s="330" t="s">
        <v>1125</v>
      </c>
      <c r="R638" s="520">
        <f>IF(AND(ICSR报告处理YN=1,药物警戒YN=1,盲法&lt;&gt;"否"),1,0)</f>
        <v>0</v>
      </c>
      <c r="S638" s="528" t="str">
        <f>INDEX('Rate Card'!$D:$D,MATCH(服务费底表!$T638,'Rate Card'!F:F,0))</f>
        <v>药物警戒</v>
      </c>
      <c r="T638" s="328" t="s">
        <v>620</v>
      </c>
      <c r="U638" s="522" t="str">
        <f>INDEX('Rate Card'!$E:$E,MATCH(服务费底表!$T638,'Rate Card'!$F:$F,0))</f>
        <v>药物警戒经理</v>
      </c>
      <c r="V638" s="331">
        <f>INDEX('Rate Card'!$J:$J,MATCH($T638,'Rate Card'!$F:$F,0))</f>
        <v>500</v>
      </c>
      <c r="W638" s="523">
        <f t="shared" si="571"/>
        <v>500</v>
      </c>
      <c r="X638" s="523">
        <f t="shared" si="572"/>
        <v>1</v>
      </c>
      <c r="Y638" s="327" cm="1">
        <f t="array" ref="Y638">_xlfn.IFS(报价场景=服务费底表!$AJ$2,服务费底表!$AJ638,报价场景=服务费底表!$AP$2,服务费底表!$AP638,报价场景=服务费底表!$AK$2,服务费底表!$AK638,报价场景=服务费底表!$AL$2,服务费底表!$AL638,报价场景=服务费底表!$AM$2,服务费底表!$AM638,报价场景=服务费底表!$AN$2,服务费底表!$AN638,报价场景=服务费底表!$AQ$2,服务费底表!$AQ638,报价场景=服务费底表!$AO$2,服务费底表!$AO638)</f>
        <v>1</v>
      </c>
      <c r="Z638" s="327"/>
      <c r="AA638" s="332">
        <f t="shared" si="591"/>
        <v>1</v>
      </c>
      <c r="AB638" s="333">
        <f t="shared" si="586"/>
        <v>0</v>
      </c>
      <c r="AC638" s="328">
        <f t="shared" si="587"/>
        <v>0</v>
      </c>
      <c r="AD638" s="334">
        <f t="shared" si="588"/>
        <v>0</v>
      </c>
      <c r="AE638" s="334">
        <f>$AB638*(1-INDEX(项目参数!$D$5:$D$14,MATCH(服务费底表!$S638,项目参数!$B$5:$B$14,0)))</f>
        <v>0</v>
      </c>
      <c r="AF638" s="334">
        <f>$AD638*INDEX(项目参数!$D$5:$D$14,MATCH(服务费底表!$S638,项目参数!$B$5:$B$14,0))</f>
        <v>0</v>
      </c>
      <c r="AG638" s="334">
        <f t="shared" si="589"/>
        <v>0</v>
      </c>
      <c r="AH638" s="328"/>
      <c r="AI638" s="328" t="s">
        <v>620</v>
      </c>
      <c r="AJ638" s="336">
        <f>IF(AND(药物警戒YN=1,PV报告双语&lt;&gt;"否"),2,1)</f>
        <v>1</v>
      </c>
      <c r="AK638" s="327">
        <f>IF(AND(药物警戒YN=1,PV报告双语&lt;&gt;"否"),2,1)*1.5</f>
        <v>1.5</v>
      </c>
      <c r="AL638" s="327">
        <f>IF(AND(药物警戒YN=1,PV报告双语&lt;&gt;"否"),2,1)*0.7</f>
        <v>0.7</v>
      </c>
      <c r="AM638" s="327">
        <f t="shared" si="583"/>
        <v>0.7</v>
      </c>
      <c r="AN638" s="327">
        <f>IF(AND(药物警戒YN=1,PV报告双语&lt;&gt;"否"),2,1)*0.8</f>
        <v>0.8</v>
      </c>
      <c r="AO638" s="327">
        <f t="shared" si="577"/>
        <v>0.7</v>
      </c>
      <c r="AP638" s="327">
        <v>1</v>
      </c>
      <c r="AQ638" s="327">
        <f t="shared" si="578"/>
        <v>1.5</v>
      </c>
      <c r="AR638" s="338"/>
      <c r="AS638" s="327">
        <f t="shared" si="592"/>
        <v>0</v>
      </c>
      <c r="AT638" s="327">
        <f t="shared" si="593"/>
        <v>0</v>
      </c>
      <c r="AU638" s="523">
        <v>1</v>
      </c>
      <c r="AV638" s="328"/>
      <c r="AW638" s="328"/>
      <c r="AX638" s="332">
        <v>1</v>
      </c>
      <c r="AY638" s="328" t="b">
        <f t="shared" si="594"/>
        <v>1</v>
      </c>
      <c r="AZ638" s="328" t="b">
        <f t="shared" si="526"/>
        <v>0</v>
      </c>
    </row>
    <row r="639" ht="27" customHeight="1" spans="1:52">
      <c r="A639" s="326" t="str">
        <f>INDEX('Rate Card'!$A:$A,MATCH(服务费底表!$T639,'Rate Card'!$F:$F,0))</f>
        <v>药物警戒</v>
      </c>
      <c r="B639" s="327" t="str">
        <f>INDEX(二三级标准!$G:$G,MATCH(服务费底表!$K639,二三级标准!B:B,0))</f>
        <v>报告版本</v>
      </c>
      <c r="C639" s="327">
        <f>INDEX(服务费明细!$E:$E,MATCH(服务费底表!$K639,服务费明细!$B:$B,0))</f>
        <v>27</v>
      </c>
      <c r="D639" s="327" t="str">
        <f t="shared" si="584"/>
        <v>A136PVP</v>
      </c>
      <c r="E639" s="327" t="str">
        <f t="shared" si="585"/>
        <v>T0479PVP</v>
      </c>
      <c r="F639" s="328"/>
      <c r="G639" s="328" t="s">
        <v>684</v>
      </c>
      <c r="H639" s="326" t="str">
        <f>INDEX('Rate Card'!$B:$B,MATCH(服务费底表!$T639,'Rate Card'!$F:$F,0))</f>
        <v>药物警戒</v>
      </c>
      <c r="I639" s="328" t="s">
        <v>926</v>
      </c>
      <c r="J639" s="328" t="str">
        <f>INDEX(二三级标准!$Q:$Q,MATCH(服务费底表!I639,二三级标准!$O:$O,0))</f>
        <v>安全警戒</v>
      </c>
      <c r="K639" s="328" t="s">
        <v>377</v>
      </c>
      <c r="L639" s="328" t="str">
        <f>INDEX(二三级标准!C:C,MATCH(服务费底表!K639,二三级标准!$B:$B,0))</f>
        <v>ICSR报告处理</v>
      </c>
      <c r="M639" s="328" t="s">
        <v>1654</v>
      </c>
      <c r="N639" s="328" t="str">
        <f>INDEX(二三级标准!$M:$M,MATCH(服务费底表!$M639,二三级标准!$L:$L,0))</f>
        <v>AOSE撰写</v>
      </c>
      <c r="O639" s="338"/>
      <c r="P639" s="531">
        <f>IF(R639=1,SAE例次数/项目参数!C101,0)</f>
        <v>0</v>
      </c>
      <c r="Q639" s="330" t="s">
        <v>1125</v>
      </c>
      <c r="R639" s="540">
        <f>IF(AND(ICSR报告处理YN=1,药物警戒YN=1,PV报告双语&lt;&gt;"否"),1,0)</f>
        <v>0</v>
      </c>
      <c r="S639" s="528" t="str">
        <f>INDEX('Rate Card'!$D:$D,MATCH(服务费底表!$T639,'Rate Card'!F:F,0))</f>
        <v>药物警戒</v>
      </c>
      <c r="T639" s="328" t="s">
        <v>622</v>
      </c>
      <c r="U639" s="522" t="str">
        <f>INDEX('Rate Card'!$E:$E,MATCH(服务费底表!$T639,'Rate Card'!$F:$F,0))</f>
        <v>药物警戒医生</v>
      </c>
      <c r="V639" s="331">
        <f>INDEX('Rate Card'!$J:$J,MATCH($T639,'Rate Card'!$F:$F,0))</f>
        <v>700</v>
      </c>
      <c r="W639" s="523">
        <f t="shared" si="571"/>
        <v>700</v>
      </c>
      <c r="X639" s="523">
        <f t="shared" si="572"/>
        <v>1</v>
      </c>
      <c r="Y639" s="327" cm="1">
        <f t="array" ref="Y639">_xlfn.IFS(报价场景=服务费底表!$AJ$2,服务费底表!$AJ639,报价场景=服务费底表!$AP$2,服务费底表!$AP639,报价场景=服务费底表!$AK$2,服务费底表!$AK639,报价场景=服务费底表!$AL$2,服务费底表!$AL639,报价场景=服务费底表!$AM$2,服务费底表!$AM639,报价场景=服务费底表!$AN$2,服务费底表!$AN639,报价场景=服务费底表!$AQ$2,服务费底表!$AQ639,报价场景=服务费底表!$AO$2,服务费底表!$AO639)</f>
        <v>1</v>
      </c>
      <c r="Z639" s="327"/>
      <c r="AA639" s="332">
        <f t="shared" si="591"/>
        <v>1</v>
      </c>
      <c r="AB639" s="333">
        <f t="shared" si="586"/>
        <v>0</v>
      </c>
      <c r="AC639" s="328">
        <f t="shared" si="587"/>
        <v>0</v>
      </c>
      <c r="AD639" s="334">
        <f t="shared" si="588"/>
        <v>0</v>
      </c>
      <c r="AE639" s="334">
        <f>$AB639*(1-INDEX(项目参数!$D$5:$D$14,MATCH(服务费底表!$S639,项目参数!$B$5:$B$14,0)))</f>
        <v>0</v>
      </c>
      <c r="AF639" s="334">
        <f>$AD639*INDEX(项目参数!$D$5:$D$14,MATCH(服务费底表!$S639,项目参数!$B$5:$B$14,0))</f>
        <v>0</v>
      </c>
      <c r="AG639" s="334">
        <f t="shared" si="589"/>
        <v>0</v>
      </c>
      <c r="AH639" s="328"/>
      <c r="AI639" s="328" t="s">
        <v>622</v>
      </c>
      <c r="AJ639" s="336">
        <v>1</v>
      </c>
      <c r="AK639" s="327">
        <f>AJ639*1.5</f>
        <v>1.5</v>
      </c>
      <c r="AL639" s="327">
        <f>AJ639*0.7</f>
        <v>0.7</v>
      </c>
      <c r="AM639" s="327">
        <f t="shared" si="583"/>
        <v>0.7</v>
      </c>
      <c r="AN639" s="327">
        <f>AJ639*0.8</f>
        <v>0.8</v>
      </c>
      <c r="AO639" s="327">
        <f t="shared" si="577"/>
        <v>0.7</v>
      </c>
      <c r="AP639" s="327">
        <v>1</v>
      </c>
      <c r="AQ639" s="327">
        <f t="shared" si="578"/>
        <v>1.5</v>
      </c>
      <c r="AR639" s="338"/>
      <c r="AS639" s="327">
        <f t="shared" si="592"/>
        <v>0</v>
      </c>
      <c r="AT639" s="327">
        <f t="shared" si="593"/>
        <v>0</v>
      </c>
      <c r="AU639" s="523">
        <v>1</v>
      </c>
      <c r="AV639" s="328"/>
      <c r="AW639" s="328"/>
      <c r="AX639" s="332">
        <v>1</v>
      </c>
      <c r="AY639" s="328" t="b">
        <f t="shared" si="594"/>
        <v>1</v>
      </c>
      <c r="AZ639" s="328" t="b">
        <f t="shared" si="526"/>
        <v>0</v>
      </c>
    </row>
    <row r="640" ht="34" customHeight="1" spans="1:52">
      <c r="A640" s="326" t="str">
        <f>INDEX('Rate Card'!$A:$A,MATCH(服务费底表!$T640,'Rate Card'!$F:$F,0))</f>
        <v>药物警戒</v>
      </c>
      <c r="B640" s="327" t="str">
        <f>INDEX(二三级标准!$G:$G,MATCH(服务费底表!$K640,二三级标准!B:B,0))</f>
        <v>报告版本</v>
      </c>
      <c r="C640" s="327">
        <f>INDEX(服务费明细!$E:$E,MATCH(服务费底表!$K640,服务费明细!$B:$B,0))</f>
        <v>27</v>
      </c>
      <c r="D640" s="327" t="str">
        <f t="shared" si="584"/>
        <v>A136PVM</v>
      </c>
      <c r="E640" s="327" t="str">
        <f t="shared" si="585"/>
        <v>T0480PVM</v>
      </c>
      <c r="F640" s="328"/>
      <c r="G640" s="328" t="s">
        <v>684</v>
      </c>
      <c r="H640" s="326" t="str">
        <f>INDEX('Rate Card'!$B:$B,MATCH(服务费底表!$T640,'Rate Card'!$F:$F,0))</f>
        <v>药物警戒</v>
      </c>
      <c r="I640" s="328" t="s">
        <v>926</v>
      </c>
      <c r="J640" s="328" t="str">
        <f>INDEX(二三级标准!$Q:$Q,MATCH(服务费底表!I640,二三级标准!$O:$O,0))</f>
        <v>安全警戒</v>
      </c>
      <c r="K640" s="328" t="s">
        <v>377</v>
      </c>
      <c r="L640" s="328" t="str">
        <f>INDEX(二三级标准!C:C,MATCH(服务费底表!K640,二三级标准!$B:$B,0))</f>
        <v>ICSR报告处理</v>
      </c>
      <c r="M640" s="328" t="s">
        <v>1655</v>
      </c>
      <c r="N640" s="328" t="str">
        <f>INDEX(二三级标准!$M:$M,MATCH(服务费底表!$M640,二三级标准!$L:$L,0))</f>
        <v>本研究SUSAR报告的监管递交</v>
      </c>
      <c r="O640" s="338"/>
      <c r="P640" s="531">
        <f>IF(R640=1,ROUND(SAE例次数*2/3,),0)</f>
        <v>18</v>
      </c>
      <c r="Q640" s="330" t="s">
        <v>1125</v>
      </c>
      <c r="R640" s="520">
        <f>IF(AND(ICSR报告处理YN=1,药物警戒YN=1),1,0)</f>
        <v>1</v>
      </c>
      <c r="S640" s="528" t="str">
        <f>INDEX('Rate Card'!$D:$D,MATCH(服务费底表!$T640,'Rate Card'!F:F,0))</f>
        <v>药物警戒</v>
      </c>
      <c r="T640" s="328" t="s">
        <v>620</v>
      </c>
      <c r="U640" s="522" t="str">
        <f>INDEX('Rate Card'!$E:$E,MATCH(服务费底表!$T640,'Rate Card'!$F:$F,0))</f>
        <v>药物警戒经理</v>
      </c>
      <c r="V640" s="331">
        <f>INDEX('Rate Card'!$J:$J,MATCH($T640,'Rate Card'!$F:$F,0))</f>
        <v>500</v>
      </c>
      <c r="W640" s="523">
        <f t="shared" si="571"/>
        <v>500</v>
      </c>
      <c r="X640" s="523">
        <f t="shared" si="572"/>
        <v>0.5</v>
      </c>
      <c r="Y640" s="327" cm="1">
        <f t="array" ref="Y640">_xlfn.IFS(报价场景=服务费底表!$AJ$2,服务费底表!$AJ640,报价场景=服务费底表!$AP$2,服务费底表!$AP640,报价场景=服务费底表!$AK$2,服务费底表!$AK640,报价场景=服务费底表!$AL$2,服务费底表!$AL640,报价场景=服务费底表!$AM$2,服务费底表!$AM640,报价场景=服务费底表!$AN$2,服务费底表!$AN640,报价场景=服务费底表!$AQ$2,服务费底表!$AQ640,报价场景=服务费底表!$AO$2,服务费底表!$AO640)</f>
        <v>0.5</v>
      </c>
      <c r="Z640" s="327"/>
      <c r="AA640" s="332">
        <f t="shared" si="591"/>
        <v>0.5</v>
      </c>
      <c r="AB640" s="333">
        <f t="shared" si="586"/>
        <v>250</v>
      </c>
      <c r="AC640" s="328">
        <f t="shared" si="587"/>
        <v>9</v>
      </c>
      <c r="AD640" s="334">
        <f t="shared" si="588"/>
        <v>4500</v>
      </c>
      <c r="AE640" s="334">
        <f>$AB640*(1-INDEX(项目参数!$D$5:$D$14,MATCH(服务费底表!$S640,项目参数!$B$5:$B$14,0)))</f>
        <v>250</v>
      </c>
      <c r="AF640" s="334">
        <f>$AD640*INDEX(项目参数!$D$5:$D$14,MATCH(服务费底表!$S640,项目参数!$B$5:$B$14,0))</f>
        <v>0</v>
      </c>
      <c r="AG640" s="334">
        <f t="shared" si="589"/>
        <v>4500</v>
      </c>
      <c r="AH640" s="328"/>
      <c r="AI640" s="328" t="s">
        <v>620</v>
      </c>
      <c r="AJ640" s="336">
        <f>IF(AND(药物警戒YN=1,PV报告双语&lt;&gt;"否"),1,0.5)</f>
        <v>0.5</v>
      </c>
      <c r="AK640" s="327">
        <f>IF(AND(药物警戒YN=1,PV报告双语&lt;&gt;"否"),1,0.5)*1.5</f>
        <v>0.75</v>
      </c>
      <c r="AL640" s="327">
        <f>IF(AND(药物警戒YN=1,PV报告双语&lt;&gt;"否"),3,1.5)*0.7</f>
        <v>1.05</v>
      </c>
      <c r="AM640" s="327">
        <f t="shared" si="583"/>
        <v>1.05</v>
      </c>
      <c r="AN640" s="327">
        <f>IF(AND(药物警戒YN=1,PV报告双语&lt;&gt;"否"),1,0.5)*0.8</f>
        <v>0.4</v>
      </c>
      <c r="AO640" s="327">
        <f t="shared" si="577"/>
        <v>1.05</v>
      </c>
      <c r="AP640" s="327">
        <v>0.5</v>
      </c>
      <c r="AQ640" s="327">
        <f t="shared" si="578"/>
        <v>0.75</v>
      </c>
      <c r="AR640" s="338"/>
      <c r="AS640" s="327">
        <f t="shared" si="592"/>
        <v>9</v>
      </c>
      <c r="AT640" s="327">
        <f t="shared" si="593"/>
        <v>9</v>
      </c>
      <c r="AU640" s="523">
        <v>0.5</v>
      </c>
      <c r="AV640" s="328"/>
      <c r="AW640" s="328"/>
      <c r="AX640" s="332">
        <v>0.5</v>
      </c>
      <c r="AY640" s="328" t="b">
        <f t="shared" si="594"/>
        <v>1</v>
      </c>
      <c r="AZ640" s="328" t="b">
        <f t="shared" si="526"/>
        <v>0</v>
      </c>
    </row>
    <row r="641" ht="27" customHeight="1" spans="1:52">
      <c r="A641" s="326" t="str">
        <f>INDEX('Rate Card'!$A:$A,MATCH(服务费底表!$T641,'Rate Card'!$F:$F,0))</f>
        <v>药物警戒</v>
      </c>
      <c r="B641" s="327" t="str">
        <f>INDEX(二三级标准!$G:$G,MATCH(服务费底表!$K641,二三级标准!B:B,0))</f>
        <v>个</v>
      </c>
      <c r="C641" s="327">
        <f>INDEX(服务费明细!$E:$E,MATCH(服务费底表!$K641,服务费明细!$B:$B,0))</f>
        <v>1</v>
      </c>
      <c r="D641" s="327" t="str">
        <f t="shared" si="584"/>
        <v>A140PVM</v>
      </c>
      <c r="E641" s="327" t="str">
        <f t="shared" si="585"/>
        <v>T0483PVM</v>
      </c>
      <c r="F641" s="328"/>
      <c r="G641" s="328" t="s">
        <v>684</v>
      </c>
      <c r="H641" s="326" t="str">
        <f>INDEX('Rate Card'!$B:$B,MATCH(服务费底表!$T641,'Rate Card'!$F:$F,0))</f>
        <v>药物警戒</v>
      </c>
      <c r="I641" s="328" t="s">
        <v>926</v>
      </c>
      <c r="J641" s="328" t="str">
        <f>INDEX(二三级标准!$Q:$Q,MATCH(服务费底表!I641,二三级标准!$O:$O,0))</f>
        <v>安全警戒</v>
      </c>
      <c r="K641" s="328" t="s">
        <v>385</v>
      </c>
      <c r="L641" s="328" t="str">
        <f>INDEX(二三级标准!C:C,MATCH(服务费底表!K641,二三级标准!$B:$B,0))</f>
        <v>安全性报告汇总</v>
      </c>
      <c r="M641" s="328" t="s">
        <v>1656</v>
      </c>
      <c r="N641" s="328" t="str">
        <f>INDEX(二三级标准!$M:$M,MATCH(服务费底表!$M641,二三级标准!$L:$L,0))</f>
        <v>ICSR linelisting定期汇总</v>
      </c>
      <c r="O641" s="338"/>
      <c r="P641" s="531">
        <f>IF(R641=1,INDEX(服务费明细!$E:$E,MATCH(服务费底表!$K641,服务费明细!$B:$B,0)),0)</f>
        <v>1</v>
      </c>
      <c r="Q641" s="328" t="s">
        <v>1657</v>
      </c>
      <c r="R641" s="520">
        <f>IF(AND(定期汇总安全性报告YN=1,药物警戒YN=1),1,0)</f>
        <v>1</v>
      </c>
      <c r="S641" s="528" t="str">
        <f>INDEX('Rate Card'!$D:$D,MATCH(服务费底表!$T641,'Rate Card'!F:F,0))</f>
        <v>药物警戒</v>
      </c>
      <c r="T641" s="328" t="s">
        <v>620</v>
      </c>
      <c r="U641" s="522" t="str">
        <f>INDEX('Rate Card'!$E:$E,MATCH(服务费底表!$T641,'Rate Card'!$F:$F,0))</f>
        <v>药物警戒经理</v>
      </c>
      <c r="V641" s="331">
        <f>INDEX('Rate Card'!$J:$J,MATCH($T641,'Rate Card'!$F:$F,0))</f>
        <v>500</v>
      </c>
      <c r="W641" s="523">
        <f t="shared" si="571"/>
        <v>500</v>
      </c>
      <c r="X641" s="523">
        <f t="shared" si="572"/>
        <v>14</v>
      </c>
      <c r="Y641" s="327" cm="1">
        <f t="array" ref="Y641">_xlfn.IFS(报价场景=服务费底表!$AJ$2,服务费底表!$AJ641,报价场景=服务费底表!$AP$2,服务费底表!$AP641,报价场景=服务费底表!$AK$2,服务费底表!$AK641,报价场景=服务费底表!$AL$2,服务费底表!$AL641,报价场景=服务费底表!$AM$2,服务费底表!$AM641,报价场景=服务费底表!$AN$2,服务费底表!$AN641,报价场景=服务费底表!$AQ$2,服务费底表!$AQ641,报价场景=服务费底表!$AO$2,服务费底表!$AO641)</f>
        <v>14</v>
      </c>
      <c r="Z641" s="327"/>
      <c r="AA641" s="332">
        <f t="shared" si="591"/>
        <v>14</v>
      </c>
      <c r="AB641" s="333">
        <f t="shared" si="586"/>
        <v>7000</v>
      </c>
      <c r="AC641" s="328">
        <f t="shared" si="587"/>
        <v>14</v>
      </c>
      <c r="AD641" s="334">
        <f t="shared" si="588"/>
        <v>7000</v>
      </c>
      <c r="AE641" s="334">
        <f>$AB641*(1-INDEX(项目参数!$D$5:$D$14,MATCH(服务费底表!$S641,项目参数!$B$5:$B$14,0)))</f>
        <v>7000</v>
      </c>
      <c r="AF641" s="334">
        <f>$AD641*INDEX(项目参数!$D$5:$D$14,MATCH(服务费底表!$S641,项目参数!$B$5:$B$14,0))</f>
        <v>0</v>
      </c>
      <c r="AG641" s="334">
        <f t="shared" si="589"/>
        <v>7000</v>
      </c>
      <c r="AH641" s="328"/>
      <c r="AI641" s="328" t="s">
        <v>620</v>
      </c>
      <c r="AJ641" s="327">
        <v>14</v>
      </c>
      <c r="AK641" s="327">
        <f t="shared" si="582"/>
        <v>21</v>
      </c>
      <c r="AL641" s="327">
        <v>10</v>
      </c>
      <c r="AM641" s="327">
        <f t="shared" si="583"/>
        <v>10</v>
      </c>
      <c r="AN641" s="327">
        <f>ROUND(AJ641*0.8,2)</f>
        <v>11.2</v>
      </c>
      <c r="AO641" s="327">
        <f t="shared" si="577"/>
        <v>10</v>
      </c>
      <c r="AP641" s="327">
        <v>14</v>
      </c>
      <c r="AQ641" s="327">
        <f t="shared" si="578"/>
        <v>21</v>
      </c>
      <c r="AR641" s="338"/>
      <c r="AS641" s="327">
        <f t="shared" si="592"/>
        <v>14</v>
      </c>
      <c r="AT641" s="327">
        <f t="shared" si="593"/>
        <v>14</v>
      </c>
      <c r="AU641" s="523">
        <v>14</v>
      </c>
      <c r="AV641" s="328"/>
      <c r="AW641" s="328"/>
      <c r="AX641" s="332">
        <v>14</v>
      </c>
      <c r="AY641" s="328" t="b">
        <f t="shared" si="594"/>
        <v>1</v>
      </c>
      <c r="AZ641" s="328" t="b">
        <f t="shared" si="526"/>
        <v>1</v>
      </c>
    </row>
    <row r="642" ht="27" customHeight="1" spans="1:52">
      <c r="A642" s="326" t="str">
        <f>INDEX('Rate Card'!$A:$A,MATCH(服务费底表!$T642,'Rate Card'!$F:$F,0))</f>
        <v>药物警戒</v>
      </c>
      <c r="B642" s="327" t="str">
        <f>INDEX(二三级标准!$G:$G,MATCH(服务费底表!$K642,二三级标准!B:B,0))</f>
        <v>个</v>
      </c>
      <c r="C642" s="327">
        <f>INDEX(服务费明细!$E:$E,MATCH(服务费底表!$K642,服务费明细!$B:$B,0))</f>
        <v>1</v>
      </c>
      <c r="D642" s="327" t="str">
        <f t="shared" si="584"/>
        <v>A140PVM</v>
      </c>
      <c r="E642" s="327" t="str">
        <f t="shared" si="585"/>
        <v>T0484PVM</v>
      </c>
      <c r="F642" s="328"/>
      <c r="G642" s="328" t="s">
        <v>684</v>
      </c>
      <c r="H642" s="326" t="str">
        <f>INDEX('Rate Card'!$B:$B,MATCH(服务费底表!$T642,'Rate Card'!$F:$F,0))</f>
        <v>药物警戒</v>
      </c>
      <c r="I642" s="328" t="s">
        <v>926</v>
      </c>
      <c r="J642" s="328" t="str">
        <f>INDEX(二三级标准!$Q:$Q,MATCH(服务费底表!I642,二三级标准!$O:$O,0))</f>
        <v>安全警戒</v>
      </c>
      <c r="K642" s="328" t="s">
        <v>385</v>
      </c>
      <c r="L642" s="328" t="str">
        <f>INDEX(二三级标准!C:C,MATCH(服务费底表!K642,二三级标准!$B:$B,0))</f>
        <v>安全性报告汇总</v>
      </c>
      <c r="M642" s="328" t="s">
        <v>1658</v>
      </c>
      <c r="N642" s="328" t="str">
        <f>INDEX(二三级标准!$M:$M,MATCH(服务费底表!$M642,二三级标准!$L:$L,0))</f>
        <v>SUSAR报告包整理</v>
      </c>
      <c r="O642" s="328"/>
      <c r="P642" s="531">
        <f>IF(R642=1,启动中心数,0)</f>
        <v>0</v>
      </c>
      <c r="Q642" s="328" t="s">
        <v>1201</v>
      </c>
      <c r="R642" s="520">
        <f>IF(AND(药物警戒YN=1,启动中心数&gt;4),1,0)</f>
        <v>0</v>
      </c>
      <c r="S642" s="528" t="str">
        <f>INDEX('Rate Card'!$D:$D,MATCH(服务费底表!$T642,'Rate Card'!F:F,0))</f>
        <v>药物警戒</v>
      </c>
      <c r="T642" s="328" t="s">
        <v>620</v>
      </c>
      <c r="U642" s="522" t="str">
        <f>INDEX('Rate Card'!$E:$E,MATCH(服务费底表!$T642,'Rate Card'!$F:$F,0))</f>
        <v>药物警戒经理</v>
      </c>
      <c r="V642" s="331">
        <f>INDEX('Rate Card'!$J:$J,MATCH($T642,'Rate Card'!$F:$F,0))</f>
        <v>500</v>
      </c>
      <c r="W642" s="523">
        <f t="shared" si="571"/>
        <v>500</v>
      </c>
      <c r="X642" s="523">
        <f t="shared" si="572"/>
        <v>0.5</v>
      </c>
      <c r="Y642" s="327" cm="1">
        <f t="array" ref="Y642">_xlfn.IFS(报价场景=服务费底表!$AJ$2,服务费底表!$AJ642,报价场景=服务费底表!$AP$2,服务费底表!$AP642,报价场景=服务费底表!$AK$2,服务费底表!$AK642,报价场景=服务费底表!$AL$2,服务费底表!$AL642,报价场景=服务费底表!$AM$2,服务费底表!$AM642,报价场景=服务费底表!$AN$2,服务费底表!$AN642,报价场景=服务费底表!$AQ$2,服务费底表!$AQ642,报价场景=服务费底表!$AO$2,服务费底表!$AO642)</f>
        <v>0.5</v>
      </c>
      <c r="Z642" s="327"/>
      <c r="AA642" s="332">
        <f t="shared" si="591"/>
        <v>0.5</v>
      </c>
      <c r="AB642" s="333">
        <f t="shared" si="586"/>
        <v>0</v>
      </c>
      <c r="AC642" s="328">
        <f t="shared" si="587"/>
        <v>0</v>
      </c>
      <c r="AD642" s="334">
        <f t="shared" si="588"/>
        <v>0</v>
      </c>
      <c r="AE642" s="334">
        <f>$AB642*(1-INDEX(项目参数!$D$5:$D$14,MATCH(服务费底表!$S642,项目参数!$B$5:$B$14,0)))</f>
        <v>0</v>
      </c>
      <c r="AF642" s="334">
        <f>$AD642*INDEX(项目参数!$D$5:$D$14,MATCH(服务费底表!$S642,项目参数!$B$5:$B$14,0))</f>
        <v>0</v>
      </c>
      <c r="AG642" s="334">
        <f t="shared" si="589"/>
        <v>0</v>
      </c>
      <c r="AH642" s="328"/>
      <c r="AI642" s="328" t="s">
        <v>620</v>
      </c>
      <c r="AJ642" s="327">
        <v>0.5</v>
      </c>
      <c r="AK642" s="327">
        <f t="shared" si="582"/>
        <v>0.75</v>
      </c>
      <c r="AL642" s="327">
        <f>AJ642*0.7</f>
        <v>0.35</v>
      </c>
      <c r="AM642" s="327">
        <f t="shared" si="583"/>
        <v>0.35</v>
      </c>
      <c r="AN642" s="327">
        <f>ROUND(AJ642*0.8,2)</f>
        <v>0.4</v>
      </c>
      <c r="AO642" s="327">
        <f t="shared" si="577"/>
        <v>0.35</v>
      </c>
      <c r="AP642" s="327">
        <v>0.5</v>
      </c>
      <c r="AQ642" s="327">
        <f t="shared" si="578"/>
        <v>0.75</v>
      </c>
      <c r="AR642" s="338"/>
      <c r="AS642" s="327">
        <f t="shared" si="592"/>
        <v>0</v>
      </c>
      <c r="AT642" s="327">
        <f t="shared" si="593"/>
        <v>0</v>
      </c>
      <c r="AU642" s="523">
        <v>0.5</v>
      </c>
      <c r="AV642" s="328"/>
      <c r="AW642" s="328"/>
      <c r="AX642" s="332">
        <v>0.5</v>
      </c>
      <c r="AY642" s="328" t="b">
        <f t="shared" si="594"/>
        <v>1</v>
      </c>
      <c r="AZ642" s="328" t="b">
        <f t="shared" si="526"/>
        <v>1</v>
      </c>
    </row>
    <row r="643" ht="27" customHeight="1" spans="1:52">
      <c r="A643" s="326" t="str">
        <f>INDEX('Rate Card'!$A:$A,MATCH(服务费底表!$T643,'Rate Card'!$F:$F,0))</f>
        <v>药物警戒</v>
      </c>
      <c r="B643" s="327" t="str">
        <f>INDEX(二三级标准!$G:$G,MATCH(服务费底表!$K643,二三级标准!B:B,0))</f>
        <v>份</v>
      </c>
      <c r="C643" s="327">
        <f>INDEX(服务费明细!$E:$E,MATCH(服务费底表!$K643,服务费明细!$B:$B,0))</f>
        <v>1</v>
      </c>
      <c r="D643" s="327" t="str">
        <f t="shared" si="584"/>
        <v>A142PVM</v>
      </c>
      <c r="E643" s="327" t="str">
        <f t="shared" si="585"/>
        <v>T0485PVM</v>
      </c>
      <c r="F643" s="328"/>
      <c r="G643" s="328" t="s">
        <v>684</v>
      </c>
      <c r="H643" s="326" t="str">
        <f>INDEX('Rate Card'!$B:$B,MATCH(服务费底表!$T643,'Rate Card'!$F:$F,0))</f>
        <v>药物警戒</v>
      </c>
      <c r="I643" s="328" t="s">
        <v>926</v>
      </c>
      <c r="J643" s="328" t="str">
        <f>INDEX(二三级标准!$Q:$Q,MATCH(服务费底表!I643,二三级标准!$O:$O,0))</f>
        <v>安全警戒</v>
      </c>
      <c r="K643" s="328" t="s">
        <v>389</v>
      </c>
      <c r="L643" s="328" t="str">
        <f>INDEX(二三级标准!C:C,MATCH(服务费底表!K643,二三级标准!$B:$B,0))</f>
        <v>DSUR撰写(中文)</v>
      </c>
      <c r="M643" s="328" t="s">
        <v>1659</v>
      </c>
      <c r="N643" s="328" t="str">
        <f>INDEX(二三级标准!$M:$M,MATCH(服务费底表!$M643,二三级标准!$L:$L,0))</f>
        <v>DSUR撰写计划制定</v>
      </c>
      <c r="O643" s="328"/>
      <c r="P643" s="531">
        <f>IF(R643=1,INDEX(服务费明细!$E:$E,MATCH(服务费底表!$K643,服务费明细!$B:$B,0)),0)</f>
        <v>1</v>
      </c>
      <c r="Q643" s="328" t="s">
        <v>1176</v>
      </c>
      <c r="R643" s="520">
        <f>IF(AND(DSUR撰写_中文YN=1,药物警戒YN=1),1,0)</f>
        <v>1</v>
      </c>
      <c r="S643" s="528" t="str">
        <f>INDEX('Rate Card'!$D:$D,MATCH(服务费底表!$T643,'Rate Card'!F:F,0))</f>
        <v>药物警戒</v>
      </c>
      <c r="T643" s="328" t="s">
        <v>620</v>
      </c>
      <c r="U643" s="522" t="str">
        <f>INDEX('Rate Card'!$E:$E,MATCH(服务费底表!$T643,'Rate Card'!$F:$F,0))</f>
        <v>药物警戒经理</v>
      </c>
      <c r="V643" s="331">
        <f>INDEX('Rate Card'!$J:$J,MATCH($T643,'Rate Card'!$F:$F,0))</f>
        <v>500</v>
      </c>
      <c r="W643" s="523">
        <f t="shared" si="571"/>
        <v>500</v>
      </c>
      <c r="X643" s="523">
        <f t="shared" si="572"/>
        <v>4</v>
      </c>
      <c r="Y643" s="327" cm="1">
        <f t="array" ref="Y643">_xlfn.IFS(报价场景=服务费底表!$AJ$2,服务费底表!$AJ643,报价场景=服务费底表!$AP$2,服务费底表!$AP643,报价场景=服务费底表!$AK$2,服务费底表!$AK643,报价场景=服务费底表!$AL$2,服务费底表!$AL643,报价场景=服务费底表!$AM$2,服务费底表!$AM643,报价场景=服务费底表!$AN$2,服务费底表!$AN643,报价场景=服务费底表!$AQ$2,服务费底表!$AQ643,报价场景=服务费底表!$AO$2,服务费底表!$AO643)</f>
        <v>4</v>
      </c>
      <c r="Z643" s="327"/>
      <c r="AA643" s="332">
        <f t="shared" si="591"/>
        <v>4</v>
      </c>
      <c r="AB643" s="333">
        <f t="shared" si="586"/>
        <v>2000</v>
      </c>
      <c r="AC643" s="328">
        <f t="shared" si="587"/>
        <v>4</v>
      </c>
      <c r="AD643" s="334">
        <f t="shared" si="588"/>
        <v>2000</v>
      </c>
      <c r="AE643" s="334">
        <f>$AB643*(1-INDEX(项目参数!$D$5:$D$14,MATCH(服务费底表!$S643,项目参数!$B$5:$B$14,0)))</f>
        <v>2000</v>
      </c>
      <c r="AF643" s="334">
        <f>$AD643*INDEX(项目参数!$D$5:$D$14,MATCH(服务费底表!$S643,项目参数!$B$5:$B$14,0))</f>
        <v>0</v>
      </c>
      <c r="AG643" s="334">
        <f t="shared" si="589"/>
        <v>2000</v>
      </c>
      <c r="AH643" s="328"/>
      <c r="AI643" s="328" t="s">
        <v>620</v>
      </c>
      <c r="AJ643" s="327">
        <v>4</v>
      </c>
      <c r="AK643" s="327">
        <f t="shared" ref="AK643:AK651" si="595">AJ643</f>
        <v>4</v>
      </c>
      <c r="AL643" s="327">
        <v>3</v>
      </c>
      <c r="AM643" s="327">
        <f t="shared" si="583"/>
        <v>3</v>
      </c>
      <c r="AN643" s="327">
        <f>ROUND(AJ643*0.8,2)</f>
        <v>3.2</v>
      </c>
      <c r="AO643" s="327">
        <f t="shared" si="577"/>
        <v>3</v>
      </c>
      <c r="AP643" s="327">
        <v>4</v>
      </c>
      <c r="AQ643" s="327">
        <f t="shared" si="578"/>
        <v>6</v>
      </c>
      <c r="AR643" s="338"/>
      <c r="AS643" s="327">
        <f t="shared" si="592"/>
        <v>4</v>
      </c>
      <c r="AT643" s="327">
        <f t="shared" si="593"/>
        <v>4</v>
      </c>
      <c r="AU643" s="523">
        <v>4</v>
      </c>
      <c r="AV643" s="328"/>
      <c r="AW643" s="328"/>
      <c r="AX643" s="332">
        <v>4</v>
      </c>
      <c r="AY643" s="328" t="b">
        <f t="shared" si="594"/>
        <v>1</v>
      </c>
      <c r="AZ643" s="328" t="b">
        <f t="shared" si="526"/>
        <v>0</v>
      </c>
    </row>
    <row r="644" ht="27" customHeight="1" spans="1:52">
      <c r="A644" s="326" t="str">
        <f>INDEX('Rate Card'!$A:$A,MATCH(服务费底表!$T644,'Rate Card'!$F:$F,0))</f>
        <v>药物警戒</v>
      </c>
      <c r="B644" s="327" t="str">
        <f>INDEX(二三级标准!$G:$G,MATCH(服务费底表!$K644,二三级标准!B:B,0))</f>
        <v>份</v>
      </c>
      <c r="C644" s="327">
        <f>INDEX(服务费明细!$E:$E,MATCH(服务费底表!$K644,服务费明细!$B:$B,0))</f>
        <v>1</v>
      </c>
      <c r="D644" s="327" t="str">
        <f t="shared" si="584"/>
        <v>A142PVM</v>
      </c>
      <c r="E644" s="327" t="str">
        <f t="shared" si="585"/>
        <v>T0486PVM</v>
      </c>
      <c r="F644" s="328"/>
      <c r="G644" s="328" t="s">
        <v>684</v>
      </c>
      <c r="H644" s="326" t="str">
        <f>INDEX('Rate Card'!$B:$B,MATCH(服务费底表!$T644,'Rate Card'!$F:$F,0))</f>
        <v>药物警戒</v>
      </c>
      <c r="I644" s="328" t="s">
        <v>926</v>
      </c>
      <c r="J644" s="328" t="str">
        <f>INDEX(二三级标准!$Q:$Q,MATCH(服务费底表!I644,二三级标准!$O:$O,0))</f>
        <v>安全警戒</v>
      </c>
      <c r="K644" s="328" t="s">
        <v>389</v>
      </c>
      <c r="L644" s="328" t="str">
        <f>INDEX(二三级标准!C:C,MATCH(服务费底表!K644,二三级标准!$B:$B,0))</f>
        <v>DSUR撰写(中文)</v>
      </c>
      <c r="M644" s="328" t="s">
        <v>1660</v>
      </c>
      <c r="N644" s="328" t="str">
        <f>INDEX(二三级标准!$M:$M,MATCH(服务费底表!$M644,二三级标准!$L:$L,0))</f>
        <v>DSUR会议等形式的沟通</v>
      </c>
      <c r="O644" s="328"/>
      <c r="P644" s="531">
        <f>IF(R644=1,INDEX(服务费明细!$E:$E,MATCH(服务费底表!$K644,服务费明细!$B:$B,0)),0)</f>
        <v>1</v>
      </c>
      <c r="Q644" s="328" t="s">
        <v>1176</v>
      </c>
      <c r="R644" s="520">
        <f>IF(AND(DSUR撰写_中文YN=1,药物警戒YN=1),1,0)</f>
        <v>1</v>
      </c>
      <c r="S644" s="528" t="str">
        <f>INDEX('Rate Card'!$D:$D,MATCH(服务费底表!$T644,'Rate Card'!F:F,0))</f>
        <v>药物警戒</v>
      </c>
      <c r="T644" s="328" t="s">
        <v>620</v>
      </c>
      <c r="U644" s="522" t="str">
        <f>INDEX('Rate Card'!$E:$E,MATCH(服务费底表!$T644,'Rate Card'!$F:$F,0))</f>
        <v>药物警戒经理</v>
      </c>
      <c r="V644" s="331">
        <f>INDEX('Rate Card'!$J:$J,MATCH($T644,'Rate Card'!$F:$F,0))</f>
        <v>500</v>
      </c>
      <c r="W644" s="523">
        <f t="shared" si="571"/>
        <v>500</v>
      </c>
      <c r="X644" s="523">
        <f t="shared" si="572"/>
        <v>2</v>
      </c>
      <c r="Y644" s="327" cm="1">
        <f t="array" ref="Y644">_xlfn.IFS(报价场景=服务费底表!$AJ$2,服务费底表!$AJ644,报价场景=服务费底表!$AP$2,服务费底表!$AP644,报价场景=服务费底表!$AK$2,服务费底表!$AK644,报价场景=服务费底表!$AL$2,服务费底表!$AL644,报价场景=服务费底表!$AM$2,服务费底表!$AM644,报价场景=服务费底表!$AN$2,服务费底表!$AN644,报价场景=服务费底表!$AQ$2,服务费底表!$AQ644,报价场景=服务费底表!$AO$2,服务费底表!$AO644)</f>
        <v>2</v>
      </c>
      <c r="Z644" s="327"/>
      <c r="AA644" s="332">
        <f t="shared" si="591"/>
        <v>2</v>
      </c>
      <c r="AB644" s="333">
        <f t="shared" si="586"/>
        <v>1000</v>
      </c>
      <c r="AC644" s="328">
        <f t="shared" si="587"/>
        <v>2</v>
      </c>
      <c r="AD644" s="334">
        <f t="shared" si="588"/>
        <v>1000</v>
      </c>
      <c r="AE644" s="334">
        <f>$AB644*(1-INDEX(项目参数!$D$5:$D$14,MATCH(服务费底表!$S644,项目参数!$B$5:$B$14,0)))</f>
        <v>1000</v>
      </c>
      <c r="AF644" s="334">
        <f>$AD644*INDEX(项目参数!$D$5:$D$14,MATCH(服务费底表!$S644,项目参数!$B$5:$B$14,0))</f>
        <v>0</v>
      </c>
      <c r="AG644" s="334">
        <f t="shared" si="589"/>
        <v>1000</v>
      </c>
      <c r="AH644" s="328"/>
      <c r="AI644" s="328" t="s">
        <v>620</v>
      </c>
      <c r="AJ644" s="327">
        <v>2</v>
      </c>
      <c r="AK644" s="327">
        <f t="shared" si="595"/>
        <v>2</v>
      </c>
      <c r="AL644" s="327">
        <v>1.5</v>
      </c>
      <c r="AM644" s="327">
        <f t="shared" si="583"/>
        <v>1.5</v>
      </c>
      <c r="AN644" s="327">
        <f>ROUND(AJ644,2)</f>
        <v>2</v>
      </c>
      <c r="AO644" s="327">
        <f t="shared" si="577"/>
        <v>1.5</v>
      </c>
      <c r="AP644" s="327">
        <v>2</v>
      </c>
      <c r="AQ644" s="327">
        <f t="shared" si="578"/>
        <v>3</v>
      </c>
      <c r="AR644" s="338"/>
      <c r="AS644" s="327">
        <f t="shared" si="592"/>
        <v>2</v>
      </c>
      <c r="AT644" s="327">
        <f t="shared" si="593"/>
        <v>2</v>
      </c>
      <c r="AU644" s="523">
        <v>2</v>
      </c>
      <c r="AV644" s="328"/>
      <c r="AW644" s="328"/>
      <c r="AX644" s="332">
        <v>2</v>
      </c>
      <c r="AY644" s="328" t="b">
        <f t="shared" si="594"/>
        <v>1</v>
      </c>
      <c r="AZ644" s="328" t="b">
        <f t="shared" ref="AZ644:AZ707" si="596">IF(K644&lt;&gt;K643,IF(AZ643=TRUE,FALSE,TRUE),AZ643)</f>
        <v>0</v>
      </c>
    </row>
    <row r="645" ht="27" customHeight="1" spans="1:52">
      <c r="A645" s="326" t="str">
        <f>INDEX('Rate Card'!$A:$A,MATCH(服务费底表!$T645,'Rate Card'!$F:$F,0))</f>
        <v>药物警戒</v>
      </c>
      <c r="B645" s="327" t="str">
        <f>INDEX(二三级标准!$G:$G,MATCH(服务费底表!$K645,二三级标准!B:B,0))</f>
        <v>份</v>
      </c>
      <c r="C645" s="327">
        <f>INDEX(服务费明细!$E:$E,MATCH(服务费底表!$K645,服务费明细!$B:$B,0))</f>
        <v>1</v>
      </c>
      <c r="D645" s="327" t="str">
        <f t="shared" si="584"/>
        <v>A142PVP</v>
      </c>
      <c r="E645" s="327" t="str">
        <f t="shared" si="585"/>
        <v>T0486PVP</v>
      </c>
      <c r="F645" s="328"/>
      <c r="G645" s="328" t="s">
        <v>684</v>
      </c>
      <c r="H645" s="326" t="str">
        <f>INDEX('Rate Card'!$B:$B,MATCH(服务费底表!$T645,'Rate Card'!$F:$F,0))</f>
        <v>药物警戒</v>
      </c>
      <c r="I645" s="328" t="s">
        <v>926</v>
      </c>
      <c r="J645" s="328" t="str">
        <f>INDEX(二三级标准!$Q:$Q,MATCH(服务费底表!I645,二三级标准!$O:$O,0))</f>
        <v>安全警戒</v>
      </c>
      <c r="K645" s="328" t="s">
        <v>389</v>
      </c>
      <c r="L645" s="328" t="str">
        <f>INDEX(二三级标准!C:C,MATCH(服务费底表!K645,二三级标准!$B:$B,0))</f>
        <v>DSUR撰写(中文)</v>
      </c>
      <c r="M645" s="328" t="s">
        <v>1660</v>
      </c>
      <c r="N645" s="328" t="str">
        <f>INDEX(二三级标准!$M:$M,MATCH(服务费底表!$M645,二三级标准!$L:$L,0))</f>
        <v>DSUR会议等形式的沟通</v>
      </c>
      <c r="O645" s="328"/>
      <c r="P645" s="531">
        <f>IF(R645=1,INDEX(服务费明细!$E:$E,MATCH(服务费底表!$K645,服务费明细!$B:$B,0)),0)</f>
        <v>1</v>
      </c>
      <c r="Q645" s="328" t="s">
        <v>1176</v>
      </c>
      <c r="R645" s="520">
        <f>IF(AND(DSUR撰写_中文YN=1,药物警戒YN=1),1,0)</f>
        <v>1</v>
      </c>
      <c r="S645" s="528" t="str">
        <f>INDEX('Rate Card'!$D:$D,MATCH(服务费底表!$T645,'Rate Card'!F:F,0))</f>
        <v>药物警戒</v>
      </c>
      <c r="T645" s="328" t="s">
        <v>622</v>
      </c>
      <c r="U645" s="522" t="str">
        <f>INDEX('Rate Card'!$E:$E,MATCH(服务费底表!$T645,'Rate Card'!$F:$F,0))</f>
        <v>药物警戒医生</v>
      </c>
      <c r="V645" s="331">
        <f>INDEX('Rate Card'!$J:$J,MATCH($T645,'Rate Card'!$F:$F,0))</f>
        <v>700</v>
      </c>
      <c r="W645" s="523">
        <f t="shared" si="571"/>
        <v>700</v>
      </c>
      <c r="X645" s="523">
        <f t="shared" si="572"/>
        <v>2</v>
      </c>
      <c r="Y645" s="327" cm="1">
        <f t="array" ref="Y645">_xlfn.IFS(报价场景=服务费底表!$AJ$2,服务费底表!$AJ645,报价场景=服务费底表!$AP$2,服务费底表!$AP645,报价场景=服务费底表!$AK$2,服务费底表!$AK645,报价场景=服务费底表!$AL$2,服务费底表!$AL645,报价场景=服务费底表!$AM$2,服务费底表!$AM645,报价场景=服务费底表!$AN$2,服务费底表!$AN645,报价场景=服务费底表!$AQ$2,服务费底表!$AQ645,报价场景=服务费底表!$AO$2,服务费底表!$AO645)</f>
        <v>2</v>
      </c>
      <c r="Z645" s="327"/>
      <c r="AA645" s="332">
        <f t="shared" si="591"/>
        <v>2</v>
      </c>
      <c r="AB645" s="333">
        <f t="shared" si="586"/>
        <v>1400</v>
      </c>
      <c r="AC645" s="328">
        <f t="shared" si="587"/>
        <v>2</v>
      </c>
      <c r="AD645" s="334">
        <f t="shared" si="588"/>
        <v>1400</v>
      </c>
      <c r="AE645" s="334">
        <f>$AB645*(1-INDEX(项目参数!$D$5:$D$14,MATCH(服务费底表!$S645,项目参数!$B$5:$B$14,0)))</f>
        <v>1400</v>
      </c>
      <c r="AF645" s="334">
        <f>$AD645*INDEX(项目参数!$D$5:$D$14,MATCH(服务费底表!$S645,项目参数!$B$5:$B$14,0))</f>
        <v>0</v>
      </c>
      <c r="AG645" s="334">
        <f t="shared" si="589"/>
        <v>1400</v>
      </c>
      <c r="AH645" s="328"/>
      <c r="AI645" s="328" t="s">
        <v>622</v>
      </c>
      <c r="AJ645" s="327">
        <v>2</v>
      </c>
      <c r="AK645" s="327">
        <f t="shared" si="595"/>
        <v>2</v>
      </c>
      <c r="AL645" s="327">
        <v>1.5</v>
      </c>
      <c r="AM645" s="327">
        <f t="shared" si="583"/>
        <v>1.5</v>
      </c>
      <c r="AN645" s="327">
        <f>ROUND(AJ645,2)</f>
        <v>2</v>
      </c>
      <c r="AO645" s="327">
        <f t="shared" si="577"/>
        <v>1.5</v>
      </c>
      <c r="AP645" s="327">
        <v>2</v>
      </c>
      <c r="AQ645" s="327">
        <f t="shared" si="578"/>
        <v>3</v>
      </c>
      <c r="AR645" s="338"/>
      <c r="AS645" s="327">
        <f t="shared" si="592"/>
        <v>2</v>
      </c>
      <c r="AT645" s="327">
        <f t="shared" si="593"/>
        <v>2</v>
      </c>
      <c r="AU645" s="523">
        <v>2</v>
      </c>
      <c r="AV645" s="328"/>
      <c r="AW645" s="328"/>
      <c r="AX645" s="332">
        <v>2</v>
      </c>
      <c r="AY645" s="328" t="b">
        <f t="shared" si="594"/>
        <v>1</v>
      </c>
      <c r="AZ645" s="328" t="b">
        <f t="shared" si="596"/>
        <v>0</v>
      </c>
    </row>
    <row r="646" ht="27" customHeight="1" spans="1:52">
      <c r="A646" s="326" t="str">
        <f>INDEX('Rate Card'!$A:$A,MATCH(服务费底表!$T646,'Rate Card'!$F:$F,0))</f>
        <v>数统</v>
      </c>
      <c r="B646" s="327" t="str">
        <f>INDEX(二三级标准!$G:$G,MATCH(服务费底表!$K646,二三级标准!B:B,0))</f>
        <v>份</v>
      </c>
      <c r="C646" s="327">
        <f>INDEX(服务费明细!$E:$E,MATCH(服务费底表!$K646,服务费明细!$B:$B,0))</f>
        <v>1</v>
      </c>
      <c r="D646" s="327" t="str">
        <f t="shared" si="584"/>
        <v>A142LDM</v>
      </c>
      <c r="E646" s="327" t="str">
        <f t="shared" si="585"/>
        <v>T0487LDM</v>
      </c>
      <c r="F646" s="328"/>
      <c r="G646" s="328" t="s">
        <v>684</v>
      </c>
      <c r="H646" s="326" t="str">
        <f>INDEX('Rate Card'!$B:$B,MATCH(服务费底表!$T646,'Rate Card'!$F:$F,0))</f>
        <v>数据管理</v>
      </c>
      <c r="I646" s="328" t="s">
        <v>926</v>
      </c>
      <c r="J646" s="328" t="str">
        <f>INDEX(二三级标准!$Q:$Q,MATCH(服务费底表!I646,二三级标准!$O:$O,0))</f>
        <v>安全警戒</v>
      </c>
      <c r="K646" s="328" t="s">
        <v>389</v>
      </c>
      <c r="L646" s="328" t="str">
        <f>INDEX(二三级标准!C:C,MATCH(服务费底表!K646,二三级标准!$B:$B,0))</f>
        <v>DSUR撰写(中文)</v>
      </c>
      <c r="M646" s="328" t="s">
        <v>1661</v>
      </c>
      <c r="N646" s="328" t="str">
        <f>INDEX(二三级标准!$M:$M,MATCH(服务费底表!$M646,二三级标准!$L:$L,0))</f>
        <v>DSUR数据清理和导出提供</v>
      </c>
      <c r="O646" s="539"/>
      <c r="P646" s="531">
        <f>IF(R646=1,INDEX(服务费明细!$E:$E,MATCH(服务费底表!$K646,服务费明细!$B:$B,0)),0)</f>
        <v>1</v>
      </c>
      <c r="Q646" s="328" t="s">
        <v>1176</v>
      </c>
      <c r="R646" s="520">
        <f>IF(AND(DSUR撰写_中文YN=1,数据管理YN=1),1,0)</f>
        <v>1</v>
      </c>
      <c r="S646" s="524" t="str">
        <f>INDEX('Rate Card'!$D:$D,MATCH(服务费底表!$T646,'Rate Card'!F:F,0))</f>
        <v>数据管理</v>
      </c>
      <c r="T646" s="328" t="s">
        <v>633</v>
      </c>
      <c r="U646" s="522" t="str">
        <f>INDEX('Rate Card'!$E:$E,MATCH(服务费底表!$T646,'Rate Card'!$F:$F,0))</f>
        <v>数据管理经理</v>
      </c>
      <c r="V646" s="331">
        <f>INDEX('Rate Card'!$J:$J,MATCH($T646,'Rate Card'!$F:$F,0))</f>
        <v>360</v>
      </c>
      <c r="W646" s="523">
        <f t="shared" si="571"/>
        <v>360</v>
      </c>
      <c r="X646" s="523">
        <f t="shared" si="572"/>
        <v>2</v>
      </c>
      <c r="Y646" s="327" cm="1">
        <f t="array" ref="Y646">_xlfn.IFS(报价场景=服务费底表!$AJ$2,服务费底表!$AJ646,报价场景=服务费底表!$AP$2,服务费底表!$AP646,报价场景=服务费底表!$AK$2,服务费底表!$AK646,报价场景=服务费底表!$AL$2,服务费底表!$AL646,报价场景=服务费底表!$AM$2,服务费底表!$AM646,报价场景=服务费底表!$AN$2,服务费底表!$AN646,报价场景=服务费底表!$AQ$2,服务费底表!$AQ646,报价场景=服务费底表!$AO$2,服务费底表!$AO646)</f>
        <v>2</v>
      </c>
      <c r="Z646" s="327"/>
      <c r="AA646" s="332">
        <f t="shared" si="591"/>
        <v>2</v>
      </c>
      <c r="AB646" s="333">
        <f t="shared" si="586"/>
        <v>720</v>
      </c>
      <c r="AC646" s="328">
        <f t="shared" si="587"/>
        <v>2</v>
      </c>
      <c r="AD646" s="334">
        <f t="shared" si="588"/>
        <v>720</v>
      </c>
      <c r="AE646" s="334">
        <f>$AB646*(1-INDEX(项目参数!$D$5:$D$14,MATCH(服务费底表!$S646,项目参数!$B$5:$B$14,0)))</f>
        <v>720</v>
      </c>
      <c r="AF646" s="334">
        <f>$AD646*INDEX(项目参数!$D$5:$D$14,MATCH(服务费底表!$S646,项目参数!$B$5:$B$14,0))</f>
        <v>0</v>
      </c>
      <c r="AG646" s="334">
        <f t="shared" si="589"/>
        <v>720</v>
      </c>
      <c r="AH646" s="328"/>
      <c r="AI646" s="328" t="s">
        <v>633</v>
      </c>
      <c r="AJ646" s="327">
        <v>2</v>
      </c>
      <c r="AK646" s="327">
        <f t="shared" si="595"/>
        <v>2</v>
      </c>
      <c r="AL646" s="327">
        <v>2</v>
      </c>
      <c r="AM646" s="327">
        <v>2</v>
      </c>
      <c r="AN646" s="327">
        <v>2</v>
      </c>
      <c r="AO646" s="327">
        <f t="shared" si="577"/>
        <v>2</v>
      </c>
      <c r="AP646" s="327">
        <v>2</v>
      </c>
      <c r="AQ646" s="327">
        <f t="shared" si="578"/>
        <v>3</v>
      </c>
      <c r="AR646" s="338"/>
      <c r="AS646" s="328">
        <f t="shared" si="592"/>
        <v>2</v>
      </c>
      <c r="AT646" s="328">
        <f t="shared" si="593"/>
        <v>2</v>
      </c>
      <c r="AU646" s="523">
        <v>2</v>
      </c>
      <c r="AV646" s="328"/>
      <c r="AW646" s="328"/>
      <c r="AX646" s="332">
        <v>2</v>
      </c>
      <c r="AY646" s="328" t="b">
        <f t="shared" si="594"/>
        <v>1</v>
      </c>
      <c r="AZ646" s="328" t="b">
        <f t="shared" si="596"/>
        <v>0</v>
      </c>
    </row>
    <row r="647" ht="27" customHeight="1" spans="1:52">
      <c r="A647" s="326" t="str">
        <f>INDEX('Rate Card'!$A:$A,MATCH(服务费底表!$T647,'Rate Card'!$F:$F,0))</f>
        <v>药物警戒</v>
      </c>
      <c r="B647" s="327" t="str">
        <f>INDEX(二三级标准!$G:$G,MATCH(服务费底表!$K647,二三级标准!B:B,0))</f>
        <v>份</v>
      </c>
      <c r="C647" s="327">
        <f>INDEX(服务费明细!$E:$E,MATCH(服务费底表!$K647,服务费明细!$B:$B,0))</f>
        <v>1</v>
      </c>
      <c r="D647" s="327" t="str">
        <f t="shared" si="584"/>
        <v>A142PVM</v>
      </c>
      <c r="E647" s="327" t="str">
        <f t="shared" si="585"/>
        <v>T0488PVM</v>
      </c>
      <c r="F647" s="328"/>
      <c r="G647" s="328" t="s">
        <v>684</v>
      </c>
      <c r="H647" s="326" t="str">
        <f>INDEX('Rate Card'!$B:$B,MATCH(服务费底表!$T647,'Rate Card'!$F:$F,0))</f>
        <v>药物警戒</v>
      </c>
      <c r="I647" s="328" t="s">
        <v>926</v>
      </c>
      <c r="J647" s="328" t="str">
        <f>INDEX(二三级标准!$Q:$Q,MATCH(服务费底表!I647,二三级标准!$O:$O,0))</f>
        <v>安全警戒</v>
      </c>
      <c r="K647" s="328" t="s">
        <v>389</v>
      </c>
      <c r="L647" s="328" t="str">
        <f>INDEX(二三级标准!C:C,MATCH(服务费底表!K647,二三级标准!$B:$B,0))</f>
        <v>DSUR撰写(中文)</v>
      </c>
      <c r="M647" s="328" t="s">
        <v>1662</v>
      </c>
      <c r="N647" s="328" t="str">
        <f>INDEX(二三级标准!$M:$M,MATCH(服务费底表!$M647,二三级标准!$L:$L,0))</f>
        <v>DSUR撰写资料收集、整理、汇总</v>
      </c>
      <c r="O647" s="328"/>
      <c r="P647" s="531">
        <f>IF(R647=1,INDEX(服务费明细!$E:$E,MATCH(服务费底表!$K647,服务费明细!$B:$B,0)),0)</f>
        <v>1</v>
      </c>
      <c r="Q647" s="328" t="s">
        <v>1176</v>
      </c>
      <c r="R647" s="520">
        <f>IF(AND(DSUR撰写_中文YN=1,药物警戒YN=1),1,0)</f>
        <v>1</v>
      </c>
      <c r="S647" s="528" t="str">
        <f>INDEX('Rate Card'!$D:$D,MATCH(服务费底表!$T647,'Rate Card'!F:F,0))</f>
        <v>药物警戒</v>
      </c>
      <c r="T647" s="328" t="s">
        <v>620</v>
      </c>
      <c r="U647" s="522" t="str">
        <f>INDEX('Rate Card'!$E:$E,MATCH(服务费底表!$T647,'Rate Card'!$F:$F,0))</f>
        <v>药物警戒经理</v>
      </c>
      <c r="V647" s="331">
        <f>INDEX('Rate Card'!$J:$J,MATCH($T647,'Rate Card'!$F:$F,0))</f>
        <v>500</v>
      </c>
      <c r="W647" s="523">
        <f t="shared" si="571"/>
        <v>500</v>
      </c>
      <c r="X647" s="523">
        <f t="shared" si="572"/>
        <v>4</v>
      </c>
      <c r="Y647" s="327" cm="1">
        <f t="array" ref="Y647">_xlfn.IFS(报价场景=服务费底表!$AJ$2,服务费底表!$AJ647,报价场景=服务费底表!$AP$2,服务费底表!$AP647,报价场景=服务费底表!$AK$2,服务费底表!$AK647,报价场景=服务费底表!$AL$2,服务费底表!$AL647,报价场景=服务费底表!$AM$2,服务费底表!$AM647,报价场景=服务费底表!$AN$2,服务费底表!$AN647,报价场景=服务费底表!$AQ$2,服务费底表!$AQ647,报价场景=服务费底表!$AO$2,服务费底表!$AO647)</f>
        <v>4</v>
      </c>
      <c r="Z647" s="327"/>
      <c r="AA647" s="332">
        <f t="shared" si="591"/>
        <v>4</v>
      </c>
      <c r="AB647" s="333">
        <f t="shared" si="586"/>
        <v>2000</v>
      </c>
      <c r="AC647" s="328">
        <f t="shared" si="587"/>
        <v>4</v>
      </c>
      <c r="AD647" s="334">
        <f t="shared" si="588"/>
        <v>2000</v>
      </c>
      <c r="AE647" s="334">
        <f>$AB647*(1-INDEX(项目参数!$D$5:$D$14,MATCH(服务费底表!$S647,项目参数!$B$5:$B$14,0)))</f>
        <v>2000</v>
      </c>
      <c r="AF647" s="334">
        <f>$AD647*INDEX(项目参数!$D$5:$D$14,MATCH(服务费底表!$S647,项目参数!$B$5:$B$14,0))</f>
        <v>0</v>
      </c>
      <c r="AG647" s="334">
        <f t="shared" si="589"/>
        <v>2000</v>
      </c>
      <c r="AH647" s="328"/>
      <c r="AI647" s="328" t="s">
        <v>620</v>
      </c>
      <c r="AJ647" s="327">
        <v>4</v>
      </c>
      <c r="AK647" s="327">
        <f t="shared" si="595"/>
        <v>4</v>
      </c>
      <c r="AL647" s="327">
        <v>3</v>
      </c>
      <c r="AM647" s="327">
        <f t="shared" ref="AM647:AM651" si="597">AL647</f>
        <v>3</v>
      </c>
      <c r="AN647" s="327">
        <f t="shared" ref="AN647:AN651" si="598">ROUND(AJ647*0.8,2)</f>
        <v>3.2</v>
      </c>
      <c r="AO647" s="327">
        <f t="shared" si="577"/>
        <v>3</v>
      </c>
      <c r="AP647" s="327">
        <v>4</v>
      </c>
      <c r="AQ647" s="327">
        <f t="shared" si="578"/>
        <v>6</v>
      </c>
      <c r="AR647" s="338"/>
      <c r="AS647" s="327">
        <f t="shared" si="592"/>
        <v>4</v>
      </c>
      <c r="AT647" s="327">
        <f t="shared" si="593"/>
        <v>4</v>
      </c>
      <c r="AU647" s="523">
        <v>4</v>
      </c>
      <c r="AV647" s="328"/>
      <c r="AW647" s="328"/>
      <c r="AX647" s="332">
        <v>4</v>
      </c>
      <c r="AY647" s="328" t="b">
        <f t="shared" si="594"/>
        <v>1</v>
      </c>
      <c r="AZ647" s="328" t="b">
        <f t="shared" si="596"/>
        <v>0</v>
      </c>
    </row>
    <row r="648" ht="27" customHeight="1" spans="1:52">
      <c r="A648" s="326" t="str">
        <f>INDEX('Rate Card'!$A:$A,MATCH(服务费底表!$T648,'Rate Card'!$F:$F,0))</f>
        <v>数统</v>
      </c>
      <c r="B648" s="327" t="str">
        <f>INDEX(二三级标准!$G:$G,MATCH(服务费底表!$K648,二三级标准!B:B,0))</f>
        <v>份</v>
      </c>
      <c r="C648" s="327">
        <f>INDEX(服务费明细!$E:$E,MATCH(服务费底表!$K648,服务费明细!$B:$B,0))</f>
        <v>1</v>
      </c>
      <c r="D648" s="327" t="str">
        <f t="shared" si="584"/>
        <v>A142SA</v>
      </c>
      <c r="E648" s="327" t="str">
        <f t="shared" si="585"/>
        <v>T0492SA</v>
      </c>
      <c r="F648" s="328"/>
      <c r="G648" s="328" t="s">
        <v>684</v>
      </c>
      <c r="H648" s="326" t="str">
        <f>INDEX('Rate Card'!$B:$B,MATCH(服务费底表!$T648,'Rate Card'!$F:$F,0))</f>
        <v>生物统计及分析</v>
      </c>
      <c r="I648" s="328" t="s">
        <v>926</v>
      </c>
      <c r="J648" s="328" t="str">
        <f>INDEX(二三级标准!$Q:$Q,MATCH(服务费底表!I648,二三级标准!$O:$O,0))</f>
        <v>安全警戒</v>
      </c>
      <c r="K648" s="328" t="s">
        <v>389</v>
      </c>
      <c r="L648" s="328" t="str">
        <f>INDEX(二三级标准!C:C,MATCH(服务费底表!K648,二三级标准!$B:$B,0))</f>
        <v>DSUR撰写(中文)</v>
      </c>
      <c r="M648" s="328" t="s">
        <v>1663</v>
      </c>
      <c r="N648" s="328" t="str">
        <f>INDEX(二三级标准!$M:$M,MATCH(服务费底表!$M648,二三级标准!$L:$L,0))</f>
        <v>运行DSUR统计TFLs</v>
      </c>
      <c r="O648" s="539"/>
      <c r="P648" s="531">
        <f>IF(R648=1,DSUR数,0)</f>
        <v>1</v>
      </c>
      <c r="Q648" s="328" t="s">
        <v>1178</v>
      </c>
      <c r="R648" s="520">
        <f>IF(AND(DSUR撰写_中文YN=1,统计分析YN=1),1,0)</f>
        <v>1</v>
      </c>
      <c r="S648" s="524" t="str">
        <f>INDEX('Rate Card'!$D:$D,MATCH(服务费底表!$T648,'Rate Card'!F:F,0))</f>
        <v>统计分析</v>
      </c>
      <c r="T648" s="328" t="s">
        <v>635</v>
      </c>
      <c r="U648" s="522" t="str">
        <f>INDEX('Rate Card'!$E:$E,MATCH(服务费底表!$T648,'Rate Card'!$F:$F,0))</f>
        <v>统计分析师</v>
      </c>
      <c r="V648" s="331">
        <f>INDEX('Rate Card'!$J:$J,MATCH($T648,'Rate Card'!$F:$F,0))</f>
        <v>225</v>
      </c>
      <c r="W648" s="523">
        <f t="shared" si="571"/>
        <v>225</v>
      </c>
      <c r="X648" s="523">
        <f t="shared" si="572"/>
        <v>10</v>
      </c>
      <c r="Y648" s="327" cm="1">
        <f t="array" ref="Y648">_xlfn.IFS(报价场景=服务费底表!$AJ$2,服务费底表!$AJ648,报价场景=服务费底表!$AP$2,服务费底表!$AP648,报价场景=服务费底表!$AK$2,服务费底表!$AK648,报价场景=服务费底表!$AL$2,服务费底表!$AL648,报价场景=服务费底表!$AM$2,服务费底表!$AM648,报价场景=服务费底表!$AN$2,服务费底表!$AN648,报价场景=服务费底表!$AQ$2,服务费底表!$AQ648,报价场景=服务费底表!$AO$2,服务费底表!$AO648)</f>
        <v>10</v>
      </c>
      <c r="Z648" s="327"/>
      <c r="AA648" s="332">
        <f t="shared" si="591"/>
        <v>10</v>
      </c>
      <c r="AB648" s="333">
        <f t="shared" si="586"/>
        <v>2250</v>
      </c>
      <c r="AC648" s="328">
        <f t="shared" si="587"/>
        <v>10</v>
      </c>
      <c r="AD648" s="334">
        <f t="shared" si="588"/>
        <v>2250</v>
      </c>
      <c r="AE648" s="334">
        <f>$AB648*(1-INDEX(项目参数!$D$5:$D$14,MATCH(服务费底表!$S648,项目参数!$B$5:$B$14,0)))</f>
        <v>2250</v>
      </c>
      <c r="AF648" s="334">
        <f>$AD648*INDEX(项目参数!$D$5:$D$14,MATCH(服务费底表!$S648,项目参数!$B$5:$B$14,0))</f>
        <v>0</v>
      </c>
      <c r="AG648" s="334">
        <f t="shared" si="589"/>
        <v>2250</v>
      </c>
      <c r="AH648" s="328"/>
      <c r="AI648" s="328" t="s">
        <v>635</v>
      </c>
      <c r="AJ648" s="327">
        <v>10</v>
      </c>
      <c r="AK648" s="327">
        <f t="shared" si="595"/>
        <v>10</v>
      </c>
      <c r="AL648" s="327">
        <v>10</v>
      </c>
      <c r="AM648" s="327">
        <v>10</v>
      </c>
      <c r="AN648" s="327">
        <v>10</v>
      </c>
      <c r="AO648" s="327">
        <f t="shared" si="577"/>
        <v>10</v>
      </c>
      <c r="AP648" s="327">
        <v>10</v>
      </c>
      <c r="AQ648" s="327">
        <f t="shared" si="578"/>
        <v>15</v>
      </c>
      <c r="AR648" s="338"/>
      <c r="AS648" s="328">
        <f t="shared" si="592"/>
        <v>10</v>
      </c>
      <c r="AT648" s="328">
        <f t="shared" si="593"/>
        <v>10</v>
      </c>
      <c r="AU648" s="523">
        <v>10</v>
      </c>
      <c r="AV648" s="328"/>
      <c r="AW648" s="328"/>
      <c r="AX648" s="332">
        <v>10</v>
      </c>
      <c r="AY648" s="328" t="b">
        <f t="shared" si="594"/>
        <v>1</v>
      </c>
      <c r="AZ648" s="328" t="b">
        <f t="shared" si="596"/>
        <v>0</v>
      </c>
    </row>
    <row r="649" ht="27" customHeight="1" spans="1:52">
      <c r="A649" s="326" t="str">
        <f>INDEX('Rate Card'!$A:$A,MATCH(服务费底表!$T649,'Rate Card'!$F:$F,0))</f>
        <v>药物警戒</v>
      </c>
      <c r="B649" s="327" t="str">
        <f>INDEX(二三级标准!$G:$G,MATCH(服务费底表!$K649,二三级标准!B:B,0))</f>
        <v>份</v>
      </c>
      <c r="C649" s="327">
        <f>INDEX(服务费明细!$E:$E,MATCH(服务费底表!$K649,服务费明细!$B:$B,0))</f>
        <v>1</v>
      </c>
      <c r="D649" s="327" t="str">
        <f t="shared" si="584"/>
        <v>A142PVP</v>
      </c>
      <c r="E649" s="327" t="str">
        <f t="shared" si="585"/>
        <v>T0493PVP</v>
      </c>
      <c r="F649" s="328"/>
      <c r="G649" s="328" t="s">
        <v>684</v>
      </c>
      <c r="H649" s="326" t="str">
        <f>INDEX('Rate Card'!$B:$B,MATCH(服务费底表!$T649,'Rate Card'!$F:$F,0))</f>
        <v>药物警戒</v>
      </c>
      <c r="I649" s="328" t="s">
        <v>926</v>
      </c>
      <c r="J649" s="328" t="str">
        <f>INDEX(二三级标准!$Q:$Q,MATCH(服务费底表!I649,二三级标准!$O:$O,0))</f>
        <v>安全警戒</v>
      </c>
      <c r="K649" s="328" t="s">
        <v>389</v>
      </c>
      <c r="L649" s="328" t="str">
        <f>INDEX(二三级标准!C:C,MATCH(服务费底表!K649,二三级标准!$B:$B,0))</f>
        <v>DSUR撰写(中文)</v>
      </c>
      <c r="M649" s="328" t="s">
        <v>1664</v>
      </c>
      <c r="N649" s="328" t="str">
        <f>INDEX(二三级标准!$M:$M,MATCH(服务费底表!$M649,二三级标准!$L:$L,0))</f>
        <v>DSUR撰写</v>
      </c>
      <c r="O649" s="328"/>
      <c r="P649" s="531">
        <f>IF(R649=1,INDEX(服务费明细!$E:$E,MATCH(服务费底表!$K649,服务费明细!$B:$B,0)),0)</f>
        <v>1</v>
      </c>
      <c r="Q649" s="328" t="s">
        <v>1176</v>
      </c>
      <c r="R649" s="520">
        <f>IF(AND(DSUR撰写_中文YN=1,药物警戒YN=1),1,0)</f>
        <v>1</v>
      </c>
      <c r="S649" s="528" t="str">
        <f>INDEX('Rate Card'!$D:$D,MATCH(服务费底表!$T649,'Rate Card'!F:F,0))</f>
        <v>药物警戒</v>
      </c>
      <c r="T649" s="328" t="s">
        <v>622</v>
      </c>
      <c r="U649" s="522" t="str">
        <f>INDEX('Rate Card'!$E:$E,MATCH(服务费底表!$T649,'Rate Card'!$F:$F,0))</f>
        <v>药物警戒医生</v>
      </c>
      <c r="V649" s="331">
        <f>INDEX('Rate Card'!$J:$J,MATCH($T649,'Rate Card'!$F:$F,0))</f>
        <v>700</v>
      </c>
      <c r="W649" s="523">
        <f t="shared" si="571"/>
        <v>700</v>
      </c>
      <c r="X649" s="523">
        <f t="shared" si="572"/>
        <v>48</v>
      </c>
      <c r="Y649" s="327" cm="1">
        <f t="array" ref="Y649">_xlfn.IFS(报价场景=服务费底表!$AJ$2,服务费底表!$AJ649,报价场景=服务费底表!$AP$2,服务费底表!$AP649,报价场景=服务费底表!$AK$2,服务费底表!$AK649,报价场景=服务费底表!$AL$2,服务费底表!$AL649,报价场景=服务费底表!$AM$2,服务费底表!$AM649,报价场景=服务费底表!$AN$2,服务费底表!$AN649,报价场景=服务费底表!$AQ$2,服务费底表!$AQ649,报价场景=服务费底表!$AO$2,服务费底表!$AO649)</f>
        <v>48</v>
      </c>
      <c r="Z649" s="327"/>
      <c r="AA649" s="332">
        <f t="shared" si="591"/>
        <v>48</v>
      </c>
      <c r="AB649" s="333">
        <f t="shared" si="586"/>
        <v>33600</v>
      </c>
      <c r="AC649" s="328">
        <f t="shared" si="587"/>
        <v>48</v>
      </c>
      <c r="AD649" s="334">
        <f t="shared" si="588"/>
        <v>33600</v>
      </c>
      <c r="AE649" s="334">
        <f>$AB649*(1-INDEX(项目参数!$D$5:$D$14,MATCH(服务费底表!$S649,项目参数!$B$5:$B$14,0)))</f>
        <v>33600</v>
      </c>
      <c r="AF649" s="334">
        <f>$AD649*INDEX(项目参数!$D$5:$D$14,MATCH(服务费底表!$S649,项目参数!$B$5:$B$14,0))</f>
        <v>0</v>
      </c>
      <c r="AG649" s="334">
        <f t="shared" si="589"/>
        <v>33600</v>
      </c>
      <c r="AH649" s="328"/>
      <c r="AI649" s="328" t="s">
        <v>622</v>
      </c>
      <c r="AJ649" s="327">
        <v>48</v>
      </c>
      <c r="AK649" s="327">
        <f t="shared" si="595"/>
        <v>48</v>
      </c>
      <c r="AL649" s="327">
        <v>34</v>
      </c>
      <c r="AM649" s="327">
        <f t="shared" si="597"/>
        <v>34</v>
      </c>
      <c r="AN649" s="327">
        <f t="shared" si="598"/>
        <v>38.4</v>
      </c>
      <c r="AO649" s="327">
        <f t="shared" si="577"/>
        <v>34</v>
      </c>
      <c r="AP649" s="327">
        <v>48</v>
      </c>
      <c r="AQ649" s="327">
        <f t="shared" si="578"/>
        <v>72</v>
      </c>
      <c r="AR649" s="338"/>
      <c r="AS649" s="327">
        <f t="shared" si="592"/>
        <v>48</v>
      </c>
      <c r="AT649" s="327">
        <f t="shared" si="593"/>
        <v>48</v>
      </c>
      <c r="AU649" s="523">
        <v>48</v>
      </c>
      <c r="AV649" s="328"/>
      <c r="AW649" s="328"/>
      <c r="AX649" s="332">
        <v>48</v>
      </c>
      <c r="AY649" s="328" t="b">
        <f t="shared" si="594"/>
        <v>1</v>
      </c>
      <c r="AZ649" s="328" t="b">
        <f t="shared" si="596"/>
        <v>0</v>
      </c>
    </row>
    <row r="650" ht="27" customHeight="1" spans="1:52">
      <c r="A650" s="326" t="str">
        <f>INDEX('Rate Card'!$A:$A,MATCH(服务费底表!$T650,'Rate Card'!$F:$F,0))</f>
        <v>药物警戒</v>
      </c>
      <c r="B650" s="327" t="str">
        <f>INDEX(二三级标准!$G:$G,MATCH(服务费底表!$K650,二三级标准!B:B,0))</f>
        <v>份</v>
      </c>
      <c r="C650" s="327">
        <f>INDEX(服务费明细!$E:$E,MATCH(服务费底表!$K650,服务费明细!$B:$B,0))</f>
        <v>1</v>
      </c>
      <c r="D650" s="327" t="str">
        <f t="shared" si="584"/>
        <v>A142PVM</v>
      </c>
      <c r="E650" s="327" t="str">
        <f t="shared" si="585"/>
        <v>T0494PVM</v>
      </c>
      <c r="F650" s="328"/>
      <c r="G650" s="328" t="s">
        <v>684</v>
      </c>
      <c r="H650" s="326" t="str">
        <f>INDEX('Rate Card'!$B:$B,MATCH(服务费底表!$T650,'Rate Card'!$F:$F,0))</f>
        <v>药物警戒</v>
      </c>
      <c r="I650" s="328" t="s">
        <v>926</v>
      </c>
      <c r="J650" s="328" t="str">
        <f>INDEX(二三级标准!$Q:$Q,MATCH(服务费底表!I650,二三级标准!$O:$O,0))</f>
        <v>安全警戒</v>
      </c>
      <c r="K650" s="328" t="s">
        <v>389</v>
      </c>
      <c r="L650" s="328" t="str">
        <f>INDEX(二三级标准!C:C,MATCH(服务费底表!K650,二三级标准!$B:$B,0))</f>
        <v>DSUR撰写(中文)</v>
      </c>
      <c r="M650" s="328" t="s">
        <v>1665</v>
      </c>
      <c r="N650" s="328" t="str">
        <f>INDEX(二三级标准!$M:$M,MATCH(服务费底表!$M650,二三级标准!$L:$L,0))</f>
        <v>DSUR质量控制和审核</v>
      </c>
      <c r="O650" s="328"/>
      <c r="P650" s="531">
        <f>IF(R650=1,INDEX(服务费明细!$E:$E,MATCH(服务费底表!$K650,服务费明细!$B:$B,0)),0)</f>
        <v>1</v>
      </c>
      <c r="Q650" s="328" t="s">
        <v>1176</v>
      </c>
      <c r="R650" s="520">
        <f>IF(AND(DSUR撰写_中文YN=1,药物警戒YN=1),1,0)</f>
        <v>1</v>
      </c>
      <c r="S650" s="528" t="str">
        <f>INDEX('Rate Card'!$D:$D,MATCH(服务费底表!$T650,'Rate Card'!F:F,0))</f>
        <v>药物警戒</v>
      </c>
      <c r="T650" s="328" t="s">
        <v>620</v>
      </c>
      <c r="U650" s="522" t="str">
        <f>INDEX('Rate Card'!$E:$E,MATCH(服务费底表!$T650,'Rate Card'!$F:$F,0))</f>
        <v>药物警戒经理</v>
      </c>
      <c r="V650" s="331">
        <f>INDEX('Rate Card'!$J:$J,MATCH($T650,'Rate Card'!$F:$F,0))</f>
        <v>500</v>
      </c>
      <c r="W650" s="523">
        <f t="shared" si="571"/>
        <v>500</v>
      </c>
      <c r="X650" s="523">
        <f t="shared" si="572"/>
        <v>16</v>
      </c>
      <c r="Y650" s="327" cm="1">
        <f t="array" ref="Y650">_xlfn.IFS(报价场景=服务费底表!$AJ$2,服务费底表!$AJ650,报价场景=服务费底表!$AP$2,服务费底表!$AP650,报价场景=服务费底表!$AK$2,服务费底表!$AK650,报价场景=服务费底表!$AL$2,服务费底表!$AL650,报价场景=服务费底表!$AM$2,服务费底表!$AM650,报价场景=服务费底表!$AN$2,服务费底表!$AN650,报价场景=服务费底表!$AQ$2,服务费底表!$AQ650,报价场景=服务费底表!$AO$2,服务费底表!$AO650)</f>
        <v>16</v>
      </c>
      <c r="Z650" s="327"/>
      <c r="AA650" s="332">
        <f t="shared" si="591"/>
        <v>16</v>
      </c>
      <c r="AB650" s="333">
        <f t="shared" si="586"/>
        <v>8000</v>
      </c>
      <c r="AC650" s="328">
        <f t="shared" si="587"/>
        <v>16</v>
      </c>
      <c r="AD650" s="334">
        <f t="shared" si="588"/>
        <v>8000</v>
      </c>
      <c r="AE650" s="334">
        <f>$AB650*(1-INDEX(项目参数!$D$5:$D$14,MATCH(服务费底表!$S650,项目参数!$B$5:$B$14,0)))</f>
        <v>8000</v>
      </c>
      <c r="AF650" s="334">
        <f>$AD650*INDEX(项目参数!$D$5:$D$14,MATCH(服务费底表!$S650,项目参数!$B$5:$B$14,0))</f>
        <v>0</v>
      </c>
      <c r="AG650" s="334">
        <f t="shared" si="589"/>
        <v>8000</v>
      </c>
      <c r="AH650" s="328"/>
      <c r="AI650" s="328" t="s">
        <v>620</v>
      </c>
      <c r="AJ650" s="327">
        <v>16</v>
      </c>
      <c r="AK650" s="327">
        <f t="shared" si="595"/>
        <v>16</v>
      </c>
      <c r="AL650" s="327">
        <v>11</v>
      </c>
      <c r="AM650" s="327">
        <f t="shared" si="597"/>
        <v>11</v>
      </c>
      <c r="AN650" s="327">
        <f t="shared" si="598"/>
        <v>12.8</v>
      </c>
      <c r="AO650" s="327">
        <f t="shared" si="577"/>
        <v>11</v>
      </c>
      <c r="AP650" s="327">
        <v>16</v>
      </c>
      <c r="AQ650" s="327">
        <f t="shared" si="578"/>
        <v>24</v>
      </c>
      <c r="AR650" s="338"/>
      <c r="AS650" s="327">
        <f t="shared" si="592"/>
        <v>16</v>
      </c>
      <c r="AT650" s="327">
        <f t="shared" si="593"/>
        <v>16</v>
      </c>
      <c r="AU650" s="523">
        <v>16</v>
      </c>
      <c r="AV650" s="328"/>
      <c r="AW650" s="328"/>
      <c r="AX650" s="332">
        <v>16</v>
      </c>
      <c r="AY650" s="328" t="b">
        <f t="shared" si="594"/>
        <v>1</v>
      </c>
      <c r="AZ650" s="328" t="b">
        <f t="shared" si="596"/>
        <v>0</v>
      </c>
    </row>
    <row r="651" ht="27" customHeight="1" spans="1:52">
      <c r="A651" s="326" t="str">
        <f>INDEX('Rate Card'!$A:$A,MATCH(服务费底表!$T651,'Rate Card'!$F:$F,0))</f>
        <v>药物警戒</v>
      </c>
      <c r="B651" s="327" t="str">
        <f>INDEX(二三级标准!$G:$G,MATCH(服务费底表!$K651,二三级标准!B:B,0))</f>
        <v>份</v>
      </c>
      <c r="C651" s="327">
        <f>INDEX(服务费明细!$E:$E,MATCH(服务费底表!$K651,服务费明细!$B:$B,0))</f>
        <v>1</v>
      </c>
      <c r="D651" s="327" t="str">
        <f t="shared" si="584"/>
        <v>A142PVP</v>
      </c>
      <c r="E651" s="327" t="str">
        <f t="shared" si="585"/>
        <v>T0489PVP</v>
      </c>
      <c r="F651" s="328"/>
      <c r="G651" s="328" t="s">
        <v>684</v>
      </c>
      <c r="H651" s="326" t="str">
        <f>INDEX('Rate Card'!$B:$B,MATCH(服务费底表!$T651,'Rate Card'!$F:$F,0))</f>
        <v>药物警戒</v>
      </c>
      <c r="I651" s="328" t="s">
        <v>926</v>
      </c>
      <c r="J651" s="328" t="str">
        <f>INDEX(二三级标准!$Q:$Q,MATCH(服务费底表!I651,二三级标准!$O:$O,0))</f>
        <v>安全警戒</v>
      </c>
      <c r="K651" s="328" t="s">
        <v>389</v>
      </c>
      <c r="L651" s="328" t="str">
        <f>INDEX(二三级标准!C:C,MATCH(服务费底表!K651,二三级标准!$B:$B,0))</f>
        <v>DSUR撰写(中文)</v>
      </c>
      <c r="M651" s="328" t="s">
        <v>1666</v>
      </c>
      <c r="N651" s="328" t="str">
        <f>INDEX(二三级标准!$M:$M,MATCH(服务费底表!$M651,二三级标准!$L:$L,0))</f>
        <v>DSUR文献检索</v>
      </c>
      <c r="O651" s="328"/>
      <c r="P651" s="531">
        <f>IF(R651=1,INDEX(服务费明细!$E:$E,MATCH(服务费底表!$K651,服务费明细!$B:$B,0)),0)</f>
        <v>1</v>
      </c>
      <c r="Q651" s="328" t="s">
        <v>1176</v>
      </c>
      <c r="R651" s="520">
        <f>IF(AND(DSUR撰写_中文YN=1,药物警戒YN=1),1,0)</f>
        <v>1</v>
      </c>
      <c r="S651" s="528" t="str">
        <f>INDEX('Rate Card'!$D:$D,MATCH(服务费底表!$T651,'Rate Card'!F:F,0))</f>
        <v>药物警戒</v>
      </c>
      <c r="T651" s="328" t="s">
        <v>622</v>
      </c>
      <c r="U651" s="522" t="str">
        <f>INDEX('Rate Card'!$E:$E,MATCH(服务费底表!$T651,'Rate Card'!$F:$F,0))</f>
        <v>药物警戒医生</v>
      </c>
      <c r="V651" s="331">
        <f>INDEX('Rate Card'!$J:$J,MATCH($T651,'Rate Card'!$F:$F,0))</f>
        <v>700</v>
      </c>
      <c r="W651" s="523">
        <f t="shared" si="571"/>
        <v>700</v>
      </c>
      <c r="X651" s="523">
        <f t="shared" si="572"/>
        <v>12</v>
      </c>
      <c r="Y651" s="327" cm="1">
        <f t="array" ref="Y651">_xlfn.IFS(报价场景=服务费底表!$AJ$2,服务费底表!$AJ651,报价场景=服务费底表!$AP$2,服务费底表!$AP651,报价场景=服务费底表!$AK$2,服务费底表!$AK651,报价场景=服务费底表!$AL$2,服务费底表!$AL651,报价场景=服务费底表!$AM$2,服务费底表!$AM651,报价场景=服务费底表!$AN$2,服务费底表!$AN651,报价场景=服务费底表!$AQ$2,服务费底表!$AQ651,报价场景=服务费底表!$AO$2,服务费底表!$AO651)</f>
        <v>12</v>
      </c>
      <c r="Z651" s="327"/>
      <c r="AA651" s="332">
        <f t="shared" si="591"/>
        <v>12</v>
      </c>
      <c r="AB651" s="333">
        <f t="shared" si="586"/>
        <v>8400</v>
      </c>
      <c r="AC651" s="328">
        <f t="shared" si="587"/>
        <v>12</v>
      </c>
      <c r="AD651" s="334">
        <f t="shared" si="588"/>
        <v>8400</v>
      </c>
      <c r="AE651" s="334">
        <f>$AB651*(1-INDEX(项目参数!$D$5:$D$14,MATCH(服务费底表!$S651,项目参数!$B$5:$B$14,0)))</f>
        <v>8400</v>
      </c>
      <c r="AF651" s="334">
        <f>$AD651*INDEX(项目参数!$D$5:$D$14,MATCH(服务费底表!$S651,项目参数!$B$5:$B$14,0))</f>
        <v>0</v>
      </c>
      <c r="AG651" s="334">
        <f t="shared" si="589"/>
        <v>8400</v>
      </c>
      <c r="AH651" s="328"/>
      <c r="AI651" s="328" t="s">
        <v>622</v>
      </c>
      <c r="AJ651" s="327">
        <v>12</v>
      </c>
      <c r="AK651" s="327">
        <f t="shared" si="595"/>
        <v>12</v>
      </c>
      <c r="AL651" s="327">
        <v>11</v>
      </c>
      <c r="AM651" s="327">
        <f t="shared" si="597"/>
        <v>11</v>
      </c>
      <c r="AN651" s="327">
        <f t="shared" si="598"/>
        <v>9.6</v>
      </c>
      <c r="AO651" s="327">
        <f t="shared" si="577"/>
        <v>11</v>
      </c>
      <c r="AP651" s="327">
        <v>12</v>
      </c>
      <c r="AQ651" s="327">
        <f t="shared" si="578"/>
        <v>18</v>
      </c>
      <c r="AR651" s="338"/>
      <c r="AS651" s="327">
        <f t="shared" si="592"/>
        <v>12</v>
      </c>
      <c r="AT651" s="327">
        <f t="shared" si="593"/>
        <v>12</v>
      </c>
      <c r="AU651" s="523">
        <v>12</v>
      </c>
      <c r="AV651" s="328"/>
      <c r="AW651" s="328"/>
      <c r="AX651" s="332">
        <v>12</v>
      </c>
      <c r="AY651" s="328" t="b">
        <f t="shared" si="594"/>
        <v>1</v>
      </c>
      <c r="AZ651" s="328" t="b">
        <f t="shared" si="596"/>
        <v>0</v>
      </c>
    </row>
    <row r="652" ht="27" customHeight="1" spans="1:52">
      <c r="A652" s="326" t="str">
        <f>INDEX('Rate Card'!$A:$A,MATCH(服务费底表!$T652,'Rate Card'!$F:$F,0))</f>
        <v>药物警戒</v>
      </c>
      <c r="B652" s="327" t="str">
        <f>INDEX(二三级标准!$G:$G,MATCH(服务费底表!$K652,二三级标准!B:B,0))</f>
        <v>份</v>
      </c>
      <c r="C652" s="327">
        <f>INDEX(服务费明细!$E:$E,MATCH(服务费底表!$K652,服务费明细!$B:$B,0))</f>
        <v>0</v>
      </c>
      <c r="D652" s="327" t="str">
        <f t="shared" ref="D652:D671" si="599">K652&amp;T652</f>
        <v>A143PVM</v>
      </c>
      <c r="E652" s="327" t="str">
        <f t="shared" ref="E652:E671" si="600">M652&amp;T652</f>
        <v>T0496PVM</v>
      </c>
      <c r="F652" s="328"/>
      <c r="G652" s="328" t="s">
        <v>684</v>
      </c>
      <c r="H652" s="326" t="str">
        <f>INDEX('Rate Card'!$B:$B,MATCH(服务费底表!$T652,'Rate Card'!$F:$F,0))</f>
        <v>药物警戒</v>
      </c>
      <c r="I652" s="328" t="s">
        <v>926</v>
      </c>
      <c r="J652" s="328" t="str">
        <f>INDEX(二三级标准!$Q:$Q,MATCH(服务费底表!I652,二三级标准!$O:$O,0))</f>
        <v>安全警戒</v>
      </c>
      <c r="K652" s="328" t="s">
        <v>392</v>
      </c>
      <c r="L652" s="328" t="str">
        <f>INDEX(二三级标准!C:C,MATCH(服务费底表!K652,二三级标准!$B:$B,0))</f>
        <v>DSUR撰写(英文)</v>
      </c>
      <c r="M652" s="328" t="s">
        <v>1667</v>
      </c>
      <c r="N652" s="328" t="str">
        <f>INDEX(二三级标准!$M:$M,MATCH(服务费底表!$M652,二三级标准!$L:$L,0))</f>
        <v>DSUR汉译英翻译</v>
      </c>
      <c r="O652" s="328"/>
      <c r="P652" s="531">
        <f>IF(R652=1,INDEX(服务费明细!$E:$E,MATCH(服务费底表!$K652,服务费明细!$B:$B,0)),0)</f>
        <v>0</v>
      </c>
      <c r="Q652" s="328" t="s">
        <v>1176</v>
      </c>
      <c r="R652" s="520">
        <f>IF(AND(DSUR撰写英文YN=1,药物警戒YN=1),1,0)</f>
        <v>0</v>
      </c>
      <c r="S652" s="528" t="str">
        <f>INDEX('Rate Card'!$D:$D,MATCH(服务费底表!$T652,'Rate Card'!F:F,0))</f>
        <v>药物警戒</v>
      </c>
      <c r="T652" s="328" t="s">
        <v>620</v>
      </c>
      <c r="U652" s="522" t="str">
        <f>INDEX('Rate Card'!$E:$E,MATCH(服务费底表!$T652,'Rate Card'!$F:$F,0))</f>
        <v>药物警戒经理</v>
      </c>
      <c r="V652" s="331">
        <f>INDEX('Rate Card'!$J:$J,MATCH($T652,'Rate Card'!$F:$F,0))</f>
        <v>500</v>
      </c>
      <c r="W652" s="523">
        <f t="shared" si="571"/>
        <v>500</v>
      </c>
      <c r="X652" s="523">
        <f t="shared" si="572"/>
        <v>16</v>
      </c>
      <c r="Y652" s="327" cm="1">
        <f t="array" ref="Y652">_xlfn.IFS(报价场景=服务费底表!$AJ$2,服务费底表!$AJ652,报价场景=服务费底表!$AP$2,服务费底表!$AP652,报价场景=服务费底表!$AK$2,服务费底表!$AK652,报价场景=服务费底表!$AL$2,服务费底表!$AL652,报价场景=服务费底表!$AM$2,服务费底表!$AM652,报价场景=服务费底表!$AN$2,服务费底表!$AN652,报价场景=服务费底表!$AQ$2,服务费底表!$AQ652,报价场景=服务费底表!$AO$2,服务费底表!$AO652)</f>
        <v>16</v>
      </c>
      <c r="Z652" s="327"/>
      <c r="AA652" s="332">
        <f t="shared" si="591"/>
        <v>16</v>
      </c>
      <c r="AB652" s="333">
        <f t="shared" ref="AB652:AB671" si="601">IFERROR(AD652/P652,0)</f>
        <v>0</v>
      </c>
      <c r="AC652" s="328">
        <f t="shared" ref="AC652:AC671" si="602">AA652*P652*R652</f>
        <v>0</v>
      </c>
      <c r="AD652" s="334">
        <f t="shared" ref="AD652:AD670" si="603">AC652*V652</f>
        <v>0</v>
      </c>
      <c r="AE652" s="334">
        <f>$AB652*(1-INDEX(项目参数!$D$5:$D$14,MATCH(服务费底表!$S652,项目参数!$B$5:$B$14,0)))</f>
        <v>0</v>
      </c>
      <c r="AF652" s="334">
        <f>$AD652*INDEX(项目参数!$D$5:$D$14,MATCH(服务费底表!$S652,项目参数!$B$5:$B$14,0))</f>
        <v>0</v>
      </c>
      <c r="AG652" s="334">
        <f t="shared" ref="AG652:AG675" si="604">AD652-AF652</f>
        <v>0</v>
      </c>
      <c r="AH652" s="328"/>
      <c r="AI652" s="328" t="s">
        <v>620</v>
      </c>
      <c r="AJ652" s="327">
        <v>16</v>
      </c>
      <c r="AK652" s="327">
        <f t="shared" ref="AK652:AK661" si="605">AJ652*1.5</f>
        <v>24</v>
      </c>
      <c r="AL652" s="327">
        <f>AJ652*0.7</f>
        <v>11.2</v>
      </c>
      <c r="AM652" s="327">
        <f t="shared" ref="AM652:AM661" si="606">AL652</f>
        <v>11.2</v>
      </c>
      <c r="AN652" s="327">
        <f t="shared" ref="AN652:AN661" si="607">ROUND(AJ652*0.8,2)</f>
        <v>12.8</v>
      </c>
      <c r="AO652" s="327">
        <f t="shared" si="577"/>
        <v>11.2</v>
      </c>
      <c r="AP652" s="327">
        <v>16</v>
      </c>
      <c r="AQ652" s="327">
        <f t="shared" si="578"/>
        <v>24</v>
      </c>
      <c r="AR652" s="338"/>
      <c r="AS652" s="327">
        <f t="shared" ref="AS652:AS672" si="608">AC652</f>
        <v>0</v>
      </c>
      <c r="AT652" s="327">
        <f t="shared" ref="AT652:AT672" si="609">Y652*P652</f>
        <v>0</v>
      </c>
      <c r="AU652" s="523">
        <v>16</v>
      </c>
      <c r="AV652" s="328"/>
      <c r="AW652" s="328"/>
      <c r="AX652" s="332">
        <v>16</v>
      </c>
      <c r="AY652" s="328" t="b">
        <f t="shared" ref="AY652:AY672" si="610">IF(AX652=AJ652,TRUE,FALSE)</f>
        <v>1</v>
      </c>
      <c r="AZ652" s="328" t="b">
        <f t="shared" si="596"/>
        <v>1</v>
      </c>
    </row>
    <row r="653" ht="27" customHeight="1" spans="1:52">
      <c r="A653" s="326" t="str">
        <f>INDEX('Rate Card'!$A:$A,MATCH(服务费底表!$T653,'Rate Card'!$F:$F,0))</f>
        <v>药物警戒</v>
      </c>
      <c r="B653" s="327" t="str">
        <f>INDEX(二三级标准!$G:$G,MATCH(服务费底表!$K653,二三级标准!B:B,0))</f>
        <v>份</v>
      </c>
      <c r="C653" s="327">
        <f>INDEX(服务费明细!$E:$E,MATCH(服务费底表!$K653,服务费明细!$B:$B,0))</f>
        <v>0</v>
      </c>
      <c r="D653" s="327" t="str">
        <f t="shared" si="599"/>
        <v>A143PVP</v>
      </c>
      <c r="E653" s="327" t="str">
        <f t="shared" si="600"/>
        <v>T0496PVP</v>
      </c>
      <c r="F653" s="328"/>
      <c r="G653" s="328" t="s">
        <v>684</v>
      </c>
      <c r="H653" s="326" t="str">
        <f>INDEX('Rate Card'!$B:$B,MATCH(服务费底表!$T653,'Rate Card'!$F:$F,0))</f>
        <v>药物警戒</v>
      </c>
      <c r="I653" s="328" t="s">
        <v>926</v>
      </c>
      <c r="J653" s="328" t="str">
        <f>INDEX(二三级标准!$Q:$Q,MATCH(服务费底表!I653,二三级标准!$O:$O,0))</f>
        <v>安全警戒</v>
      </c>
      <c r="K653" s="328" t="s">
        <v>392</v>
      </c>
      <c r="L653" s="328" t="str">
        <f>INDEX(二三级标准!C:C,MATCH(服务费底表!K653,二三级标准!$B:$B,0))</f>
        <v>DSUR撰写(英文)</v>
      </c>
      <c r="M653" s="328" t="s">
        <v>1667</v>
      </c>
      <c r="N653" s="328" t="str">
        <f>INDEX(二三级标准!$M:$M,MATCH(服务费底表!$M653,二三级标准!$L:$L,0))</f>
        <v>DSUR汉译英翻译</v>
      </c>
      <c r="O653" s="328"/>
      <c r="P653" s="531">
        <f>IF(R653=1,INDEX(服务费明细!$E:$E,MATCH(服务费底表!$K653,服务费明细!$B:$B,0)),0)</f>
        <v>0</v>
      </c>
      <c r="Q653" s="328" t="s">
        <v>1176</v>
      </c>
      <c r="R653" s="520">
        <f>IF(AND(DSUR撰写英文YN=1,药物警戒YN=1),1,0)</f>
        <v>0</v>
      </c>
      <c r="S653" s="528" t="str">
        <f>INDEX('Rate Card'!$D:$D,MATCH(服务费底表!$T653,'Rate Card'!F:F,0))</f>
        <v>药物警戒</v>
      </c>
      <c r="T653" s="328" t="s">
        <v>622</v>
      </c>
      <c r="U653" s="522" t="str">
        <f>INDEX('Rate Card'!$E:$E,MATCH(服务费底表!$T653,'Rate Card'!$F:$F,0))</f>
        <v>药物警戒医生</v>
      </c>
      <c r="V653" s="331">
        <f>INDEX('Rate Card'!$J:$J,MATCH($T653,'Rate Card'!$F:$F,0))</f>
        <v>700</v>
      </c>
      <c r="W653" s="523">
        <f t="shared" si="571"/>
        <v>700</v>
      </c>
      <c r="X653" s="523">
        <f t="shared" si="572"/>
        <v>8</v>
      </c>
      <c r="Y653" s="327" cm="1">
        <f t="array" ref="Y653">_xlfn.IFS(报价场景=服务费底表!$AJ$2,服务费底表!$AJ653,报价场景=服务费底表!$AP$2,服务费底表!$AP653,报价场景=服务费底表!$AK$2,服务费底表!$AK653,报价场景=服务费底表!$AL$2,服务费底表!$AL653,报价场景=服务费底表!$AM$2,服务费底表!$AM653,报价场景=服务费底表!$AN$2,服务费底表!$AN653,报价场景=服务费底表!$AQ$2,服务费底表!$AQ653,报价场景=服务费底表!$AO$2,服务费底表!$AO653)</f>
        <v>8</v>
      </c>
      <c r="Z653" s="327"/>
      <c r="AA653" s="332">
        <f t="shared" si="591"/>
        <v>8</v>
      </c>
      <c r="AB653" s="333">
        <f t="shared" si="601"/>
        <v>0</v>
      </c>
      <c r="AC653" s="328">
        <f t="shared" si="602"/>
        <v>0</v>
      </c>
      <c r="AD653" s="334">
        <f t="shared" si="603"/>
        <v>0</v>
      </c>
      <c r="AE653" s="334">
        <f>$AB653*(1-INDEX(项目参数!$D$5:$D$14,MATCH(服务费底表!$S653,项目参数!$B$5:$B$14,0)))</f>
        <v>0</v>
      </c>
      <c r="AF653" s="334">
        <f>$AD653*INDEX(项目参数!$D$5:$D$14,MATCH(服务费底表!$S653,项目参数!$B$5:$B$14,0))</f>
        <v>0</v>
      </c>
      <c r="AG653" s="334">
        <f t="shared" si="604"/>
        <v>0</v>
      </c>
      <c r="AH653" s="328"/>
      <c r="AI653" s="328" t="s">
        <v>622</v>
      </c>
      <c r="AJ653" s="327">
        <v>8</v>
      </c>
      <c r="AK653" s="327">
        <f t="shared" si="605"/>
        <v>12</v>
      </c>
      <c r="AL653" s="327">
        <v>5.5</v>
      </c>
      <c r="AM653" s="327">
        <f t="shared" si="606"/>
        <v>5.5</v>
      </c>
      <c r="AN653" s="327">
        <f t="shared" si="607"/>
        <v>6.4</v>
      </c>
      <c r="AO653" s="327">
        <f t="shared" si="577"/>
        <v>5.5</v>
      </c>
      <c r="AP653" s="327">
        <v>8</v>
      </c>
      <c r="AQ653" s="327">
        <f t="shared" si="578"/>
        <v>12</v>
      </c>
      <c r="AR653" s="338"/>
      <c r="AS653" s="327">
        <f t="shared" si="608"/>
        <v>0</v>
      </c>
      <c r="AT653" s="327">
        <f t="shared" si="609"/>
        <v>0</v>
      </c>
      <c r="AU653" s="523">
        <v>8</v>
      </c>
      <c r="AV653" s="328"/>
      <c r="AW653" s="328"/>
      <c r="AX653" s="332">
        <v>8</v>
      </c>
      <c r="AY653" s="328" t="b">
        <f t="shared" si="610"/>
        <v>1</v>
      </c>
      <c r="AZ653" s="328" t="b">
        <f t="shared" si="596"/>
        <v>1</v>
      </c>
    </row>
    <row r="654" ht="27" customHeight="1" spans="1:52">
      <c r="A654" s="326" t="str">
        <f>INDEX('Rate Card'!$A:$A,MATCH(服务费底表!$T654,'Rate Card'!$F:$F,0))</f>
        <v>药物警戒</v>
      </c>
      <c r="B654" s="327" t="str">
        <f>INDEX(二三级标准!$G:$G,MATCH(服务费底表!$K654,二三级标准!B:B,0))</f>
        <v>份</v>
      </c>
      <c r="C654" s="327">
        <f>INDEX(服务费明细!$E:$E,MATCH(服务费底表!$K654,服务费明细!$B:$B,0))</f>
        <v>0</v>
      </c>
      <c r="D654" s="327" t="str">
        <f t="shared" si="599"/>
        <v>A144PVM</v>
      </c>
      <c r="E654" s="327" t="str">
        <f t="shared" si="600"/>
        <v>T0497PVM</v>
      </c>
      <c r="F654" s="328"/>
      <c r="G654" s="328" t="s">
        <v>684</v>
      </c>
      <c r="H654" s="326" t="str">
        <f>INDEX('Rate Card'!$B:$B,MATCH(服务费底表!$T654,'Rate Card'!$F:$F,0))</f>
        <v>药物警戒</v>
      </c>
      <c r="I654" s="328" t="s">
        <v>926</v>
      </c>
      <c r="J654" s="328" t="str">
        <f>INDEX(二三级标准!$Q:$Q,MATCH(服务费底表!I654,二三级标准!$O:$O,0))</f>
        <v>安全警戒</v>
      </c>
      <c r="K654" s="328" t="s">
        <v>394</v>
      </c>
      <c r="L654" s="328" t="str">
        <f>INDEX(二三级标准!C:C,MATCH(服务费底表!K654,二三级标准!$B:$B,0))</f>
        <v>DSUR递交</v>
      </c>
      <c r="M654" s="328" t="s">
        <v>1668</v>
      </c>
      <c r="N654" s="328" t="str">
        <f>INDEX(二三级标准!$M:$M,MATCH(服务费底表!$M654,二三级标准!$L:$L,0))</f>
        <v>DSUR监管部门递交</v>
      </c>
      <c r="O654" s="328"/>
      <c r="P654" s="531">
        <f>IF(R654=1,INDEX(服务费明细!$E:$E,MATCH(服务费底表!$K654,服务费明细!$B:$B,0)),0)</f>
        <v>0</v>
      </c>
      <c r="Q654" s="328" t="s">
        <v>1178</v>
      </c>
      <c r="R654" s="520">
        <f>IF(AND(安全性数据库变更YN=1,药物警戒YN=1),1,0)</f>
        <v>0</v>
      </c>
      <c r="S654" s="528" t="str">
        <f>INDEX('Rate Card'!$D:$D,MATCH(服务费底表!$T654,'Rate Card'!F:F,0))</f>
        <v>药物警戒</v>
      </c>
      <c r="T654" s="328" t="s">
        <v>620</v>
      </c>
      <c r="U654" s="522" t="str">
        <f>INDEX('Rate Card'!$E:$E,MATCH(服务费底表!$T654,'Rate Card'!$F:$F,0))</f>
        <v>药物警戒经理</v>
      </c>
      <c r="V654" s="331">
        <f>INDEX('Rate Card'!$J:$J,MATCH($T654,'Rate Card'!$F:$F,0))</f>
        <v>500</v>
      </c>
      <c r="W654" s="523">
        <f t="shared" ref="W654:W659" si="611">V654*(1-$W$1)</f>
        <v>500</v>
      </c>
      <c r="X654" s="523">
        <f t="shared" ref="X654:X659" si="612">Y654*$X$1</f>
        <v>8</v>
      </c>
      <c r="Y654" s="327" cm="1">
        <f t="array" ref="Y654">_xlfn.IFS(报价场景=服务费底表!$AJ$2,服务费底表!$AJ654,报价场景=服务费底表!$AP$2,服务费底表!$AP654,报价场景=服务费底表!$AK$2,服务费底表!$AK654,报价场景=服务费底表!$AL$2,服务费底表!$AL654,报价场景=服务费底表!$AM$2,服务费底表!$AM654,报价场景=服务费底表!$AN$2,服务费底表!$AN654,报价场景=服务费底表!$AQ$2,服务费底表!$AQ654,报价场景=服务费底表!$AO$2,服务费底表!$AO654)</f>
        <v>8</v>
      </c>
      <c r="Z654" s="327"/>
      <c r="AA654" s="332">
        <f t="shared" si="591"/>
        <v>8</v>
      </c>
      <c r="AB654" s="333">
        <f t="shared" si="601"/>
        <v>0</v>
      </c>
      <c r="AC654" s="328">
        <f t="shared" si="602"/>
        <v>0</v>
      </c>
      <c r="AD654" s="334">
        <f t="shared" si="603"/>
        <v>0</v>
      </c>
      <c r="AE654" s="334">
        <f>$AB654*(1-INDEX(项目参数!$D$5:$D$14,MATCH(服务费底表!$S654,项目参数!$B$5:$B$14,0)))</f>
        <v>0</v>
      </c>
      <c r="AF654" s="334">
        <f>$AD654*INDEX(项目参数!$D$5:$D$14,MATCH(服务费底表!$S654,项目参数!$B$5:$B$14,0))</f>
        <v>0</v>
      </c>
      <c r="AG654" s="334">
        <f t="shared" si="604"/>
        <v>0</v>
      </c>
      <c r="AH654" s="328"/>
      <c r="AI654" s="328" t="s">
        <v>620</v>
      </c>
      <c r="AJ654" s="327">
        <v>8</v>
      </c>
      <c r="AK654" s="327">
        <f t="shared" si="605"/>
        <v>12</v>
      </c>
      <c r="AL654" s="327">
        <v>5.5</v>
      </c>
      <c r="AM654" s="327">
        <f t="shared" si="606"/>
        <v>5.5</v>
      </c>
      <c r="AN654" s="327">
        <f t="shared" si="607"/>
        <v>6.4</v>
      </c>
      <c r="AO654" s="327">
        <f t="shared" si="577"/>
        <v>5.5</v>
      </c>
      <c r="AP654" s="327">
        <v>8</v>
      </c>
      <c r="AQ654" s="327">
        <f t="shared" ref="AQ654:AQ659" si="613">AJ654*$AQ$1</f>
        <v>12</v>
      </c>
      <c r="AR654" s="338"/>
      <c r="AS654" s="327">
        <f t="shared" si="608"/>
        <v>0</v>
      </c>
      <c r="AT654" s="327">
        <f t="shared" si="609"/>
        <v>0</v>
      </c>
      <c r="AU654" s="523">
        <v>8</v>
      </c>
      <c r="AV654" s="328"/>
      <c r="AW654" s="328"/>
      <c r="AX654" s="332">
        <v>8</v>
      </c>
      <c r="AY654" s="328" t="b">
        <f t="shared" si="610"/>
        <v>1</v>
      </c>
      <c r="AZ654" s="328" t="b">
        <f t="shared" si="596"/>
        <v>0</v>
      </c>
    </row>
    <row r="655" ht="27" customHeight="1" spans="1:52">
      <c r="A655" s="326" t="str">
        <f>INDEX('Rate Card'!$A:$A,MATCH(服务费底表!$T655,'Rate Card'!$F:$F,0))</f>
        <v>药物警戒</v>
      </c>
      <c r="B655" s="327" t="str">
        <f>INDEX(二三级标准!$G:$G,MATCH(服务费底表!$K655,二三级标准!B:B,0))</f>
        <v>次</v>
      </c>
      <c r="C655" s="327">
        <f>INDEX(服务费明细!$E:$E,MATCH(服务费底表!$K655,服务费明细!$B:$B,0))</f>
        <v>0</v>
      </c>
      <c r="D655" s="327" t="str">
        <f t="shared" si="599"/>
        <v>A145PVM</v>
      </c>
      <c r="E655" s="327" t="str">
        <f t="shared" si="600"/>
        <v>T0498PVM</v>
      </c>
      <c r="F655" s="328"/>
      <c r="G655" s="328" t="s">
        <v>684</v>
      </c>
      <c r="H655" s="326" t="str">
        <f>INDEX('Rate Card'!$B:$B,MATCH(服务费底表!$T655,'Rate Card'!$F:$F,0))</f>
        <v>药物警戒</v>
      </c>
      <c r="I655" s="328" t="s">
        <v>926</v>
      </c>
      <c r="J655" s="328" t="str">
        <f>INDEX(二三级标准!$Q:$Q,MATCH(服务费底表!I655,二三级标准!$O:$O,0))</f>
        <v>安全警戒</v>
      </c>
      <c r="K655" s="328" t="s">
        <v>396</v>
      </c>
      <c r="L655" s="328" t="str">
        <f>INDEX(二三级标准!C:C,MATCH(服务费底表!K655,二三级标准!$B:$B,0))</f>
        <v>安全性数据库变更</v>
      </c>
      <c r="M655" s="328" t="s">
        <v>1669</v>
      </c>
      <c r="N655" s="328" t="str">
        <f>INDEX(二三级标准!$M:$M,MATCH(服务费底表!$M655,二三级标准!$L:$L,0))</f>
        <v>数据库变更XML导入及导出测试服务</v>
      </c>
      <c r="O655" s="328"/>
      <c r="P655" s="531">
        <f>IF(R655=1,INDEX(服务费明细!$E:$E,MATCH(服务费底表!$K655,服务费明细!$B:$B,0)),0)</f>
        <v>0</v>
      </c>
      <c r="Q655" s="328" t="s">
        <v>1178</v>
      </c>
      <c r="R655" s="520">
        <f>IF(AND(安全性数据库变更YN=1,药物警戒YN=1),1,0)</f>
        <v>0</v>
      </c>
      <c r="S655" s="528" t="str">
        <f>INDEX('Rate Card'!$D:$D,MATCH(服务费底表!$T655,'Rate Card'!F:F,0))</f>
        <v>药物警戒</v>
      </c>
      <c r="T655" s="328" t="s">
        <v>620</v>
      </c>
      <c r="U655" s="522" t="str">
        <f>INDEX('Rate Card'!$E:$E,MATCH(服务费底表!$T655,'Rate Card'!$F:$F,0))</f>
        <v>药物警戒经理</v>
      </c>
      <c r="V655" s="331">
        <f>INDEX('Rate Card'!$J:$J,MATCH($T655,'Rate Card'!$F:$F,0))</f>
        <v>500</v>
      </c>
      <c r="W655" s="523">
        <f t="shared" si="611"/>
        <v>500</v>
      </c>
      <c r="X655" s="523">
        <f t="shared" si="612"/>
        <v>16</v>
      </c>
      <c r="Y655" s="327" cm="1">
        <f t="array" ref="Y655">_xlfn.IFS(报价场景=服务费底表!$AJ$2,服务费底表!$AJ655,报价场景=服务费底表!$AP$2,服务费底表!$AP655,报价场景=服务费底表!$AK$2,服务费底表!$AK655,报价场景=服务费底表!$AL$2,服务费底表!$AL655,报价场景=服务费底表!$AM$2,服务费底表!$AM655,报价场景=服务费底表!$AN$2,服务费底表!$AN655,报价场景=服务费底表!$AQ$2,服务费底表!$AQ655,报价场景=服务费底表!$AO$2,服务费底表!$AO655)</f>
        <v>16</v>
      </c>
      <c r="Z655" s="327"/>
      <c r="AA655" s="332">
        <f t="shared" si="591"/>
        <v>16</v>
      </c>
      <c r="AB655" s="333">
        <f t="shared" si="601"/>
        <v>0</v>
      </c>
      <c r="AC655" s="328">
        <f t="shared" si="602"/>
        <v>0</v>
      </c>
      <c r="AD655" s="334">
        <f t="shared" si="603"/>
        <v>0</v>
      </c>
      <c r="AE655" s="334">
        <f>$AB655*(1-INDEX(项目参数!$D$5:$D$14,MATCH(服务费底表!$S655,项目参数!$B$5:$B$14,0)))</f>
        <v>0</v>
      </c>
      <c r="AF655" s="334">
        <f>$AD655*INDEX(项目参数!$D$5:$D$14,MATCH(服务费底表!$S655,项目参数!$B$5:$B$14,0))</f>
        <v>0</v>
      </c>
      <c r="AG655" s="334">
        <f t="shared" si="604"/>
        <v>0</v>
      </c>
      <c r="AH655" s="328"/>
      <c r="AI655" s="328" t="s">
        <v>620</v>
      </c>
      <c r="AJ655" s="327">
        <v>16</v>
      </c>
      <c r="AK655" s="327">
        <f t="shared" si="605"/>
        <v>24</v>
      </c>
      <c r="AL655" s="327">
        <v>11</v>
      </c>
      <c r="AM655" s="327">
        <f t="shared" si="606"/>
        <v>11</v>
      </c>
      <c r="AN655" s="327">
        <f t="shared" si="607"/>
        <v>12.8</v>
      </c>
      <c r="AO655" s="327">
        <f t="shared" ref="AO655:AO661" si="614">AL655</f>
        <v>11</v>
      </c>
      <c r="AP655" s="327">
        <v>16</v>
      </c>
      <c r="AQ655" s="327">
        <f t="shared" si="613"/>
        <v>24</v>
      </c>
      <c r="AR655" s="338"/>
      <c r="AS655" s="327">
        <f t="shared" si="608"/>
        <v>0</v>
      </c>
      <c r="AT655" s="327">
        <f t="shared" si="609"/>
        <v>0</v>
      </c>
      <c r="AU655" s="523">
        <v>16</v>
      </c>
      <c r="AV655" s="328"/>
      <c r="AW655" s="328"/>
      <c r="AX655" s="332">
        <v>16</v>
      </c>
      <c r="AY655" s="328" t="b">
        <f t="shared" si="610"/>
        <v>1</v>
      </c>
      <c r="AZ655" s="328" t="b">
        <f t="shared" si="596"/>
        <v>1</v>
      </c>
    </row>
    <row r="656" ht="27" customHeight="1" spans="1:52">
      <c r="A656" s="326" t="str">
        <f>INDEX('Rate Card'!$A:$A,MATCH(服务费底表!$T656,'Rate Card'!$F:$F,0))</f>
        <v>药物警戒</v>
      </c>
      <c r="B656" s="327" t="str">
        <f>INDEX(二三级标准!$G:$G,MATCH(服务费底表!$K656,二三级标准!B:B,0))</f>
        <v>次</v>
      </c>
      <c r="C656" s="327">
        <f>INDEX(服务费明细!$E:$E,MATCH(服务费底表!$K656,服务费明细!$B:$B,0))</f>
        <v>0</v>
      </c>
      <c r="D656" s="327" t="str">
        <f t="shared" si="599"/>
        <v>A145PVM</v>
      </c>
      <c r="E656" s="327" t="str">
        <f t="shared" si="600"/>
        <v>T0499PVM</v>
      </c>
      <c r="F656" s="328"/>
      <c r="G656" s="328" t="s">
        <v>684</v>
      </c>
      <c r="H656" s="326" t="str">
        <f>INDEX('Rate Card'!$B:$B,MATCH(服务费底表!$T656,'Rate Card'!$F:$F,0))</f>
        <v>药物警戒</v>
      </c>
      <c r="I656" s="328" t="s">
        <v>926</v>
      </c>
      <c r="J656" s="328" t="str">
        <f>INDEX(二三级标准!$Q:$Q,MATCH(服务费底表!I656,二三级标准!$O:$O,0))</f>
        <v>安全警戒</v>
      </c>
      <c r="K656" s="328" t="s">
        <v>396</v>
      </c>
      <c r="L656" s="328" t="str">
        <f>INDEX(二三级标准!C:C,MATCH(服务费底表!K656,二三级标准!$B:$B,0))</f>
        <v>安全性数据库变更</v>
      </c>
      <c r="M656" s="328" t="s">
        <v>1670</v>
      </c>
      <c r="N656" s="328" t="str">
        <f>INDEX(二三级标准!$M:$M,MATCH(服务费底表!$M656,二三级标准!$L:$L,0))</f>
        <v>安全性数据库数据转移(转入)</v>
      </c>
      <c r="O656" s="328"/>
      <c r="P656" s="531">
        <f>IF(R656=1,SAE例次数,0)</f>
        <v>0</v>
      </c>
      <c r="Q656" s="328" t="s">
        <v>1671</v>
      </c>
      <c r="R656" s="520">
        <f>IF(AND(安全性数据库变更YN=1,药物警戒YN=1),1,0)</f>
        <v>0</v>
      </c>
      <c r="S656" s="528" t="str">
        <f>INDEX('Rate Card'!$D:$D,MATCH(服务费底表!$T656,'Rate Card'!F:F,0))</f>
        <v>药物警戒</v>
      </c>
      <c r="T656" s="328" t="s">
        <v>620</v>
      </c>
      <c r="U656" s="522" t="str">
        <f>INDEX('Rate Card'!$E:$E,MATCH(服务费底表!$T656,'Rate Card'!$F:$F,0))</f>
        <v>药物警戒经理</v>
      </c>
      <c r="V656" s="331">
        <f>INDEX('Rate Card'!$J:$J,MATCH($T656,'Rate Card'!$F:$F,0))</f>
        <v>500</v>
      </c>
      <c r="W656" s="523">
        <f t="shared" si="611"/>
        <v>500</v>
      </c>
      <c r="X656" s="523">
        <f t="shared" si="612"/>
        <v>2</v>
      </c>
      <c r="Y656" s="327" cm="1">
        <f t="array" ref="Y656">_xlfn.IFS(报价场景=服务费底表!$AJ$2,服务费底表!$AJ656,报价场景=服务费底表!$AP$2,服务费底表!$AP656,报价场景=服务费底表!$AK$2,服务费底表!$AK656,报价场景=服务费底表!$AL$2,服务费底表!$AL656,报价场景=服务费底表!$AM$2,服务费底表!$AM656,报价场景=服务费底表!$AN$2,服务费底表!$AN656,报价场景=服务费底表!$AQ$2,服务费底表!$AQ656,报价场景=服务费底表!$AO$2,服务费底表!$AO656)</f>
        <v>2</v>
      </c>
      <c r="Z656" s="327"/>
      <c r="AA656" s="332">
        <f t="shared" si="591"/>
        <v>2</v>
      </c>
      <c r="AB656" s="333">
        <f t="shared" si="601"/>
        <v>0</v>
      </c>
      <c r="AC656" s="328">
        <f t="shared" si="602"/>
        <v>0</v>
      </c>
      <c r="AD656" s="334">
        <f t="shared" si="603"/>
        <v>0</v>
      </c>
      <c r="AE656" s="334">
        <f>$AB656*(1-INDEX(项目参数!$D$5:$D$14,MATCH(服务费底表!$S656,项目参数!$B$5:$B$14,0)))</f>
        <v>0</v>
      </c>
      <c r="AF656" s="334">
        <f>$AD656*INDEX(项目参数!$D$5:$D$14,MATCH(服务费底表!$S656,项目参数!$B$5:$B$14,0))</f>
        <v>0</v>
      </c>
      <c r="AG656" s="334">
        <f t="shared" si="604"/>
        <v>0</v>
      </c>
      <c r="AH656" s="328"/>
      <c r="AI656" s="328" t="s">
        <v>620</v>
      </c>
      <c r="AJ656" s="327">
        <v>2</v>
      </c>
      <c r="AK656" s="327">
        <f t="shared" si="605"/>
        <v>3</v>
      </c>
      <c r="AL656" s="327">
        <v>1.5</v>
      </c>
      <c r="AM656" s="327">
        <f t="shared" si="606"/>
        <v>1.5</v>
      </c>
      <c r="AN656" s="327">
        <f t="shared" si="607"/>
        <v>1.6</v>
      </c>
      <c r="AO656" s="327">
        <f t="shared" si="614"/>
        <v>1.5</v>
      </c>
      <c r="AP656" s="327">
        <v>2</v>
      </c>
      <c r="AQ656" s="327">
        <f t="shared" si="613"/>
        <v>3</v>
      </c>
      <c r="AR656" s="338"/>
      <c r="AS656" s="327">
        <f t="shared" si="608"/>
        <v>0</v>
      </c>
      <c r="AT656" s="327">
        <f t="shared" si="609"/>
        <v>0</v>
      </c>
      <c r="AU656" s="523">
        <v>2</v>
      </c>
      <c r="AV656" s="328"/>
      <c r="AW656" s="328"/>
      <c r="AX656" s="332">
        <v>2</v>
      </c>
      <c r="AY656" s="328" t="b">
        <f t="shared" si="610"/>
        <v>1</v>
      </c>
      <c r="AZ656" s="328" t="b">
        <f t="shared" si="596"/>
        <v>1</v>
      </c>
    </row>
    <row r="657" ht="27" customHeight="1" spans="1:52">
      <c r="A657" s="326" t="str">
        <f>INDEX('Rate Card'!$A:$A,MATCH(服务费底表!$T657,'Rate Card'!$F:$F,0))</f>
        <v>药物警戒</v>
      </c>
      <c r="B657" s="327" t="str">
        <f>INDEX(二三级标准!$G:$G,MATCH(服务费底表!$K657,二三级标准!B:B,0))</f>
        <v>次</v>
      </c>
      <c r="C657" s="327">
        <f>INDEX(服务费明细!$E:$E,MATCH(服务费底表!$K657,服务费明细!$B:$B,0))</f>
        <v>0</v>
      </c>
      <c r="D657" s="327" t="str">
        <f t="shared" si="599"/>
        <v>A145PVM</v>
      </c>
      <c r="E657" s="327" t="str">
        <f t="shared" si="600"/>
        <v>T0500PVM</v>
      </c>
      <c r="F657" s="328"/>
      <c r="G657" s="328" t="s">
        <v>684</v>
      </c>
      <c r="H657" s="326" t="str">
        <f>INDEX('Rate Card'!$B:$B,MATCH(服务费底表!$T657,'Rate Card'!$F:$F,0))</f>
        <v>药物警戒</v>
      </c>
      <c r="I657" s="328" t="s">
        <v>926</v>
      </c>
      <c r="J657" s="328" t="str">
        <f>INDEX(二三级标准!$Q:$Q,MATCH(服务费底表!I657,二三级标准!$O:$O,0))</f>
        <v>安全警戒</v>
      </c>
      <c r="K657" s="328" t="s">
        <v>396</v>
      </c>
      <c r="L657" s="328" t="str">
        <f>INDEX(二三级标准!C:C,MATCH(服务费底表!K657,二三级标准!$B:$B,0))</f>
        <v>安全性数据库变更</v>
      </c>
      <c r="M657" s="328" t="s">
        <v>1672</v>
      </c>
      <c r="N657" s="328" t="str">
        <f>INDEX(二三级标准!$M:$M,MATCH(服务费底表!$M657,二三级标准!$L:$L,0))</f>
        <v>安全性数据库数据转移(转出)</v>
      </c>
      <c r="O657" s="328"/>
      <c r="P657" s="531">
        <f>IF(R657=1,SAE例次数,0)</f>
        <v>0</v>
      </c>
      <c r="Q657" s="328" t="s">
        <v>1671</v>
      </c>
      <c r="R657" s="520">
        <f>IF(AND(安全性数据库变更YN=1,药物警戒YN=1),1,0)</f>
        <v>0</v>
      </c>
      <c r="S657" s="528" t="str">
        <f>INDEX('Rate Card'!$D:$D,MATCH(服务费底表!$T657,'Rate Card'!F:F,0))</f>
        <v>药物警戒</v>
      </c>
      <c r="T657" s="328" t="s">
        <v>620</v>
      </c>
      <c r="U657" s="522" t="str">
        <f>INDEX('Rate Card'!$E:$E,MATCH(服务费底表!$T657,'Rate Card'!$F:$F,0))</f>
        <v>药物警戒经理</v>
      </c>
      <c r="V657" s="331">
        <f>INDEX('Rate Card'!$J:$J,MATCH($T657,'Rate Card'!$F:$F,0))</f>
        <v>500</v>
      </c>
      <c r="W657" s="523">
        <f t="shared" si="611"/>
        <v>500</v>
      </c>
      <c r="X657" s="523">
        <f t="shared" si="612"/>
        <v>1</v>
      </c>
      <c r="Y657" s="327" cm="1">
        <f t="array" ref="Y657">_xlfn.IFS(报价场景=服务费底表!$AJ$2,服务费底表!$AJ657,报价场景=服务费底表!$AP$2,服务费底表!$AP657,报价场景=服务费底表!$AK$2,服务费底表!$AK657,报价场景=服务费底表!$AL$2,服务费底表!$AL657,报价场景=服务费底表!$AM$2,服务费底表!$AM657,报价场景=服务费底表!$AN$2,服务费底表!$AN657,报价场景=服务费底表!$AQ$2,服务费底表!$AQ657,报价场景=服务费底表!$AO$2,服务费底表!$AO657)</f>
        <v>1</v>
      </c>
      <c r="Z657" s="327"/>
      <c r="AA657" s="332">
        <f t="shared" si="591"/>
        <v>1</v>
      </c>
      <c r="AB657" s="333">
        <f t="shared" si="601"/>
        <v>0</v>
      </c>
      <c r="AC657" s="328">
        <f t="shared" si="602"/>
        <v>0</v>
      </c>
      <c r="AD657" s="334">
        <f t="shared" si="603"/>
        <v>0</v>
      </c>
      <c r="AE657" s="334">
        <f>$AB657*(1-INDEX(项目参数!$D$5:$D$14,MATCH(服务费底表!$S657,项目参数!$B$5:$B$14,0)))</f>
        <v>0</v>
      </c>
      <c r="AF657" s="334">
        <f>$AD657*INDEX(项目参数!$D$5:$D$14,MATCH(服务费底表!$S657,项目参数!$B$5:$B$14,0))</f>
        <v>0</v>
      </c>
      <c r="AG657" s="334">
        <f t="shared" si="604"/>
        <v>0</v>
      </c>
      <c r="AH657" s="328"/>
      <c r="AI657" s="328" t="s">
        <v>620</v>
      </c>
      <c r="AJ657" s="327">
        <v>1</v>
      </c>
      <c r="AK657" s="327">
        <f t="shared" si="605"/>
        <v>1.5</v>
      </c>
      <c r="AL657" s="327">
        <v>0.8</v>
      </c>
      <c r="AM657" s="327">
        <f t="shared" si="606"/>
        <v>0.8</v>
      </c>
      <c r="AN657" s="327">
        <f t="shared" si="607"/>
        <v>0.8</v>
      </c>
      <c r="AO657" s="327">
        <f t="shared" si="614"/>
        <v>0.8</v>
      </c>
      <c r="AP657" s="327">
        <v>1</v>
      </c>
      <c r="AQ657" s="327">
        <f t="shared" si="613"/>
        <v>1.5</v>
      </c>
      <c r="AR657" s="338"/>
      <c r="AS657" s="327">
        <f t="shared" si="608"/>
        <v>0</v>
      </c>
      <c r="AT657" s="327">
        <f t="shared" si="609"/>
        <v>0</v>
      </c>
      <c r="AU657" s="523">
        <v>1</v>
      </c>
      <c r="AV657" s="328"/>
      <c r="AW657" s="328"/>
      <c r="AX657" s="332">
        <v>1</v>
      </c>
      <c r="AY657" s="328" t="b">
        <f t="shared" si="610"/>
        <v>1</v>
      </c>
      <c r="AZ657" s="328" t="b">
        <f t="shared" si="596"/>
        <v>1</v>
      </c>
    </row>
    <row r="658" ht="27" customHeight="1" spans="1:52">
      <c r="A658" s="326" t="str">
        <f>INDEX('Rate Card'!$A:$A,MATCH(服务费底表!$T658,'Rate Card'!$F:$F,0))</f>
        <v>药物警戒</v>
      </c>
      <c r="B658" s="327" t="str">
        <f>INDEX(二三级标准!$G:$G,MATCH(服务费底表!$K658,二三级标准!B:B,0))</f>
        <v>次</v>
      </c>
      <c r="C658" s="327">
        <f>INDEX(服务费明细!$E:$E,MATCH(服务费底表!$K658,服务费明细!$B:$B,0))</f>
        <v>0</v>
      </c>
      <c r="D658" s="327" t="str">
        <f t="shared" si="599"/>
        <v>A146PVM</v>
      </c>
      <c r="E658" s="327" t="str">
        <f t="shared" si="600"/>
        <v>T0501PVM</v>
      </c>
      <c r="F658" s="328"/>
      <c r="G658" s="328" t="s">
        <v>684</v>
      </c>
      <c r="H658" s="326" t="str">
        <f>INDEX('Rate Card'!$B:$B,MATCH(服务费底表!$T658,'Rate Card'!$F:$F,0))</f>
        <v>药物警戒</v>
      </c>
      <c r="I658" s="328" t="s">
        <v>926</v>
      </c>
      <c r="J658" s="328" t="str">
        <f>INDEX(二三级标准!$Q:$Q,MATCH(服务费底表!I658,二三级标准!$O:$O,0))</f>
        <v>安全警戒</v>
      </c>
      <c r="K658" s="328" t="s">
        <v>398</v>
      </c>
      <c r="L658" s="328" t="str">
        <f>INDEX(二三级标准!C:C,MATCH(服务费底表!K658,二三级标准!$B:$B,0))</f>
        <v>特殊事件的处理</v>
      </c>
      <c r="M658" s="328" t="s">
        <v>1673</v>
      </c>
      <c r="N658" s="328" t="str">
        <f>INDEX(二三级标准!$M:$M,MATCH(服务费底表!$M658,二三级标准!$L:$L,0))</f>
        <v>特殊事件的处理</v>
      </c>
      <c r="O658" s="328"/>
      <c r="P658" s="531">
        <f>IF(R658=1,INDEX(服务费明细!$E:$E,MATCH(服务费底表!$K658,服务费明细!$B:$B,0)),0)</f>
        <v>0</v>
      </c>
      <c r="Q658" s="328" t="s">
        <v>1178</v>
      </c>
      <c r="R658" s="520">
        <f>IF(AND(特殊事件的处理YN=1,药物警戒YN=1),1,0)</f>
        <v>0</v>
      </c>
      <c r="S658" s="528" t="str">
        <f>INDEX('Rate Card'!$D:$D,MATCH(服务费底表!$T658,'Rate Card'!F:F,0))</f>
        <v>药物警戒</v>
      </c>
      <c r="T658" s="328" t="s">
        <v>620</v>
      </c>
      <c r="U658" s="522" t="str">
        <f>INDEX('Rate Card'!$E:$E,MATCH(服务费底表!$T658,'Rate Card'!$F:$F,0))</f>
        <v>药物警戒经理</v>
      </c>
      <c r="V658" s="331">
        <f>INDEX('Rate Card'!$J:$J,MATCH($T658,'Rate Card'!$F:$F,0))</f>
        <v>500</v>
      </c>
      <c r="W658" s="523">
        <f t="shared" si="611"/>
        <v>500</v>
      </c>
      <c r="X658" s="523">
        <f t="shared" si="612"/>
        <v>16</v>
      </c>
      <c r="Y658" s="327" cm="1">
        <f t="array" ref="Y658">_xlfn.IFS(报价场景=服务费底表!$AJ$2,服务费底表!$AJ658,报价场景=服务费底表!$AP$2,服务费底表!$AP658,报价场景=服务费底表!$AK$2,服务费底表!$AK658,报价场景=服务费底表!$AL$2,服务费底表!$AL658,报价场景=服务费底表!$AM$2,服务费底表!$AM658,报价场景=服务费底表!$AN$2,服务费底表!$AN658,报价场景=服务费底表!$AQ$2,服务费底表!$AQ658,报价场景=服务费底表!$AO$2,服务费底表!$AO658)</f>
        <v>16</v>
      </c>
      <c r="Z658" s="327"/>
      <c r="AA658" s="332">
        <f t="shared" si="591"/>
        <v>16</v>
      </c>
      <c r="AB658" s="333">
        <f t="shared" si="601"/>
        <v>0</v>
      </c>
      <c r="AC658" s="328">
        <f t="shared" si="602"/>
        <v>0</v>
      </c>
      <c r="AD658" s="334">
        <f t="shared" si="603"/>
        <v>0</v>
      </c>
      <c r="AE658" s="334">
        <f>$AB658*(1-INDEX(项目参数!$D$5:$D$14,MATCH(服务费底表!$S658,项目参数!$B$5:$B$14,0)))</f>
        <v>0</v>
      </c>
      <c r="AF658" s="334">
        <f>$AD658*INDEX(项目参数!$D$5:$D$14,MATCH(服务费底表!$S658,项目参数!$B$5:$B$14,0))</f>
        <v>0</v>
      </c>
      <c r="AG658" s="334">
        <f t="shared" si="604"/>
        <v>0</v>
      </c>
      <c r="AH658" s="328"/>
      <c r="AI658" s="328" t="s">
        <v>620</v>
      </c>
      <c r="AJ658" s="327">
        <v>16</v>
      </c>
      <c r="AK658" s="327">
        <f t="shared" si="605"/>
        <v>24</v>
      </c>
      <c r="AL658" s="327">
        <v>11</v>
      </c>
      <c r="AM658" s="327">
        <f t="shared" si="606"/>
        <v>11</v>
      </c>
      <c r="AN658" s="327">
        <f t="shared" si="607"/>
        <v>12.8</v>
      </c>
      <c r="AO658" s="327">
        <f t="shared" si="614"/>
        <v>11</v>
      </c>
      <c r="AP658" s="327">
        <v>16</v>
      </c>
      <c r="AQ658" s="327">
        <f t="shared" si="613"/>
        <v>24</v>
      </c>
      <c r="AR658" s="338"/>
      <c r="AS658" s="327">
        <f t="shared" si="608"/>
        <v>0</v>
      </c>
      <c r="AT658" s="327">
        <f t="shared" si="609"/>
        <v>0</v>
      </c>
      <c r="AU658" s="523">
        <v>16</v>
      </c>
      <c r="AV658" s="328"/>
      <c r="AW658" s="328"/>
      <c r="AX658" s="332">
        <v>16</v>
      </c>
      <c r="AY658" s="328" t="b">
        <f t="shared" si="610"/>
        <v>1</v>
      </c>
      <c r="AZ658" s="328" t="b">
        <f t="shared" si="596"/>
        <v>0</v>
      </c>
    </row>
    <row r="659" ht="27" customHeight="1" spans="1:52">
      <c r="A659" s="326" t="str">
        <f>INDEX('Rate Card'!$A:$A,MATCH(服务费底表!$T659,'Rate Card'!$F:$F,0))</f>
        <v>药物警戒</v>
      </c>
      <c r="B659" s="327" t="str">
        <f>INDEX(二三级标准!$G:$G,MATCH(服务费底表!$K659,二三级标准!B:B,0))</f>
        <v>次</v>
      </c>
      <c r="C659" s="327">
        <f>INDEX(服务费明细!$E:$E,MATCH(服务费底表!$K659,服务费明细!$B:$B,0))</f>
        <v>0</v>
      </c>
      <c r="D659" s="327" t="str">
        <f t="shared" si="599"/>
        <v>A147PVP</v>
      </c>
      <c r="E659" s="327" t="str">
        <f t="shared" si="600"/>
        <v>T0502PVP</v>
      </c>
      <c r="F659" s="328"/>
      <c r="G659" s="328" t="s">
        <v>684</v>
      </c>
      <c r="H659" s="326" t="str">
        <f>INDEX('Rate Card'!$B:$B,MATCH(服务费底表!$T659,'Rate Card'!$F:$F,0))</f>
        <v>药物警戒</v>
      </c>
      <c r="I659" s="328" t="s">
        <v>926</v>
      </c>
      <c r="J659" s="328" t="str">
        <f>INDEX(二三级标准!$Q:$Q,MATCH(服务费底表!I659,二三级标准!$O:$O,0))</f>
        <v>安全警戒</v>
      </c>
      <c r="K659" s="328" t="s">
        <v>400</v>
      </c>
      <c r="L659" s="328" t="str">
        <f>INDEX(二三级标准!C:C,MATCH(服务费底表!K659,二三级标准!$B:$B,0))</f>
        <v>安全信号检测</v>
      </c>
      <c r="M659" s="328" t="s">
        <v>1674</v>
      </c>
      <c r="N659" s="328" t="str">
        <f>INDEX(二三级标准!$M:$M,MATCH(服务费底表!$M659,二三级标准!$L:$L,0))</f>
        <v>安全信号检测</v>
      </c>
      <c r="O659" s="328"/>
      <c r="P659" s="531">
        <f>IF(R659=1,INDEX(服务费明细!$E:$E,MATCH(服务费底表!$K659,服务费明细!$B:$B,0)),0)</f>
        <v>0</v>
      </c>
      <c r="Q659" s="328" t="s">
        <v>1178</v>
      </c>
      <c r="R659" s="520">
        <f>IF(AND(安全信号检测YN=1,药物警戒YN=1),1,0)</f>
        <v>0</v>
      </c>
      <c r="S659" s="528" t="str">
        <f>INDEX('Rate Card'!$D:$D,MATCH(服务费底表!$T659,'Rate Card'!F:F,0))</f>
        <v>药物警戒</v>
      </c>
      <c r="T659" s="328" t="s">
        <v>622</v>
      </c>
      <c r="U659" s="522" t="str">
        <f>INDEX('Rate Card'!$E:$E,MATCH(服务费底表!$T659,'Rate Card'!$F:$F,0))</f>
        <v>药物警戒医生</v>
      </c>
      <c r="V659" s="331">
        <f>INDEX('Rate Card'!$J:$J,MATCH($T659,'Rate Card'!$F:$F,0))</f>
        <v>700</v>
      </c>
      <c r="W659" s="523">
        <f t="shared" si="611"/>
        <v>700</v>
      </c>
      <c r="X659" s="523">
        <f t="shared" si="612"/>
        <v>2</v>
      </c>
      <c r="Y659" s="327" cm="1">
        <f t="array" ref="Y659">_xlfn.IFS(报价场景=服务费底表!$AJ$2,服务费底表!$AJ659,报价场景=服务费底表!$AP$2,服务费底表!$AP659,报价场景=服务费底表!$AK$2,服务费底表!$AK659,报价场景=服务费底表!$AL$2,服务费底表!$AL659,报价场景=服务费底表!$AM$2,服务费底表!$AM659,报价场景=服务费底表!$AN$2,服务费底表!$AN659,报价场景=服务费底表!$AQ$2,服务费底表!$AQ659,报价场景=服务费底表!$AO$2,服务费底表!$AO659)</f>
        <v>2</v>
      </c>
      <c r="Z659" s="327"/>
      <c r="AA659" s="332">
        <f t="shared" si="591"/>
        <v>2</v>
      </c>
      <c r="AB659" s="333">
        <f t="shared" si="601"/>
        <v>0</v>
      </c>
      <c r="AC659" s="328">
        <f t="shared" si="602"/>
        <v>0</v>
      </c>
      <c r="AD659" s="334">
        <f t="shared" si="603"/>
        <v>0</v>
      </c>
      <c r="AE659" s="334">
        <f>$AB659*(1-INDEX(项目参数!$D$5:$D$14,MATCH(服务费底表!$S659,项目参数!$B$5:$B$14,0)))</f>
        <v>0</v>
      </c>
      <c r="AF659" s="334">
        <f>$AD659*INDEX(项目参数!$D$5:$D$14,MATCH(服务费底表!$S659,项目参数!$B$5:$B$14,0))</f>
        <v>0</v>
      </c>
      <c r="AG659" s="334">
        <f t="shared" si="604"/>
        <v>0</v>
      </c>
      <c r="AH659" s="328"/>
      <c r="AI659" s="328" t="s">
        <v>624</v>
      </c>
      <c r="AJ659" s="327">
        <v>2</v>
      </c>
      <c r="AK659" s="327">
        <f t="shared" si="605"/>
        <v>3</v>
      </c>
      <c r="AL659" s="327">
        <v>1.5</v>
      </c>
      <c r="AM659" s="327">
        <f t="shared" si="606"/>
        <v>1.5</v>
      </c>
      <c r="AN659" s="327">
        <f t="shared" si="607"/>
        <v>1.6</v>
      </c>
      <c r="AO659" s="327">
        <f t="shared" si="614"/>
        <v>1.5</v>
      </c>
      <c r="AP659" s="327">
        <v>2</v>
      </c>
      <c r="AQ659" s="327">
        <f t="shared" si="613"/>
        <v>3</v>
      </c>
      <c r="AR659" s="338"/>
      <c r="AS659" s="327">
        <f t="shared" si="608"/>
        <v>0</v>
      </c>
      <c r="AT659" s="327">
        <f t="shared" si="609"/>
        <v>0</v>
      </c>
      <c r="AU659" s="523">
        <v>2</v>
      </c>
      <c r="AV659" s="328"/>
      <c r="AW659" s="328"/>
      <c r="AX659" s="332">
        <v>2</v>
      </c>
      <c r="AY659" s="328" t="b">
        <f t="shared" si="610"/>
        <v>1</v>
      </c>
      <c r="AZ659" s="328" t="b">
        <f t="shared" si="596"/>
        <v>1</v>
      </c>
    </row>
    <row r="660" ht="27" customHeight="1" spans="1:52">
      <c r="A660" s="326" t="str">
        <f>INDEX('Rate Card'!$A:$A,MATCH(服务费底表!$T660,'Rate Card'!$F:$F,0))</f>
        <v>药物警戒</v>
      </c>
      <c r="B660" s="327" t="str">
        <f>INDEX(二三级标准!$G:$G,MATCH(服务费底表!$K660,二三级标准!B:B,0))</f>
        <v>月</v>
      </c>
      <c r="C660" s="327">
        <f>INDEX(服务费明细!$E:$E,MATCH(服务费底表!$K660,服务费明细!$B:$B,0))</f>
        <v>14</v>
      </c>
      <c r="D660" s="327" t="str">
        <f t="shared" si="599"/>
        <v>A148PVM</v>
      </c>
      <c r="E660" s="327" t="str">
        <f t="shared" si="600"/>
        <v>T0503PVM</v>
      </c>
      <c r="F660" s="328"/>
      <c r="G660" s="328" t="s">
        <v>684</v>
      </c>
      <c r="H660" s="326" t="str">
        <f>INDEX('Rate Card'!$B:$B,MATCH(服务费底表!$T660,'Rate Card'!$F:$F,0))</f>
        <v>药物警戒</v>
      </c>
      <c r="I660" s="328" t="s">
        <v>926</v>
      </c>
      <c r="J660" s="328" t="str">
        <f>INDEX(二三级标准!$Q:$Q,MATCH(服务费底表!I660,二三级标准!$O:$O,0))</f>
        <v>安全警戒</v>
      </c>
      <c r="K660" s="328" t="s">
        <v>402</v>
      </c>
      <c r="L660" s="328" t="str">
        <f>INDEX(二三级标准!C:C,MATCH(服务费底表!K660,二三级标准!$B:$B,0))</f>
        <v>安全警戒项目管理</v>
      </c>
      <c r="M660" s="328" t="s">
        <v>1675</v>
      </c>
      <c r="N660" s="328" t="str">
        <f>INDEX(二三级标准!$M:$M,MATCH(服务费底表!$M660,二三级标准!$L:$L,0))</f>
        <v>日常沟通和管理</v>
      </c>
      <c r="O660" s="328"/>
      <c r="P660" s="531">
        <f>IF(R660=1,INDEX(服务费明细!$E:$E,MATCH(服务费底表!$K660,服务费明细!$B:$B,0)),0)</f>
        <v>14</v>
      </c>
      <c r="Q660" s="328" t="s">
        <v>1220</v>
      </c>
      <c r="R660" s="520">
        <f>IF(AND(安全警戒项目管理YN=1,药物警戒YN=1),1,0)</f>
        <v>1</v>
      </c>
      <c r="S660" s="528" t="str">
        <f>INDEX('Rate Card'!$D:$D,MATCH(服务费底表!$T660,'Rate Card'!F:F,0))</f>
        <v>药物警戒</v>
      </c>
      <c r="T660" s="328" t="s">
        <v>620</v>
      </c>
      <c r="U660" s="522" t="str">
        <f>INDEX('Rate Card'!$E:$E,MATCH(服务费底表!$T660,'Rate Card'!$F:$F,0))</f>
        <v>药物警戒经理</v>
      </c>
      <c r="V660" s="331">
        <f>INDEX('Rate Card'!$J:$J,MATCH($T660,'Rate Card'!$F:$F,0))</f>
        <v>500</v>
      </c>
      <c r="W660" s="523">
        <f t="shared" ref="W660:W665" si="615">V660*(1-$W$1)</f>
        <v>500</v>
      </c>
      <c r="X660" s="523">
        <f t="shared" ref="X660:X665" si="616">Y660*$X$1</f>
        <v>1</v>
      </c>
      <c r="Y660" s="327" cm="1">
        <f t="array" ref="Y660">_xlfn.IFS(报价场景=服务费底表!$AJ$2,服务费底表!$AJ660,报价场景=服务费底表!$AP$2,服务费底表!$AP660,报价场景=服务费底表!$AK$2,服务费底表!$AK660,报价场景=服务费底表!$AL$2,服务费底表!$AL660,报价场景=服务费底表!$AM$2,服务费底表!$AM660,报价场景=服务费底表!$AN$2,服务费底表!$AN660,报价场景=服务费底表!$AQ$2,服务费底表!$AQ660,报价场景=服务费底表!$AO$2,服务费底表!$AO660)</f>
        <v>1</v>
      </c>
      <c r="Z660" s="327"/>
      <c r="AA660" s="332">
        <f t="shared" ref="AA660:AA669" si="617">IF(ISBLANK($Z660),$Y660,$Z660)</f>
        <v>1</v>
      </c>
      <c r="AB660" s="333">
        <f t="shared" si="601"/>
        <v>500</v>
      </c>
      <c r="AC660" s="328">
        <f t="shared" si="602"/>
        <v>14</v>
      </c>
      <c r="AD660" s="334">
        <f t="shared" si="603"/>
        <v>7000</v>
      </c>
      <c r="AE660" s="334">
        <f>$AB660*(1-INDEX(项目参数!$D$5:$D$14,MATCH(服务费底表!$S660,项目参数!$B$5:$B$14,0)))</f>
        <v>500</v>
      </c>
      <c r="AF660" s="334">
        <f>$AD660*INDEX(项目参数!$D$5:$D$14,MATCH(服务费底表!$S660,项目参数!$B$5:$B$14,0))</f>
        <v>0</v>
      </c>
      <c r="AG660" s="334">
        <f t="shared" si="604"/>
        <v>7000</v>
      </c>
      <c r="AH660" s="328"/>
      <c r="AI660" s="328" t="s">
        <v>620</v>
      </c>
      <c r="AJ660" s="327">
        <v>1</v>
      </c>
      <c r="AK660" s="327">
        <f t="shared" si="605"/>
        <v>1.5</v>
      </c>
      <c r="AL660" s="327">
        <v>0.8</v>
      </c>
      <c r="AM660" s="327">
        <f t="shared" si="606"/>
        <v>0.8</v>
      </c>
      <c r="AN660" s="327">
        <f t="shared" si="607"/>
        <v>0.8</v>
      </c>
      <c r="AO660" s="327">
        <f t="shared" si="614"/>
        <v>0.8</v>
      </c>
      <c r="AP660" s="327">
        <v>1</v>
      </c>
      <c r="AQ660" s="327">
        <f t="shared" ref="AQ660:AQ665" si="618">AJ660*$AQ$1</f>
        <v>1.5</v>
      </c>
      <c r="AR660" s="338"/>
      <c r="AS660" s="327">
        <f t="shared" si="608"/>
        <v>14</v>
      </c>
      <c r="AT660" s="327">
        <f t="shared" si="609"/>
        <v>14</v>
      </c>
      <c r="AU660" s="523">
        <v>1</v>
      </c>
      <c r="AV660" s="328"/>
      <c r="AW660" s="328"/>
      <c r="AX660" s="332">
        <v>1</v>
      </c>
      <c r="AY660" s="328" t="b">
        <f t="shared" si="610"/>
        <v>1</v>
      </c>
      <c r="AZ660" s="328" t="b">
        <f t="shared" si="596"/>
        <v>0</v>
      </c>
    </row>
    <row r="661" ht="27" customHeight="1" spans="1:52">
      <c r="A661" s="326" t="str">
        <f>INDEX('Rate Card'!$A:$A,MATCH(服务费底表!$T661,'Rate Card'!$F:$F,0))</f>
        <v>药物警戒</v>
      </c>
      <c r="B661" s="327" t="str">
        <f>INDEX(二三级标准!$G:$G,MATCH(服务费底表!$K661,二三级标准!B:B,0))</f>
        <v>月</v>
      </c>
      <c r="C661" s="327">
        <f>INDEX(服务费明细!$E:$E,MATCH(服务费底表!$K661,服务费明细!$B:$B,0))</f>
        <v>14</v>
      </c>
      <c r="D661" s="327" t="str">
        <f t="shared" si="599"/>
        <v>A148PVM</v>
      </c>
      <c r="E661" s="327" t="str">
        <f t="shared" si="600"/>
        <v>T0504PVM</v>
      </c>
      <c r="F661" s="328"/>
      <c r="G661" s="328" t="s">
        <v>684</v>
      </c>
      <c r="H661" s="326" t="str">
        <f>INDEX('Rate Card'!$B:$B,MATCH(服务费底表!$T661,'Rate Card'!$F:$F,0))</f>
        <v>药物警戒</v>
      </c>
      <c r="I661" s="328" t="s">
        <v>926</v>
      </c>
      <c r="J661" s="328" t="str">
        <f>INDEX(二三级标准!$Q:$Q,MATCH(服务费底表!I661,二三级标准!$O:$O,0))</f>
        <v>安全警戒</v>
      </c>
      <c r="K661" s="328" t="s">
        <v>402</v>
      </c>
      <c r="L661" s="328" t="str">
        <f>INDEX(二三级标准!C:C,MATCH(服务费底表!K661,二三级标准!$B:$B,0))</f>
        <v>安全警戒项目管理</v>
      </c>
      <c r="M661" s="328" t="s">
        <v>1676</v>
      </c>
      <c r="N661" s="328" t="str">
        <f>INDEX(二三级标准!$M:$M,MATCH(服务费底表!$M661,二三级标准!$L:$L,0))</f>
        <v>日常沟通和管理(长随访期)</v>
      </c>
      <c r="O661" s="328"/>
      <c r="P661" s="531">
        <f>IF(R661=1,长随访月,0)</f>
        <v>0</v>
      </c>
      <c r="Q661" s="328" t="s">
        <v>1220</v>
      </c>
      <c r="R661" s="520">
        <f>IF(AND(安全警戒项目管理YN=1,药物警戒YN=1),1,0)</f>
        <v>1</v>
      </c>
      <c r="S661" s="528" t="str">
        <f>INDEX('Rate Card'!$D:$D,MATCH(服务费底表!$T661,'Rate Card'!F:F,0))</f>
        <v>药物警戒</v>
      </c>
      <c r="T661" s="328" t="s">
        <v>620</v>
      </c>
      <c r="U661" s="522" t="str">
        <f>INDEX('Rate Card'!$E:$E,MATCH(服务费底表!$T661,'Rate Card'!$F:$F,0))</f>
        <v>药物警戒经理</v>
      </c>
      <c r="V661" s="331">
        <f>INDEX('Rate Card'!$J:$J,MATCH($T661,'Rate Card'!$F:$F,0))</f>
        <v>500</v>
      </c>
      <c r="W661" s="523">
        <f t="shared" si="615"/>
        <v>500</v>
      </c>
      <c r="X661" s="523">
        <f t="shared" si="616"/>
        <v>0.5</v>
      </c>
      <c r="Y661" s="327" cm="1">
        <f t="array" ref="Y661">_xlfn.IFS(报价场景=服务费底表!$AJ$2,服务费底表!$AJ661,报价场景=服务费底表!$AP$2,服务费底表!$AP661,报价场景=服务费底表!$AK$2,服务费底表!$AK661,报价场景=服务费底表!$AL$2,服务费底表!$AL661,报价场景=服务费底表!$AM$2,服务费底表!$AM661,报价场景=服务费底表!$AN$2,服务费底表!$AN661,报价场景=服务费底表!$AQ$2,服务费底表!$AQ661,报价场景=服务费底表!$AO$2,服务费底表!$AO661)</f>
        <v>0.5</v>
      </c>
      <c r="Z661" s="327"/>
      <c r="AA661" s="332">
        <f t="shared" si="617"/>
        <v>0.5</v>
      </c>
      <c r="AB661" s="333">
        <f t="shared" si="601"/>
        <v>0</v>
      </c>
      <c r="AC661" s="328">
        <f t="shared" si="602"/>
        <v>0</v>
      </c>
      <c r="AD661" s="334">
        <f t="shared" si="603"/>
        <v>0</v>
      </c>
      <c r="AE661" s="334">
        <f>$AB661*(1-INDEX(项目参数!$D$5:$D$14,MATCH(服务费底表!$S661,项目参数!$B$5:$B$14,0)))</f>
        <v>0</v>
      </c>
      <c r="AF661" s="334">
        <f>$AD661*INDEX(项目参数!$D$5:$D$14,MATCH(服务费底表!$S661,项目参数!$B$5:$B$14,0))</f>
        <v>0</v>
      </c>
      <c r="AG661" s="334">
        <f t="shared" si="604"/>
        <v>0</v>
      </c>
      <c r="AH661" s="328"/>
      <c r="AI661" s="328" t="s">
        <v>620</v>
      </c>
      <c r="AJ661" s="327">
        <v>0.5</v>
      </c>
      <c r="AK661" s="327">
        <f t="shared" si="605"/>
        <v>0.75</v>
      </c>
      <c r="AL661" s="327">
        <v>0.4</v>
      </c>
      <c r="AM661" s="327">
        <f t="shared" si="606"/>
        <v>0.4</v>
      </c>
      <c r="AN661" s="327">
        <f t="shared" si="607"/>
        <v>0.4</v>
      </c>
      <c r="AO661" s="327">
        <f t="shared" si="614"/>
        <v>0.4</v>
      </c>
      <c r="AP661" s="327">
        <v>0.5</v>
      </c>
      <c r="AQ661" s="327">
        <f t="shared" si="618"/>
        <v>0.75</v>
      </c>
      <c r="AR661" s="338"/>
      <c r="AS661" s="327">
        <f t="shared" si="608"/>
        <v>0</v>
      </c>
      <c r="AT661" s="327">
        <f t="shared" si="609"/>
        <v>0</v>
      </c>
      <c r="AU661" s="523">
        <v>0.5</v>
      </c>
      <c r="AV661" s="328"/>
      <c r="AW661" s="328"/>
      <c r="AX661" s="332">
        <v>0.5</v>
      </c>
      <c r="AY661" s="328" t="b">
        <f t="shared" si="610"/>
        <v>1</v>
      </c>
      <c r="AZ661" s="328" t="b">
        <f t="shared" si="596"/>
        <v>0</v>
      </c>
    </row>
    <row r="662" ht="27" customHeight="1" spans="1:52">
      <c r="A662" s="326" t="str">
        <f>INDEX('Rate Card'!$A:$A,MATCH(服务费底表!$T662,'Rate Card'!$F:$F,0))</f>
        <v>医学</v>
      </c>
      <c r="B662" s="327" t="str">
        <f>INDEX(二三级标准!$G:$G,MATCH(服务费底表!$K662,二三级标准!B:B,0))</f>
        <v>次</v>
      </c>
      <c r="C662" s="327">
        <f>INDEX(服务费明细!$E:$E,MATCH(服务费底表!$K662,服务费明细!$B:$B,0))</f>
        <v>1</v>
      </c>
      <c r="D662" s="327" t="str">
        <f t="shared" si="599"/>
        <v>A149MM</v>
      </c>
      <c r="E662" s="327" t="str">
        <f t="shared" si="600"/>
        <v>T0505MM</v>
      </c>
      <c r="F662" s="328"/>
      <c r="G662" s="328" t="s">
        <v>684</v>
      </c>
      <c r="H662" s="326" t="str">
        <f>INDEX('Rate Card'!$B:$B,MATCH(服务费底表!$T662,'Rate Card'!$F:$F,0))</f>
        <v>医学</v>
      </c>
      <c r="I662" s="328" t="s">
        <v>927</v>
      </c>
      <c r="J662" s="328" t="str">
        <f>INDEX(二三级标准!$Q:$Q,MATCH(服务费底表!I662,二三级标准!$O:$O,0))</f>
        <v>医学撰写</v>
      </c>
      <c r="K662" s="328" t="s">
        <v>405</v>
      </c>
      <c r="L662" s="328" t="str">
        <f>INDEX(二三级标准!C:C,MATCH(服务费底表!K662,二三级标准!$B:$B,0))</f>
        <v>研究者手册版本更新</v>
      </c>
      <c r="M662" s="328" t="s">
        <v>1677</v>
      </c>
      <c r="N662" s="328" t="str">
        <f>INDEX(二三级标准!$M:$M,MATCH(服务费底表!$M662,二三级标准!$L:$L,0))</f>
        <v>研究者手册更新撰写</v>
      </c>
      <c r="O662" s="530"/>
      <c r="P662" s="327">
        <f>IF(R662=1,INDEX(服务费明细!$E:$E,MATCH(服务费底表!$K662,服务费明细!$B:$B,0)),0)</f>
        <v>1</v>
      </c>
      <c r="Q662" s="328" t="s">
        <v>1176</v>
      </c>
      <c r="R662" s="520">
        <f>IF(AND(IB更新YN=1,医学撰写YN=1),1,0)</f>
        <v>1</v>
      </c>
      <c r="S662" s="521" t="str">
        <f>IF(AND(H662="医学",OR(I662=二三级标准!$A$4,I662=二三级标准!$A$153)),"医学撰写","医学监查")</f>
        <v>医学撰写</v>
      </c>
      <c r="T662" s="328" t="s">
        <v>615</v>
      </c>
      <c r="U662" s="522" t="str">
        <f>INDEX('Rate Card'!$E:$E,MATCH(服务费底表!$T662,'Rate Card'!$F:$F,0))</f>
        <v>医学经理</v>
      </c>
      <c r="V662" s="331">
        <f>INDEX('Rate Card'!$J:$J,MATCH($T662,'Rate Card'!$F:$F,0))</f>
        <v>650</v>
      </c>
      <c r="W662" s="523">
        <f t="shared" si="615"/>
        <v>650</v>
      </c>
      <c r="X662" s="523">
        <f t="shared" si="616"/>
        <v>20</v>
      </c>
      <c r="Y662" s="327" cm="1">
        <f t="array" ref="Y662">_xlfn.IFS(报价场景=服务费底表!$AJ$2,服务费底表!$AJ662,报价场景=服务费底表!$AP$2,服务费底表!$AP662,报价场景=服务费底表!$AK$2,服务费底表!$AK662,报价场景=服务费底表!$AL$2,服务费底表!$AL662,报价场景=服务费底表!$AM$2,服务费底表!$AM662,报价场景=服务费底表!$AN$2,服务费底表!$AN662,报价场景=服务费底表!$AQ$2,服务费底表!$AQ662,报价场景=服务费底表!$AO$2,服务费底表!$AO662)</f>
        <v>20</v>
      </c>
      <c r="Z662" s="327"/>
      <c r="AA662" s="332">
        <f t="shared" si="617"/>
        <v>20</v>
      </c>
      <c r="AB662" s="333">
        <f t="shared" si="601"/>
        <v>13000</v>
      </c>
      <c r="AC662" s="328">
        <f t="shared" si="602"/>
        <v>20</v>
      </c>
      <c r="AD662" s="334">
        <f t="shared" si="603"/>
        <v>13000</v>
      </c>
      <c r="AE662" s="334">
        <f>$AB662*(1-INDEX(项目参数!$D$5:$D$14,MATCH(服务费底表!$S662,项目参数!$B$5:$B$14,0)))</f>
        <v>13000</v>
      </c>
      <c r="AF662" s="334">
        <f>$AD662*INDEX(项目参数!$D$5:$D$14,MATCH(服务费底表!$S662,项目参数!$B$5:$B$14,0))</f>
        <v>0</v>
      </c>
      <c r="AG662" s="334">
        <f t="shared" si="604"/>
        <v>13000</v>
      </c>
      <c r="AH662" s="328"/>
      <c r="AI662" s="328" t="s">
        <v>615</v>
      </c>
      <c r="AJ662" s="327">
        <v>20</v>
      </c>
      <c r="AK662" s="327">
        <f t="shared" ref="AK662:AK665" si="619">AJ662*1.5</f>
        <v>30</v>
      </c>
      <c r="AL662" s="336">
        <v>20</v>
      </c>
      <c r="AM662" s="327">
        <v>20</v>
      </c>
      <c r="AN662" s="327">
        <v>20</v>
      </c>
      <c r="AO662" s="327">
        <v>14</v>
      </c>
      <c r="AP662" s="327">
        <v>20</v>
      </c>
      <c r="AQ662" s="327">
        <f t="shared" si="618"/>
        <v>30</v>
      </c>
      <c r="AR662" s="338"/>
      <c r="AS662" s="328">
        <f t="shared" si="608"/>
        <v>20</v>
      </c>
      <c r="AT662" s="328">
        <f t="shared" si="609"/>
        <v>20</v>
      </c>
      <c r="AU662" s="523">
        <v>20</v>
      </c>
      <c r="AV662" s="328"/>
      <c r="AW662" s="328"/>
      <c r="AX662" s="332">
        <v>20</v>
      </c>
      <c r="AY662" s="328" t="b">
        <f t="shared" si="610"/>
        <v>1</v>
      </c>
      <c r="AZ662" s="328" t="b">
        <f t="shared" si="596"/>
        <v>1</v>
      </c>
    </row>
    <row r="663" ht="27" customHeight="1" spans="1:52">
      <c r="A663" s="326" t="str">
        <f>INDEX('Rate Card'!$A:$A,MATCH(服务费底表!$T663,'Rate Card'!$F:$F,0))</f>
        <v>医学</v>
      </c>
      <c r="B663" s="327" t="str">
        <f>INDEX(二三级标准!$G:$G,MATCH(服务费底表!$K663,二三级标准!B:B,0))</f>
        <v>次</v>
      </c>
      <c r="C663" s="327">
        <f>INDEX(服务费明细!$E:$E,MATCH(服务费底表!$K663,服务费明细!$B:$B,0))</f>
        <v>1</v>
      </c>
      <c r="D663" s="327" t="str">
        <f t="shared" si="599"/>
        <v>A149MD</v>
      </c>
      <c r="E663" s="327" t="str">
        <f t="shared" si="600"/>
        <v>T0506MD</v>
      </c>
      <c r="F663" s="328"/>
      <c r="G663" s="328" t="s">
        <v>684</v>
      </c>
      <c r="H663" s="326" t="str">
        <f>INDEX('Rate Card'!$B:$B,MATCH(服务费底表!$T663,'Rate Card'!$F:$F,0))</f>
        <v>医学</v>
      </c>
      <c r="I663" s="328" t="s">
        <v>927</v>
      </c>
      <c r="J663" s="328" t="str">
        <f>INDEX(二三级标准!$Q:$Q,MATCH(服务费底表!I663,二三级标准!$O:$O,0))</f>
        <v>医学撰写</v>
      </c>
      <c r="K663" s="328" t="s">
        <v>405</v>
      </c>
      <c r="L663" s="328" t="str">
        <f>INDEX(二三级标准!C:C,MATCH(服务费底表!K663,二三级标准!$B:$B,0))</f>
        <v>研究者手册版本更新</v>
      </c>
      <c r="M663" s="328" t="s">
        <v>1678</v>
      </c>
      <c r="N663" s="328" t="str">
        <f>INDEX(二三级标准!$M:$M,MATCH(服务费底表!$M663,二三级标准!$L:$L,0))</f>
        <v>研究者手册更新审阅</v>
      </c>
      <c r="O663" s="328"/>
      <c r="P663" s="327">
        <f>IF(R663=1,INDEX(服务费明细!$E:$E,MATCH(服务费底表!$K663,服务费明细!$B:$B,0)),0)</f>
        <v>1</v>
      </c>
      <c r="Q663" s="328" t="s">
        <v>1176</v>
      </c>
      <c r="R663" s="520">
        <f>IF(AND(IB更新YN=1,医学撰写YN=1),1,0)</f>
        <v>1</v>
      </c>
      <c r="S663" s="521" t="str">
        <f>IF(AND(H663="医学",OR(I663=二三级标准!$A$4,I663=二三级标准!$A$153)),"医学撰写","医学监查")</f>
        <v>医学撰写</v>
      </c>
      <c r="T663" s="328" t="s">
        <v>613</v>
      </c>
      <c r="U663" s="522" t="str">
        <f>INDEX('Rate Card'!$E:$E,MATCH(服务费底表!$T663,'Rate Card'!$F:$F,0))</f>
        <v>医学总监</v>
      </c>
      <c r="V663" s="331">
        <f>INDEX('Rate Card'!$J:$J,MATCH($T663,'Rate Card'!$F:$F,0))</f>
        <v>990</v>
      </c>
      <c r="W663" s="523">
        <f t="shared" si="615"/>
        <v>990</v>
      </c>
      <c r="X663" s="523">
        <f t="shared" si="616"/>
        <v>4</v>
      </c>
      <c r="Y663" s="327" cm="1">
        <f t="array" ref="Y663">_xlfn.IFS(报价场景=服务费底表!$AJ$2,服务费底表!$AJ663,报价场景=服务费底表!$AP$2,服务费底表!$AP663,报价场景=服务费底表!$AK$2,服务费底表!$AK663,报价场景=服务费底表!$AL$2,服务费底表!$AL663,报价场景=服务费底表!$AM$2,服务费底表!$AM663,报价场景=服务费底表!$AN$2,服务费底表!$AN663,报价场景=服务费底表!$AQ$2,服务费底表!$AQ663,报价场景=服务费底表!$AO$2,服务费底表!$AO663)</f>
        <v>4</v>
      </c>
      <c r="Z663" s="327"/>
      <c r="AA663" s="332">
        <f t="shared" si="617"/>
        <v>4</v>
      </c>
      <c r="AB663" s="333">
        <f t="shared" si="601"/>
        <v>3960</v>
      </c>
      <c r="AC663" s="328">
        <f t="shared" si="602"/>
        <v>4</v>
      </c>
      <c r="AD663" s="334">
        <f t="shared" si="603"/>
        <v>3960</v>
      </c>
      <c r="AE663" s="334">
        <f>$AB663*(1-INDEX(项目参数!$D$5:$D$14,MATCH(服务费底表!$S663,项目参数!$B$5:$B$14,0)))</f>
        <v>3960</v>
      </c>
      <c r="AF663" s="334">
        <f>$AD663*INDEX(项目参数!$D$5:$D$14,MATCH(服务费底表!$S663,项目参数!$B$5:$B$14,0))</f>
        <v>0</v>
      </c>
      <c r="AG663" s="334">
        <f t="shared" si="604"/>
        <v>3960</v>
      </c>
      <c r="AH663" s="328"/>
      <c r="AI663" s="328" t="s">
        <v>613</v>
      </c>
      <c r="AJ663" s="327">
        <v>4</v>
      </c>
      <c r="AK663" s="327">
        <f t="shared" si="619"/>
        <v>6</v>
      </c>
      <c r="AL663" s="336">
        <v>4</v>
      </c>
      <c r="AM663" s="327">
        <v>4</v>
      </c>
      <c r="AN663" s="327">
        <v>4</v>
      </c>
      <c r="AO663" s="327">
        <v>3</v>
      </c>
      <c r="AP663" s="327">
        <v>4</v>
      </c>
      <c r="AQ663" s="327">
        <f t="shared" si="618"/>
        <v>6</v>
      </c>
      <c r="AR663" s="338"/>
      <c r="AS663" s="328">
        <f t="shared" si="608"/>
        <v>4</v>
      </c>
      <c r="AT663" s="328">
        <f t="shared" si="609"/>
        <v>4</v>
      </c>
      <c r="AU663" s="523">
        <v>4</v>
      </c>
      <c r="AV663" s="328"/>
      <c r="AW663" s="328"/>
      <c r="AX663" s="332">
        <v>4</v>
      </c>
      <c r="AY663" s="328" t="b">
        <f t="shared" si="610"/>
        <v>1</v>
      </c>
      <c r="AZ663" s="328" t="b">
        <f t="shared" si="596"/>
        <v>1</v>
      </c>
    </row>
    <row r="664" ht="27" customHeight="1" spans="1:52">
      <c r="A664" s="326" t="str">
        <f>INDEX('Rate Card'!$A:$A,MATCH(服务费底表!$T664,'Rate Card'!$F:$F,0))</f>
        <v>临床药理</v>
      </c>
      <c r="B664" s="327" t="str">
        <f>INDEX(二三级标准!$G:$G,MATCH(服务费底表!$K664,二三级标准!B:B,0))</f>
        <v>次</v>
      </c>
      <c r="C664" s="327">
        <f>INDEX(服务费明细!$E:$E,MATCH(服务费底表!$K664,服务费明细!$B:$B,0))</f>
        <v>1</v>
      </c>
      <c r="D664" s="327" t="str">
        <f t="shared" si="599"/>
        <v>A149CPS</v>
      </c>
      <c r="E664" s="327" t="str">
        <f t="shared" si="600"/>
        <v>T0505CPS</v>
      </c>
      <c r="F664" s="328"/>
      <c r="G664" s="328" t="s">
        <v>684</v>
      </c>
      <c r="H664" s="326" t="str">
        <f>INDEX('Rate Card'!$B:$B,MATCH(服务费底表!$T664,'Rate Card'!$F:$F,0))</f>
        <v>临床药理</v>
      </c>
      <c r="I664" s="328" t="s">
        <v>927</v>
      </c>
      <c r="J664" s="328" t="str">
        <f>INDEX(二三级标准!$Q:$Q,MATCH(服务费底表!I664,二三级标准!$O:$O,0))</f>
        <v>医学撰写</v>
      </c>
      <c r="K664" s="328" t="s">
        <v>405</v>
      </c>
      <c r="L664" s="328" t="str">
        <f>INDEX(二三级标准!C:C,MATCH(服务费底表!K664,二三级标准!$B:$B,0))</f>
        <v>研究者手册版本更新</v>
      </c>
      <c r="M664" s="328" t="s">
        <v>1677</v>
      </c>
      <c r="N664" s="328" t="str">
        <f>INDEX(二三级标准!$M:$M,MATCH(服务费底表!$M664,二三级标准!$L:$L,0))</f>
        <v>研究者手册更新撰写</v>
      </c>
      <c r="O664" s="328"/>
      <c r="P664" s="327">
        <f>IF(R664=1,INDEX(服务费明细!$E:$E,MATCH(服务费底表!$K664,服务费明细!$B:$B,0)),0)</f>
        <v>0</v>
      </c>
      <c r="Q664" s="328" t="s">
        <v>1176</v>
      </c>
      <c r="R664" s="520">
        <v>0</v>
      </c>
      <c r="S664" s="330" t="s">
        <v>568</v>
      </c>
      <c r="T664" s="328" t="s">
        <v>652</v>
      </c>
      <c r="U664" s="522" t="str">
        <f>INDEX('Rate Card'!$E:$E,MATCH(服务费底表!$T664,'Rate Card'!$F:$F,0))</f>
        <v>临床药理专员</v>
      </c>
      <c r="V664" s="331">
        <f>INDEX('Rate Card'!$J:$J,MATCH($T664,'Rate Card'!$F:$F,0))</f>
        <v>580</v>
      </c>
      <c r="W664" s="523">
        <f t="shared" si="615"/>
        <v>580</v>
      </c>
      <c r="X664" s="523">
        <f t="shared" si="616"/>
        <v>0</v>
      </c>
      <c r="Y664" s="327" cm="1">
        <f t="array" ref="Y664">_xlfn.IFS(报价场景=服务费底表!$AJ$2,服务费底表!$AJ664,报价场景=服务费底表!$AP$2,服务费底表!$AP664,报价场景=服务费底表!$AK$2,服务费底表!$AK664,报价场景=服务费底表!$AL$2,服务费底表!$AL664,报价场景=服务费底表!$AM$2,服务费底表!$AM664,报价场景=服务费底表!$AN$2,服务费底表!$AN664,报价场景=服务费底表!$AQ$2,服务费底表!$AQ664,报价场景=服务费底表!$AO$2,服务费底表!$AO664)</f>
        <v>0</v>
      </c>
      <c r="Z664" s="327"/>
      <c r="AA664" s="332">
        <f t="shared" si="617"/>
        <v>0</v>
      </c>
      <c r="AB664" s="333">
        <f t="shared" si="601"/>
        <v>0</v>
      </c>
      <c r="AC664" s="328">
        <f t="shared" si="602"/>
        <v>0</v>
      </c>
      <c r="AD664" s="334">
        <f t="shared" si="603"/>
        <v>0</v>
      </c>
      <c r="AE664" s="334">
        <f>$AB664*(1-INDEX(项目参数!$D$5:$D$14,MATCH(服务费底表!$S664,项目参数!$B$5:$B$14,0)))</f>
        <v>0</v>
      </c>
      <c r="AF664" s="334">
        <f>$AD664*INDEX(项目参数!$D$5:$D$14,MATCH(服务费底表!$S664,项目参数!$B$5:$B$14,0))</f>
        <v>0</v>
      </c>
      <c r="AG664" s="334">
        <f t="shared" si="604"/>
        <v>0</v>
      </c>
      <c r="AH664" s="328"/>
      <c r="AI664" s="328" t="s">
        <v>652</v>
      </c>
      <c r="AJ664" s="327">
        <v>0</v>
      </c>
      <c r="AK664" s="327">
        <v>0</v>
      </c>
      <c r="AL664" s="336">
        <v>0</v>
      </c>
      <c r="AM664" s="327">
        <f>AJ664*0.7</f>
        <v>0</v>
      </c>
      <c r="AN664" s="327">
        <v>0</v>
      </c>
      <c r="AO664" s="327">
        <v>0</v>
      </c>
      <c r="AP664" s="327">
        <v>0</v>
      </c>
      <c r="AQ664" s="327">
        <f t="shared" si="618"/>
        <v>0</v>
      </c>
      <c r="AR664" s="338"/>
      <c r="AS664" s="328">
        <f t="shared" si="608"/>
        <v>0</v>
      </c>
      <c r="AT664" s="328">
        <f t="shared" si="609"/>
        <v>0</v>
      </c>
      <c r="AU664" s="523">
        <v>0</v>
      </c>
      <c r="AV664" s="328"/>
      <c r="AW664" s="328"/>
      <c r="AX664" s="332">
        <v>0</v>
      </c>
      <c r="AY664" s="328" t="b">
        <f t="shared" si="610"/>
        <v>1</v>
      </c>
      <c r="AZ664" s="328" t="b">
        <f t="shared" si="596"/>
        <v>1</v>
      </c>
    </row>
    <row r="665" ht="27" customHeight="1" spans="1:52">
      <c r="A665" s="326" t="str">
        <f>INDEX('Rate Card'!$A:$A,MATCH(服务费底表!$T665,'Rate Card'!$F:$F,0))</f>
        <v>临床药理</v>
      </c>
      <c r="B665" s="327" t="str">
        <f>INDEX(二三级标准!$G:$G,MATCH(服务费底表!$K665,二三级标准!B:B,0))</f>
        <v>次</v>
      </c>
      <c r="C665" s="327">
        <f>INDEX(服务费明细!$E:$E,MATCH(服务费底表!$K665,服务费明细!$B:$B,0))</f>
        <v>1</v>
      </c>
      <c r="D665" s="327" t="str">
        <f t="shared" si="599"/>
        <v>A149CPSS</v>
      </c>
      <c r="E665" s="327" t="str">
        <f t="shared" si="600"/>
        <v>T0506CPSS</v>
      </c>
      <c r="F665" s="328"/>
      <c r="G665" s="328" t="s">
        <v>684</v>
      </c>
      <c r="H665" s="326" t="str">
        <f>INDEX('Rate Card'!$B:$B,MATCH(服务费底表!$T665,'Rate Card'!$F:$F,0))</f>
        <v>临床药理</v>
      </c>
      <c r="I665" s="328" t="s">
        <v>927</v>
      </c>
      <c r="J665" s="328" t="str">
        <f>INDEX(二三级标准!$Q:$Q,MATCH(服务费底表!I665,二三级标准!$O:$O,0))</f>
        <v>医学撰写</v>
      </c>
      <c r="K665" s="328" t="s">
        <v>405</v>
      </c>
      <c r="L665" s="328" t="str">
        <f>INDEX(二三级标准!C:C,MATCH(服务费底表!K665,二三级标准!$B:$B,0))</f>
        <v>研究者手册版本更新</v>
      </c>
      <c r="M665" s="328" t="s">
        <v>1678</v>
      </c>
      <c r="N665" s="328" t="str">
        <f>INDEX(二三级标准!$M:$M,MATCH(服务费底表!$M665,二三级标准!$L:$L,0))</f>
        <v>研究者手册更新审阅</v>
      </c>
      <c r="O665" s="328"/>
      <c r="P665" s="327">
        <f>IF(R665=1,INDEX(服务费明细!$E:$E,MATCH(服务费底表!$K665,服务费明细!$B:$B,0)),0)</f>
        <v>0</v>
      </c>
      <c r="Q665" s="328" t="s">
        <v>1176</v>
      </c>
      <c r="R665" s="520">
        <v>0</v>
      </c>
      <c r="S665" s="330" t="s">
        <v>568</v>
      </c>
      <c r="T665" s="328" t="s">
        <v>654</v>
      </c>
      <c r="U665" s="522" t="str">
        <f>INDEX('Rate Card'!$E:$E,MATCH(服务费底表!$T665,'Rate Card'!$F:$F,0))</f>
        <v>临床药理高级专员</v>
      </c>
      <c r="V665" s="331">
        <f>INDEX('Rate Card'!$J:$J,MATCH($T665,'Rate Card'!$F:$F,0))</f>
        <v>700</v>
      </c>
      <c r="W665" s="523">
        <f t="shared" si="615"/>
        <v>700</v>
      </c>
      <c r="X665" s="523">
        <f t="shared" si="616"/>
        <v>0</v>
      </c>
      <c r="Y665" s="327" cm="1">
        <f t="array" ref="Y665">_xlfn.IFS(报价场景=服务费底表!$AJ$2,服务费底表!$AJ665,报价场景=服务费底表!$AP$2,服务费底表!$AP665,报价场景=服务费底表!$AK$2,服务费底表!$AK665,报价场景=服务费底表!$AL$2,服务费底表!$AL665,报价场景=服务费底表!$AM$2,服务费底表!$AM665,报价场景=服务费底表!$AN$2,服务费底表!$AN665,报价场景=服务费底表!$AQ$2,服务费底表!$AQ665,报价场景=服务费底表!$AO$2,服务费底表!$AO665)</f>
        <v>0</v>
      </c>
      <c r="Z665" s="327"/>
      <c r="AA665" s="332">
        <f t="shared" si="617"/>
        <v>0</v>
      </c>
      <c r="AB665" s="333">
        <f t="shared" si="601"/>
        <v>0</v>
      </c>
      <c r="AC665" s="328">
        <f t="shared" si="602"/>
        <v>0</v>
      </c>
      <c r="AD665" s="334">
        <f t="shared" si="603"/>
        <v>0</v>
      </c>
      <c r="AE665" s="334">
        <f>$AB665*(1-INDEX(项目参数!$D$5:$D$14,MATCH(服务费底表!$S665,项目参数!$B$5:$B$14,0)))</f>
        <v>0</v>
      </c>
      <c r="AF665" s="334">
        <f>$AD665*INDEX(项目参数!$D$5:$D$14,MATCH(服务费底表!$S665,项目参数!$B$5:$B$14,0))</f>
        <v>0</v>
      </c>
      <c r="AG665" s="334">
        <f t="shared" si="604"/>
        <v>0</v>
      </c>
      <c r="AH665" s="328"/>
      <c r="AI665" s="328" t="s">
        <v>654</v>
      </c>
      <c r="AJ665" s="327">
        <v>0</v>
      </c>
      <c r="AK665" s="327">
        <v>0</v>
      </c>
      <c r="AL665" s="336">
        <v>0</v>
      </c>
      <c r="AM665" s="327">
        <v>0</v>
      </c>
      <c r="AN665" s="327">
        <v>0</v>
      </c>
      <c r="AO665" s="327">
        <v>0</v>
      </c>
      <c r="AP665" s="327">
        <v>0</v>
      </c>
      <c r="AQ665" s="327">
        <f t="shared" si="618"/>
        <v>0</v>
      </c>
      <c r="AR665" s="338"/>
      <c r="AS665" s="328">
        <f t="shared" si="608"/>
        <v>0</v>
      </c>
      <c r="AT665" s="328">
        <f t="shared" si="609"/>
        <v>0</v>
      </c>
      <c r="AU665" s="523">
        <v>0</v>
      </c>
      <c r="AV665" s="328"/>
      <c r="AW665" s="328"/>
      <c r="AX665" s="332">
        <v>0</v>
      </c>
      <c r="AY665" s="328" t="b">
        <f t="shared" si="610"/>
        <v>1</v>
      </c>
      <c r="AZ665" s="328" t="b">
        <f t="shared" si="596"/>
        <v>1</v>
      </c>
    </row>
    <row r="666" ht="27" customHeight="1" spans="1:52">
      <c r="A666" s="326" t="str">
        <f>INDEX('Rate Card'!$A:$A,MATCH(服务费底表!$T666,'Rate Card'!$F:$F,0))</f>
        <v>医学</v>
      </c>
      <c r="B666" s="327" t="str">
        <f>INDEX(二三级标准!$G:$G,MATCH(服务费底表!$K666,二三级标准!B:B,0))</f>
        <v>份</v>
      </c>
      <c r="C666" s="327">
        <f>INDEX(服务费明细!$E:$E,MATCH(服务费底表!$K666,服务费明细!$B:$B,0))</f>
        <v>1</v>
      </c>
      <c r="D666" s="327" t="str">
        <f t="shared" si="599"/>
        <v>A150MM</v>
      </c>
      <c r="E666" s="327" t="str">
        <f t="shared" si="600"/>
        <v>T0507MM</v>
      </c>
      <c r="F666" s="328"/>
      <c r="G666" s="328" t="s">
        <v>684</v>
      </c>
      <c r="H666" s="326" t="str">
        <f>INDEX('Rate Card'!$B:$B,MATCH(服务费底表!$T666,'Rate Card'!$F:$F,0))</f>
        <v>医学</v>
      </c>
      <c r="I666" s="328" t="s">
        <v>927</v>
      </c>
      <c r="J666" s="328" t="str">
        <f>INDEX(二三级标准!$Q:$Q,MATCH(服务费底表!I666,二三级标准!$O:$O,0))</f>
        <v>医学撰写</v>
      </c>
      <c r="K666" s="328" t="s">
        <v>407</v>
      </c>
      <c r="L666" s="328" t="str">
        <f>INDEX(二三级标准!C:C,MATCH(服务费底表!K666,二三级标准!$B:$B,0))</f>
        <v>研究总结报告撰写</v>
      </c>
      <c r="M666" s="328" t="s">
        <v>1679</v>
      </c>
      <c r="N666" s="328" t="str">
        <f>INDEX(二三级标准!$M:$M,MATCH(服务费底表!$M666,二三级标准!$L:$L,0))</f>
        <v>研究总结报告框架搭建</v>
      </c>
      <c r="O666" s="328"/>
      <c r="P666" s="327">
        <f>IF(R666=1,INDEX(服务费明细!$E:$E,MATCH(服务费底表!$K666,服务费明细!$B:$B,0)),0)</f>
        <v>1</v>
      </c>
      <c r="Q666" s="328" t="s">
        <v>1176</v>
      </c>
      <c r="R666" s="520">
        <f>IF(AND(CSR撰写YN=1,医学撰写YN=1),1,0)</f>
        <v>1</v>
      </c>
      <c r="S666" s="521" t="str">
        <f>IF(AND(H666="医学",OR(I666=二三级标准!$A$4,I666=二三级标准!$A$153)),"医学撰写","医学监查")</f>
        <v>医学撰写</v>
      </c>
      <c r="T666" s="328" t="s">
        <v>615</v>
      </c>
      <c r="U666" s="522" t="str">
        <f>INDEX('Rate Card'!$E:$E,MATCH(服务费底表!$T666,'Rate Card'!$F:$F,0))</f>
        <v>医学经理</v>
      </c>
      <c r="V666" s="331">
        <f>INDEX('Rate Card'!$J:$J,MATCH($T666,'Rate Card'!$F:$F,0))</f>
        <v>650</v>
      </c>
      <c r="W666" s="523">
        <f t="shared" ref="W666:W672" si="620">V666*(1-$W$1)</f>
        <v>650</v>
      </c>
      <c r="X666" s="523">
        <f t="shared" ref="X666:X672" si="621">Y666*$X$1</f>
        <v>16</v>
      </c>
      <c r="Y666" s="327" cm="1">
        <f t="array" ref="Y666">_xlfn.IFS(报价场景=服务费底表!$AJ$2,服务费底表!$AJ666,报价场景=服务费底表!$AP$2,服务费底表!$AP666,报价场景=服务费底表!$AK$2,服务费底表!$AK666,报价场景=服务费底表!$AL$2,服务费底表!$AL666,报价场景=服务费底表!$AM$2,服务费底表!$AM666,报价场景=服务费底表!$AN$2,服务费底表!$AN666,报价场景=服务费底表!$AQ$2,服务费底表!$AQ666,报价场景=服务费底表!$AO$2,服务费底表!$AO666)</f>
        <v>16</v>
      </c>
      <c r="Z666" s="327"/>
      <c r="AA666" s="332">
        <f t="shared" si="617"/>
        <v>16</v>
      </c>
      <c r="AB666" s="333">
        <f t="shared" si="601"/>
        <v>10400</v>
      </c>
      <c r="AC666" s="328">
        <f t="shared" si="602"/>
        <v>16</v>
      </c>
      <c r="AD666" s="334">
        <f t="shared" si="603"/>
        <v>10400</v>
      </c>
      <c r="AE666" s="334">
        <f>$AB666*(1-INDEX(项目参数!$D$5:$D$14,MATCH(服务费底表!$S666,项目参数!$B$5:$B$14,0)))</f>
        <v>10400</v>
      </c>
      <c r="AF666" s="334">
        <f>$AD666*INDEX(项目参数!$D$5:$D$14,MATCH(服务费底表!$S666,项目参数!$B$5:$B$14,0))</f>
        <v>0</v>
      </c>
      <c r="AG666" s="334">
        <f t="shared" si="604"/>
        <v>10400</v>
      </c>
      <c r="AH666" s="328"/>
      <c r="AI666" s="328" t="s">
        <v>615</v>
      </c>
      <c r="AJ666" s="327">
        <v>16</v>
      </c>
      <c r="AK666" s="327">
        <v>24</v>
      </c>
      <c r="AL666" s="336">
        <v>8</v>
      </c>
      <c r="AM666" s="327">
        <v>24</v>
      </c>
      <c r="AN666" s="327">
        <v>8</v>
      </c>
      <c r="AO666" s="336">
        <v>12</v>
      </c>
      <c r="AP666" s="327">
        <v>16</v>
      </c>
      <c r="AQ666" s="327">
        <f t="shared" ref="AQ666:AQ672" si="622">AJ666*$AQ$1</f>
        <v>24</v>
      </c>
      <c r="AR666" s="338"/>
      <c r="AS666" s="328">
        <f t="shared" si="608"/>
        <v>16</v>
      </c>
      <c r="AT666" s="328">
        <f t="shared" si="609"/>
        <v>16</v>
      </c>
      <c r="AU666" s="523">
        <v>16</v>
      </c>
      <c r="AV666" s="328"/>
      <c r="AW666" s="328"/>
      <c r="AX666" s="332">
        <v>16</v>
      </c>
      <c r="AY666" s="328" t="b">
        <f t="shared" si="610"/>
        <v>1</v>
      </c>
      <c r="AZ666" s="328" t="b">
        <f t="shared" si="596"/>
        <v>0</v>
      </c>
    </row>
    <row r="667" ht="27" customHeight="1" spans="1:52">
      <c r="A667" s="326" t="str">
        <f>INDEX('Rate Card'!$A:$A,MATCH(服务费底表!$T667,'Rate Card'!$F:$F,0))</f>
        <v>临床药理</v>
      </c>
      <c r="B667" s="327" t="str">
        <f>INDEX(二三级标准!$G:$G,MATCH(服务费底表!$K667,二三级标准!B:B,0))</f>
        <v>份</v>
      </c>
      <c r="C667" s="327">
        <f>INDEX(服务费明细!$E:$E,MATCH(服务费底表!$K667,服务费明细!$B:$B,0))</f>
        <v>1</v>
      </c>
      <c r="D667" s="327" t="str">
        <f t="shared" si="599"/>
        <v>A150CPSS</v>
      </c>
      <c r="E667" s="327" t="str">
        <f t="shared" si="600"/>
        <v>T0507CPSS</v>
      </c>
      <c r="F667" s="328"/>
      <c r="G667" s="328" t="s">
        <v>684</v>
      </c>
      <c r="H667" s="326" t="str">
        <f>INDEX('Rate Card'!$B:$B,MATCH(服务费底表!$T667,'Rate Card'!$F:$F,0))</f>
        <v>临床药理</v>
      </c>
      <c r="I667" s="328" t="s">
        <v>927</v>
      </c>
      <c r="J667" s="328" t="str">
        <f>INDEX(二三级标准!$Q:$Q,MATCH(服务费底表!I667,二三级标准!$O:$O,0))</f>
        <v>医学撰写</v>
      </c>
      <c r="K667" s="328" t="s">
        <v>407</v>
      </c>
      <c r="L667" s="328" t="str">
        <f>INDEX(二三级标准!C:C,MATCH(服务费底表!K667,二三级标准!$B:$B,0))</f>
        <v>研究总结报告撰写</v>
      </c>
      <c r="M667" s="328" t="s">
        <v>1679</v>
      </c>
      <c r="N667" s="328" t="str">
        <f>INDEX(二三级标准!$M:$M,MATCH(服务费底表!$M667,二三级标准!$L:$L,0))</f>
        <v>研究总结报告框架搭建</v>
      </c>
      <c r="O667" s="328"/>
      <c r="P667" s="327">
        <f>IF(R667=1,INDEX(服务费明细!$E:$E,MATCH(服务费底表!$K667,服务费明细!$B:$B,0)),0)</f>
        <v>0</v>
      </c>
      <c r="Q667" s="328" t="s">
        <v>1176</v>
      </c>
      <c r="R667" s="520">
        <v>0</v>
      </c>
      <c r="S667" s="330" t="s">
        <v>568</v>
      </c>
      <c r="T667" s="328" t="s">
        <v>654</v>
      </c>
      <c r="U667" s="522" t="str">
        <f>INDEX('Rate Card'!$E:$E,MATCH(服务费底表!$T667,'Rate Card'!$F:$F,0))</f>
        <v>临床药理高级专员</v>
      </c>
      <c r="V667" s="331">
        <f>INDEX('Rate Card'!$J:$J,MATCH($T667,'Rate Card'!$F:$F,0))</f>
        <v>700</v>
      </c>
      <c r="W667" s="523">
        <f t="shared" si="620"/>
        <v>700</v>
      </c>
      <c r="X667" s="523">
        <f t="shared" si="621"/>
        <v>0</v>
      </c>
      <c r="Y667" s="327" cm="1">
        <f t="array" ref="Y667">_xlfn.IFS(报价场景=服务费底表!$AJ$2,服务费底表!$AJ667,报价场景=服务费底表!$AP$2,服务费底表!$AP667,报价场景=服务费底表!$AK$2,服务费底表!$AK667,报价场景=服务费底表!$AL$2,服务费底表!$AL667,报价场景=服务费底表!$AM$2,服务费底表!$AM667,报价场景=服务费底表!$AN$2,服务费底表!$AN667,报价场景=服务费底表!$AQ$2,服务费底表!$AQ667,报价场景=服务费底表!$AO$2,服务费底表!$AO667)</f>
        <v>0</v>
      </c>
      <c r="Z667" s="327"/>
      <c r="AA667" s="332">
        <f t="shared" si="617"/>
        <v>0</v>
      </c>
      <c r="AB667" s="333">
        <f t="shared" si="601"/>
        <v>0</v>
      </c>
      <c r="AC667" s="328">
        <f t="shared" si="602"/>
        <v>0</v>
      </c>
      <c r="AD667" s="334">
        <f t="shared" si="603"/>
        <v>0</v>
      </c>
      <c r="AE667" s="334">
        <f>$AB667*(1-INDEX(项目参数!$D$5:$D$14,MATCH(服务费底表!$S667,项目参数!$B$5:$B$14,0)))</f>
        <v>0</v>
      </c>
      <c r="AF667" s="334">
        <f>$AD667*INDEX(项目参数!$D$5:$D$14,MATCH(服务费底表!$S667,项目参数!$B$5:$B$14,0))</f>
        <v>0</v>
      </c>
      <c r="AG667" s="334">
        <f t="shared" si="604"/>
        <v>0</v>
      </c>
      <c r="AH667" s="328"/>
      <c r="AI667" s="328" t="s">
        <v>654</v>
      </c>
      <c r="AJ667" s="327">
        <v>0</v>
      </c>
      <c r="AK667" s="327">
        <v>0</v>
      </c>
      <c r="AL667" s="327">
        <v>8</v>
      </c>
      <c r="AM667" s="327">
        <v>0</v>
      </c>
      <c r="AN667" s="327">
        <v>0</v>
      </c>
      <c r="AO667" s="327">
        <v>0</v>
      </c>
      <c r="AP667" s="327">
        <v>0</v>
      </c>
      <c r="AQ667" s="327">
        <f t="shared" si="622"/>
        <v>0</v>
      </c>
      <c r="AR667" s="338"/>
      <c r="AS667" s="328">
        <f t="shared" si="608"/>
        <v>0</v>
      </c>
      <c r="AT667" s="328">
        <f t="shared" si="609"/>
        <v>0</v>
      </c>
      <c r="AU667" s="523">
        <v>0</v>
      </c>
      <c r="AV667" s="328"/>
      <c r="AW667" s="328"/>
      <c r="AX667" s="332">
        <v>0</v>
      </c>
      <c r="AY667" s="328" t="b">
        <f t="shared" si="610"/>
        <v>1</v>
      </c>
      <c r="AZ667" s="328" t="b">
        <f t="shared" si="596"/>
        <v>0</v>
      </c>
    </row>
    <row r="668" ht="27" customHeight="1" spans="1:52">
      <c r="A668" s="326" t="str">
        <f>INDEX('Rate Card'!$A:$A,MATCH(服务费底表!$T668,'Rate Card'!$F:$F,0))</f>
        <v>医学</v>
      </c>
      <c r="B668" s="327" t="str">
        <f>INDEX(二三级标准!$G:$G,MATCH(服务费底表!$K668,二三级标准!B:B,0))</f>
        <v>份</v>
      </c>
      <c r="C668" s="327">
        <f>INDEX(服务费明细!$E:$E,MATCH(服务费底表!$K668,服务费明细!$B:$B,0))</f>
        <v>1</v>
      </c>
      <c r="D668" s="327" t="str">
        <f t="shared" si="599"/>
        <v>A150MM</v>
      </c>
      <c r="E668" s="327" t="str">
        <f t="shared" si="600"/>
        <v>T0508MM</v>
      </c>
      <c r="F668" s="328"/>
      <c r="G668" s="328" t="s">
        <v>684</v>
      </c>
      <c r="H668" s="326" t="str">
        <f>INDEX('Rate Card'!$B:$B,MATCH(服务费底表!$T668,'Rate Card'!$F:$F,0))</f>
        <v>医学</v>
      </c>
      <c r="I668" s="328" t="s">
        <v>927</v>
      </c>
      <c r="J668" s="328" t="str">
        <f>INDEX(二三级标准!$Q:$Q,MATCH(服务费底表!I668,二三级标准!$O:$O,0))</f>
        <v>医学撰写</v>
      </c>
      <c r="K668" s="328" t="s">
        <v>407</v>
      </c>
      <c r="L668" s="328" t="str">
        <f>INDEX(二三级标准!C:C,MATCH(服务费底表!K668,二三级标准!$B:$B,0))</f>
        <v>研究总结报告撰写</v>
      </c>
      <c r="M668" s="328" t="s">
        <v>1680</v>
      </c>
      <c r="N668" s="328" t="str">
        <f>INDEX(二三级标准!$M:$M,MATCH(服务费底表!$M668,二三级标准!$L:$L,0))</f>
        <v>研究总结报告TFL审核</v>
      </c>
      <c r="O668" s="328"/>
      <c r="P668" s="327">
        <f>IF(R668=1,INDEX(服务费明细!$E:$E,MATCH(服务费底表!$K668,服务费明细!$B:$B,0)),0)</f>
        <v>1</v>
      </c>
      <c r="Q668" s="328" t="s">
        <v>1176</v>
      </c>
      <c r="R668" s="520">
        <f>IF(AND(CSR撰写YN=1,医学撰写YN=1),1,0)</f>
        <v>1</v>
      </c>
      <c r="S668" s="521" t="str">
        <f>IF(AND(H668="医学",OR(I668=二三级标准!$A$4,I668=二三级标准!$A$153)),"医学撰写","医学监查")</f>
        <v>医学撰写</v>
      </c>
      <c r="T668" s="328" t="s">
        <v>615</v>
      </c>
      <c r="U668" s="522" t="str">
        <f>INDEX('Rate Card'!$E:$E,MATCH(服务费底表!$T668,'Rate Card'!$F:$F,0))</f>
        <v>医学经理</v>
      </c>
      <c r="V668" s="331">
        <f>INDEX('Rate Card'!$J:$J,MATCH($T668,'Rate Card'!$F:$F,0))</f>
        <v>650</v>
      </c>
      <c r="W668" s="523">
        <f t="shared" si="620"/>
        <v>650</v>
      </c>
      <c r="X668" s="523">
        <f t="shared" si="621"/>
        <v>12</v>
      </c>
      <c r="Y668" s="327" cm="1">
        <f t="array" ref="Y668">_xlfn.IFS(报价场景=服务费底表!$AJ$2,服务费底表!$AJ668,报价场景=服务费底表!$AP$2,服务费底表!$AP668,报价场景=服务费底表!$AK$2,服务费底表!$AK668,报价场景=服务费底表!$AL$2,服务费底表!$AL668,报价场景=服务费底表!$AM$2,服务费底表!$AM668,报价场景=服务费底表!$AN$2,服务费底表!$AN668,报价场景=服务费底表!$AQ$2,服务费底表!$AQ668,报价场景=服务费底表!$AO$2,服务费底表!$AO668)</f>
        <v>12</v>
      </c>
      <c r="Z668" s="327"/>
      <c r="AA668" s="332">
        <f t="shared" si="617"/>
        <v>12</v>
      </c>
      <c r="AB668" s="333">
        <f t="shared" si="601"/>
        <v>7800</v>
      </c>
      <c r="AC668" s="328">
        <f t="shared" si="602"/>
        <v>12</v>
      </c>
      <c r="AD668" s="334">
        <f t="shared" si="603"/>
        <v>7800</v>
      </c>
      <c r="AE668" s="334">
        <f>$AB668*(1-INDEX(项目参数!$D$5:$D$14,MATCH(服务费底表!$S668,项目参数!$B$5:$B$14,0)))</f>
        <v>7800</v>
      </c>
      <c r="AF668" s="334">
        <f>$AD668*INDEX(项目参数!$D$5:$D$14,MATCH(服务费底表!$S668,项目参数!$B$5:$B$14,0))</f>
        <v>0</v>
      </c>
      <c r="AG668" s="334">
        <f t="shared" si="604"/>
        <v>7800</v>
      </c>
      <c r="AH668" s="328"/>
      <c r="AI668" s="328" t="s">
        <v>615</v>
      </c>
      <c r="AJ668" s="327">
        <v>12</v>
      </c>
      <c r="AK668" s="327">
        <v>18</v>
      </c>
      <c r="AL668" s="336">
        <v>4</v>
      </c>
      <c r="AM668" s="327">
        <v>18</v>
      </c>
      <c r="AN668" s="327">
        <v>4</v>
      </c>
      <c r="AO668" s="336">
        <v>10</v>
      </c>
      <c r="AP668" s="327">
        <v>12</v>
      </c>
      <c r="AQ668" s="327">
        <f t="shared" si="622"/>
        <v>18</v>
      </c>
      <c r="AR668" s="338"/>
      <c r="AS668" s="328">
        <f t="shared" si="608"/>
        <v>12</v>
      </c>
      <c r="AT668" s="328">
        <f t="shared" si="609"/>
        <v>12</v>
      </c>
      <c r="AU668" s="523">
        <v>12</v>
      </c>
      <c r="AV668" s="328"/>
      <c r="AW668" s="328"/>
      <c r="AX668" s="332">
        <v>12</v>
      </c>
      <c r="AY668" s="328" t="b">
        <f t="shared" si="610"/>
        <v>1</v>
      </c>
      <c r="AZ668" s="328" t="b">
        <f t="shared" si="596"/>
        <v>0</v>
      </c>
    </row>
    <row r="669" ht="27" customHeight="1" spans="1:52">
      <c r="A669" s="326" t="str">
        <f>INDEX('Rate Card'!$A:$A,MATCH(服务费底表!$T669,'Rate Card'!$F:$F,0))</f>
        <v>临床药理</v>
      </c>
      <c r="B669" s="327" t="str">
        <f>INDEX(二三级标准!$G:$G,MATCH(服务费底表!$K669,二三级标准!B:B,0))</f>
        <v>份</v>
      </c>
      <c r="C669" s="327">
        <f>INDEX(服务费明细!$E:$E,MATCH(服务费底表!$K669,服务费明细!$B:$B,0))</f>
        <v>1</v>
      </c>
      <c r="D669" s="327" t="str">
        <f t="shared" si="599"/>
        <v>A150CPSS</v>
      </c>
      <c r="E669" s="327" t="str">
        <f t="shared" si="600"/>
        <v>T0508CPSS</v>
      </c>
      <c r="F669" s="328"/>
      <c r="G669" s="328" t="s">
        <v>684</v>
      </c>
      <c r="H669" s="326" t="str">
        <f>INDEX('Rate Card'!$B:$B,MATCH(服务费底表!$T669,'Rate Card'!$F:$F,0))</f>
        <v>临床药理</v>
      </c>
      <c r="I669" s="328" t="s">
        <v>927</v>
      </c>
      <c r="J669" s="328" t="str">
        <f>INDEX(二三级标准!$Q:$Q,MATCH(服务费底表!I669,二三级标准!$O:$O,0))</f>
        <v>医学撰写</v>
      </c>
      <c r="K669" s="328" t="s">
        <v>407</v>
      </c>
      <c r="L669" s="328" t="str">
        <f>INDEX(二三级标准!C:C,MATCH(服务费底表!K669,二三级标准!$B:$B,0))</f>
        <v>研究总结报告撰写</v>
      </c>
      <c r="M669" s="328" t="s">
        <v>1680</v>
      </c>
      <c r="N669" s="328" t="str">
        <f>INDEX(二三级标准!$M:$M,MATCH(服务费底表!$M669,二三级标准!$L:$L,0))</f>
        <v>研究总结报告TFL审核</v>
      </c>
      <c r="O669" s="328"/>
      <c r="P669" s="327">
        <f>IF(R669=1,INDEX(服务费明细!$E:$E,MATCH(服务费底表!$K669,服务费明细!$B:$B,0)),0)</f>
        <v>0</v>
      </c>
      <c r="Q669" s="328" t="s">
        <v>1176</v>
      </c>
      <c r="R669" s="520">
        <v>0</v>
      </c>
      <c r="S669" s="330" t="s">
        <v>568</v>
      </c>
      <c r="T669" s="328" t="s">
        <v>654</v>
      </c>
      <c r="U669" s="522" t="str">
        <f>INDEX('Rate Card'!$E:$E,MATCH(服务费底表!$T669,'Rate Card'!$F:$F,0))</f>
        <v>临床药理高级专员</v>
      </c>
      <c r="V669" s="331">
        <f>INDEX('Rate Card'!$J:$J,MATCH($T669,'Rate Card'!$F:$F,0))</f>
        <v>700</v>
      </c>
      <c r="W669" s="523">
        <f t="shared" si="620"/>
        <v>700</v>
      </c>
      <c r="X669" s="523">
        <f t="shared" si="621"/>
        <v>0</v>
      </c>
      <c r="Y669" s="327" cm="1">
        <f t="array" ref="Y669">_xlfn.IFS(报价场景=服务费底表!$AJ$2,服务费底表!$AJ669,报价场景=服务费底表!$AP$2,服务费底表!$AP669,报价场景=服务费底表!$AK$2,服务费底表!$AK669,报价场景=服务费底表!$AL$2,服务费底表!$AL669,报价场景=服务费底表!$AM$2,服务费底表!$AM669,报价场景=服务费底表!$AN$2,服务费底表!$AN669,报价场景=服务费底表!$AQ$2,服务费底表!$AQ669,报价场景=服务费底表!$AO$2,服务费底表!$AO669)</f>
        <v>0</v>
      </c>
      <c r="Z669" s="327"/>
      <c r="AA669" s="332">
        <f t="shared" si="617"/>
        <v>0</v>
      </c>
      <c r="AB669" s="333">
        <f t="shared" si="601"/>
        <v>0</v>
      </c>
      <c r="AC669" s="328">
        <f t="shared" si="602"/>
        <v>0</v>
      </c>
      <c r="AD669" s="334">
        <f t="shared" si="603"/>
        <v>0</v>
      </c>
      <c r="AE669" s="334">
        <f>$AB669*(1-INDEX(项目参数!$D$5:$D$14,MATCH(服务费底表!$S669,项目参数!$B$5:$B$14,0)))</f>
        <v>0</v>
      </c>
      <c r="AF669" s="334">
        <f>$AD669*INDEX(项目参数!$D$5:$D$14,MATCH(服务费底表!$S669,项目参数!$B$5:$B$14,0))</f>
        <v>0</v>
      </c>
      <c r="AG669" s="334">
        <f t="shared" si="604"/>
        <v>0</v>
      </c>
      <c r="AH669" s="328"/>
      <c r="AI669" s="328" t="s">
        <v>654</v>
      </c>
      <c r="AJ669" s="327">
        <v>0</v>
      </c>
      <c r="AK669" s="327">
        <v>0</v>
      </c>
      <c r="AL669" s="327">
        <v>4</v>
      </c>
      <c r="AM669" s="327">
        <v>0</v>
      </c>
      <c r="AN669" s="327">
        <v>0</v>
      </c>
      <c r="AO669" s="327">
        <v>0</v>
      </c>
      <c r="AP669" s="327">
        <v>0</v>
      </c>
      <c r="AQ669" s="327">
        <f t="shared" si="622"/>
        <v>0</v>
      </c>
      <c r="AR669" s="338"/>
      <c r="AS669" s="328">
        <f t="shared" si="608"/>
        <v>0</v>
      </c>
      <c r="AT669" s="328">
        <f t="shared" si="609"/>
        <v>0</v>
      </c>
      <c r="AU669" s="523">
        <v>0</v>
      </c>
      <c r="AV669" s="328"/>
      <c r="AW669" s="328"/>
      <c r="AX669" s="332">
        <v>0</v>
      </c>
      <c r="AY669" s="328" t="b">
        <f t="shared" si="610"/>
        <v>1</v>
      </c>
      <c r="AZ669" s="328" t="b">
        <f t="shared" si="596"/>
        <v>0</v>
      </c>
    </row>
    <row r="670" ht="27" customHeight="1" spans="1:52">
      <c r="A670" s="326" t="str">
        <f>INDEX('Rate Card'!$A:$A,MATCH(服务费底表!$T670,'Rate Card'!$F:$F,0))</f>
        <v>医学</v>
      </c>
      <c r="B670" s="327" t="str">
        <f>INDEX(二三级标准!$G:$G,MATCH(服务费底表!$K670,二三级标准!B:B,0))</f>
        <v>份</v>
      </c>
      <c r="C670" s="327">
        <f>INDEX(服务费明细!$E:$E,MATCH(服务费底表!$K670,服务费明细!$B:$B,0))</f>
        <v>1</v>
      </c>
      <c r="D670" s="327" t="str">
        <f t="shared" si="599"/>
        <v>A150MM</v>
      </c>
      <c r="E670" s="327" t="str">
        <f t="shared" si="600"/>
        <v>T0509MM</v>
      </c>
      <c r="F670" s="328"/>
      <c r="G670" s="328" t="s">
        <v>684</v>
      </c>
      <c r="H670" s="326" t="str">
        <f>INDEX('Rate Card'!$B:$B,MATCH(服务费底表!$T670,'Rate Card'!$F:$F,0))</f>
        <v>医学</v>
      </c>
      <c r="I670" s="328" t="s">
        <v>927</v>
      </c>
      <c r="J670" s="328" t="str">
        <f>INDEX(二三级标准!$Q:$Q,MATCH(服务费底表!I670,二三级标准!$O:$O,0))</f>
        <v>医学撰写</v>
      </c>
      <c r="K670" s="328" t="s">
        <v>407</v>
      </c>
      <c r="L670" s="328" t="str">
        <f>INDEX(二三级标准!C:C,MATCH(服务费底表!K670,二三级标准!$B:$B,0))</f>
        <v>研究总结报告撰写</v>
      </c>
      <c r="M670" s="328" t="s">
        <v>1681</v>
      </c>
      <c r="N670" s="328" t="str">
        <f>INDEX(二三级标准!$M:$M,MATCH(服务费底表!$M670,二三级标准!$L:$L,0))</f>
        <v>研究总结报告撰写</v>
      </c>
      <c r="O670" s="328"/>
      <c r="P670" s="327">
        <f>IF(R670=1,INDEX(服务费明细!$E:$E,MATCH(服务费底表!$K670,服务费明细!$B:$B,0)),0)</f>
        <v>1</v>
      </c>
      <c r="Q670" s="328" t="s">
        <v>1176</v>
      </c>
      <c r="R670" s="520">
        <f>IF(AND(CSR撰写YN=1,医学撰写YN=1),1,0)</f>
        <v>1</v>
      </c>
      <c r="S670" s="521" t="str">
        <f>IF(AND(H670="医学",OR(I670=二三级标准!$A$4,I670=二三级标准!$A$153)),"医学撰写","医学监查")</f>
        <v>医学撰写</v>
      </c>
      <c r="T670" s="328" t="s">
        <v>615</v>
      </c>
      <c r="U670" s="522" t="str">
        <f>INDEX('Rate Card'!$E:$E,MATCH(服务费底表!$T670,'Rate Card'!$F:$F,0))</f>
        <v>医学经理</v>
      </c>
      <c r="V670" s="331">
        <f>INDEX('Rate Card'!$J:$J,MATCH($T670,'Rate Card'!$F:$F,0))</f>
        <v>650</v>
      </c>
      <c r="W670" s="523">
        <f t="shared" si="620"/>
        <v>650</v>
      </c>
      <c r="X670" s="523">
        <f t="shared" si="621"/>
        <v>48</v>
      </c>
      <c r="Y670" s="327" cm="1">
        <f t="array" ref="Y670">_xlfn.IFS(报价场景=服务费底表!$AJ$2,服务费底表!$AJ670,报价场景=服务费底表!$AP$2,服务费底表!$AP670,报价场景=服务费底表!$AK$2,服务费底表!$AK670,报价场景=服务费底表!$AL$2,服务费底表!$AL670,报价场景=服务费底表!$AM$2,服务费底表!$AM670,报价场景=服务费底表!$AN$2,服务费底表!$AN670,报价场景=服务费底表!$AQ$2,服务费底表!$AQ670,报价场景=服务费底表!$AO$2,服务费底表!$AO670)</f>
        <v>48</v>
      </c>
      <c r="Z670" s="327"/>
      <c r="AA670" s="332">
        <f t="shared" ref="AA670:AA685" si="623">IF(ISBLANK($Z670),$Y670,$Z670)</f>
        <v>48</v>
      </c>
      <c r="AB670" s="333">
        <f t="shared" si="601"/>
        <v>31200</v>
      </c>
      <c r="AC670" s="328">
        <f t="shared" si="602"/>
        <v>48</v>
      </c>
      <c r="AD670" s="334">
        <f t="shared" si="603"/>
        <v>31200</v>
      </c>
      <c r="AE670" s="334">
        <f>$AB670*(1-INDEX(项目参数!$D$5:$D$14,MATCH(服务费底表!$S670,项目参数!$B$5:$B$14,0)))</f>
        <v>31200</v>
      </c>
      <c r="AF670" s="334">
        <f>$AD670*INDEX(项目参数!$D$5:$D$14,MATCH(服务费底表!$S670,项目参数!$B$5:$B$14,0))</f>
        <v>0</v>
      </c>
      <c r="AG670" s="334">
        <f t="shared" si="604"/>
        <v>31200</v>
      </c>
      <c r="AH670" s="328"/>
      <c r="AI670" s="328" t="s">
        <v>615</v>
      </c>
      <c r="AJ670" s="327">
        <v>48</v>
      </c>
      <c r="AK670" s="327">
        <v>72</v>
      </c>
      <c r="AL670" s="336">
        <v>40</v>
      </c>
      <c r="AM670" s="327">
        <v>72</v>
      </c>
      <c r="AN670" s="327">
        <v>40</v>
      </c>
      <c r="AO670" s="336">
        <v>40</v>
      </c>
      <c r="AP670" s="327">
        <v>64</v>
      </c>
      <c r="AQ670" s="327">
        <f t="shared" si="622"/>
        <v>72</v>
      </c>
      <c r="AR670" s="338"/>
      <c r="AS670" s="328">
        <f t="shared" si="608"/>
        <v>48</v>
      </c>
      <c r="AT670" s="328">
        <f t="shared" si="609"/>
        <v>48</v>
      </c>
      <c r="AU670" s="523">
        <v>48</v>
      </c>
      <c r="AV670" s="328"/>
      <c r="AW670" s="328"/>
      <c r="AX670" s="332">
        <v>48</v>
      </c>
      <c r="AY670" s="328" t="b">
        <f t="shared" si="610"/>
        <v>1</v>
      </c>
      <c r="AZ670" s="328" t="b">
        <f t="shared" si="596"/>
        <v>0</v>
      </c>
    </row>
    <row r="671" ht="27" customHeight="1" spans="1:52">
      <c r="A671" s="326" t="str">
        <f>INDEX('Rate Card'!$A:$A,MATCH(服务费底表!$T671,'Rate Card'!$F:$F,0))</f>
        <v>临床药理</v>
      </c>
      <c r="B671" s="327" t="str">
        <f>INDEX(二三级标准!$G:$G,MATCH(服务费底表!$K671,二三级标准!B:B,0))</f>
        <v>份</v>
      </c>
      <c r="C671" s="327">
        <f>INDEX(服务费明细!$E:$E,MATCH(服务费底表!$K671,服务费明细!$B:$B,0))</f>
        <v>1</v>
      </c>
      <c r="D671" s="327" t="str">
        <f t="shared" si="599"/>
        <v>A150CPS</v>
      </c>
      <c r="E671" s="327" t="str">
        <f t="shared" si="600"/>
        <v>T0509CPS</v>
      </c>
      <c r="F671" s="328"/>
      <c r="G671" s="328" t="s">
        <v>684</v>
      </c>
      <c r="H671" s="326" t="str">
        <f>INDEX('Rate Card'!$B:$B,MATCH(服务费底表!$T671,'Rate Card'!$F:$F,0))</f>
        <v>临床药理</v>
      </c>
      <c r="I671" s="328" t="s">
        <v>927</v>
      </c>
      <c r="J671" s="328" t="str">
        <f>INDEX(二三级标准!$Q:$Q,MATCH(服务费底表!I671,二三级标准!$O:$O,0))</f>
        <v>医学撰写</v>
      </c>
      <c r="K671" s="328" t="s">
        <v>407</v>
      </c>
      <c r="L671" s="328" t="str">
        <f>INDEX(二三级标准!C:C,MATCH(服务费底表!K671,二三级标准!$B:$B,0))</f>
        <v>研究总结报告撰写</v>
      </c>
      <c r="M671" s="328" t="s">
        <v>1681</v>
      </c>
      <c r="N671" s="328" t="str">
        <f>INDEX(二三级标准!$M:$M,MATCH(服务费底表!$M671,二三级标准!$L:$L,0))</f>
        <v>研究总结报告撰写</v>
      </c>
      <c r="O671" s="328"/>
      <c r="P671" s="327">
        <f>IF(R671=1,INDEX(服务费明细!$E:$E,MATCH(服务费底表!$K671,服务费明细!$B:$B,0)),0)</f>
        <v>0</v>
      </c>
      <c r="Q671" s="328" t="s">
        <v>1176</v>
      </c>
      <c r="R671" s="520">
        <v>0</v>
      </c>
      <c r="S671" s="328" t="str">
        <f>INDEX('Rate Card'!$D:$D,MATCH(服务费底表!$T671,'Rate Card'!F:F,0))</f>
        <v>临床药理</v>
      </c>
      <c r="T671" s="328" t="s">
        <v>652</v>
      </c>
      <c r="U671" s="522" t="str">
        <f>INDEX('Rate Card'!$E:$E,MATCH(服务费底表!$T671,'Rate Card'!$F:$F,0))</f>
        <v>临床药理专员</v>
      </c>
      <c r="V671" s="331">
        <f>INDEX('Rate Card'!$J:$J,MATCH($T671,'Rate Card'!$F:$F,0))</f>
        <v>580</v>
      </c>
      <c r="W671" s="523">
        <f t="shared" si="620"/>
        <v>580</v>
      </c>
      <c r="X671" s="523">
        <f t="shared" si="621"/>
        <v>0</v>
      </c>
      <c r="Y671" s="327" cm="1">
        <f t="array" ref="Y671">_xlfn.IFS(报价场景=服务费底表!$AJ$2,服务费底表!$AJ671,报价场景=服务费底表!$AP$2,服务费底表!$AP671,报价场景=服务费底表!$AK$2,服务费底表!$AK671,报价场景=服务费底表!$AL$2,服务费底表!$AL671,报价场景=服务费底表!$AM$2,服务费底表!$AM671,报价场景=服务费底表!$AN$2,服务费底表!$AN671,报价场景=服务费底表!$AQ$2,服务费底表!$AQ671,报价场景=服务费底表!$AO$2,服务费底表!$AO671)</f>
        <v>0</v>
      </c>
      <c r="Z671" s="327"/>
      <c r="AA671" s="332">
        <f t="shared" si="623"/>
        <v>0</v>
      </c>
      <c r="AB671" s="333">
        <f t="shared" si="601"/>
        <v>0</v>
      </c>
      <c r="AC671" s="328">
        <f t="shared" si="602"/>
        <v>0</v>
      </c>
      <c r="AD671" s="334">
        <f t="shared" ref="AD671" si="624">AC671*V671</f>
        <v>0</v>
      </c>
      <c r="AE671" s="334">
        <f>$AB671*(1-INDEX(项目参数!$D$5:$D$14,MATCH(服务费底表!$S671,项目参数!$B$5:$B$14,0)))</f>
        <v>0</v>
      </c>
      <c r="AF671" s="334">
        <f>$AD671*INDEX(项目参数!$D$5:$D$14,MATCH(服务费底表!$S671,项目参数!$B$5:$B$14,0))</f>
        <v>0</v>
      </c>
      <c r="AG671" s="334">
        <f t="shared" ref="AG671:AG683" si="625">AD671-AF671</f>
        <v>0</v>
      </c>
      <c r="AH671" s="328"/>
      <c r="AI671" s="328" t="s">
        <v>652</v>
      </c>
      <c r="AJ671" s="327">
        <v>0</v>
      </c>
      <c r="AK671" s="327">
        <v>0</v>
      </c>
      <c r="AL671" s="327">
        <v>8</v>
      </c>
      <c r="AM671" s="327">
        <v>0</v>
      </c>
      <c r="AN671" s="327">
        <v>0</v>
      </c>
      <c r="AO671" s="327">
        <v>0</v>
      </c>
      <c r="AP671" s="327">
        <v>0</v>
      </c>
      <c r="AQ671" s="327">
        <f t="shared" si="622"/>
        <v>0</v>
      </c>
      <c r="AR671" s="338"/>
      <c r="AS671" s="328">
        <f t="shared" si="608"/>
        <v>0</v>
      </c>
      <c r="AT671" s="328">
        <f t="shared" si="609"/>
        <v>0</v>
      </c>
      <c r="AU671" s="523">
        <v>0</v>
      </c>
      <c r="AV671" s="328"/>
      <c r="AW671" s="328"/>
      <c r="AX671" s="332">
        <v>0</v>
      </c>
      <c r="AY671" s="328" t="b">
        <f t="shared" si="610"/>
        <v>1</v>
      </c>
      <c r="AZ671" s="328" t="b">
        <f t="shared" si="596"/>
        <v>0</v>
      </c>
    </row>
    <row r="672" ht="27" customHeight="1" spans="1:52">
      <c r="A672" s="326" t="str">
        <f>INDEX('Rate Card'!$A:$A,MATCH(服务费底表!$T672,'Rate Card'!$F:$F,0))</f>
        <v>数统</v>
      </c>
      <c r="B672" s="327" t="str">
        <f>INDEX(二三级标准!$G:$G,MATCH(服务费底表!$K672,二三级标准!B:B,0))</f>
        <v>份</v>
      </c>
      <c r="C672" s="327">
        <f>INDEX(服务费明细!$E:$E,MATCH(服务费底表!$K672,服务费明细!$B:$B,0))</f>
        <v>1</v>
      </c>
      <c r="D672" s="327" t="str">
        <f t="shared" ref="D672:D683" si="626">K672&amp;T672</f>
        <v>A150ST</v>
      </c>
      <c r="E672" s="327" t="str">
        <f t="shared" ref="E672:E683" si="627">M672&amp;T672</f>
        <v>T0509ST</v>
      </c>
      <c r="F672" s="328"/>
      <c r="G672" s="328" t="s">
        <v>684</v>
      </c>
      <c r="H672" s="326" t="str">
        <f>INDEX('Rate Card'!$B:$B,MATCH(服务费底表!$T672,'Rate Card'!$F:$F,0))</f>
        <v>生物统计及分析</v>
      </c>
      <c r="I672" s="328" t="s">
        <v>927</v>
      </c>
      <c r="J672" s="328" t="str">
        <f>INDEX(二三级标准!$Q:$Q,MATCH(服务费底表!I672,二三级标准!$O:$O,0))</f>
        <v>医学撰写</v>
      </c>
      <c r="K672" s="328" t="s">
        <v>407</v>
      </c>
      <c r="L672" s="328" t="str">
        <f>INDEX(二三级标准!C:C,MATCH(服务费底表!K672,二三级标准!$B:$B,0))</f>
        <v>研究总结报告撰写</v>
      </c>
      <c r="M672" s="328" t="s">
        <v>1681</v>
      </c>
      <c r="N672" s="328" t="str">
        <f>INDEX(二三级标准!$M:$M,MATCH(服务费底表!$M672,二三级标准!$L:$L,0))</f>
        <v>研究总结报告撰写</v>
      </c>
      <c r="O672" s="328"/>
      <c r="P672" s="327">
        <f>IF(R672=1,INDEX(服务费明细!$E:$E,MATCH(服务费底表!$K672,服务费明细!$B:$B,0)),0)</f>
        <v>0</v>
      </c>
      <c r="Q672" s="328" t="s">
        <v>1176</v>
      </c>
      <c r="R672" s="520">
        <v>0</v>
      </c>
      <c r="S672" s="524" t="s">
        <v>574</v>
      </c>
      <c r="T672" s="328" t="s">
        <v>639</v>
      </c>
      <c r="U672" s="522" t="str">
        <f>INDEX('Rate Card'!$E:$E,MATCH(服务费底表!$T672,'Rate Card'!$F:$F,0))</f>
        <v>生物统计师</v>
      </c>
      <c r="V672" s="331">
        <f>INDEX('Rate Card'!$J:$J,MATCH($T672,'Rate Card'!$F:$F,0))</f>
        <v>400</v>
      </c>
      <c r="W672" s="523">
        <f t="shared" si="620"/>
        <v>400</v>
      </c>
      <c r="X672" s="523">
        <f t="shared" si="621"/>
        <v>16</v>
      </c>
      <c r="Y672" s="327" cm="1">
        <f t="array" ref="Y672">_xlfn.IFS(报价场景=服务费底表!$AJ$2,服务费底表!$AJ672,报价场景=服务费底表!$AP$2,服务费底表!$AP672,报价场景=服务费底表!$AK$2,服务费底表!$AK672,报价场景=服务费底表!$AL$2,服务费底表!$AL672,报价场景=服务费底表!$AM$2,服务费底表!$AM672,报价场景=服务费底表!$AN$2,服务费底表!$AN672,报价场景=服务费底表!$AQ$2,服务费底表!$AQ672,报价场景=服务费底表!$AO$2,服务费底表!$AO672)</f>
        <v>16</v>
      </c>
      <c r="Z672" s="327"/>
      <c r="AA672" s="332">
        <f t="shared" si="623"/>
        <v>16</v>
      </c>
      <c r="AB672" s="333">
        <f t="shared" ref="AB672:AB683" si="628">IFERROR(AD672/P672,0)</f>
        <v>0</v>
      </c>
      <c r="AC672" s="328">
        <f t="shared" ref="AC672:AC683" si="629">AA672*P672*R672</f>
        <v>0</v>
      </c>
      <c r="AD672" s="334">
        <f t="shared" ref="AD672:AD683" si="630">AC672*V672</f>
        <v>0</v>
      </c>
      <c r="AE672" s="334">
        <f>$AB672*(1-INDEX(项目参数!$D$5:$D$14,MATCH(服务费底表!$S672,项目参数!$B$5:$B$14,0)))</f>
        <v>0</v>
      </c>
      <c r="AF672" s="334">
        <f>$AD672*INDEX(项目参数!$D$5:$D$14,MATCH(服务费底表!$S672,项目参数!$B$5:$B$14,0))</f>
        <v>0</v>
      </c>
      <c r="AG672" s="334">
        <f t="shared" si="625"/>
        <v>0</v>
      </c>
      <c r="AH672" s="328"/>
      <c r="AI672" s="328" t="s">
        <v>639</v>
      </c>
      <c r="AJ672" s="327">
        <v>16</v>
      </c>
      <c r="AK672" s="327">
        <v>24</v>
      </c>
      <c r="AL672" s="327">
        <v>8</v>
      </c>
      <c r="AM672" s="327">
        <v>16</v>
      </c>
      <c r="AN672" s="327">
        <v>8</v>
      </c>
      <c r="AO672" s="327">
        <v>8</v>
      </c>
      <c r="AP672" s="327">
        <v>16</v>
      </c>
      <c r="AQ672" s="327">
        <f t="shared" si="622"/>
        <v>24</v>
      </c>
      <c r="AR672" s="338"/>
      <c r="AS672" s="328">
        <f t="shared" si="608"/>
        <v>0</v>
      </c>
      <c r="AT672" s="328">
        <f t="shared" si="609"/>
        <v>0</v>
      </c>
      <c r="AU672" s="523">
        <v>16</v>
      </c>
      <c r="AV672" s="328"/>
      <c r="AW672" s="328"/>
      <c r="AX672" s="332">
        <v>16</v>
      </c>
      <c r="AY672" s="328" t="b">
        <f t="shared" si="610"/>
        <v>1</v>
      </c>
      <c r="AZ672" s="328" t="b">
        <f t="shared" si="596"/>
        <v>0</v>
      </c>
    </row>
    <row r="673" ht="27" customHeight="1" spans="1:52">
      <c r="A673" s="326" t="str">
        <f>INDEX('Rate Card'!$A:$A,MATCH(服务费底表!$T673,'Rate Card'!$F:$F,0))</f>
        <v>医学</v>
      </c>
      <c r="B673" s="327" t="str">
        <f>INDEX(二三级标准!$G:$G,MATCH(服务费底表!$K673,二三级标准!B:B,0))</f>
        <v>份</v>
      </c>
      <c r="C673" s="327">
        <f>INDEX(服务费明细!$E:$E,MATCH(服务费底表!$K673,服务费明细!$B:$B,0))</f>
        <v>1</v>
      </c>
      <c r="D673" s="327" t="str">
        <f t="shared" si="626"/>
        <v>A150MD</v>
      </c>
      <c r="E673" s="327" t="str">
        <f t="shared" si="627"/>
        <v>T0510MD</v>
      </c>
      <c r="F673" s="328"/>
      <c r="G673" s="328" t="s">
        <v>684</v>
      </c>
      <c r="H673" s="326" t="str">
        <f>INDEX('Rate Card'!$B:$B,MATCH(服务费底表!$T673,'Rate Card'!$F:$F,0))</f>
        <v>医学</v>
      </c>
      <c r="I673" s="328" t="s">
        <v>927</v>
      </c>
      <c r="J673" s="328" t="str">
        <f>INDEX(二三级标准!$Q:$Q,MATCH(服务费底表!I673,二三级标准!$O:$O,0))</f>
        <v>医学撰写</v>
      </c>
      <c r="K673" s="328" t="s">
        <v>407</v>
      </c>
      <c r="L673" s="328" t="str">
        <f>INDEX(二三级标准!C:C,MATCH(服务费底表!K673,二三级标准!$B:$B,0))</f>
        <v>研究总结报告撰写</v>
      </c>
      <c r="M673" s="328" t="s">
        <v>1682</v>
      </c>
      <c r="N673" s="328" t="str">
        <f>INDEX(二三级标准!$M:$M,MATCH(服务费底表!$M673,二三级标准!$L:$L,0))</f>
        <v>研究总结报告审阅</v>
      </c>
      <c r="O673" s="328"/>
      <c r="P673" s="327">
        <f>IF(R673=1,INDEX(服务费明细!$E:$E,MATCH(服务费底表!$K673,服务费明细!$B:$B,0)),0)</f>
        <v>1</v>
      </c>
      <c r="Q673" s="328" t="s">
        <v>1176</v>
      </c>
      <c r="R673" s="520">
        <f>IF(AND(CSR撰写YN=1,医学撰写YN=1),1,0)</f>
        <v>1</v>
      </c>
      <c r="S673" s="521" t="str">
        <f>IF(AND(H673="医学",OR(I673=二三级标准!$A$4,I673=二三级标准!$A$153)),"医学撰写","医学监查")</f>
        <v>医学撰写</v>
      </c>
      <c r="T673" s="328" t="s">
        <v>613</v>
      </c>
      <c r="U673" s="522" t="str">
        <f>INDEX('Rate Card'!$E:$E,MATCH(服务费底表!$T673,'Rate Card'!$F:$F,0))</f>
        <v>医学总监</v>
      </c>
      <c r="V673" s="331">
        <f>INDEX('Rate Card'!$J:$J,MATCH($T673,'Rate Card'!$F:$F,0))</f>
        <v>990</v>
      </c>
      <c r="W673" s="523">
        <f t="shared" ref="W673:W678" si="631">V673*(1-$W$1)</f>
        <v>990</v>
      </c>
      <c r="X673" s="523">
        <f t="shared" ref="X673:X678" si="632">Y673*$X$1</f>
        <v>12</v>
      </c>
      <c r="Y673" s="327" cm="1">
        <f t="array" ref="Y673">_xlfn.IFS(报价场景=服务费底表!$AJ$2,服务费底表!$AJ673,报价场景=服务费底表!$AP$2,服务费底表!$AP673,报价场景=服务费底表!$AK$2,服务费底表!$AK673,报价场景=服务费底表!$AL$2,服务费底表!$AL673,报价场景=服务费底表!$AM$2,服务费底表!$AM673,报价场景=服务费底表!$AN$2,服务费底表!$AN673,报价场景=服务费底表!$AQ$2,服务费底表!$AQ673,报价场景=服务费底表!$AO$2,服务费底表!$AO673)</f>
        <v>12</v>
      </c>
      <c r="Z673" s="327"/>
      <c r="AA673" s="332">
        <f t="shared" si="623"/>
        <v>12</v>
      </c>
      <c r="AB673" s="333">
        <f t="shared" si="628"/>
        <v>11880</v>
      </c>
      <c r="AC673" s="328">
        <f t="shared" si="629"/>
        <v>12</v>
      </c>
      <c r="AD673" s="334">
        <f t="shared" si="630"/>
        <v>11880</v>
      </c>
      <c r="AE673" s="334">
        <f>$AB673*(1-INDEX(项目参数!$D$5:$D$14,MATCH(服务费底表!$S673,项目参数!$B$5:$B$14,0)))</f>
        <v>11880</v>
      </c>
      <c r="AF673" s="334">
        <f>$AD673*INDEX(项目参数!$D$5:$D$14,MATCH(服务费底表!$S673,项目参数!$B$5:$B$14,0))</f>
        <v>0</v>
      </c>
      <c r="AG673" s="334">
        <f t="shared" si="625"/>
        <v>11880</v>
      </c>
      <c r="AH673" s="328"/>
      <c r="AI673" s="328" t="s">
        <v>613</v>
      </c>
      <c r="AJ673" s="327">
        <v>12</v>
      </c>
      <c r="AK673" s="327">
        <v>18</v>
      </c>
      <c r="AL673" s="336">
        <v>8</v>
      </c>
      <c r="AM673" s="327">
        <v>18</v>
      </c>
      <c r="AN673" s="327">
        <v>8</v>
      </c>
      <c r="AO673" s="336">
        <v>10</v>
      </c>
      <c r="AP673" s="327">
        <v>16</v>
      </c>
      <c r="AQ673" s="327">
        <f t="shared" ref="AQ673:AQ678" si="633">AJ673*$AQ$1</f>
        <v>18</v>
      </c>
      <c r="AR673" s="338"/>
      <c r="AS673" s="328">
        <f t="shared" ref="AS673:AS683" si="634">AC673</f>
        <v>12</v>
      </c>
      <c r="AT673" s="328">
        <f t="shared" ref="AT673:AT683" si="635">Y673*P673</f>
        <v>12</v>
      </c>
      <c r="AU673" s="523">
        <v>12</v>
      </c>
      <c r="AV673" s="328"/>
      <c r="AW673" s="328"/>
      <c r="AX673" s="332">
        <v>12</v>
      </c>
      <c r="AY673" s="328" t="b">
        <f t="shared" ref="AY673:AY683" si="636">IF(AX673=AJ673,TRUE,FALSE)</f>
        <v>1</v>
      </c>
      <c r="AZ673" s="328" t="b">
        <f t="shared" si="596"/>
        <v>0</v>
      </c>
    </row>
    <row r="674" ht="27" customHeight="1" spans="1:52">
      <c r="A674" s="326" t="str">
        <f>INDEX('Rate Card'!$A:$A,MATCH(服务费底表!$T674,'Rate Card'!$F:$F,0))</f>
        <v>临床药理</v>
      </c>
      <c r="B674" s="327" t="str">
        <f>INDEX(二三级标准!$G:$G,MATCH(服务费底表!$K674,二三级标准!B:B,0))</f>
        <v>份</v>
      </c>
      <c r="C674" s="327">
        <f>INDEX(服务费明细!$E:$E,MATCH(服务费底表!$K674,服务费明细!$B:$B,0))</f>
        <v>1</v>
      </c>
      <c r="D674" s="327" t="str">
        <f t="shared" si="626"/>
        <v>A150CPSS</v>
      </c>
      <c r="E674" s="327" t="str">
        <f t="shared" si="627"/>
        <v>T0510CPSS</v>
      </c>
      <c r="F674" s="328"/>
      <c r="G674" s="328" t="s">
        <v>684</v>
      </c>
      <c r="H674" s="326" t="str">
        <f>INDEX('Rate Card'!$B:$B,MATCH(服务费底表!$T674,'Rate Card'!$F:$F,0))</f>
        <v>临床药理</v>
      </c>
      <c r="I674" s="328" t="s">
        <v>927</v>
      </c>
      <c r="J674" s="328" t="str">
        <f>INDEX(二三级标准!$Q:$Q,MATCH(服务费底表!I674,二三级标准!$O:$O,0))</f>
        <v>医学撰写</v>
      </c>
      <c r="K674" s="328" t="s">
        <v>407</v>
      </c>
      <c r="L674" s="328" t="str">
        <f>INDEX(二三级标准!C:C,MATCH(服务费底表!K674,二三级标准!$B:$B,0))</f>
        <v>研究总结报告撰写</v>
      </c>
      <c r="M674" s="328" t="s">
        <v>1682</v>
      </c>
      <c r="N674" s="328" t="str">
        <f>INDEX(二三级标准!$M:$M,MATCH(服务费底表!$M674,二三级标准!$L:$L,0))</f>
        <v>研究总结报告审阅</v>
      </c>
      <c r="O674" s="328"/>
      <c r="P674" s="327">
        <f>IF(R674=1,INDEX(服务费明细!$E:$E,MATCH(服务费底表!$K674,服务费明细!$B:$B,0)),0)</f>
        <v>0</v>
      </c>
      <c r="Q674" s="328" t="s">
        <v>1176</v>
      </c>
      <c r="R674" s="520">
        <v>0</v>
      </c>
      <c r="S674" s="328" t="str">
        <f>INDEX('Rate Card'!$D:$D,MATCH(服务费底表!$T674,'Rate Card'!F:F,0))</f>
        <v>临床药理</v>
      </c>
      <c r="T674" s="328" t="s">
        <v>654</v>
      </c>
      <c r="U674" s="522" t="str">
        <f>INDEX('Rate Card'!$E:$E,MATCH(服务费底表!$T674,'Rate Card'!$F:$F,0))</f>
        <v>临床药理高级专员</v>
      </c>
      <c r="V674" s="331">
        <f>INDEX('Rate Card'!$J:$J,MATCH($T674,'Rate Card'!$F:$F,0))</f>
        <v>700</v>
      </c>
      <c r="W674" s="523">
        <f t="shared" si="631"/>
        <v>700</v>
      </c>
      <c r="X674" s="523">
        <f t="shared" si="632"/>
        <v>0</v>
      </c>
      <c r="Y674" s="327" cm="1">
        <f t="array" ref="Y674">_xlfn.IFS(报价场景=服务费底表!$AJ$2,服务费底表!$AJ674,报价场景=服务费底表!$AP$2,服务费底表!$AP674,报价场景=服务费底表!$AK$2,服务费底表!$AK674,报价场景=服务费底表!$AL$2,服务费底表!$AL674,报价场景=服务费底表!$AM$2,服务费底表!$AM674,报价场景=服务费底表!$AN$2,服务费底表!$AN674,报价场景=服务费底表!$AQ$2,服务费底表!$AQ674,报价场景=服务费底表!$AO$2,服务费底表!$AO674)</f>
        <v>0</v>
      </c>
      <c r="Z674" s="327"/>
      <c r="AA674" s="332">
        <f t="shared" si="623"/>
        <v>0</v>
      </c>
      <c r="AB674" s="333">
        <f t="shared" si="628"/>
        <v>0</v>
      </c>
      <c r="AC674" s="328">
        <f t="shared" si="629"/>
        <v>0</v>
      </c>
      <c r="AD674" s="334">
        <f t="shared" si="630"/>
        <v>0</v>
      </c>
      <c r="AE674" s="334">
        <f>$AB674*(1-INDEX(项目参数!$D$5:$D$14,MATCH(服务费底表!$S674,项目参数!$B$5:$B$14,0)))</f>
        <v>0</v>
      </c>
      <c r="AF674" s="334">
        <f>$AD674*INDEX(项目参数!$D$5:$D$14,MATCH(服务费底表!$S674,项目参数!$B$5:$B$14,0))</f>
        <v>0</v>
      </c>
      <c r="AG674" s="334">
        <f t="shared" si="625"/>
        <v>0</v>
      </c>
      <c r="AH674" s="328"/>
      <c r="AI674" s="328" t="s">
        <v>654</v>
      </c>
      <c r="AJ674" s="327">
        <v>0</v>
      </c>
      <c r="AK674" s="327">
        <v>0</v>
      </c>
      <c r="AL674" s="327">
        <v>4</v>
      </c>
      <c r="AM674" s="327">
        <v>0</v>
      </c>
      <c r="AN674" s="327">
        <v>0</v>
      </c>
      <c r="AO674" s="327">
        <v>0</v>
      </c>
      <c r="AP674" s="327">
        <v>0</v>
      </c>
      <c r="AQ674" s="327">
        <f t="shared" si="633"/>
        <v>0</v>
      </c>
      <c r="AR674" s="338"/>
      <c r="AS674" s="328">
        <f t="shared" si="634"/>
        <v>0</v>
      </c>
      <c r="AT674" s="328">
        <f t="shared" si="635"/>
        <v>0</v>
      </c>
      <c r="AU674" s="523">
        <v>0</v>
      </c>
      <c r="AV674" s="328"/>
      <c r="AW674" s="328"/>
      <c r="AX674" s="332">
        <v>0</v>
      </c>
      <c r="AY674" s="328" t="b">
        <f t="shared" si="636"/>
        <v>1</v>
      </c>
      <c r="AZ674" s="328" t="b">
        <f t="shared" si="596"/>
        <v>0</v>
      </c>
    </row>
    <row r="675" ht="27" customHeight="1" spans="1:52">
      <c r="A675" s="326" t="str">
        <f>INDEX('Rate Card'!$A:$A,MATCH(服务费底表!$T675,'Rate Card'!$F:$F,0))</f>
        <v>数统</v>
      </c>
      <c r="B675" s="327" t="str">
        <f>INDEX(二三级标准!$G:$G,MATCH(服务费底表!$K675,二三级标准!B:B,0))</f>
        <v>份</v>
      </c>
      <c r="C675" s="327">
        <f>INDEX(服务费明细!$E:$E,MATCH(服务费底表!$K675,服务费明细!$B:$B,0))</f>
        <v>1</v>
      </c>
      <c r="D675" s="327" t="str">
        <f t="shared" si="626"/>
        <v>A150ST</v>
      </c>
      <c r="E675" s="327" t="str">
        <f t="shared" si="627"/>
        <v>T0510ST</v>
      </c>
      <c r="F675" s="328"/>
      <c r="G675" s="328" t="s">
        <v>684</v>
      </c>
      <c r="H675" s="326" t="str">
        <f>INDEX('Rate Card'!$B:$B,MATCH(服务费底表!$T675,'Rate Card'!$F:$F,0))</f>
        <v>生物统计及分析</v>
      </c>
      <c r="I675" s="328" t="s">
        <v>927</v>
      </c>
      <c r="J675" s="328" t="str">
        <f>INDEX(二三级标准!$Q:$Q,MATCH(服务费底表!I675,二三级标准!$O:$O,0))</f>
        <v>医学撰写</v>
      </c>
      <c r="K675" s="328" t="s">
        <v>407</v>
      </c>
      <c r="L675" s="328" t="str">
        <f>INDEX(二三级标准!C:C,MATCH(服务费底表!K675,二三级标准!$B:$B,0))</f>
        <v>研究总结报告撰写</v>
      </c>
      <c r="M675" s="328" t="s">
        <v>1682</v>
      </c>
      <c r="N675" s="328" t="str">
        <f>INDEX(二三级标准!$M:$M,MATCH(服务费底表!$M675,二三级标准!$L:$L,0))</f>
        <v>研究总结报告审阅</v>
      </c>
      <c r="O675" s="328"/>
      <c r="P675" s="327">
        <f>IF(R675=1,INDEX(服务费明细!$E:$E,MATCH(服务费底表!$K675,服务费明细!$B:$B,0)),0)</f>
        <v>0</v>
      </c>
      <c r="Q675" s="328" t="s">
        <v>1176</v>
      </c>
      <c r="R675" s="520">
        <v>0</v>
      </c>
      <c r="S675" s="524" t="str">
        <f>INDEX('Rate Card'!$D:$D,MATCH(服务费底表!$T675,'Rate Card'!F:F,0))</f>
        <v>生物统计</v>
      </c>
      <c r="T675" s="328" t="s">
        <v>639</v>
      </c>
      <c r="U675" s="522" t="str">
        <f>INDEX('Rate Card'!$E:$E,MATCH(服务费底表!$T675,'Rate Card'!$F:$F,0))</f>
        <v>生物统计师</v>
      </c>
      <c r="V675" s="331">
        <f>INDEX('Rate Card'!$J:$J,MATCH($T675,'Rate Card'!$F:$F,0))</f>
        <v>400</v>
      </c>
      <c r="W675" s="523">
        <f t="shared" si="631"/>
        <v>400</v>
      </c>
      <c r="X675" s="523">
        <f t="shared" si="632"/>
        <v>6</v>
      </c>
      <c r="Y675" s="327" cm="1">
        <f t="array" ref="Y675">_xlfn.IFS(报价场景=服务费底表!$AJ$2,服务费底表!$AJ675,报价场景=服务费底表!$AP$2,服务费底表!$AP675,报价场景=服务费底表!$AK$2,服务费底表!$AK675,报价场景=服务费底表!$AL$2,服务费底表!$AL675,报价场景=服务费底表!$AM$2,服务费底表!$AM675,报价场景=服务费底表!$AN$2,服务费底表!$AN675,报价场景=服务费底表!$AQ$2,服务费底表!$AQ675,报价场景=服务费底表!$AO$2,服务费底表!$AO675)</f>
        <v>6</v>
      </c>
      <c r="Z675" s="327"/>
      <c r="AA675" s="332">
        <f t="shared" si="623"/>
        <v>6</v>
      </c>
      <c r="AB675" s="333">
        <f t="shared" si="628"/>
        <v>0</v>
      </c>
      <c r="AC675" s="328">
        <f t="shared" si="629"/>
        <v>0</v>
      </c>
      <c r="AD675" s="334">
        <f t="shared" si="630"/>
        <v>0</v>
      </c>
      <c r="AE675" s="334">
        <f>$AB675*(1-INDEX(项目参数!$D$5:$D$14,MATCH(服务费底表!$S675,项目参数!$B$5:$B$14,0)))</f>
        <v>0</v>
      </c>
      <c r="AF675" s="334">
        <f>$AD675*INDEX(项目参数!$D$5:$D$14,MATCH(服务费底表!$S675,项目参数!$B$5:$B$14,0))</f>
        <v>0</v>
      </c>
      <c r="AG675" s="334">
        <f t="shared" si="625"/>
        <v>0</v>
      </c>
      <c r="AH675" s="328"/>
      <c r="AI675" s="328" t="s">
        <v>639</v>
      </c>
      <c r="AJ675" s="327">
        <v>6</v>
      </c>
      <c r="AK675" s="327">
        <v>8</v>
      </c>
      <c r="AL675" s="327">
        <v>4</v>
      </c>
      <c r="AM675" s="327">
        <v>6</v>
      </c>
      <c r="AN675" s="327">
        <v>4</v>
      </c>
      <c r="AO675" s="327">
        <v>4</v>
      </c>
      <c r="AP675" s="327">
        <v>6</v>
      </c>
      <c r="AQ675" s="327">
        <f t="shared" si="633"/>
        <v>9</v>
      </c>
      <c r="AR675" s="338"/>
      <c r="AS675" s="328">
        <f t="shared" si="634"/>
        <v>0</v>
      </c>
      <c r="AT675" s="328">
        <f t="shared" si="635"/>
        <v>0</v>
      </c>
      <c r="AU675" s="523">
        <v>6</v>
      </c>
      <c r="AV675" s="328"/>
      <c r="AW675" s="328"/>
      <c r="AX675" s="332">
        <v>6</v>
      </c>
      <c r="AY675" s="328" t="b">
        <f t="shared" si="636"/>
        <v>1</v>
      </c>
      <c r="AZ675" s="328" t="b">
        <f t="shared" si="596"/>
        <v>0</v>
      </c>
    </row>
    <row r="676" ht="27" customHeight="1" spans="1:52">
      <c r="A676" s="326" t="str">
        <f>INDEX('Rate Card'!$A:$A,MATCH(服务费底表!$T676,'Rate Card'!$F:$F,0))</f>
        <v>临床运营</v>
      </c>
      <c r="B676" s="327" t="str">
        <f>INDEX(二三级标准!$G:$G,MATCH(服务费底表!$K676,二三级标准!B:B,0))</f>
        <v>份</v>
      </c>
      <c r="C676" s="327">
        <f>INDEX(服务费明细!$E:$E,MATCH(服务费底表!$K676,服务费明细!$B:$B,0))</f>
        <v>1</v>
      </c>
      <c r="D676" s="327" t="str">
        <f t="shared" si="626"/>
        <v>A150PM</v>
      </c>
      <c r="E676" s="327" t="str">
        <f t="shared" si="627"/>
        <v>T0510PM</v>
      </c>
      <c r="F676" s="328"/>
      <c r="G676" s="328" t="s">
        <v>684</v>
      </c>
      <c r="H676" s="326" t="str">
        <f>INDEX('Rate Card'!$B:$B,MATCH(服务费底表!$T676,'Rate Card'!$F:$F,0))</f>
        <v>临床运营</v>
      </c>
      <c r="I676" s="328" t="s">
        <v>927</v>
      </c>
      <c r="J676" s="328" t="str">
        <f>INDEX(二三级标准!$Q:$Q,MATCH(服务费底表!I676,二三级标准!$O:$O,0))</f>
        <v>医学撰写</v>
      </c>
      <c r="K676" s="328" t="s">
        <v>407</v>
      </c>
      <c r="L676" s="328" t="str">
        <f>INDEX(二三级标准!C:C,MATCH(服务费底表!K676,二三级标准!$B:$B,0))</f>
        <v>研究总结报告撰写</v>
      </c>
      <c r="M676" s="328" t="s">
        <v>1682</v>
      </c>
      <c r="N676" s="328" t="str">
        <f>INDEX(二三级标准!$M:$M,MATCH(服务费底表!$M676,二三级标准!$L:$L,0))</f>
        <v>研究总结报告审阅</v>
      </c>
      <c r="O676" s="328"/>
      <c r="P676" s="327">
        <f>IF(R676=1,INDEX(服务费明细!$E:$E,MATCH(服务费底表!$K676,服务费明细!$B:$B,0)),0)</f>
        <v>1</v>
      </c>
      <c r="Q676" s="328" t="s">
        <v>1176</v>
      </c>
      <c r="R676" s="520">
        <f>IF(AND(CSR撰写YN=1,项目管理YN=1),1,0)</f>
        <v>1</v>
      </c>
      <c r="S676" s="525" t="s">
        <v>570</v>
      </c>
      <c r="T676" s="328" t="s">
        <v>599</v>
      </c>
      <c r="U676" s="522" t="str">
        <f>INDEX('Rate Card'!$E:$E,MATCH(服务费底表!$T676,'Rate Card'!$F:$F,0))</f>
        <v>临床项目经理</v>
      </c>
      <c r="V676" s="331">
        <f>INDEX('Rate Card'!$J:$J,MATCH($T676,'Rate Card'!$F:$F,0))</f>
        <v>650</v>
      </c>
      <c r="W676" s="523">
        <f t="shared" si="631"/>
        <v>650</v>
      </c>
      <c r="X676" s="523">
        <f t="shared" si="632"/>
        <v>2</v>
      </c>
      <c r="Y676" s="327" cm="1">
        <f t="array" ref="Y676">_xlfn.IFS(报价场景=服务费底表!$AJ$2,服务费底表!$AJ676,报价场景=服务费底表!$AP$2,服务费底表!$AP676,报价场景=服务费底表!$AK$2,服务费底表!$AK676,报价场景=服务费底表!$AL$2,服务费底表!$AL676,报价场景=服务费底表!$AM$2,服务费底表!$AM676,报价场景=服务费底表!$AN$2,服务费底表!$AN676,报价场景=服务费底表!$AQ$2,服务费底表!$AQ676,报价场景=服务费底表!$AO$2,服务费底表!$AO676)</f>
        <v>2</v>
      </c>
      <c r="Z676" s="327"/>
      <c r="AA676" s="332">
        <f t="shared" si="623"/>
        <v>2</v>
      </c>
      <c r="AB676" s="333">
        <f t="shared" si="628"/>
        <v>1300</v>
      </c>
      <c r="AC676" s="328">
        <f t="shared" si="629"/>
        <v>2</v>
      </c>
      <c r="AD676" s="334">
        <f t="shared" si="630"/>
        <v>1300</v>
      </c>
      <c r="AE676" s="334">
        <f>$AB676*(1-INDEX(项目参数!$D$5:$D$14,MATCH(服务费底表!$S676,项目参数!$B$5:$B$14,0)))</f>
        <v>1300</v>
      </c>
      <c r="AF676" s="334">
        <f>$AD676*INDEX(项目参数!$D$5:$D$14,MATCH(服务费底表!$S676,项目参数!$B$5:$B$14,0))</f>
        <v>0</v>
      </c>
      <c r="AG676" s="334">
        <f t="shared" si="625"/>
        <v>1300</v>
      </c>
      <c r="AH676" s="328"/>
      <c r="AI676" s="328" t="s">
        <v>599</v>
      </c>
      <c r="AJ676" s="327">
        <v>2</v>
      </c>
      <c r="AK676" s="327">
        <v>3</v>
      </c>
      <c r="AL676" s="327">
        <v>2</v>
      </c>
      <c r="AM676" s="327">
        <v>2</v>
      </c>
      <c r="AN676" s="327">
        <v>2</v>
      </c>
      <c r="AO676" s="327">
        <v>2</v>
      </c>
      <c r="AP676" s="327">
        <v>2</v>
      </c>
      <c r="AQ676" s="327">
        <f t="shared" si="633"/>
        <v>3</v>
      </c>
      <c r="AR676" s="338"/>
      <c r="AS676" s="328">
        <f t="shared" si="634"/>
        <v>2</v>
      </c>
      <c r="AT676" s="328">
        <f t="shared" si="635"/>
        <v>2</v>
      </c>
      <c r="AU676" s="523">
        <v>2</v>
      </c>
      <c r="AV676" s="328"/>
      <c r="AW676" s="328"/>
      <c r="AX676" s="332">
        <v>2</v>
      </c>
      <c r="AY676" s="328" t="b">
        <f t="shared" si="636"/>
        <v>1</v>
      </c>
      <c r="AZ676" s="328" t="b">
        <f t="shared" si="596"/>
        <v>0</v>
      </c>
    </row>
    <row r="677" ht="27" customHeight="1" spans="1:52">
      <c r="A677" s="326" t="str">
        <f>INDEX('Rate Card'!$A:$A,MATCH(服务费底表!$T677,'Rate Card'!$F:$F,0))</f>
        <v>医学</v>
      </c>
      <c r="B677" s="327" t="str">
        <f>INDEX(二三级标准!$G:$G,MATCH(服务费底表!$K677,二三级标准!B:B,0))</f>
        <v>份</v>
      </c>
      <c r="C677" s="327">
        <f>INDEX(服务费明细!$E:$E,MATCH(服务费底表!$K677,服务费明细!$B:$B,0))</f>
        <v>1</v>
      </c>
      <c r="D677" s="327" t="str">
        <f t="shared" si="626"/>
        <v>A150MM</v>
      </c>
      <c r="E677" s="327" t="str">
        <f t="shared" si="627"/>
        <v>T0511MM</v>
      </c>
      <c r="F677" s="328"/>
      <c r="G677" s="328" t="s">
        <v>684</v>
      </c>
      <c r="H677" s="326" t="str">
        <f>INDEX('Rate Card'!$B:$B,MATCH(服务费底表!$T677,'Rate Card'!$F:$F,0))</f>
        <v>医学</v>
      </c>
      <c r="I677" s="328" t="s">
        <v>927</v>
      </c>
      <c r="J677" s="328" t="str">
        <f>INDEX(二三级标准!$Q:$Q,MATCH(服务费底表!I677,二三级标准!$O:$O,0))</f>
        <v>医学撰写</v>
      </c>
      <c r="K677" s="328" t="s">
        <v>407</v>
      </c>
      <c r="L677" s="328" t="str">
        <f>INDEX(二三级标准!C:C,MATCH(服务费底表!K677,二三级标准!$B:$B,0))</f>
        <v>研究总结报告撰写</v>
      </c>
      <c r="M677" s="328" t="s">
        <v>1683</v>
      </c>
      <c r="N677" s="328" t="str">
        <f>INDEX(二三级标准!$M:$M,MATCH(服务费底表!$M677,二三级标准!$L:$L,0))</f>
        <v>CSR附件和参考文献整理</v>
      </c>
      <c r="O677" s="328"/>
      <c r="P677" s="327">
        <f>IF(R677=1,INDEX(服务费明细!$E:$E,MATCH(服务费底表!$K677,服务费明细!$B:$B,0)),0)</f>
        <v>1</v>
      </c>
      <c r="Q677" s="328" t="s">
        <v>1176</v>
      </c>
      <c r="R677" s="520">
        <f>IF(AND(CSR撰写YN=1,医学撰写YN=1),1,0)</f>
        <v>1</v>
      </c>
      <c r="S677" s="521" t="str">
        <f>IF(AND(H677="医学",OR(I677=二三级标准!$A$4,I677=二三级标准!$A$153)),"医学撰写","医学监查")</f>
        <v>医学撰写</v>
      </c>
      <c r="T677" s="328" t="s">
        <v>615</v>
      </c>
      <c r="U677" s="522" t="str">
        <f>INDEX('Rate Card'!$E:$E,MATCH(服务费底表!$T677,'Rate Card'!$F:$F,0))</f>
        <v>医学经理</v>
      </c>
      <c r="V677" s="331">
        <f>INDEX('Rate Card'!$J:$J,MATCH($T677,'Rate Card'!$F:$F,0))</f>
        <v>650</v>
      </c>
      <c r="W677" s="523">
        <f t="shared" si="631"/>
        <v>650</v>
      </c>
      <c r="X677" s="523">
        <f t="shared" si="632"/>
        <v>16</v>
      </c>
      <c r="Y677" s="327" cm="1">
        <f t="array" ref="Y677">_xlfn.IFS(报价场景=服务费底表!$AJ$2,服务费底表!$AJ677,报价场景=服务费底表!$AP$2,服务费底表!$AP677,报价场景=服务费底表!$AK$2,服务费底表!$AK677,报价场景=服务费底表!$AL$2,服务费底表!$AL677,报价场景=服务费底表!$AM$2,服务费底表!$AM677,报价场景=服务费底表!$AN$2,服务费底表!$AN677,报价场景=服务费底表!$AQ$2,服务费底表!$AQ677,报价场景=服务费底表!$AO$2,服务费底表!$AO677)</f>
        <v>16</v>
      </c>
      <c r="Z677" s="336"/>
      <c r="AA677" s="332">
        <f t="shared" si="623"/>
        <v>16</v>
      </c>
      <c r="AB677" s="333">
        <f t="shared" si="628"/>
        <v>10400</v>
      </c>
      <c r="AC677" s="328">
        <f t="shared" si="629"/>
        <v>16</v>
      </c>
      <c r="AD677" s="334">
        <f t="shared" si="630"/>
        <v>10400</v>
      </c>
      <c r="AE677" s="334">
        <f>$AB677*(1-INDEX(项目参数!$D$5:$D$14,MATCH(服务费底表!$S677,项目参数!$B$5:$B$14,0)))</f>
        <v>10400</v>
      </c>
      <c r="AF677" s="334">
        <f>$AD677*INDEX(项目参数!$D$5:$D$14,MATCH(服务费底表!$S677,项目参数!$B$5:$B$14,0))</f>
        <v>0</v>
      </c>
      <c r="AG677" s="334">
        <f t="shared" si="625"/>
        <v>10400</v>
      </c>
      <c r="AH677" s="328"/>
      <c r="AI677" s="328" t="s">
        <v>615</v>
      </c>
      <c r="AJ677" s="327">
        <v>16</v>
      </c>
      <c r="AK677" s="327">
        <v>24</v>
      </c>
      <c r="AL677" s="336">
        <v>6</v>
      </c>
      <c r="AM677" s="327">
        <v>24</v>
      </c>
      <c r="AN677" s="327">
        <v>6</v>
      </c>
      <c r="AO677" s="336">
        <v>16</v>
      </c>
      <c r="AP677" s="327">
        <v>4</v>
      </c>
      <c r="AQ677" s="327">
        <f t="shared" si="633"/>
        <v>24</v>
      </c>
      <c r="AR677" s="338"/>
      <c r="AS677" s="328">
        <f t="shared" si="634"/>
        <v>16</v>
      </c>
      <c r="AT677" s="328">
        <f t="shared" si="635"/>
        <v>16</v>
      </c>
      <c r="AU677" s="523">
        <v>16</v>
      </c>
      <c r="AV677" s="328"/>
      <c r="AW677" s="328"/>
      <c r="AX677" s="332">
        <v>16</v>
      </c>
      <c r="AY677" s="328" t="b">
        <f t="shared" si="636"/>
        <v>1</v>
      </c>
      <c r="AZ677" s="328" t="b">
        <f t="shared" si="596"/>
        <v>0</v>
      </c>
    </row>
    <row r="678" ht="27" customHeight="1" spans="1:52">
      <c r="A678" s="326" t="str">
        <f>INDEX('Rate Card'!$A:$A,MATCH(服务费底表!$T678,'Rate Card'!$F:$F,0))</f>
        <v>临床药理</v>
      </c>
      <c r="B678" s="327" t="str">
        <f>INDEX(二三级标准!$G:$G,MATCH(服务费底表!$K678,二三级标准!B:B,0))</f>
        <v>份</v>
      </c>
      <c r="C678" s="327">
        <f>INDEX(服务费明细!$E:$E,MATCH(服务费底表!$K678,服务费明细!$B:$B,0))</f>
        <v>1</v>
      </c>
      <c r="D678" s="327" t="str">
        <f t="shared" si="626"/>
        <v>A150CPSS</v>
      </c>
      <c r="E678" s="327" t="str">
        <f t="shared" si="627"/>
        <v>T0511CPSS</v>
      </c>
      <c r="F678" s="328"/>
      <c r="G678" s="328" t="s">
        <v>684</v>
      </c>
      <c r="H678" s="326" t="str">
        <f>INDEX('Rate Card'!$B:$B,MATCH(服务费底表!$T678,'Rate Card'!$F:$F,0))</f>
        <v>临床药理</v>
      </c>
      <c r="I678" s="328" t="s">
        <v>927</v>
      </c>
      <c r="J678" s="328" t="str">
        <f>INDEX(二三级标准!$Q:$Q,MATCH(服务费底表!I678,二三级标准!$O:$O,0))</f>
        <v>医学撰写</v>
      </c>
      <c r="K678" s="328" t="s">
        <v>407</v>
      </c>
      <c r="L678" s="328" t="str">
        <f>INDEX(二三级标准!C:C,MATCH(服务费底表!K678,二三级标准!$B:$B,0))</f>
        <v>研究总结报告撰写</v>
      </c>
      <c r="M678" s="328" t="s">
        <v>1683</v>
      </c>
      <c r="N678" s="328" t="str">
        <f>INDEX(二三级标准!$M:$M,MATCH(服务费底表!$M678,二三级标准!$L:$L,0))</f>
        <v>CSR附件和参考文献整理</v>
      </c>
      <c r="O678" s="328"/>
      <c r="P678" s="327">
        <f>IF(R678=1,INDEX(服务费明细!$E:$E,MATCH(服务费底表!$K678,服务费明细!$B:$B,0)),0)</f>
        <v>0</v>
      </c>
      <c r="Q678" s="328" t="s">
        <v>1176</v>
      </c>
      <c r="R678" s="520">
        <v>0</v>
      </c>
      <c r="S678" s="328" t="s">
        <v>568</v>
      </c>
      <c r="T678" s="328" t="s">
        <v>654</v>
      </c>
      <c r="U678" s="522" t="str">
        <f>INDEX('Rate Card'!$E:$E,MATCH(服务费底表!$T678,'Rate Card'!$F:$F,0))</f>
        <v>临床药理高级专员</v>
      </c>
      <c r="V678" s="331">
        <f>INDEX('Rate Card'!$J:$J,MATCH($T678,'Rate Card'!$F:$F,0))</f>
        <v>700</v>
      </c>
      <c r="W678" s="523">
        <f t="shared" si="631"/>
        <v>700</v>
      </c>
      <c r="X678" s="523">
        <f t="shared" si="632"/>
        <v>0</v>
      </c>
      <c r="Y678" s="327" cm="1">
        <f t="array" ref="Y678">_xlfn.IFS(报价场景=服务费底表!$AJ$2,服务费底表!$AJ678,报价场景=服务费底表!$AP$2,服务费底表!$AP678,报价场景=服务费底表!$AK$2,服务费底表!$AK678,报价场景=服务费底表!$AL$2,服务费底表!$AL678,报价场景=服务费底表!$AM$2,服务费底表!$AM678,报价场景=服务费底表!$AN$2,服务费底表!$AN678,报价场景=服务费底表!$AQ$2,服务费底表!$AQ678,报价场景=服务费底表!$AO$2,服务费底表!$AO678)</f>
        <v>0</v>
      </c>
      <c r="Z678" s="336"/>
      <c r="AA678" s="332">
        <f t="shared" si="623"/>
        <v>0</v>
      </c>
      <c r="AB678" s="333">
        <f t="shared" si="628"/>
        <v>0</v>
      </c>
      <c r="AC678" s="328">
        <f t="shared" si="629"/>
        <v>0</v>
      </c>
      <c r="AD678" s="334">
        <f t="shared" si="630"/>
        <v>0</v>
      </c>
      <c r="AE678" s="334">
        <f>$AB678*(1-INDEX(项目参数!$D$5:$D$14,MATCH(服务费底表!$S678,项目参数!$B$5:$B$14,0)))</f>
        <v>0</v>
      </c>
      <c r="AF678" s="334">
        <f>$AD678*INDEX(项目参数!$D$5:$D$14,MATCH(服务费底表!$S678,项目参数!$B$5:$B$14,0))</f>
        <v>0</v>
      </c>
      <c r="AG678" s="334">
        <f t="shared" si="625"/>
        <v>0</v>
      </c>
      <c r="AH678" s="328"/>
      <c r="AI678" s="328" t="s">
        <v>654</v>
      </c>
      <c r="AJ678" s="327">
        <v>0</v>
      </c>
      <c r="AK678" s="327">
        <v>0</v>
      </c>
      <c r="AL678" s="327">
        <v>6</v>
      </c>
      <c r="AM678" s="327">
        <v>0</v>
      </c>
      <c r="AN678" s="327">
        <v>0</v>
      </c>
      <c r="AO678" s="327">
        <v>0</v>
      </c>
      <c r="AP678" s="327">
        <v>0</v>
      </c>
      <c r="AQ678" s="327">
        <f t="shared" si="633"/>
        <v>0</v>
      </c>
      <c r="AR678" s="338"/>
      <c r="AS678" s="328">
        <f t="shared" si="634"/>
        <v>0</v>
      </c>
      <c r="AT678" s="328">
        <f t="shared" si="635"/>
        <v>0</v>
      </c>
      <c r="AU678" s="523">
        <v>0</v>
      </c>
      <c r="AV678" s="328"/>
      <c r="AW678" s="328"/>
      <c r="AX678" s="332">
        <v>0</v>
      </c>
      <c r="AY678" s="328" t="b">
        <f t="shared" si="636"/>
        <v>1</v>
      </c>
      <c r="AZ678" s="328" t="b">
        <f t="shared" si="596"/>
        <v>0</v>
      </c>
    </row>
    <row r="679" ht="27" customHeight="1" spans="1:52">
      <c r="A679" s="326" t="str">
        <f>INDEX('Rate Card'!$A:$A,MATCH(服务费底表!$T679,'Rate Card'!$F:$F,0))</f>
        <v>医学</v>
      </c>
      <c r="B679" s="327" t="str">
        <f>INDEX(二三级标准!$G:$G,MATCH(服务费底表!$K679,二三级标准!B:B,0))</f>
        <v>份</v>
      </c>
      <c r="C679" s="327">
        <f>INDEX(服务费明细!$E:$E,MATCH(服务费底表!$K679,服务费明细!$B:$B,0))</f>
        <v>0</v>
      </c>
      <c r="D679" s="327" t="str">
        <f t="shared" si="626"/>
        <v>A150aMM</v>
      </c>
      <c r="E679" s="327" t="str">
        <f t="shared" si="627"/>
        <v>T0777MM</v>
      </c>
      <c r="F679" s="328"/>
      <c r="G679" s="328" t="s">
        <v>684</v>
      </c>
      <c r="H679" s="326" t="str">
        <f>INDEX('Rate Card'!$B:$B,MATCH(服务费底表!$T679,'Rate Card'!$F:$F,0))</f>
        <v>医学</v>
      </c>
      <c r="I679" s="328" t="s">
        <v>927</v>
      </c>
      <c r="J679" s="328" t="str">
        <f>INDEX(二三级标准!$Q:$Q,MATCH(服务费底表!I679,二三级标准!$O:$O,0))</f>
        <v>医学撰写</v>
      </c>
      <c r="K679" s="328" t="s">
        <v>1135</v>
      </c>
      <c r="L679" s="328" t="str">
        <f>INDEX(二三级标准!C:C,MATCH(服务费底表!K679,二三级标准!$B:$B,0))</f>
        <v>研究总结报告（中译英）</v>
      </c>
      <c r="M679" s="328" t="s">
        <v>1684</v>
      </c>
      <c r="N679" s="328" t="str">
        <f>INDEX(二三级标准!$M:$M,MATCH(服务费底表!$M679,二三级标准!$L:$L,0))</f>
        <v>研究总结报告中译英审阅</v>
      </c>
      <c r="O679" s="328"/>
      <c r="P679" s="327">
        <f>IF(R679=1,INDEX(服务费明细!$E:$E,MATCH(服务费底表!$K679,服务费明细!$B:$B,0)),0)</f>
        <v>0</v>
      </c>
      <c r="Q679" s="328" t="s">
        <v>1176</v>
      </c>
      <c r="R679" s="520">
        <f>IF(AND(CSR中译英YN=1,医学撰写YN=1),1,0)</f>
        <v>0</v>
      </c>
      <c r="S679" s="521" t="str">
        <f>IF(AND(H679="医学",OR(I679=二三级标准!$A$4,I679=二三级标准!$A$153)),"医学撰写","医学监查")</f>
        <v>医学撰写</v>
      </c>
      <c r="T679" s="328" t="s">
        <v>615</v>
      </c>
      <c r="U679" s="522" t="str">
        <f>INDEX('Rate Card'!$E:$E,MATCH(服务费底表!$T679,'Rate Card'!$F:$F,0))</f>
        <v>医学经理</v>
      </c>
      <c r="V679" s="331">
        <f>INDEX('Rate Card'!$J:$J,MATCH($T679,'Rate Card'!$F:$F,0))</f>
        <v>650</v>
      </c>
      <c r="W679" s="523">
        <f t="shared" ref="W679:W722" si="637">V679*(1-$W$1)</f>
        <v>650</v>
      </c>
      <c r="X679" s="523">
        <f t="shared" ref="X679:X722" si="638">Y679*$X$1</f>
        <v>20</v>
      </c>
      <c r="Y679" s="327" cm="1">
        <f t="array" ref="Y679">_xlfn.IFS(报价场景=服务费底表!$AJ$2,服务费底表!$AJ679,报价场景=服务费底表!$AP$2,服务费底表!$AP679,报价场景=服务费底表!$AK$2,服务费底表!$AK679,报价场景=服务费底表!$AL$2,服务费底表!$AL679,报价场景=服务费底表!$AM$2,服务费底表!$AM679,报价场景=服务费底表!$AN$2,服务费底表!$AN679,报价场景=服务费底表!$AQ$2,服务费底表!$AQ679,报价场景=服务费底表!$AO$2,服务费底表!$AO679)</f>
        <v>20</v>
      </c>
      <c r="Z679" s="336"/>
      <c r="AA679" s="332">
        <f t="shared" si="623"/>
        <v>20</v>
      </c>
      <c r="AB679" s="333">
        <f t="shared" si="628"/>
        <v>0</v>
      </c>
      <c r="AC679" s="328">
        <f t="shared" si="629"/>
        <v>0</v>
      </c>
      <c r="AD679" s="334">
        <f t="shared" si="630"/>
        <v>0</v>
      </c>
      <c r="AE679" s="334">
        <f>$AB679*(1-INDEX(项目参数!$D$5:$D$14,MATCH(服务费底表!$S679,项目参数!$B$5:$B$14,0)))</f>
        <v>0</v>
      </c>
      <c r="AF679" s="334">
        <f>$AD679*INDEX(项目参数!$D$5:$D$14,MATCH(服务费底表!$S679,项目参数!$B$5:$B$14,0))</f>
        <v>0</v>
      </c>
      <c r="AG679" s="334">
        <f t="shared" si="625"/>
        <v>0</v>
      </c>
      <c r="AH679" s="328"/>
      <c r="AI679" s="328" t="s">
        <v>615</v>
      </c>
      <c r="AJ679" s="327">
        <v>20</v>
      </c>
      <c r="AK679" s="327">
        <v>30</v>
      </c>
      <c r="AL679" s="336">
        <v>20</v>
      </c>
      <c r="AM679" s="327">
        <v>30</v>
      </c>
      <c r="AN679" s="327">
        <v>20</v>
      </c>
      <c r="AO679" s="336">
        <f t="shared" ref="AO679:AO685" si="639">AM679</f>
        <v>30</v>
      </c>
      <c r="AP679" s="327">
        <v>20</v>
      </c>
      <c r="AQ679" s="327">
        <f t="shared" ref="AQ679:AQ722" si="640">AJ679*$AQ$1</f>
        <v>30</v>
      </c>
      <c r="AR679" s="338"/>
      <c r="AS679" s="328">
        <f t="shared" si="634"/>
        <v>0</v>
      </c>
      <c r="AT679" s="328">
        <f t="shared" si="635"/>
        <v>0</v>
      </c>
      <c r="AU679" s="523">
        <v>20</v>
      </c>
      <c r="AV679" s="328"/>
      <c r="AW679" s="328"/>
      <c r="AX679" s="332">
        <v>20</v>
      </c>
      <c r="AY679" s="328" t="b">
        <f t="shared" si="636"/>
        <v>1</v>
      </c>
      <c r="AZ679" s="328" t="b">
        <f t="shared" si="596"/>
        <v>1</v>
      </c>
    </row>
    <row r="680" ht="27" customHeight="1" spans="1:52">
      <c r="A680" s="326" t="str">
        <f>INDEX('Rate Card'!$A:$A,MATCH(服务费底表!$T680,'Rate Card'!$F:$F,0))</f>
        <v>医学</v>
      </c>
      <c r="B680" s="327" t="str">
        <f>INDEX(二三级标准!$G:$G,MATCH(服务费底表!$K680,二三级标准!B:B,0))</f>
        <v>例次</v>
      </c>
      <c r="C680" s="327">
        <f>INDEX(服务费明细!$E:$E,MATCH(服务费底表!$K680,服务费明细!$B:$B,0))</f>
        <v>9</v>
      </c>
      <c r="D680" s="327" t="str">
        <f t="shared" si="626"/>
        <v>A151MM</v>
      </c>
      <c r="E680" s="327" t="str">
        <f t="shared" si="627"/>
        <v>T0512MM</v>
      </c>
      <c r="F680" s="328"/>
      <c r="G680" s="328" t="s">
        <v>684</v>
      </c>
      <c r="H680" s="326" t="str">
        <f>INDEX('Rate Card'!$B:$B,MATCH(服务费底表!$T680,'Rate Card'!$F:$F,0))</f>
        <v>医学</v>
      </c>
      <c r="I680" s="328" t="s">
        <v>927</v>
      </c>
      <c r="J680" s="328" t="str">
        <f>INDEX(二三级标准!$Q:$Q,MATCH(服务费底表!I680,二三级标准!$O:$O,0))</f>
        <v>医学撰写</v>
      </c>
      <c r="K680" s="328" t="s">
        <v>409</v>
      </c>
      <c r="L680" s="328" t="str">
        <f>INDEX(二三级标准!C:C,MATCH(服务费底表!K680,二三级标准!$B:$B,0))</f>
        <v>SAE个案描述撰写</v>
      </c>
      <c r="M680" s="328" t="s">
        <v>1685</v>
      </c>
      <c r="N680" s="328" t="str">
        <f>INDEX(二三级标准!$M:$M,MATCH(服务费底表!$M680,二三级标准!$L:$L,0))</f>
        <v>SAE个案描述</v>
      </c>
      <c r="O680" s="328"/>
      <c r="P680" s="327">
        <f>IF(R680=1,INDEX(服务费明细!$E:$E,MATCH(服务费底表!$K680,服务费明细!$B:$B,0)),0)</f>
        <v>9</v>
      </c>
      <c r="Q680" s="328" t="s">
        <v>1671</v>
      </c>
      <c r="R680" s="520">
        <f>IF(AND(SAE个案描述撰写YN=1,医学撰写YN=1),1,0)</f>
        <v>1</v>
      </c>
      <c r="S680" s="521" t="str">
        <f>IF(AND(H680="医学",OR(I680=二三级标准!$A$4,I680=二三级标准!$A$153)),"医学撰写","医学监查")</f>
        <v>医学撰写</v>
      </c>
      <c r="T680" s="328" t="s">
        <v>615</v>
      </c>
      <c r="U680" s="522" t="str">
        <f>INDEX('Rate Card'!$E:$E,MATCH(服务费底表!$T680,'Rate Card'!$F:$F,0))</f>
        <v>医学经理</v>
      </c>
      <c r="V680" s="331">
        <f>INDEX('Rate Card'!$J:$J,MATCH($T680,'Rate Card'!$F:$F,0))</f>
        <v>650</v>
      </c>
      <c r="W680" s="523">
        <f t="shared" si="637"/>
        <v>650</v>
      </c>
      <c r="X680" s="523">
        <f t="shared" si="638"/>
        <v>2</v>
      </c>
      <c r="Y680" s="327" cm="1">
        <f t="array" ref="Y680">_xlfn.IFS(报价场景=服务费底表!$AJ$2,服务费底表!$AJ680,报价场景=服务费底表!$AP$2,服务费底表!$AP680,报价场景=服务费底表!$AK$2,服务费底表!$AK680,报价场景=服务费底表!$AL$2,服务费底表!$AL680,报价场景=服务费底表!$AM$2,服务费底表!$AM680,报价场景=服务费底表!$AN$2,服务费底表!$AN680,报价场景=服务费底表!$AQ$2,服务费底表!$AQ680,报价场景=服务费底表!$AO$2,服务费底表!$AO680)</f>
        <v>2</v>
      </c>
      <c r="Z680" s="336"/>
      <c r="AA680" s="332">
        <f t="shared" si="623"/>
        <v>2</v>
      </c>
      <c r="AB680" s="333">
        <f t="shared" si="628"/>
        <v>1300</v>
      </c>
      <c r="AC680" s="328">
        <f t="shared" si="629"/>
        <v>18</v>
      </c>
      <c r="AD680" s="334">
        <f t="shared" si="630"/>
        <v>11700</v>
      </c>
      <c r="AE680" s="334">
        <f>$AB680*(1-INDEX(项目参数!$D$5:$D$14,MATCH(服务费底表!$S680,项目参数!$B$5:$B$14,0)))</f>
        <v>1300</v>
      </c>
      <c r="AF680" s="334">
        <f>$AD680*INDEX(项目参数!$D$5:$D$14,MATCH(服务费底表!$S680,项目参数!$B$5:$B$14,0))</f>
        <v>0</v>
      </c>
      <c r="AG680" s="334">
        <f t="shared" si="625"/>
        <v>11700</v>
      </c>
      <c r="AH680" s="328"/>
      <c r="AI680" s="328" t="s">
        <v>615</v>
      </c>
      <c r="AJ680" s="327">
        <v>2</v>
      </c>
      <c r="AK680" s="327">
        <f>AJ680*1.5</f>
        <v>3</v>
      </c>
      <c r="AL680" s="336">
        <f t="shared" ref="AL677:AL685" si="641">AJ680</f>
        <v>2</v>
      </c>
      <c r="AM680" s="327">
        <f t="shared" ref="AM677:AM685" si="642">AK680</f>
        <v>3</v>
      </c>
      <c r="AN680" s="327">
        <f t="shared" ref="AN679:AN685" si="643">AL680</f>
        <v>2</v>
      </c>
      <c r="AO680" s="327">
        <f t="shared" si="639"/>
        <v>3</v>
      </c>
      <c r="AP680" s="327">
        <v>2</v>
      </c>
      <c r="AQ680" s="327">
        <f t="shared" si="640"/>
        <v>3</v>
      </c>
      <c r="AR680" s="338"/>
      <c r="AS680" s="328">
        <f t="shared" si="634"/>
        <v>18</v>
      </c>
      <c r="AT680" s="328">
        <f t="shared" si="635"/>
        <v>18</v>
      </c>
      <c r="AU680" s="523">
        <v>2</v>
      </c>
      <c r="AV680" s="328"/>
      <c r="AW680" s="328"/>
      <c r="AX680" s="332">
        <v>2</v>
      </c>
      <c r="AY680" s="328" t="b">
        <f t="shared" si="636"/>
        <v>1</v>
      </c>
      <c r="AZ680" s="328" t="b">
        <f t="shared" si="596"/>
        <v>0</v>
      </c>
    </row>
    <row r="681" ht="27" customHeight="1" spans="1:52">
      <c r="A681" s="326" t="str">
        <f>INDEX('Rate Card'!$A:$A,MATCH(服务费底表!$T681,'Rate Card'!$F:$F,0))</f>
        <v>医学</v>
      </c>
      <c r="B681" s="327" t="str">
        <f>INDEX(二三级标准!$G:$G,MATCH(服务费底表!$K681,二三级标准!B:B,0))</f>
        <v>例次</v>
      </c>
      <c r="C681" s="327">
        <f>INDEX(服务费明细!$E:$E,MATCH(服务费底表!$K681,服务费明细!$B:$B,0))</f>
        <v>0</v>
      </c>
      <c r="D681" s="327" t="str">
        <f t="shared" si="626"/>
        <v>A151aMM</v>
      </c>
      <c r="E681" s="327" t="str">
        <f t="shared" si="627"/>
        <v>T0778MM</v>
      </c>
      <c r="F681" s="328"/>
      <c r="G681" s="328" t="s">
        <v>684</v>
      </c>
      <c r="H681" s="326" t="str">
        <f>INDEX('Rate Card'!$B:$B,MATCH(服务费底表!$T681,'Rate Card'!$F:$F,0))</f>
        <v>医学</v>
      </c>
      <c r="I681" s="328" t="s">
        <v>927</v>
      </c>
      <c r="J681" s="328" t="str">
        <f>INDEX(二三级标准!$Q:$Q,MATCH(服务费底表!I681,二三级标准!$O:$O,0))</f>
        <v>医学撰写</v>
      </c>
      <c r="K681" s="328" t="s">
        <v>1136</v>
      </c>
      <c r="L681" s="328" t="str">
        <f>INDEX(二三级标准!C:C,MATCH(服务费底表!K681,二三级标准!$B:$B,0))</f>
        <v>SAE个案描述（中译英）</v>
      </c>
      <c r="M681" s="328" t="s">
        <v>1686</v>
      </c>
      <c r="N681" s="328" t="str">
        <f>INDEX(二三级标准!$M:$M,MATCH(服务费底表!$M681,二三级标准!$L:$L,0))</f>
        <v>SAE个案描述中译英审阅</v>
      </c>
      <c r="O681" s="328"/>
      <c r="P681" s="327">
        <f>IF(R681=1,INDEX(服务费明细!$E:$E,MATCH(服务费底表!$K681,服务费明细!$B:$B,0)),0)</f>
        <v>0</v>
      </c>
      <c r="Q681" s="328" t="s">
        <v>1671</v>
      </c>
      <c r="R681" s="520">
        <f>IF(AND(SAE个案中译英YN=1,医学撰写YN=1),1,0)</f>
        <v>0</v>
      </c>
      <c r="S681" s="521" t="str">
        <f>IF(AND(H681="医学",OR(I681=二三级标准!$A$4,I681=二三级标准!$A$153)),"医学撰写","医学监查")</f>
        <v>医学撰写</v>
      </c>
      <c r="T681" s="328" t="s">
        <v>615</v>
      </c>
      <c r="U681" s="522" t="str">
        <f>INDEX('Rate Card'!$E:$E,MATCH(服务费底表!$T681,'Rate Card'!$F:$F,0))</f>
        <v>医学经理</v>
      </c>
      <c r="V681" s="331">
        <f>INDEX('Rate Card'!$J:$J,MATCH($T681,'Rate Card'!$F:$F,0))</f>
        <v>650</v>
      </c>
      <c r="W681" s="523">
        <f t="shared" si="637"/>
        <v>650</v>
      </c>
      <c r="X681" s="523">
        <f t="shared" si="638"/>
        <v>4</v>
      </c>
      <c r="Y681" s="327" cm="1">
        <f t="array" ref="Y681">_xlfn.IFS(报价场景=服务费底表!$AJ$2,服务费底表!$AJ681,报价场景=服务费底表!$AP$2,服务费底表!$AP681,报价场景=服务费底表!$AK$2,服务费底表!$AK681,报价场景=服务费底表!$AL$2,服务费底表!$AL681,报价场景=服务费底表!$AM$2,服务费底表!$AM681,报价场景=服务费底表!$AN$2,服务费底表!$AN681,报价场景=服务费底表!$AQ$2,服务费底表!$AQ681,报价场景=服务费底表!$AO$2,服务费底表!$AO681)</f>
        <v>4</v>
      </c>
      <c r="Z681" s="336"/>
      <c r="AA681" s="332">
        <f t="shared" si="623"/>
        <v>4</v>
      </c>
      <c r="AB681" s="333">
        <f t="shared" si="628"/>
        <v>0</v>
      </c>
      <c r="AC681" s="328">
        <f t="shared" si="629"/>
        <v>0</v>
      </c>
      <c r="AD681" s="334">
        <f t="shared" si="630"/>
        <v>0</v>
      </c>
      <c r="AE681" s="334">
        <f>$AB681*(1-INDEX(项目参数!$D$5:$D$14,MATCH(服务费底表!$S681,项目参数!$B$5:$B$14,0)))</f>
        <v>0</v>
      </c>
      <c r="AF681" s="334">
        <f>$AD681*INDEX(项目参数!$D$5:$D$14,MATCH(服务费底表!$S681,项目参数!$B$5:$B$14,0))</f>
        <v>0</v>
      </c>
      <c r="AG681" s="334">
        <f t="shared" si="625"/>
        <v>0</v>
      </c>
      <c r="AH681" s="328"/>
      <c r="AI681" s="328" t="s">
        <v>615</v>
      </c>
      <c r="AJ681" s="327">
        <v>4</v>
      </c>
      <c r="AK681" s="327">
        <f>AJ681*1.5</f>
        <v>6</v>
      </c>
      <c r="AL681" s="336">
        <f t="shared" si="641"/>
        <v>4</v>
      </c>
      <c r="AM681" s="327">
        <f t="shared" si="642"/>
        <v>6</v>
      </c>
      <c r="AN681" s="327">
        <f t="shared" si="643"/>
        <v>4</v>
      </c>
      <c r="AO681" s="327">
        <f t="shared" si="639"/>
        <v>6</v>
      </c>
      <c r="AP681" s="327">
        <v>4</v>
      </c>
      <c r="AQ681" s="327">
        <f t="shared" si="640"/>
        <v>6</v>
      </c>
      <c r="AR681" s="338"/>
      <c r="AS681" s="328">
        <f t="shared" si="634"/>
        <v>0</v>
      </c>
      <c r="AT681" s="328">
        <f t="shared" si="635"/>
        <v>0</v>
      </c>
      <c r="AU681" s="523">
        <v>4</v>
      </c>
      <c r="AV681" s="328"/>
      <c r="AW681" s="328"/>
      <c r="AX681" s="332">
        <v>4</v>
      </c>
      <c r="AY681" s="328" t="b">
        <f t="shared" si="636"/>
        <v>1</v>
      </c>
      <c r="AZ681" s="328" t="b">
        <f t="shared" si="596"/>
        <v>1</v>
      </c>
    </row>
    <row r="682" ht="27" customHeight="1" spans="1:52">
      <c r="A682" s="326" t="str">
        <f>INDEX('Rate Card'!$A:$A,MATCH(服务费底表!$T682,'Rate Card'!$F:$F,0))</f>
        <v>医学</v>
      </c>
      <c r="B682" s="327" t="str">
        <f>INDEX(二三级标准!$G:$G,MATCH(服务费底表!$K682,二三级标准!B:B,0))</f>
        <v>份</v>
      </c>
      <c r="C682" s="327">
        <f>INDEX(服务费明细!$E:$E,MATCH(服务费底表!$K682,服务费明细!$B:$B,0))</f>
        <v>0</v>
      </c>
      <c r="D682" s="327" t="str">
        <f t="shared" si="626"/>
        <v>A267MM</v>
      </c>
      <c r="E682" s="327" t="str">
        <f t="shared" si="627"/>
        <v>T0775MM</v>
      </c>
      <c r="F682" s="328"/>
      <c r="G682" s="328" t="s">
        <v>684</v>
      </c>
      <c r="H682" s="326" t="str">
        <f>INDEX('Rate Card'!$B:$B,MATCH(服务费底表!$T682,'Rate Card'!$F:$F,0))</f>
        <v>医学</v>
      </c>
      <c r="I682" s="328" t="s">
        <v>927</v>
      </c>
      <c r="J682" s="328" t="str">
        <f>INDEX(二三级标准!$Q:$Q,MATCH(服务费底表!I682,二三级标准!$O:$O,0))</f>
        <v>医学撰写</v>
      </c>
      <c r="K682" s="328" t="s">
        <v>1137</v>
      </c>
      <c r="L682" s="328" t="str">
        <f>INDEX(二三级标准!C:C,MATCH(服务费底表!K682,二三级标准!$B:$B,0))</f>
        <v>期中报告撰写</v>
      </c>
      <c r="M682" s="328" t="s">
        <v>1687</v>
      </c>
      <c r="N682" s="328" t="str">
        <f>INDEX(二三级标准!$M:$M,MATCH(服务费底表!$M682,二三级标准!$L:$L,0))</f>
        <v>期中报告草拟和修订</v>
      </c>
      <c r="O682" s="328"/>
      <c r="P682" s="327">
        <f>IF(R682=1,INDEX(服务费明细!$E:$E,MATCH(服务费底表!$K682,服务费明细!$B:$B,0)),0)</f>
        <v>0</v>
      </c>
      <c r="Q682" s="328" t="s">
        <v>1176</v>
      </c>
      <c r="R682" s="520">
        <f>IF(AND(期中报告撰写YN=1,医学撰写YN=1),1,0)</f>
        <v>0</v>
      </c>
      <c r="S682" s="521" t="str">
        <f>IF(AND(H682="医学",OR(I682=二三级标准!$A$4,I682=二三级标准!$A$153)),"医学撰写","医学监查")</f>
        <v>医学撰写</v>
      </c>
      <c r="T682" s="328" t="s">
        <v>615</v>
      </c>
      <c r="U682" s="522" t="str">
        <f>INDEX('Rate Card'!$E:$E,MATCH(服务费底表!$T682,'Rate Card'!$F:$F,0))</f>
        <v>医学经理</v>
      </c>
      <c r="V682" s="331">
        <f>INDEX('Rate Card'!$J:$J,MATCH($T682,'Rate Card'!$F:$F,0))</f>
        <v>650</v>
      </c>
      <c r="W682" s="523">
        <f t="shared" si="637"/>
        <v>650</v>
      </c>
      <c r="X682" s="523">
        <f t="shared" si="638"/>
        <v>64</v>
      </c>
      <c r="Y682" s="327" cm="1">
        <f t="array" ref="Y682">_xlfn.IFS(报价场景=服务费底表!$AJ$2,服务费底表!$AJ682,报价场景=服务费底表!$AP$2,服务费底表!$AP682,报价场景=服务费底表!$AK$2,服务费底表!$AK682,报价场景=服务费底表!$AL$2,服务费底表!$AL682,报价场景=服务费底表!$AM$2,服务费底表!$AM682,报价场景=服务费底表!$AN$2,服务费底表!$AN682,报价场景=服务费底表!$AQ$2,服务费底表!$AQ682,报价场景=服务费底表!$AO$2,服务费底表!$AO682)</f>
        <v>64</v>
      </c>
      <c r="Z682" s="336"/>
      <c r="AA682" s="332">
        <f t="shared" si="623"/>
        <v>64</v>
      </c>
      <c r="AB682" s="333">
        <f t="shared" si="628"/>
        <v>0</v>
      </c>
      <c r="AC682" s="328">
        <f t="shared" si="629"/>
        <v>0</v>
      </c>
      <c r="AD682" s="334">
        <f t="shared" si="630"/>
        <v>0</v>
      </c>
      <c r="AE682" s="334">
        <f>$AB682*(1-INDEX(项目参数!$D$5:$D$14,MATCH(服务费底表!$S682,项目参数!$B$5:$B$14,0)))</f>
        <v>0</v>
      </c>
      <c r="AF682" s="334">
        <f>$AD682*INDEX(项目参数!$D$5:$D$14,MATCH(服务费底表!$S682,项目参数!$B$5:$B$14,0))</f>
        <v>0</v>
      </c>
      <c r="AG682" s="334">
        <f t="shared" si="625"/>
        <v>0</v>
      </c>
      <c r="AH682" s="328"/>
      <c r="AI682" s="328" t="s">
        <v>615</v>
      </c>
      <c r="AJ682" s="327">
        <v>64</v>
      </c>
      <c r="AK682" s="327">
        <v>64</v>
      </c>
      <c r="AL682" s="336">
        <f t="shared" si="641"/>
        <v>64</v>
      </c>
      <c r="AM682" s="327">
        <f t="shared" si="642"/>
        <v>64</v>
      </c>
      <c r="AN682" s="327">
        <f t="shared" si="643"/>
        <v>64</v>
      </c>
      <c r="AO682" s="327">
        <f t="shared" si="639"/>
        <v>64</v>
      </c>
      <c r="AP682" s="327">
        <v>48</v>
      </c>
      <c r="AQ682" s="327">
        <f t="shared" si="640"/>
        <v>96</v>
      </c>
      <c r="AR682" s="338"/>
      <c r="AS682" s="328">
        <f t="shared" si="634"/>
        <v>0</v>
      </c>
      <c r="AT682" s="328">
        <f t="shared" si="635"/>
        <v>0</v>
      </c>
      <c r="AU682" s="523">
        <v>48</v>
      </c>
      <c r="AV682" s="328"/>
      <c r="AW682" s="328"/>
      <c r="AX682" s="332">
        <v>48</v>
      </c>
      <c r="AY682" s="328" t="b">
        <f t="shared" si="636"/>
        <v>0</v>
      </c>
      <c r="AZ682" s="328" t="b">
        <f t="shared" si="596"/>
        <v>0</v>
      </c>
    </row>
    <row r="683" ht="27" customHeight="1" spans="1:52">
      <c r="A683" s="326" t="str">
        <f>INDEX('Rate Card'!$A:$A,MATCH(服务费底表!$T683,'Rate Card'!$F:$F,0))</f>
        <v>医学</v>
      </c>
      <c r="B683" s="327" t="str">
        <f>INDEX(二三级标准!$G:$G,MATCH(服务费底表!$K683,二三级标准!B:B,0))</f>
        <v>份</v>
      </c>
      <c r="C683" s="327">
        <f>INDEX(服务费明细!$E:$E,MATCH(服务费底表!$K683,服务费明细!$B:$B,0))</f>
        <v>0</v>
      </c>
      <c r="D683" s="327" t="str">
        <f t="shared" si="626"/>
        <v>A267aMM</v>
      </c>
      <c r="E683" s="327" t="str">
        <f t="shared" si="627"/>
        <v>T0779MM</v>
      </c>
      <c r="F683" s="328"/>
      <c r="G683" s="328" t="s">
        <v>684</v>
      </c>
      <c r="H683" s="326" t="str">
        <f>INDEX('Rate Card'!$B:$B,MATCH(服务费底表!$T683,'Rate Card'!$F:$F,0))</f>
        <v>医学</v>
      </c>
      <c r="I683" s="328" t="s">
        <v>927</v>
      </c>
      <c r="J683" s="328" t="str">
        <f>INDEX(二三级标准!$Q:$Q,MATCH(服务费底表!I683,二三级标准!$O:$O,0))</f>
        <v>医学撰写</v>
      </c>
      <c r="K683" s="328" t="s">
        <v>1138</v>
      </c>
      <c r="L683" s="328" t="str">
        <f>INDEX(二三级标准!C:C,MATCH(服务费底表!K683,二三级标准!$B:$B,0))</f>
        <v>期中报告（中译英）</v>
      </c>
      <c r="M683" s="328" t="s">
        <v>1688</v>
      </c>
      <c r="N683" s="328" t="str">
        <f>INDEX(二三级标准!$M:$M,MATCH(服务费底表!$M683,二三级标准!$L:$L,0))</f>
        <v>期中报告中译英审阅</v>
      </c>
      <c r="O683" s="328"/>
      <c r="P683" s="327">
        <f>IF(R683=1,INDEX(服务费明细!$E:$E,MATCH(服务费底表!$K683,服务费明细!$B:$B,0)),0)</f>
        <v>0</v>
      </c>
      <c r="Q683" s="328" t="s">
        <v>1176</v>
      </c>
      <c r="R683" s="520">
        <f>IF(AND(期中报告中译英YN=1,医学撰写YN=1),1,0)</f>
        <v>0</v>
      </c>
      <c r="S683" s="521" t="str">
        <f>IF(AND(H683="医学",OR(I683=二三级标准!$A$4,I683=二三级标准!$A$153)),"医学撰写","医学监查")</f>
        <v>医学撰写</v>
      </c>
      <c r="T683" s="328" t="s">
        <v>615</v>
      </c>
      <c r="U683" s="522" t="str">
        <f>INDEX('Rate Card'!$E:$E,MATCH(服务费底表!$T683,'Rate Card'!$F:$F,0))</f>
        <v>医学经理</v>
      </c>
      <c r="V683" s="331">
        <f>INDEX('Rate Card'!$J:$J,MATCH($T683,'Rate Card'!$F:$F,0))</f>
        <v>650</v>
      </c>
      <c r="W683" s="523">
        <f t="shared" si="637"/>
        <v>650</v>
      </c>
      <c r="X683" s="523">
        <f t="shared" si="638"/>
        <v>12</v>
      </c>
      <c r="Y683" s="327" cm="1">
        <f t="array" ref="Y683">_xlfn.IFS(报价场景=服务费底表!$AJ$2,服务费底表!$AJ683,报价场景=服务费底表!$AP$2,服务费底表!$AP683,报价场景=服务费底表!$AK$2,服务费底表!$AK683,报价场景=服务费底表!$AL$2,服务费底表!$AL683,报价场景=服务费底表!$AM$2,服务费底表!$AM683,报价场景=服务费底表!$AN$2,服务费底表!$AN683,报价场景=服务费底表!$AQ$2,服务费底表!$AQ683,报价场景=服务费底表!$AO$2,服务费底表!$AO683)</f>
        <v>12</v>
      </c>
      <c r="Z683" s="336"/>
      <c r="AA683" s="332">
        <f t="shared" si="623"/>
        <v>12</v>
      </c>
      <c r="AB683" s="333">
        <f t="shared" si="628"/>
        <v>0</v>
      </c>
      <c r="AC683" s="328">
        <f t="shared" si="629"/>
        <v>0</v>
      </c>
      <c r="AD683" s="334">
        <f t="shared" si="630"/>
        <v>0</v>
      </c>
      <c r="AE683" s="334">
        <f>$AB683*(1-INDEX(项目参数!$D$5:$D$14,MATCH(服务费底表!$S683,项目参数!$B$5:$B$14,0)))</f>
        <v>0</v>
      </c>
      <c r="AF683" s="334">
        <f>$AD683*INDEX(项目参数!$D$5:$D$14,MATCH(服务费底表!$S683,项目参数!$B$5:$B$14,0))</f>
        <v>0</v>
      </c>
      <c r="AG683" s="334">
        <f t="shared" si="625"/>
        <v>0</v>
      </c>
      <c r="AH683" s="328"/>
      <c r="AI683" s="328" t="s">
        <v>615</v>
      </c>
      <c r="AJ683" s="327">
        <v>12</v>
      </c>
      <c r="AK683" s="327">
        <f>AJ683*1.5</f>
        <v>18</v>
      </c>
      <c r="AL683" s="336">
        <f t="shared" si="641"/>
        <v>12</v>
      </c>
      <c r="AM683" s="327">
        <f t="shared" si="642"/>
        <v>18</v>
      </c>
      <c r="AN683" s="327">
        <f t="shared" si="643"/>
        <v>12</v>
      </c>
      <c r="AO683" s="327">
        <f t="shared" si="639"/>
        <v>18</v>
      </c>
      <c r="AP683" s="327">
        <v>12</v>
      </c>
      <c r="AQ683" s="327">
        <f t="shared" si="640"/>
        <v>18</v>
      </c>
      <c r="AR683" s="338"/>
      <c r="AS683" s="328">
        <f t="shared" si="634"/>
        <v>0</v>
      </c>
      <c r="AT683" s="328">
        <f t="shared" si="635"/>
        <v>0</v>
      </c>
      <c r="AU683" s="523">
        <v>12</v>
      </c>
      <c r="AV683" s="328"/>
      <c r="AW683" s="328"/>
      <c r="AX683" s="332">
        <v>12</v>
      </c>
      <c r="AY683" s="328" t="b">
        <f t="shared" si="636"/>
        <v>1</v>
      </c>
      <c r="AZ683" s="328" t="b">
        <f t="shared" si="596"/>
        <v>1</v>
      </c>
    </row>
    <row r="684" ht="27" customHeight="1" spans="1:52">
      <c r="A684" s="326" t="str">
        <f>INDEX('Rate Card'!$A:$A,MATCH(服务费底表!$T684,'Rate Card'!$F:$F,0))</f>
        <v>医学</v>
      </c>
      <c r="B684" s="327" t="str">
        <f>INDEX(二三级标准!$G:$G,MATCH(服务费底表!$K684,二三级标准!B:B,0))</f>
        <v>份</v>
      </c>
      <c r="C684" s="327">
        <f>INDEX(服务费明细!$E:$E,MATCH(服务费底表!$K684,服务费明细!$B:$B,0))</f>
        <v>0</v>
      </c>
      <c r="D684" s="327" t="str">
        <f t="shared" ref="D684:D747" si="644">K684&amp;T684</f>
        <v>A152MM</v>
      </c>
      <c r="E684" s="327" t="str">
        <f t="shared" ref="E684:E747" si="645">M684&amp;T684</f>
        <v>T0513MM</v>
      </c>
      <c r="F684" s="328"/>
      <c r="G684" s="328" t="s">
        <v>684</v>
      </c>
      <c r="H684" s="326" t="str">
        <f>INDEX('Rate Card'!$B:$B,MATCH(服务费底表!$T684,'Rate Card'!$F:$F,0))</f>
        <v>医学</v>
      </c>
      <c r="I684" s="328" t="s">
        <v>927</v>
      </c>
      <c r="J684" s="328" t="str">
        <f>INDEX(二三级标准!$Q:$Q,MATCH(服务费底表!I684,二三级标准!$O:$O,0))</f>
        <v>医学撰写</v>
      </c>
      <c r="K684" s="328" t="s">
        <v>411</v>
      </c>
      <c r="L684" s="328" t="str">
        <f>INDEX(二三级标准!C:C,MATCH(服务费底表!K684,二三级标准!$B:$B,0))</f>
        <v>其他报告撰写</v>
      </c>
      <c r="M684" s="328" t="s">
        <v>1689</v>
      </c>
      <c r="N684" s="328" t="str">
        <f>INDEX(二三级标准!$M:$M,MATCH(服务费底表!$M684,二三级标准!$L:$L,0))</f>
        <v>其他报告草拟和修订</v>
      </c>
      <c r="O684" s="328"/>
      <c r="P684" s="327">
        <f>IF(R684=1,INDEX(服务费明细!$E:$E,MATCH(服务费底表!$K684,服务费明细!$B:$B,0)),0)</f>
        <v>0</v>
      </c>
      <c r="Q684" s="328" t="s">
        <v>1176</v>
      </c>
      <c r="R684" s="520">
        <f>IF(AND(其他报告撰写YN=1,医学撰写YN=1),1,0)</f>
        <v>0</v>
      </c>
      <c r="S684" s="521" t="str">
        <f>IF(AND(H684="医学",OR(I684=二三级标准!$A$4,I684=二三级标准!$A$153)),"医学撰写","医学监查")</f>
        <v>医学撰写</v>
      </c>
      <c r="T684" s="328" t="s">
        <v>615</v>
      </c>
      <c r="U684" s="522" t="str">
        <f>INDEX('Rate Card'!$E:$E,MATCH(服务费底表!$T684,'Rate Card'!$F:$F,0))</f>
        <v>医学经理</v>
      </c>
      <c r="V684" s="331">
        <f>INDEX('Rate Card'!$J:$J,MATCH($T684,'Rate Card'!$F:$F,0))</f>
        <v>650</v>
      </c>
      <c r="W684" s="523">
        <f t="shared" si="637"/>
        <v>650</v>
      </c>
      <c r="X684" s="523">
        <f t="shared" si="638"/>
        <v>48</v>
      </c>
      <c r="Y684" s="327" cm="1">
        <f t="array" ref="Y684">_xlfn.IFS(报价场景=服务费底表!$AJ$2,服务费底表!$AJ684,报价场景=服务费底表!$AP$2,服务费底表!$AP684,报价场景=服务费底表!$AK$2,服务费底表!$AK684,报价场景=服务费底表!$AL$2,服务费底表!$AL684,报价场景=服务费底表!$AM$2,服务费底表!$AM684,报价场景=服务费底表!$AN$2,服务费底表!$AN684,报价场景=服务费底表!$AQ$2,服务费底表!$AQ684,报价场景=服务费底表!$AO$2,服务费底表!$AO684)</f>
        <v>48</v>
      </c>
      <c r="Z684" s="336"/>
      <c r="AA684" s="332">
        <f t="shared" si="623"/>
        <v>48</v>
      </c>
      <c r="AB684" s="333">
        <f t="shared" ref="AB684:AB747" si="646">IFERROR(AD684/P684,0)</f>
        <v>0</v>
      </c>
      <c r="AC684" s="328">
        <f t="shared" ref="AC684:AC747" si="647">AA684*P684*R684</f>
        <v>0</v>
      </c>
      <c r="AD684" s="334">
        <f t="shared" ref="AD684:AD744" si="648">AC684*V684</f>
        <v>0</v>
      </c>
      <c r="AE684" s="334">
        <f>$AB684*(1-INDEX(项目参数!$D$5:$D$14,MATCH(服务费底表!$S684,项目参数!$B$5:$B$14,0)))</f>
        <v>0</v>
      </c>
      <c r="AF684" s="334">
        <f>$AD684*INDEX(项目参数!$D$5:$D$14,MATCH(服务费底表!$S684,项目参数!$B$5:$B$14,0))</f>
        <v>0</v>
      </c>
      <c r="AG684" s="334">
        <f t="shared" ref="AG684" si="649">AD684-AF684</f>
        <v>0</v>
      </c>
      <c r="AH684" s="328"/>
      <c r="AI684" s="328" t="s">
        <v>615</v>
      </c>
      <c r="AJ684" s="327">
        <v>48</v>
      </c>
      <c r="AK684" s="327">
        <f>AJ684*1.5</f>
        <v>72</v>
      </c>
      <c r="AL684" s="336">
        <f t="shared" si="641"/>
        <v>48</v>
      </c>
      <c r="AM684" s="327">
        <f t="shared" si="642"/>
        <v>72</v>
      </c>
      <c r="AN684" s="327">
        <f t="shared" si="643"/>
        <v>48</v>
      </c>
      <c r="AO684" s="327">
        <f t="shared" si="639"/>
        <v>72</v>
      </c>
      <c r="AP684" s="327">
        <v>48</v>
      </c>
      <c r="AQ684" s="327">
        <f t="shared" si="640"/>
        <v>72</v>
      </c>
      <c r="AR684" s="338"/>
      <c r="AS684" s="328">
        <f t="shared" ref="AS684:AS698" si="650">AC684</f>
        <v>0</v>
      </c>
      <c r="AT684" s="328">
        <f t="shared" ref="AT684:AT698" si="651">Y684*P684</f>
        <v>0</v>
      </c>
      <c r="AU684" s="523">
        <v>48</v>
      </c>
      <c r="AV684" s="328"/>
      <c r="AW684" s="328"/>
      <c r="AX684" s="332">
        <v>48</v>
      </c>
      <c r="AY684" s="328" t="b">
        <f t="shared" ref="AY684:AY721" si="652">IF(AX684=AJ684,TRUE,FALSE)</f>
        <v>1</v>
      </c>
      <c r="AZ684" s="328" t="b">
        <f t="shared" si="596"/>
        <v>0</v>
      </c>
    </row>
    <row r="685" ht="27" customHeight="1" spans="1:52">
      <c r="A685" s="326" t="str">
        <f>INDEX('Rate Card'!$A:$A,MATCH(服务费底表!$T685,'Rate Card'!$F:$F,0))</f>
        <v>医学</v>
      </c>
      <c r="B685" s="327" t="str">
        <f>INDEX(二三级标准!$G:$G,MATCH(服务费底表!$K685,二三级标准!B:B,0))</f>
        <v>份</v>
      </c>
      <c r="C685" s="327">
        <f>INDEX(服务费明细!$E:$E,MATCH(服务费底表!$K685,服务费明细!$B:$B,0))</f>
        <v>0</v>
      </c>
      <c r="D685" s="327" t="str">
        <f t="shared" si="644"/>
        <v>A152MD</v>
      </c>
      <c r="E685" s="327" t="str">
        <f t="shared" si="645"/>
        <v>T0514MD</v>
      </c>
      <c r="F685" s="328"/>
      <c r="G685" s="328" t="s">
        <v>684</v>
      </c>
      <c r="H685" s="326" t="str">
        <f>INDEX('Rate Card'!$B:$B,MATCH(服务费底表!$T685,'Rate Card'!$F:$F,0))</f>
        <v>医学</v>
      </c>
      <c r="I685" s="328" t="s">
        <v>927</v>
      </c>
      <c r="J685" s="328" t="str">
        <f>INDEX(二三级标准!$Q:$Q,MATCH(服务费底表!I685,二三级标准!$O:$O,0))</f>
        <v>医学撰写</v>
      </c>
      <c r="K685" s="328" t="s">
        <v>411</v>
      </c>
      <c r="L685" s="328" t="str">
        <f>INDEX(二三级标准!C:C,MATCH(服务费底表!K685,二三级标准!$B:$B,0))</f>
        <v>其他报告撰写</v>
      </c>
      <c r="M685" s="328" t="s">
        <v>1690</v>
      </c>
      <c r="N685" s="328" t="str">
        <f>INDEX(二三级标准!$M:$M,MATCH(服务费底表!$M685,二三级标准!$L:$L,0))</f>
        <v>其他报告审阅</v>
      </c>
      <c r="O685" s="328"/>
      <c r="P685" s="327">
        <f>IF(R685=1,INDEX(服务费明细!$E:$E,MATCH(服务费底表!$K685,服务费明细!$B:$B,0)),0)</f>
        <v>0</v>
      </c>
      <c r="Q685" s="328" t="s">
        <v>1176</v>
      </c>
      <c r="R685" s="520">
        <f>IF(AND(其他报告撰写YN=1,医学撰写YN=1),1,0)</f>
        <v>0</v>
      </c>
      <c r="S685" s="521" t="str">
        <f>IF(AND(H685="医学",OR(I685=二三级标准!$A$4,I685=二三级标准!$A$153)),"医学撰写","医学监查")</f>
        <v>医学撰写</v>
      </c>
      <c r="T685" s="328" t="s">
        <v>613</v>
      </c>
      <c r="U685" s="522" t="str">
        <f>INDEX('Rate Card'!$E:$E,MATCH(服务费底表!$T685,'Rate Card'!$F:$F,0))</f>
        <v>医学总监</v>
      </c>
      <c r="V685" s="331">
        <f>INDEX('Rate Card'!$J:$J,MATCH($T685,'Rate Card'!$F:$F,0))</f>
        <v>990</v>
      </c>
      <c r="W685" s="523">
        <f t="shared" si="637"/>
        <v>990</v>
      </c>
      <c r="X685" s="523">
        <f t="shared" si="638"/>
        <v>12</v>
      </c>
      <c r="Y685" s="327" cm="1">
        <f t="array" ref="Y685">_xlfn.IFS(报价场景=服务费底表!$AJ$2,服务费底表!$AJ685,报价场景=服务费底表!$AP$2,服务费底表!$AP685,报价场景=服务费底表!$AK$2,服务费底表!$AK685,报价场景=服务费底表!$AL$2,服务费底表!$AL685,报价场景=服务费底表!$AM$2,服务费底表!$AM685,报价场景=服务费底表!$AN$2,服务费底表!$AN685,报价场景=服务费底表!$AQ$2,服务费底表!$AQ685,报价场景=服务费底表!$AO$2,服务费底表!$AO685)</f>
        <v>12</v>
      </c>
      <c r="Z685" s="327"/>
      <c r="AA685" s="332">
        <f t="shared" si="623"/>
        <v>12</v>
      </c>
      <c r="AB685" s="333">
        <f t="shared" si="646"/>
        <v>0</v>
      </c>
      <c r="AC685" s="328">
        <f t="shared" si="647"/>
        <v>0</v>
      </c>
      <c r="AD685" s="334">
        <f t="shared" si="648"/>
        <v>0</v>
      </c>
      <c r="AE685" s="334">
        <f>$AB685*(1-INDEX(项目参数!$D$5:$D$14,MATCH(服务费底表!$S685,项目参数!$B$5:$B$14,0)))</f>
        <v>0</v>
      </c>
      <c r="AF685" s="334">
        <f>$AD685*INDEX(项目参数!$D$5:$D$14,MATCH(服务费底表!$S685,项目参数!$B$5:$B$14,0))</f>
        <v>0</v>
      </c>
      <c r="AG685" s="334">
        <f t="shared" ref="AG685:AG693" si="653">AD685-AF685</f>
        <v>0</v>
      </c>
      <c r="AH685" s="328"/>
      <c r="AI685" s="328" t="s">
        <v>613</v>
      </c>
      <c r="AJ685" s="327">
        <v>12</v>
      </c>
      <c r="AK685" s="327">
        <v>12</v>
      </c>
      <c r="AL685" s="327">
        <v>12</v>
      </c>
      <c r="AM685" s="327">
        <v>12</v>
      </c>
      <c r="AN685" s="327">
        <v>12</v>
      </c>
      <c r="AO685" s="327">
        <v>12</v>
      </c>
      <c r="AP685" s="327">
        <v>12</v>
      </c>
      <c r="AQ685" s="327">
        <f t="shared" si="640"/>
        <v>18</v>
      </c>
      <c r="AR685" s="338"/>
      <c r="AS685" s="328">
        <f t="shared" si="650"/>
        <v>0</v>
      </c>
      <c r="AT685" s="328">
        <f t="shared" si="651"/>
        <v>0</v>
      </c>
      <c r="AU685" s="523">
        <v>12</v>
      </c>
      <c r="AV685" s="328"/>
      <c r="AW685" s="328"/>
      <c r="AX685" s="332">
        <v>12</v>
      </c>
      <c r="AY685" s="328" t="b">
        <f t="shared" si="652"/>
        <v>1</v>
      </c>
      <c r="AZ685" s="328" t="b">
        <f t="shared" si="596"/>
        <v>0</v>
      </c>
    </row>
    <row r="686" ht="27" customHeight="1" spans="1:52">
      <c r="A686" s="326" t="str">
        <f>INDEX('Rate Card'!$A:$A,MATCH(服务费底表!$T686,'Rate Card'!$F:$F,0))</f>
        <v>临床运营</v>
      </c>
      <c r="B686" s="327" t="str">
        <f>INDEX(二三级标准!$G:$G,MATCH(服务费底表!$K686,二三级标准!B:B,0))</f>
        <v>份</v>
      </c>
      <c r="C686" s="327">
        <f>INDEX(服务费明细!$E:$E,MATCH(服务费底表!$K686,服务费明细!$B:$B,0))</f>
        <v>0</v>
      </c>
      <c r="D686" s="327" t="str">
        <f t="shared" si="644"/>
        <v>A153PM</v>
      </c>
      <c r="E686" s="327" t="str">
        <f t="shared" si="645"/>
        <v>T0515PM</v>
      </c>
      <c r="F686" s="328"/>
      <c r="G686" s="328" t="s">
        <v>684</v>
      </c>
      <c r="H686" s="326" t="str">
        <f>INDEX('Rate Card'!$B:$B,MATCH(服务费底表!$T686,'Rate Card'!$F:$F,0))</f>
        <v>临床运营</v>
      </c>
      <c r="I686" s="328" t="s">
        <v>928</v>
      </c>
      <c r="J686" s="328" t="str">
        <f>INDEX(二三级标准!$Q:$Q,MATCH(服务费底表!I686,二三级标准!$O:$O,0))</f>
        <v>非盲临床运营</v>
      </c>
      <c r="K686" s="328" t="s">
        <v>413</v>
      </c>
      <c r="L686" s="328" t="str">
        <f>INDEX(二三级标准!C:C,MATCH(服务费底表!K686,二三级标准!$B:$B,0))</f>
        <v>召开非盲客户启动会</v>
      </c>
      <c r="M686" s="328" t="s">
        <v>1691</v>
      </c>
      <c r="N686" s="328" t="str">
        <f>INDEX(二三级标准!$M:$M,MATCH(服务费底表!$M686,二三级标准!$L:$L,0))</f>
        <v>召开非盲客户启动会</v>
      </c>
      <c r="O686" s="328"/>
      <c r="P686" s="327">
        <f>IF(R686=1,INDEX(服务费明细!$E:$E,MATCH(服务费底表!$K686,服务费明细!$B:$B,0)),0)</f>
        <v>0</v>
      </c>
      <c r="Q686" s="328" t="s">
        <v>1178</v>
      </c>
      <c r="R686" s="520">
        <f>IF(AND(非盲客户启动会YN=1,项目管理YN=1),1,0)</f>
        <v>0</v>
      </c>
      <c r="S686" s="525" t="str">
        <f>INDEX('Rate Card'!$D:$D,MATCH(服务费底表!$T686,'Rate Card'!F:F,0))</f>
        <v>项目管理</v>
      </c>
      <c r="T686" s="328" t="s">
        <v>599</v>
      </c>
      <c r="U686" s="522" t="str">
        <f>INDEX('Rate Card'!$E:$E,MATCH(服务费底表!$T686,'Rate Card'!$F:$F,0))</f>
        <v>临床项目经理</v>
      </c>
      <c r="V686" s="331">
        <f>INDEX('Rate Card'!$J:$J,MATCH($T686,'Rate Card'!$F:$F,0))</f>
        <v>650</v>
      </c>
      <c r="W686" s="523">
        <f t="shared" si="637"/>
        <v>650</v>
      </c>
      <c r="X686" s="523">
        <f t="shared" si="638"/>
        <v>1</v>
      </c>
      <c r="Y686" s="327" cm="1">
        <f t="array" ref="Y686">_xlfn.IFS(报价场景=服务费底表!$AJ$2,服务费底表!$AJ686,报价场景=服务费底表!$AP$2,服务费底表!$AP686,报价场景=服务费底表!$AK$2,服务费底表!$AK686,报价场景=服务费底表!$AL$2,服务费底表!$AL686,报价场景=服务费底表!$AM$2,服务费底表!$AM686,报价场景=服务费底表!$AN$2,服务费底表!$AN686,报价场景=服务费底表!$AQ$2,服务费底表!$AQ686,报价场景=服务费底表!$AO$2,服务费底表!$AO686)</f>
        <v>1</v>
      </c>
      <c r="Z686" s="327"/>
      <c r="AA686" s="332">
        <f t="shared" ref="AA686:AA747" si="654">IF(ISBLANK($Z686),$Y686,$Z686)</f>
        <v>1</v>
      </c>
      <c r="AB686" s="333">
        <f t="shared" si="646"/>
        <v>0</v>
      </c>
      <c r="AC686" s="328">
        <f t="shared" si="647"/>
        <v>0</v>
      </c>
      <c r="AD686" s="334">
        <f t="shared" si="648"/>
        <v>0</v>
      </c>
      <c r="AE686" s="334">
        <f>$AB686*(1-INDEX(项目参数!$D$5:$D$14,MATCH(服务费底表!$S686,项目参数!$B$5:$B$14,0)))</f>
        <v>0</v>
      </c>
      <c r="AF686" s="334">
        <f>$AD686*INDEX(项目参数!$D$5:$D$14,MATCH(服务费底表!$S686,项目参数!$B$5:$B$14,0))</f>
        <v>0</v>
      </c>
      <c r="AG686" s="334">
        <f t="shared" si="653"/>
        <v>0</v>
      </c>
      <c r="AH686" s="328"/>
      <c r="AI686" s="328" t="s">
        <v>599</v>
      </c>
      <c r="AJ686" s="327">
        <v>1</v>
      </c>
      <c r="AK686" s="327">
        <v>1</v>
      </c>
      <c r="AL686" s="327">
        <v>1</v>
      </c>
      <c r="AM686" s="327">
        <v>1</v>
      </c>
      <c r="AN686" s="327">
        <v>1</v>
      </c>
      <c r="AO686" s="327">
        <v>1</v>
      </c>
      <c r="AP686" s="327">
        <v>1</v>
      </c>
      <c r="AQ686" s="327">
        <f t="shared" si="640"/>
        <v>1.5</v>
      </c>
      <c r="AR686" s="338"/>
      <c r="AS686" s="328">
        <f t="shared" si="650"/>
        <v>0</v>
      </c>
      <c r="AT686" s="328">
        <f t="shared" si="651"/>
        <v>0</v>
      </c>
      <c r="AU686" s="523">
        <v>1</v>
      </c>
      <c r="AV686" s="328"/>
      <c r="AW686" s="328"/>
      <c r="AX686" s="332">
        <v>1</v>
      </c>
      <c r="AY686" s="328" t="b">
        <f t="shared" si="652"/>
        <v>1</v>
      </c>
      <c r="AZ686" s="328" t="b">
        <f t="shared" si="596"/>
        <v>1</v>
      </c>
    </row>
    <row r="687" ht="27" customHeight="1" spans="1:52">
      <c r="A687" s="326" t="str">
        <f>INDEX('Rate Card'!$A:$A,MATCH(服务费底表!$T687,'Rate Card'!$F:$F,0))</f>
        <v>临床运营</v>
      </c>
      <c r="B687" s="327" t="str">
        <f>INDEX(二三级标准!$G:$G,MATCH(服务费底表!$K687,二三级标准!B:B,0))</f>
        <v>份</v>
      </c>
      <c r="C687" s="327">
        <f>INDEX(服务费明细!$E:$E,MATCH(服务费底表!$K687,服务费明细!$B:$B,0))</f>
        <v>0</v>
      </c>
      <c r="D687" s="327" t="str">
        <f t="shared" si="644"/>
        <v>A154PM</v>
      </c>
      <c r="E687" s="327" t="str">
        <f t="shared" si="645"/>
        <v>T0516PM</v>
      </c>
      <c r="F687" s="328"/>
      <c r="G687" s="328" t="s">
        <v>684</v>
      </c>
      <c r="H687" s="326" t="str">
        <f>INDEX('Rate Card'!$B:$B,MATCH(服务费底表!$T687,'Rate Card'!$F:$F,0))</f>
        <v>临床运营</v>
      </c>
      <c r="I687" s="328" t="s">
        <v>928</v>
      </c>
      <c r="J687" s="328" t="str">
        <f>INDEX(二三级标准!$Q:$Q,MATCH(服务费底表!I687,二三级标准!$O:$O,0))</f>
        <v>非盲临床运营</v>
      </c>
      <c r="K687" s="328" t="s">
        <v>415</v>
      </c>
      <c r="L687" s="328" t="str">
        <f>INDEX(二三级标准!C:C,MATCH(服务费底表!K687,二三级标准!$B:$B,0))</f>
        <v>非盲监查计划撰写</v>
      </c>
      <c r="M687" s="328" t="s">
        <v>1692</v>
      </c>
      <c r="N687" s="328" t="str">
        <f>INDEX(二三级标准!$M:$M,MATCH(服务费底表!$M687,二三级标准!$L:$L,0))</f>
        <v>撰写非盲监查计划</v>
      </c>
      <c r="O687" s="328"/>
      <c r="P687" s="327">
        <f>IF(R687=1,INDEX(服务费明细!$E:$E,MATCH(服务费底表!$K687,服务费明细!$B:$B,0)),0)</f>
        <v>0</v>
      </c>
      <c r="Q687" s="328" t="s">
        <v>1176</v>
      </c>
      <c r="R687" s="520">
        <f>IF(AND(非盲临床运营YN=1,项目管理YN=1),1,0)</f>
        <v>0</v>
      </c>
      <c r="S687" s="525" t="str">
        <f>INDEX('Rate Card'!$D:$D,MATCH(服务费底表!$T687,'Rate Card'!F:F,0))</f>
        <v>项目管理</v>
      </c>
      <c r="T687" s="328" t="s">
        <v>599</v>
      </c>
      <c r="U687" s="522" t="str">
        <f>INDEX('Rate Card'!$E:$E,MATCH(服务费底表!$T687,'Rate Card'!$F:$F,0))</f>
        <v>临床项目经理</v>
      </c>
      <c r="V687" s="331">
        <f>INDEX('Rate Card'!$J:$J,MATCH($T687,'Rate Card'!$F:$F,0))</f>
        <v>650</v>
      </c>
      <c r="W687" s="523">
        <f t="shared" si="637"/>
        <v>650</v>
      </c>
      <c r="X687" s="523">
        <f t="shared" si="638"/>
        <v>4</v>
      </c>
      <c r="Y687" s="327" cm="1">
        <f t="array" ref="Y687">_xlfn.IFS(报价场景=服务费底表!$AJ$2,服务费底表!$AJ687,报价场景=服务费底表!$AP$2,服务费底表!$AP687,报价场景=服务费底表!$AK$2,服务费底表!$AK687,报价场景=服务费底表!$AL$2,服务费底表!$AL687,报价场景=服务费底表!$AM$2,服务费底表!$AM687,报价场景=服务费底表!$AN$2,服务费底表!$AN687,报价场景=服务费底表!$AQ$2,服务费底表!$AQ687,报价场景=服务费底表!$AO$2,服务费底表!$AO687)</f>
        <v>4</v>
      </c>
      <c r="Z687" s="327"/>
      <c r="AA687" s="332">
        <f t="shared" si="654"/>
        <v>4</v>
      </c>
      <c r="AB687" s="333">
        <f t="shared" si="646"/>
        <v>0</v>
      </c>
      <c r="AC687" s="328">
        <f t="shared" si="647"/>
        <v>0</v>
      </c>
      <c r="AD687" s="334">
        <f t="shared" si="648"/>
        <v>0</v>
      </c>
      <c r="AE687" s="334">
        <f>$AB687*(1-INDEX(项目参数!$D$5:$D$14,MATCH(服务费底表!$S687,项目参数!$B$5:$B$14,0)))</f>
        <v>0</v>
      </c>
      <c r="AF687" s="334">
        <f>$AD687*INDEX(项目参数!$D$5:$D$14,MATCH(服务费底表!$S687,项目参数!$B$5:$B$14,0))</f>
        <v>0</v>
      </c>
      <c r="AG687" s="334">
        <f t="shared" si="653"/>
        <v>0</v>
      </c>
      <c r="AH687" s="328"/>
      <c r="AI687" s="328" t="s">
        <v>599</v>
      </c>
      <c r="AJ687" s="327">
        <v>4</v>
      </c>
      <c r="AK687" s="327">
        <v>4</v>
      </c>
      <c r="AL687" s="327">
        <v>4</v>
      </c>
      <c r="AM687" s="327">
        <v>4</v>
      </c>
      <c r="AN687" s="327">
        <v>4</v>
      </c>
      <c r="AO687" s="327">
        <v>4</v>
      </c>
      <c r="AP687" s="327">
        <v>4</v>
      </c>
      <c r="AQ687" s="327">
        <f t="shared" si="640"/>
        <v>6</v>
      </c>
      <c r="AR687" s="338"/>
      <c r="AS687" s="328">
        <f t="shared" si="650"/>
        <v>0</v>
      </c>
      <c r="AT687" s="328">
        <f t="shared" si="651"/>
        <v>0</v>
      </c>
      <c r="AU687" s="523">
        <v>4</v>
      </c>
      <c r="AV687" s="328"/>
      <c r="AW687" s="328"/>
      <c r="AX687" s="332">
        <v>4</v>
      </c>
      <c r="AY687" s="328" t="b">
        <f t="shared" si="652"/>
        <v>1</v>
      </c>
      <c r="AZ687" s="328" t="b">
        <f t="shared" si="596"/>
        <v>0</v>
      </c>
    </row>
    <row r="688" ht="27" customHeight="1" spans="1:52">
      <c r="A688" s="326" t="str">
        <f>INDEX('Rate Card'!$A:$A,MATCH(服务费底表!$T688,'Rate Card'!$F:$F,0))</f>
        <v>临床运营</v>
      </c>
      <c r="B688" s="327" t="str">
        <f>INDEX(二三级标准!$G:$G,MATCH(服务费底表!$K688,二三级标准!B:B,0))</f>
        <v>份</v>
      </c>
      <c r="C688" s="327">
        <f>INDEX(服务费明细!$E:$E,MATCH(服务费底表!$K688,服务费明细!$B:$B,0))</f>
        <v>0</v>
      </c>
      <c r="D688" s="327" t="str">
        <f t="shared" si="644"/>
        <v>A155PM</v>
      </c>
      <c r="E688" s="327" t="str">
        <f t="shared" si="645"/>
        <v>T0517PM</v>
      </c>
      <c r="F688" s="328"/>
      <c r="G688" s="328" t="s">
        <v>684</v>
      </c>
      <c r="H688" s="326" t="str">
        <f>INDEX('Rate Card'!$B:$B,MATCH(服务费底表!$T688,'Rate Card'!$F:$F,0))</f>
        <v>临床运营</v>
      </c>
      <c r="I688" s="328" t="s">
        <v>928</v>
      </c>
      <c r="J688" s="328" t="str">
        <f>INDEX(二三级标准!$Q:$Q,MATCH(服务费底表!I688,二三级标准!$O:$O,0))</f>
        <v>非盲临床运营</v>
      </c>
      <c r="K688" s="328" t="s">
        <v>417</v>
      </c>
      <c r="L688" s="328" t="str">
        <f>INDEX(二三级标准!C:C,MATCH(服务费底表!K688,二三级标准!$B:$B,0))</f>
        <v>非盲药物管理计划撰写</v>
      </c>
      <c r="M688" s="328" t="s">
        <v>1693</v>
      </c>
      <c r="N688" s="328" t="str">
        <f>INDEX(二三级标准!$M:$M,MATCH(服务费底表!$M688,二三级标准!$L:$L,0))</f>
        <v>撰写非盲药物管理计划</v>
      </c>
      <c r="O688" s="328"/>
      <c r="P688" s="327">
        <f>IF(R688=1,INDEX(服务费明细!$E:$E,MATCH(服务费底表!$K688,服务费明细!$B:$B,0)),0)</f>
        <v>0</v>
      </c>
      <c r="Q688" s="328" t="s">
        <v>1176</v>
      </c>
      <c r="R688" s="520">
        <f>IF(AND(非盲临床运营YN=1,项目管理YN=1),1,0)</f>
        <v>0</v>
      </c>
      <c r="S688" s="525" t="str">
        <f>INDEX('Rate Card'!$D:$D,MATCH(服务费底表!$T688,'Rate Card'!F:F,0))</f>
        <v>项目管理</v>
      </c>
      <c r="T688" s="328" t="s">
        <v>599</v>
      </c>
      <c r="U688" s="522" t="str">
        <f>INDEX('Rate Card'!$E:$E,MATCH(服务费底表!$T688,'Rate Card'!$F:$F,0))</f>
        <v>临床项目经理</v>
      </c>
      <c r="V688" s="331">
        <f>INDEX('Rate Card'!$J:$J,MATCH($T688,'Rate Card'!$F:$F,0))</f>
        <v>650</v>
      </c>
      <c r="W688" s="523">
        <f t="shared" si="637"/>
        <v>650</v>
      </c>
      <c r="X688" s="523">
        <f t="shared" si="638"/>
        <v>4</v>
      </c>
      <c r="Y688" s="327" cm="1">
        <f t="array" ref="Y688">_xlfn.IFS(报价场景=服务费底表!$AJ$2,服务费底表!$AJ688,报价场景=服务费底表!$AP$2,服务费底表!$AP688,报价场景=服务费底表!$AK$2,服务费底表!$AK688,报价场景=服务费底表!$AL$2,服务费底表!$AL688,报价场景=服务费底表!$AM$2,服务费底表!$AM688,报价场景=服务费底表!$AN$2,服务费底表!$AN688,报价场景=服务费底表!$AQ$2,服务费底表!$AQ688,报价场景=服务费底表!$AO$2,服务费底表!$AO688)</f>
        <v>4</v>
      </c>
      <c r="Z688" s="327"/>
      <c r="AA688" s="332">
        <f t="shared" si="654"/>
        <v>4</v>
      </c>
      <c r="AB688" s="333">
        <f t="shared" si="646"/>
        <v>0</v>
      </c>
      <c r="AC688" s="328">
        <f t="shared" si="647"/>
        <v>0</v>
      </c>
      <c r="AD688" s="334">
        <f t="shared" si="648"/>
        <v>0</v>
      </c>
      <c r="AE688" s="334">
        <f>$AB688*(1-INDEX(项目参数!$D$5:$D$14,MATCH(服务费底表!$S688,项目参数!$B$5:$B$14,0)))</f>
        <v>0</v>
      </c>
      <c r="AF688" s="334">
        <f>$AD688*INDEX(项目参数!$D$5:$D$14,MATCH(服务费底表!$S688,项目参数!$B$5:$B$14,0))</f>
        <v>0</v>
      </c>
      <c r="AG688" s="334">
        <f t="shared" si="653"/>
        <v>0</v>
      </c>
      <c r="AH688" s="328"/>
      <c r="AI688" s="328" t="s">
        <v>599</v>
      </c>
      <c r="AJ688" s="327">
        <v>4</v>
      </c>
      <c r="AK688" s="327">
        <v>4</v>
      </c>
      <c r="AL688" s="327">
        <v>4</v>
      </c>
      <c r="AM688" s="327">
        <v>4</v>
      </c>
      <c r="AN688" s="327">
        <v>4</v>
      </c>
      <c r="AO688" s="327">
        <v>4</v>
      </c>
      <c r="AP688" s="327">
        <v>4</v>
      </c>
      <c r="AQ688" s="327">
        <f t="shared" si="640"/>
        <v>6</v>
      </c>
      <c r="AR688" s="338"/>
      <c r="AS688" s="328">
        <f t="shared" si="650"/>
        <v>0</v>
      </c>
      <c r="AT688" s="328">
        <f t="shared" si="651"/>
        <v>0</v>
      </c>
      <c r="AU688" s="523">
        <v>4</v>
      </c>
      <c r="AV688" s="328"/>
      <c r="AW688" s="328"/>
      <c r="AX688" s="332">
        <v>4</v>
      </c>
      <c r="AY688" s="328" t="b">
        <f t="shared" si="652"/>
        <v>1</v>
      </c>
      <c r="AZ688" s="328" t="b">
        <f t="shared" si="596"/>
        <v>1</v>
      </c>
    </row>
    <row r="689" ht="27" customHeight="1" spans="1:52">
      <c r="A689" s="326" t="str">
        <f>INDEX('Rate Card'!$A:$A,MATCH(服务费底表!$T689,'Rate Card'!$F:$F,0))</f>
        <v>临床运营</v>
      </c>
      <c r="B689" s="327" t="str">
        <f>INDEX(二三级标准!$G:$G,MATCH(服务费底表!$K689,二三级标准!B:B,0))</f>
        <v>次</v>
      </c>
      <c r="C689" s="327">
        <f>INDEX(服务费明细!$E:$E,MATCH(服务费底表!$K689,服务费明细!$B:$B,0))</f>
        <v>0</v>
      </c>
      <c r="D689" s="327" t="str">
        <f t="shared" si="644"/>
        <v>A156PM</v>
      </c>
      <c r="E689" s="327" t="str">
        <f t="shared" si="645"/>
        <v>T0518PM</v>
      </c>
      <c r="F689" s="328"/>
      <c r="G689" s="328" t="s">
        <v>684</v>
      </c>
      <c r="H689" s="326" t="str">
        <f>INDEX('Rate Card'!$B:$B,MATCH(服务费底表!$T689,'Rate Card'!$F:$F,0))</f>
        <v>临床运营</v>
      </c>
      <c r="I689" s="328" t="s">
        <v>928</v>
      </c>
      <c r="J689" s="328" t="str">
        <f>INDEX(二三级标准!$Q:$Q,MATCH(服务费底表!I689,二三级标准!$O:$O,0))</f>
        <v>非盲临床运营</v>
      </c>
      <c r="K689" s="328" t="s">
        <v>419</v>
      </c>
      <c r="L689" s="328" t="str">
        <f>INDEX(二三级标准!C:C,MATCH(服务费底表!K689,二三级标准!$B:$B,0))</f>
        <v>非盲团队培训</v>
      </c>
      <c r="M689" s="328" t="s">
        <v>1694</v>
      </c>
      <c r="N689" s="328" t="str">
        <f>INDEX(二三级标准!$M:$M,MATCH(服务费底表!$M689,二三级标准!$L:$L,0))</f>
        <v>非盲团队培训</v>
      </c>
      <c r="O689" s="328"/>
      <c r="P689" s="327">
        <f>IF(R689=1,INDEX(服务费明细!$E:$E,MATCH(服务费底表!$K689,服务费明细!$B:$B,0)),0)</f>
        <v>0</v>
      </c>
      <c r="Q689" s="328" t="s">
        <v>1178</v>
      </c>
      <c r="R689" s="520">
        <f>IF(AND(非盲团队培训YN=1,项目管理YN=1),1,0)</f>
        <v>0</v>
      </c>
      <c r="S689" s="525" t="str">
        <f>INDEX('Rate Card'!$D:$D,MATCH(服务费底表!$T689,'Rate Card'!F:F,0))</f>
        <v>项目管理</v>
      </c>
      <c r="T689" s="328" t="s">
        <v>599</v>
      </c>
      <c r="U689" s="522" t="str">
        <f>INDEX('Rate Card'!$E:$E,MATCH(服务费底表!$T689,'Rate Card'!$F:$F,0))</f>
        <v>临床项目经理</v>
      </c>
      <c r="V689" s="331">
        <f>INDEX('Rate Card'!$J:$J,MATCH($T689,'Rate Card'!$F:$F,0))</f>
        <v>650</v>
      </c>
      <c r="W689" s="523">
        <f t="shared" si="637"/>
        <v>650</v>
      </c>
      <c r="X689" s="523">
        <f t="shared" si="638"/>
        <v>2</v>
      </c>
      <c r="Y689" s="327" cm="1">
        <f t="array" ref="Y689">_xlfn.IFS(报价场景=服务费底表!$AJ$2,服务费底表!$AJ689,报价场景=服务费底表!$AP$2,服务费底表!$AP689,报价场景=服务费底表!$AK$2,服务费底表!$AK689,报价场景=服务费底表!$AL$2,服务费底表!$AL689,报价场景=服务费底表!$AM$2,服务费底表!$AM689,报价场景=服务费底表!$AN$2,服务费底表!$AN689,报价场景=服务费底表!$AQ$2,服务费底表!$AQ689,报价场景=服务费底表!$AO$2,服务费底表!$AO689)</f>
        <v>2</v>
      </c>
      <c r="Z689" s="327"/>
      <c r="AA689" s="332">
        <f t="shared" si="654"/>
        <v>2</v>
      </c>
      <c r="AB689" s="333">
        <f t="shared" si="646"/>
        <v>0</v>
      </c>
      <c r="AC689" s="328">
        <f t="shared" si="647"/>
        <v>0</v>
      </c>
      <c r="AD689" s="334">
        <f t="shared" si="648"/>
        <v>0</v>
      </c>
      <c r="AE689" s="334">
        <f>$AB689*(1-INDEX(项目参数!$D$5:$D$14,MATCH(服务费底表!$S689,项目参数!$B$5:$B$14,0)))</f>
        <v>0</v>
      </c>
      <c r="AF689" s="334">
        <f>$AD689*INDEX(项目参数!$D$5:$D$14,MATCH(服务费底表!$S689,项目参数!$B$5:$B$14,0))</f>
        <v>0</v>
      </c>
      <c r="AG689" s="334">
        <f t="shared" si="653"/>
        <v>0</v>
      </c>
      <c r="AH689" s="328"/>
      <c r="AI689" s="328" t="s">
        <v>599</v>
      </c>
      <c r="AJ689" s="327">
        <v>2</v>
      </c>
      <c r="AK689" s="327">
        <v>2</v>
      </c>
      <c r="AL689" s="327">
        <v>2</v>
      </c>
      <c r="AM689" s="327">
        <v>2</v>
      </c>
      <c r="AN689" s="327">
        <v>2</v>
      </c>
      <c r="AO689" s="327">
        <v>2</v>
      </c>
      <c r="AP689" s="327">
        <v>2</v>
      </c>
      <c r="AQ689" s="327">
        <f t="shared" si="640"/>
        <v>3</v>
      </c>
      <c r="AR689" s="338"/>
      <c r="AS689" s="328">
        <f t="shared" si="650"/>
        <v>0</v>
      </c>
      <c r="AT689" s="328">
        <f t="shared" si="651"/>
        <v>0</v>
      </c>
      <c r="AU689" s="523">
        <v>2</v>
      </c>
      <c r="AV689" s="328"/>
      <c r="AW689" s="328"/>
      <c r="AX689" s="332">
        <v>2</v>
      </c>
      <c r="AY689" s="328" t="b">
        <f t="shared" si="652"/>
        <v>1</v>
      </c>
      <c r="AZ689" s="328" t="b">
        <f t="shared" si="596"/>
        <v>0</v>
      </c>
    </row>
    <row r="690" ht="27" customHeight="1" spans="1:52">
      <c r="A690" s="326" t="str">
        <f>INDEX('Rate Card'!$A:$A,MATCH(服务费底表!$T690,'Rate Card'!$F:$F,0))</f>
        <v>临床运营</v>
      </c>
      <c r="B690" s="327" t="str">
        <f>INDEX(二三级标准!$G:$G,MATCH(服务费底表!$K690,二三级标准!B:B,0))</f>
        <v>次</v>
      </c>
      <c r="C690" s="327">
        <f>INDEX(服务费明细!$E:$E,MATCH(服务费底表!$K690,服务费明细!$B:$B,0))</f>
        <v>0</v>
      </c>
      <c r="D690" s="327" t="str">
        <f t="shared" si="644"/>
        <v>A156CRA</v>
      </c>
      <c r="E690" s="327" t="str">
        <f t="shared" si="645"/>
        <v>T0518CRA</v>
      </c>
      <c r="F690" s="328"/>
      <c r="G690" s="328" t="s">
        <v>684</v>
      </c>
      <c r="H690" s="326" t="str">
        <f>INDEX('Rate Card'!$B:$B,MATCH(服务费底表!$T690,'Rate Card'!$F:$F,0))</f>
        <v>临床运营</v>
      </c>
      <c r="I690" s="328" t="s">
        <v>928</v>
      </c>
      <c r="J690" s="328" t="str">
        <f>INDEX(二三级标准!$Q:$Q,MATCH(服务费底表!I690,二三级标准!$O:$O,0))</f>
        <v>非盲临床运营</v>
      </c>
      <c r="K690" s="328" t="s">
        <v>419</v>
      </c>
      <c r="L690" s="328" t="str">
        <f>INDEX(二三级标准!C:C,MATCH(服务费底表!K690,二三级标准!$B:$B,0))</f>
        <v>非盲团队培训</v>
      </c>
      <c r="M690" s="328" t="s">
        <v>1694</v>
      </c>
      <c r="N690" s="328" t="str">
        <f>INDEX(二三级标准!$M:$M,MATCH(服务费底表!$M690,二三级标准!$L:$L,0))</f>
        <v>非盲团队培训</v>
      </c>
      <c r="O690" s="328"/>
      <c r="P690" s="327">
        <f>IF(R690=1,INDEX(服务费明细!$E:$E,MATCH(服务费底表!$K690,服务费明细!$B:$B,0)),0)</f>
        <v>0</v>
      </c>
      <c r="Q690" s="328" t="s">
        <v>1178</v>
      </c>
      <c r="R690" s="520">
        <f>IF(AND(非盲团队培训YN=1,临床监查YN=1),1,0)</f>
        <v>0</v>
      </c>
      <c r="S690" s="525" t="str">
        <f>INDEX('Rate Card'!$D:$D,MATCH(服务费底表!$T690,'Rate Card'!F:F,0))</f>
        <v>临床监查</v>
      </c>
      <c r="T690" s="328" t="s">
        <v>595</v>
      </c>
      <c r="U690" s="522" t="str">
        <f>INDEX('Rate Card'!$E:$E,MATCH(服务费底表!$T690,'Rate Card'!$F:$F,0))</f>
        <v>临床监查员</v>
      </c>
      <c r="V690" s="331">
        <f>INDEX('Rate Card'!$J:$J,MATCH($T690,'Rate Card'!$F:$F,0))</f>
        <v>340</v>
      </c>
      <c r="W690" s="523">
        <f t="shared" si="637"/>
        <v>340</v>
      </c>
      <c r="X690" s="523">
        <f t="shared" si="638"/>
        <v>1</v>
      </c>
      <c r="Y690" s="327" cm="1">
        <f t="array" ref="Y690">_xlfn.IFS(报价场景=服务费底表!$AJ$2,服务费底表!$AJ690,报价场景=服务费底表!$AP$2,服务费底表!$AP690,报价场景=服务费底表!$AK$2,服务费底表!$AK690,报价场景=服务费底表!$AL$2,服务费底表!$AL690,报价场景=服务费底表!$AM$2,服务费底表!$AM690,报价场景=服务费底表!$AN$2,服务费底表!$AN690,报价场景=服务费底表!$AQ$2,服务费底表!$AQ690,报价场景=服务费底表!$AO$2,服务费底表!$AO690)</f>
        <v>1</v>
      </c>
      <c r="Z690" s="327"/>
      <c r="AA690" s="332">
        <f t="shared" si="654"/>
        <v>1</v>
      </c>
      <c r="AB690" s="333">
        <f t="shared" si="646"/>
        <v>0</v>
      </c>
      <c r="AC690" s="328">
        <f t="shared" si="647"/>
        <v>0</v>
      </c>
      <c r="AD690" s="334">
        <f t="shared" si="648"/>
        <v>0</v>
      </c>
      <c r="AE690" s="334">
        <f>$AB690*(1-INDEX(项目参数!$D$5:$D$14,MATCH(服务费底表!$S690,项目参数!$B$5:$B$14,0)))</f>
        <v>0</v>
      </c>
      <c r="AF690" s="334">
        <f>$AD690*INDEX(项目参数!$D$5:$D$14,MATCH(服务费底表!$S690,项目参数!$B$5:$B$14,0))</f>
        <v>0</v>
      </c>
      <c r="AG690" s="334">
        <f t="shared" si="653"/>
        <v>0</v>
      </c>
      <c r="AH690" s="328"/>
      <c r="AI690" s="328" t="s">
        <v>595</v>
      </c>
      <c r="AJ690" s="327">
        <v>1</v>
      </c>
      <c r="AK690" s="327">
        <v>1</v>
      </c>
      <c r="AL690" s="327">
        <v>1</v>
      </c>
      <c r="AM690" s="327">
        <v>1</v>
      </c>
      <c r="AN690" s="327">
        <v>1</v>
      </c>
      <c r="AO690" s="327">
        <v>1</v>
      </c>
      <c r="AP690" s="327">
        <v>1</v>
      </c>
      <c r="AQ690" s="327">
        <f t="shared" si="640"/>
        <v>1.5</v>
      </c>
      <c r="AR690" s="338"/>
      <c r="AS690" s="328">
        <f t="shared" si="650"/>
        <v>0</v>
      </c>
      <c r="AT690" s="328">
        <f t="shared" si="651"/>
        <v>0</v>
      </c>
      <c r="AU690" s="523">
        <v>1</v>
      </c>
      <c r="AV690" s="328"/>
      <c r="AW690" s="328"/>
      <c r="AX690" s="332">
        <v>1</v>
      </c>
      <c r="AY690" s="328" t="b">
        <f t="shared" si="652"/>
        <v>1</v>
      </c>
      <c r="AZ690" s="328" t="b">
        <f t="shared" si="596"/>
        <v>0</v>
      </c>
    </row>
    <row r="691" ht="27" customHeight="1" spans="1:52">
      <c r="A691" s="326" t="str">
        <f>INDEX('Rate Card'!$A:$A,MATCH(服务费底表!$T691,'Rate Card'!$F:$F,0))</f>
        <v>临床运营</v>
      </c>
      <c r="B691" s="327" t="str">
        <f>INDEX(二三级标准!$G:$G,MATCH(服务费底表!$K691,二三级标准!B:B,0))</f>
        <v>次</v>
      </c>
      <c r="C691" s="327">
        <f>INDEX(服务费明细!$E:$E,MATCH(服务费底表!$K691,服务费明细!$B:$B,0))</f>
        <v>0</v>
      </c>
      <c r="D691" s="327" t="str">
        <f t="shared" si="644"/>
        <v>A157CRA</v>
      </c>
      <c r="E691" s="327" t="str">
        <f t="shared" si="645"/>
        <v>T0519CRA</v>
      </c>
      <c r="F691" s="328"/>
      <c r="G691" s="328" t="s">
        <v>684</v>
      </c>
      <c r="H691" s="326" t="str">
        <f>INDEX('Rate Card'!$B:$B,MATCH(服务费底表!$T691,'Rate Card'!$F:$F,0))</f>
        <v>临床运营</v>
      </c>
      <c r="I691" s="328" t="s">
        <v>928</v>
      </c>
      <c r="J691" s="328" t="str">
        <f>INDEX(二三级标准!$Q:$Q,MATCH(服务费底表!I691,二三级标准!$O:$O,0))</f>
        <v>非盲临床运营</v>
      </c>
      <c r="K691" s="328" t="s">
        <v>421</v>
      </c>
      <c r="L691" s="328" t="str">
        <f>INDEX(二三级标准!C:C,MATCH(服务费底表!K691,二三级标准!$B:$B,0))</f>
        <v>召开非盲监查员会</v>
      </c>
      <c r="M691" s="328" t="s">
        <v>1695</v>
      </c>
      <c r="N691" s="328" t="str">
        <f>INDEX(二三级标准!$M:$M,MATCH(服务费底表!$M691,二三级标准!$L:$L,0))</f>
        <v>召开非盲监查员会</v>
      </c>
      <c r="O691" s="328"/>
      <c r="P691" s="327">
        <f>IF(R691=1,INDEX(服务费明细!$E:$E,MATCH(服务费底表!$K691,服务费明细!$B:$B,0)),0)</f>
        <v>0</v>
      </c>
      <c r="Q691" s="328" t="s">
        <v>1178</v>
      </c>
      <c r="R691" s="520">
        <f>IF(AND(非盲监查员会YN=1,临床监查YN=1),1,0)</f>
        <v>0</v>
      </c>
      <c r="S691" s="525" t="str">
        <f>INDEX('Rate Card'!$D:$D,MATCH(服务费底表!$T691,'Rate Card'!F:F,0))</f>
        <v>临床监查</v>
      </c>
      <c r="T691" s="328" t="s">
        <v>595</v>
      </c>
      <c r="U691" s="522" t="str">
        <f>INDEX('Rate Card'!$E:$E,MATCH(服务费底表!$T691,'Rate Card'!$F:$F,0))</f>
        <v>临床监查员</v>
      </c>
      <c r="V691" s="331">
        <f>INDEX('Rate Card'!$J:$J,MATCH($T691,'Rate Card'!$F:$F,0))</f>
        <v>340</v>
      </c>
      <c r="W691" s="523">
        <f t="shared" si="637"/>
        <v>340</v>
      </c>
      <c r="X691" s="523">
        <f t="shared" si="638"/>
        <v>1</v>
      </c>
      <c r="Y691" s="327" cm="1">
        <f t="array" ref="Y691">_xlfn.IFS(报价场景=服务费底表!$AJ$2,服务费底表!$AJ691,报价场景=服务费底表!$AP$2,服务费底表!$AP691,报价场景=服务费底表!$AK$2,服务费底表!$AK691,报价场景=服务费底表!$AL$2,服务费底表!$AL691,报价场景=服务费底表!$AM$2,服务费底表!$AM691,报价场景=服务费底表!$AN$2,服务费底表!$AN691,报价场景=服务费底表!$AQ$2,服务费底表!$AQ691,报价场景=服务费底表!$AO$2,服务费底表!$AO691)</f>
        <v>1</v>
      </c>
      <c r="Z691" s="327"/>
      <c r="AA691" s="332">
        <f t="shared" si="654"/>
        <v>1</v>
      </c>
      <c r="AB691" s="333">
        <f t="shared" si="646"/>
        <v>0</v>
      </c>
      <c r="AC691" s="328">
        <f t="shared" si="647"/>
        <v>0</v>
      </c>
      <c r="AD691" s="334">
        <f t="shared" si="648"/>
        <v>0</v>
      </c>
      <c r="AE691" s="334">
        <f>$AB691*(1-INDEX(项目参数!$D$5:$D$14,MATCH(服务费底表!$S691,项目参数!$B$5:$B$14,0)))</f>
        <v>0</v>
      </c>
      <c r="AF691" s="334">
        <f>$AD691*INDEX(项目参数!$D$5:$D$14,MATCH(服务费底表!$S691,项目参数!$B$5:$B$14,0))</f>
        <v>0</v>
      </c>
      <c r="AG691" s="334">
        <f t="shared" si="653"/>
        <v>0</v>
      </c>
      <c r="AH691" s="328"/>
      <c r="AI691" s="328" t="s">
        <v>595</v>
      </c>
      <c r="AJ691" s="327">
        <v>1</v>
      </c>
      <c r="AK691" s="327">
        <v>1</v>
      </c>
      <c r="AL691" s="327">
        <v>1</v>
      </c>
      <c r="AM691" s="327">
        <v>1</v>
      </c>
      <c r="AN691" s="327">
        <v>1</v>
      </c>
      <c r="AO691" s="327">
        <v>1</v>
      </c>
      <c r="AP691" s="327">
        <v>1</v>
      </c>
      <c r="AQ691" s="327">
        <f t="shared" si="640"/>
        <v>1.5</v>
      </c>
      <c r="AR691" s="338"/>
      <c r="AS691" s="328">
        <f t="shared" si="650"/>
        <v>0</v>
      </c>
      <c r="AT691" s="328">
        <f t="shared" si="651"/>
        <v>0</v>
      </c>
      <c r="AU691" s="523">
        <v>1</v>
      </c>
      <c r="AV691" s="328"/>
      <c r="AW691" s="328"/>
      <c r="AX691" s="332">
        <v>1</v>
      </c>
      <c r="AY691" s="328" t="b">
        <f t="shared" si="652"/>
        <v>1</v>
      </c>
      <c r="AZ691" s="328" t="b">
        <f t="shared" si="596"/>
        <v>1</v>
      </c>
    </row>
    <row r="692" ht="27" customHeight="1" spans="1:52">
      <c r="A692" s="326" t="str">
        <f>INDEX('Rate Card'!$A:$A,MATCH(服务费底表!$T692,'Rate Card'!$F:$F,0))</f>
        <v>临床运营</v>
      </c>
      <c r="B692" s="327" t="str">
        <f>INDEX(二三级标准!$G:$G,MATCH(服务费底表!$K692,二三级标准!B:B,0))</f>
        <v>次</v>
      </c>
      <c r="C692" s="327">
        <f>INDEX(服务费明细!$E:$E,MATCH(服务费底表!$K692,服务费明细!$B:$B,0))</f>
        <v>0</v>
      </c>
      <c r="D692" s="327" t="str">
        <f t="shared" si="644"/>
        <v>A157PM</v>
      </c>
      <c r="E692" s="327" t="str">
        <f t="shared" si="645"/>
        <v>T0519PM</v>
      </c>
      <c r="F692" s="328"/>
      <c r="G692" s="328" t="s">
        <v>684</v>
      </c>
      <c r="H692" s="326" t="str">
        <f>INDEX('Rate Card'!$B:$B,MATCH(服务费底表!$T692,'Rate Card'!$F:$F,0))</f>
        <v>临床运营</v>
      </c>
      <c r="I692" s="328" t="s">
        <v>928</v>
      </c>
      <c r="J692" s="328" t="str">
        <f>INDEX(二三级标准!$Q:$Q,MATCH(服务费底表!I692,二三级标准!$O:$O,0))</f>
        <v>非盲临床运营</v>
      </c>
      <c r="K692" s="328" t="s">
        <v>421</v>
      </c>
      <c r="L692" s="328" t="str">
        <f>INDEX(二三级标准!C:C,MATCH(服务费底表!K692,二三级标准!$B:$B,0))</f>
        <v>召开非盲监查员会</v>
      </c>
      <c r="M692" s="328" t="s">
        <v>1695</v>
      </c>
      <c r="N692" s="328" t="str">
        <f>INDEX(二三级标准!$M:$M,MATCH(服务费底表!$M692,二三级标准!$L:$L,0))</f>
        <v>召开非盲监查员会</v>
      </c>
      <c r="O692" s="328"/>
      <c r="P692" s="327">
        <f>IF(R692=1,INDEX(服务费明细!$E:$E,MATCH(服务费底表!$K692,服务费明细!$B:$B,0)),0)</f>
        <v>0</v>
      </c>
      <c r="Q692" s="328" t="s">
        <v>1178</v>
      </c>
      <c r="R692" s="520">
        <f>IF(AND(非盲监查员会YN=1,项目管理YN=1),1,0)</f>
        <v>0</v>
      </c>
      <c r="S692" s="525" t="str">
        <f>INDEX('Rate Card'!$D:$D,MATCH(服务费底表!$T692,'Rate Card'!F:F,0))</f>
        <v>项目管理</v>
      </c>
      <c r="T692" s="328" t="s">
        <v>599</v>
      </c>
      <c r="U692" s="522" t="str">
        <f>INDEX('Rate Card'!$E:$E,MATCH(服务费底表!$T692,'Rate Card'!$F:$F,0))</f>
        <v>临床项目经理</v>
      </c>
      <c r="V692" s="331">
        <f>INDEX('Rate Card'!$J:$J,MATCH($T692,'Rate Card'!$F:$F,0))</f>
        <v>650</v>
      </c>
      <c r="W692" s="523">
        <f t="shared" si="637"/>
        <v>650</v>
      </c>
      <c r="X692" s="523">
        <f t="shared" si="638"/>
        <v>1</v>
      </c>
      <c r="Y692" s="327" cm="1">
        <f t="array" ref="Y692">_xlfn.IFS(报价场景=服务费底表!$AJ$2,服务费底表!$AJ692,报价场景=服务费底表!$AP$2,服务费底表!$AP692,报价场景=服务费底表!$AK$2,服务费底表!$AK692,报价场景=服务费底表!$AL$2,服务费底表!$AL692,报价场景=服务费底表!$AM$2,服务费底表!$AM692,报价场景=服务费底表!$AN$2,服务费底表!$AN692,报价场景=服务费底表!$AQ$2,服务费底表!$AQ692,报价场景=服务费底表!$AO$2,服务费底表!$AO692)</f>
        <v>1</v>
      </c>
      <c r="Z692" s="327"/>
      <c r="AA692" s="332">
        <f t="shared" si="654"/>
        <v>1</v>
      </c>
      <c r="AB692" s="333">
        <f t="shared" si="646"/>
        <v>0</v>
      </c>
      <c r="AC692" s="328">
        <f t="shared" si="647"/>
        <v>0</v>
      </c>
      <c r="AD692" s="334">
        <f t="shared" si="648"/>
        <v>0</v>
      </c>
      <c r="AE692" s="334">
        <f>$AB692*(1-INDEX(项目参数!$D$5:$D$14,MATCH(服务费底表!$S692,项目参数!$B$5:$B$14,0)))</f>
        <v>0</v>
      </c>
      <c r="AF692" s="334">
        <f>$AD692*INDEX(项目参数!$D$5:$D$14,MATCH(服务费底表!$S692,项目参数!$B$5:$B$14,0))</f>
        <v>0</v>
      </c>
      <c r="AG692" s="334">
        <f t="shared" si="653"/>
        <v>0</v>
      </c>
      <c r="AH692" s="328"/>
      <c r="AI692" s="328" t="s">
        <v>599</v>
      </c>
      <c r="AJ692" s="327">
        <v>1</v>
      </c>
      <c r="AK692" s="327">
        <v>1</v>
      </c>
      <c r="AL692" s="327">
        <v>1</v>
      </c>
      <c r="AM692" s="327">
        <v>1</v>
      </c>
      <c r="AN692" s="327">
        <v>1</v>
      </c>
      <c r="AO692" s="327">
        <v>1</v>
      </c>
      <c r="AP692" s="327">
        <v>1</v>
      </c>
      <c r="AQ692" s="327">
        <f t="shared" si="640"/>
        <v>1.5</v>
      </c>
      <c r="AR692" s="338"/>
      <c r="AS692" s="328">
        <f t="shared" si="650"/>
        <v>0</v>
      </c>
      <c r="AT692" s="328">
        <f t="shared" si="651"/>
        <v>0</v>
      </c>
      <c r="AU692" s="523">
        <v>1</v>
      </c>
      <c r="AV692" s="328"/>
      <c r="AW692" s="328"/>
      <c r="AX692" s="332">
        <v>1</v>
      </c>
      <c r="AY692" s="328" t="b">
        <f t="shared" si="652"/>
        <v>1</v>
      </c>
      <c r="AZ692" s="328" t="b">
        <f t="shared" si="596"/>
        <v>1</v>
      </c>
    </row>
    <row r="693" ht="27" customHeight="1" spans="1:52">
      <c r="A693" s="326" t="str">
        <f>INDEX('Rate Card'!$A:$A,MATCH(服务费底表!$T693,'Rate Card'!$F:$F,0))</f>
        <v>临床运营</v>
      </c>
      <c r="B693" s="327" t="str">
        <f>INDEX(二三级标准!$G:$G,MATCH(服务费底表!$K693,二三级标准!B:B,0))</f>
        <v>次</v>
      </c>
      <c r="C693" s="327">
        <f>INDEX(服务费明细!$E:$E,MATCH(服务费底表!$K693,服务费明细!$B:$B,0))</f>
        <v>0</v>
      </c>
      <c r="D693" s="327" t="str">
        <f t="shared" si="644"/>
        <v>A158PM</v>
      </c>
      <c r="E693" s="327" t="str">
        <f t="shared" si="645"/>
        <v>T0520PM</v>
      </c>
      <c r="F693" s="328"/>
      <c r="G693" s="328" t="s">
        <v>684</v>
      </c>
      <c r="H693" s="326" t="str">
        <f>INDEX('Rate Card'!$B:$B,MATCH(服务费底表!$T693,'Rate Card'!$F:$F,0))</f>
        <v>临床运营</v>
      </c>
      <c r="I693" s="328" t="s">
        <v>928</v>
      </c>
      <c r="J693" s="328" t="str">
        <f>INDEX(二三级标准!$Q:$Q,MATCH(服务费底表!I693,二三级标准!$O:$O,0))</f>
        <v>非盲临床运营</v>
      </c>
      <c r="K693" s="328" t="s">
        <v>423</v>
      </c>
      <c r="L693" s="328" t="str">
        <f>INDEX(二三级标准!C:C,MATCH(服务费底表!K693,二三级标准!$B:$B,0))</f>
        <v>召开非盲客户电话会</v>
      </c>
      <c r="M693" s="328" t="s">
        <v>1696</v>
      </c>
      <c r="N693" s="328" t="str">
        <f>INDEX(二三级标准!$M:$M,MATCH(服务费底表!$M693,二三级标准!$L:$L,0))</f>
        <v>召开非盲客户电话会</v>
      </c>
      <c r="O693" s="328"/>
      <c r="P693" s="327">
        <f>IF(R693=1,INDEX(服务费明细!$E:$E,MATCH(服务费底表!$K693,服务费明细!$B:$B,0)),0)</f>
        <v>0</v>
      </c>
      <c r="Q693" s="328" t="s">
        <v>1178</v>
      </c>
      <c r="R693" s="520">
        <f>IF(AND(非盲客户电话会YN=1,项目管理YN=1),1,0)</f>
        <v>0</v>
      </c>
      <c r="S693" s="525" t="str">
        <f>INDEX('Rate Card'!$D:$D,MATCH(服务费底表!$T693,'Rate Card'!F:F,0))</f>
        <v>项目管理</v>
      </c>
      <c r="T693" s="328" t="s">
        <v>599</v>
      </c>
      <c r="U693" s="522" t="str">
        <f>INDEX('Rate Card'!$E:$E,MATCH(服务费底表!$T693,'Rate Card'!$F:$F,0))</f>
        <v>临床项目经理</v>
      </c>
      <c r="V693" s="331">
        <f>INDEX('Rate Card'!$J:$J,MATCH($T693,'Rate Card'!$F:$F,0))</f>
        <v>650</v>
      </c>
      <c r="W693" s="523">
        <f t="shared" si="637"/>
        <v>650</v>
      </c>
      <c r="X693" s="523">
        <f t="shared" si="638"/>
        <v>1</v>
      </c>
      <c r="Y693" s="327" cm="1">
        <f t="array" ref="Y693">_xlfn.IFS(报价场景=服务费底表!$AJ$2,服务费底表!$AJ693,报价场景=服务费底表!$AP$2,服务费底表!$AP693,报价场景=服务费底表!$AK$2,服务费底表!$AK693,报价场景=服务费底表!$AL$2,服务费底表!$AL693,报价场景=服务费底表!$AM$2,服务费底表!$AM693,报价场景=服务费底表!$AN$2,服务费底表!$AN693,报价场景=服务费底表!$AQ$2,服务费底表!$AQ693,报价场景=服务费底表!$AO$2,服务费底表!$AO693)</f>
        <v>1</v>
      </c>
      <c r="Z693" s="327"/>
      <c r="AA693" s="332">
        <f t="shared" si="654"/>
        <v>1</v>
      </c>
      <c r="AB693" s="333">
        <f t="shared" si="646"/>
        <v>0</v>
      </c>
      <c r="AC693" s="328">
        <f t="shared" si="647"/>
        <v>0</v>
      </c>
      <c r="AD693" s="334">
        <f t="shared" si="648"/>
        <v>0</v>
      </c>
      <c r="AE693" s="334">
        <f>$AB693*(1-INDEX(项目参数!$D$5:$D$14,MATCH(服务费底表!$S693,项目参数!$B$5:$B$14,0)))</f>
        <v>0</v>
      </c>
      <c r="AF693" s="334">
        <f>$AD693*INDEX(项目参数!$D$5:$D$14,MATCH(服务费底表!$S693,项目参数!$B$5:$B$14,0))</f>
        <v>0</v>
      </c>
      <c r="AG693" s="334">
        <f t="shared" si="653"/>
        <v>0</v>
      </c>
      <c r="AH693" s="328"/>
      <c r="AI693" s="328" t="s">
        <v>599</v>
      </c>
      <c r="AJ693" s="327">
        <v>1</v>
      </c>
      <c r="AK693" s="327">
        <v>1</v>
      </c>
      <c r="AL693" s="327">
        <v>1</v>
      </c>
      <c r="AM693" s="327">
        <v>1</v>
      </c>
      <c r="AN693" s="327">
        <v>1</v>
      </c>
      <c r="AO693" s="327">
        <v>1</v>
      </c>
      <c r="AP693" s="327">
        <v>1</v>
      </c>
      <c r="AQ693" s="327">
        <f t="shared" si="640"/>
        <v>1.5</v>
      </c>
      <c r="AR693" s="338"/>
      <c r="AS693" s="328">
        <f t="shared" si="650"/>
        <v>0</v>
      </c>
      <c r="AT693" s="328">
        <f t="shared" si="651"/>
        <v>0</v>
      </c>
      <c r="AU693" s="523">
        <v>1</v>
      </c>
      <c r="AV693" s="328"/>
      <c r="AW693" s="328"/>
      <c r="AX693" s="332">
        <v>1</v>
      </c>
      <c r="AY693" s="328" t="b">
        <f t="shared" si="652"/>
        <v>1</v>
      </c>
      <c r="AZ693" s="328" t="b">
        <f t="shared" si="596"/>
        <v>0</v>
      </c>
    </row>
    <row r="694" ht="27" customHeight="1" spans="1:52">
      <c r="A694" s="326" t="str">
        <f>INDEX('Rate Card'!$A:$A,MATCH(服务费底表!$T694,'Rate Card'!$F:$F,0))</f>
        <v>临床运营</v>
      </c>
      <c r="B694" s="327" t="str">
        <f>INDEX(二三级标准!$G:$G,MATCH(服务费底表!$K694,二三级标准!B:B,0))</f>
        <v>次</v>
      </c>
      <c r="C694" s="327">
        <f>INDEX(服务费明细!$E:$E,MATCH(服务费底表!$K694,服务费明细!$B:$B,0))</f>
        <v>0</v>
      </c>
      <c r="D694" s="327" t="str">
        <f t="shared" si="644"/>
        <v>A159CRA</v>
      </c>
      <c r="E694" s="327" t="str">
        <f t="shared" si="645"/>
        <v>T0521CRA</v>
      </c>
      <c r="F694" s="328"/>
      <c r="G694" s="328" t="s">
        <v>684</v>
      </c>
      <c r="H694" s="326" t="str">
        <f>INDEX('Rate Card'!$B:$B,MATCH(服务费底表!$T694,'Rate Card'!$F:$F,0))</f>
        <v>临床运营</v>
      </c>
      <c r="I694" s="328" t="s">
        <v>928</v>
      </c>
      <c r="J694" s="328" t="str">
        <f>INDEX(二三级标准!$Q:$Q,MATCH(服务费底表!I694,二三级标准!$O:$O,0))</f>
        <v>非盲临床运营</v>
      </c>
      <c r="K694" s="328" t="s">
        <v>425</v>
      </c>
      <c r="L694" s="328" t="str">
        <f>INDEX(二三级标准!C:C,MATCH(服务费底表!K694,二三级标准!$B:$B,0))</f>
        <v>非盲启动访视</v>
      </c>
      <c r="M694" s="328" t="s">
        <v>1697</v>
      </c>
      <c r="N694" s="328" t="str">
        <f>INDEX(二三级标准!$M:$M,MATCH(服务费底表!$M694,二三级标准!$L:$L,0))</f>
        <v>准备非盲启动访视</v>
      </c>
      <c r="O694" s="328"/>
      <c r="P694" s="327">
        <f>IF(R694=1,INDEX(服务费明细!$E:$E,MATCH(服务费底表!$K694,服务费明细!$B:$B,0)),0)</f>
        <v>0</v>
      </c>
      <c r="Q694" s="328" t="s">
        <v>1178</v>
      </c>
      <c r="R694" s="520">
        <f>IF(AND(非盲启动访视YN=1,临床监查YN=1),1,0)</f>
        <v>0</v>
      </c>
      <c r="S694" s="525" t="str">
        <f>INDEX('Rate Card'!$D:$D,MATCH(服务费底表!$T694,'Rate Card'!F:F,0))</f>
        <v>临床监查</v>
      </c>
      <c r="T694" s="328" t="s">
        <v>595</v>
      </c>
      <c r="U694" s="522" t="str">
        <f>INDEX('Rate Card'!$E:$E,MATCH(服务费底表!$T694,'Rate Card'!$F:$F,0))</f>
        <v>临床监查员</v>
      </c>
      <c r="V694" s="331">
        <f>INDEX('Rate Card'!$J:$J,MATCH($T694,'Rate Card'!$F:$F,0))</f>
        <v>340</v>
      </c>
      <c r="W694" s="523">
        <f t="shared" si="637"/>
        <v>340</v>
      </c>
      <c r="X694" s="523">
        <f t="shared" si="638"/>
        <v>1</v>
      </c>
      <c r="Y694" s="327" cm="1">
        <f t="array" ref="Y694">_xlfn.IFS(报价场景=服务费底表!$AJ$2,服务费底表!$AJ694,报价场景=服务费底表!$AP$2,服务费底表!$AP694,报价场景=服务费底表!$AK$2,服务费底表!$AK694,报价场景=服务费底表!$AL$2,服务费底表!$AL694,报价场景=服务费底表!$AM$2,服务费底表!$AM694,报价场景=服务费底表!$AN$2,服务费底表!$AN694,报价场景=服务费底表!$AQ$2,服务费底表!$AQ694,报价场景=服务费底表!$AO$2,服务费底表!$AO694)</f>
        <v>1</v>
      </c>
      <c r="Z694" s="327"/>
      <c r="AA694" s="332">
        <f t="shared" si="654"/>
        <v>1</v>
      </c>
      <c r="AB694" s="333">
        <f t="shared" si="646"/>
        <v>0</v>
      </c>
      <c r="AC694" s="328">
        <f t="shared" si="647"/>
        <v>0</v>
      </c>
      <c r="AD694" s="334">
        <f t="shared" si="648"/>
        <v>0</v>
      </c>
      <c r="AE694" s="334">
        <f>$AB694*(1-INDEX(项目参数!$D$5:$D$14,MATCH(服务费底表!$S694,项目参数!$B$5:$B$14,0)))</f>
        <v>0</v>
      </c>
      <c r="AF694" s="334">
        <f>$AD694*INDEX(项目参数!$D$5:$D$14,MATCH(服务费底表!$S694,项目参数!$B$5:$B$14,0))</f>
        <v>0</v>
      </c>
      <c r="AG694" s="334">
        <f t="shared" ref="AG694:AG712" si="655">AD694-AF694</f>
        <v>0</v>
      </c>
      <c r="AH694" s="328"/>
      <c r="AI694" s="328" t="s">
        <v>595</v>
      </c>
      <c r="AJ694" s="327">
        <v>1</v>
      </c>
      <c r="AK694" s="327">
        <v>1</v>
      </c>
      <c r="AL694" s="327">
        <v>1</v>
      </c>
      <c r="AM694" s="327">
        <v>1</v>
      </c>
      <c r="AN694" s="327">
        <v>1</v>
      </c>
      <c r="AO694" s="327">
        <v>1</v>
      </c>
      <c r="AP694" s="327">
        <v>1</v>
      </c>
      <c r="AQ694" s="327">
        <f t="shared" si="640"/>
        <v>1.5</v>
      </c>
      <c r="AR694" s="338"/>
      <c r="AS694" s="328">
        <f t="shared" si="650"/>
        <v>0</v>
      </c>
      <c r="AT694" s="328">
        <f t="shared" si="651"/>
        <v>0</v>
      </c>
      <c r="AU694" s="523">
        <v>1</v>
      </c>
      <c r="AV694" s="328"/>
      <c r="AW694" s="328"/>
      <c r="AX694" s="332">
        <v>1</v>
      </c>
      <c r="AY694" s="328" t="b">
        <f t="shared" si="652"/>
        <v>1</v>
      </c>
      <c r="AZ694" s="328" t="b">
        <f t="shared" si="596"/>
        <v>1</v>
      </c>
    </row>
    <row r="695" ht="27" customHeight="1" spans="1:52">
      <c r="A695" s="326" t="str">
        <f>INDEX('Rate Card'!$A:$A,MATCH(服务费底表!$T695,'Rate Card'!$F:$F,0))</f>
        <v>临床运营</v>
      </c>
      <c r="B695" s="327" t="str">
        <f>INDEX(二三级标准!$G:$G,MATCH(服务费底表!$K695,二三级标准!B:B,0))</f>
        <v>次</v>
      </c>
      <c r="C695" s="327">
        <f>INDEX(服务费明细!$E:$E,MATCH(服务费底表!$K695,服务费明细!$B:$B,0))</f>
        <v>0</v>
      </c>
      <c r="D695" s="327" t="str">
        <f t="shared" si="644"/>
        <v>A159CRA</v>
      </c>
      <c r="E695" s="327" t="str">
        <f t="shared" si="645"/>
        <v>T0522CRA</v>
      </c>
      <c r="F695" s="328"/>
      <c r="G695" s="328" t="s">
        <v>684</v>
      </c>
      <c r="H695" s="326" t="str">
        <f>INDEX('Rate Card'!$B:$B,MATCH(服务费底表!$T695,'Rate Card'!$F:$F,0))</f>
        <v>临床运营</v>
      </c>
      <c r="I695" s="328" t="s">
        <v>928</v>
      </c>
      <c r="J695" s="328" t="str">
        <f>INDEX(二三级标准!$Q:$Q,MATCH(服务费底表!I695,二三级标准!$O:$O,0))</f>
        <v>非盲临床运营</v>
      </c>
      <c r="K695" s="328" t="s">
        <v>425</v>
      </c>
      <c r="L695" s="328" t="str">
        <f>INDEX(二三级标准!C:C,MATCH(服务费底表!K695,二三级标准!$B:$B,0))</f>
        <v>非盲启动访视</v>
      </c>
      <c r="M695" s="328" t="s">
        <v>1698</v>
      </c>
      <c r="N695" s="328" t="str">
        <f>INDEX(二三级标准!$M:$M,MATCH(服务费底表!$M695,二三级标准!$L:$L,0))</f>
        <v>非盲启动访视及撰写报告</v>
      </c>
      <c r="O695" s="328"/>
      <c r="P695" s="327">
        <f>IF(R695=1,INDEX(服务费明细!$E:$E,MATCH(服务费底表!$K695,服务费明细!$B:$B,0)),0)</f>
        <v>0</v>
      </c>
      <c r="Q695" s="328" t="s">
        <v>1178</v>
      </c>
      <c r="R695" s="520">
        <f>IF(AND(非盲启动访视YN=1,临床监查YN=1),1,0)</f>
        <v>0</v>
      </c>
      <c r="S695" s="525" t="str">
        <f>INDEX('Rate Card'!$D:$D,MATCH(服务费底表!$T695,'Rate Card'!F:F,0))</f>
        <v>临床监查</v>
      </c>
      <c r="T695" s="328" t="s">
        <v>595</v>
      </c>
      <c r="U695" s="522" t="str">
        <f>INDEX('Rate Card'!$E:$E,MATCH(服务费底表!$T695,'Rate Card'!$F:$F,0))</f>
        <v>临床监查员</v>
      </c>
      <c r="V695" s="331">
        <f>INDEX('Rate Card'!$J:$J,MATCH($T695,'Rate Card'!$F:$F,0))</f>
        <v>340</v>
      </c>
      <c r="W695" s="523">
        <f t="shared" si="637"/>
        <v>340</v>
      </c>
      <c r="X695" s="523">
        <f t="shared" si="638"/>
        <v>6</v>
      </c>
      <c r="Y695" s="327" cm="1">
        <f t="array" ref="Y695">_xlfn.IFS(报价场景=服务费底表!$AJ$2,服务费底表!$AJ695,报价场景=服务费底表!$AP$2,服务费底表!$AP695,报价场景=服务费底表!$AK$2,服务费底表!$AK695,报价场景=服务费底表!$AL$2,服务费底表!$AL695,报价场景=服务费底表!$AM$2,服务费底表!$AM695,报价场景=服务费底表!$AN$2,服务费底表!$AN695,报价场景=服务费底表!$AQ$2,服务费底表!$AQ695,报价场景=服务费底表!$AO$2,服务费底表!$AO695)</f>
        <v>6</v>
      </c>
      <c r="Z695" s="327"/>
      <c r="AA695" s="332">
        <f t="shared" si="654"/>
        <v>6</v>
      </c>
      <c r="AB695" s="333">
        <f t="shared" si="646"/>
        <v>0</v>
      </c>
      <c r="AC695" s="328">
        <f t="shared" si="647"/>
        <v>0</v>
      </c>
      <c r="AD695" s="334">
        <f t="shared" si="648"/>
        <v>0</v>
      </c>
      <c r="AE695" s="334">
        <f>$AB695*(1-INDEX(项目参数!$D$5:$D$14,MATCH(服务费底表!$S695,项目参数!$B$5:$B$14,0)))</f>
        <v>0</v>
      </c>
      <c r="AF695" s="334">
        <f>$AD695*INDEX(项目参数!$D$5:$D$14,MATCH(服务费底表!$S695,项目参数!$B$5:$B$14,0))</f>
        <v>0</v>
      </c>
      <c r="AG695" s="334">
        <f t="shared" si="655"/>
        <v>0</v>
      </c>
      <c r="AH695" s="328"/>
      <c r="AI695" s="328" t="s">
        <v>595</v>
      </c>
      <c r="AJ695" s="327">
        <f t="shared" ref="AJ695:AO695" si="656">3+3</f>
        <v>6</v>
      </c>
      <c r="AK695" s="327">
        <f t="shared" si="656"/>
        <v>6</v>
      </c>
      <c r="AL695" s="327">
        <f t="shared" si="656"/>
        <v>6</v>
      </c>
      <c r="AM695" s="327">
        <f t="shared" si="656"/>
        <v>6</v>
      </c>
      <c r="AN695" s="327">
        <f t="shared" si="656"/>
        <v>6</v>
      </c>
      <c r="AO695" s="327">
        <f t="shared" si="656"/>
        <v>6</v>
      </c>
      <c r="AP695" s="327">
        <v>6</v>
      </c>
      <c r="AQ695" s="327">
        <f t="shared" si="640"/>
        <v>9</v>
      </c>
      <c r="AR695" s="338"/>
      <c r="AS695" s="328">
        <f t="shared" si="650"/>
        <v>0</v>
      </c>
      <c r="AT695" s="328">
        <f t="shared" si="651"/>
        <v>0</v>
      </c>
      <c r="AU695" s="523">
        <v>6</v>
      </c>
      <c r="AV695" s="328"/>
      <c r="AW695" s="328"/>
      <c r="AX695" s="332">
        <v>6</v>
      </c>
      <c r="AY695" s="328" t="b">
        <f t="shared" si="652"/>
        <v>1</v>
      </c>
      <c r="AZ695" s="328" t="b">
        <f t="shared" si="596"/>
        <v>1</v>
      </c>
    </row>
    <row r="696" ht="27" customHeight="1" spans="1:52">
      <c r="A696" s="326" t="str">
        <f>INDEX('Rate Card'!$A:$A,MATCH(服务费底表!$T696,'Rate Card'!$F:$F,0))</f>
        <v>临床运营</v>
      </c>
      <c r="B696" s="327" t="str">
        <f>INDEX(二三级标准!$G:$G,MATCH(服务费底表!$K696,二三级标准!B:B,0))</f>
        <v>次</v>
      </c>
      <c r="C696" s="327">
        <f>INDEX(服务费明细!$E:$E,MATCH(服务费底表!$K696,服务费明细!$B:$B,0))</f>
        <v>0</v>
      </c>
      <c r="D696" s="327" t="str">
        <f t="shared" si="644"/>
        <v>A159PM</v>
      </c>
      <c r="E696" s="327" t="str">
        <f t="shared" si="645"/>
        <v>T0523PM</v>
      </c>
      <c r="F696" s="328"/>
      <c r="G696" s="328" t="s">
        <v>684</v>
      </c>
      <c r="H696" s="326" t="str">
        <f>INDEX('Rate Card'!$B:$B,MATCH(服务费底表!$T696,'Rate Card'!$F:$F,0))</f>
        <v>临床运营</v>
      </c>
      <c r="I696" s="328" t="s">
        <v>928</v>
      </c>
      <c r="J696" s="328" t="str">
        <f>INDEX(二三级标准!$Q:$Q,MATCH(服务费底表!I696,二三级标准!$O:$O,0))</f>
        <v>非盲临床运营</v>
      </c>
      <c r="K696" s="328" t="s">
        <v>425</v>
      </c>
      <c r="L696" s="328" t="str">
        <f>INDEX(二三级标准!C:C,MATCH(服务费底表!K696,二三级标准!$B:$B,0))</f>
        <v>非盲启动访视</v>
      </c>
      <c r="M696" s="328" t="s">
        <v>1699</v>
      </c>
      <c r="N696" s="328" t="str">
        <f>INDEX(二三级标准!$M:$M,MATCH(服务费底表!$M696,二三级标准!$L:$L,0))</f>
        <v>非盲启动访视报告审核</v>
      </c>
      <c r="O696" s="328"/>
      <c r="P696" s="327">
        <f>IF(R696=1,INDEX(服务费明细!$E:$E,MATCH(服务费底表!$K696,服务费明细!$B:$B,0)),0)</f>
        <v>0</v>
      </c>
      <c r="Q696" s="328" t="s">
        <v>1176</v>
      </c>
      <c r="R696" s="520">
        <f>IF(AND(非盲启动访视YN=1,项目管理YN=1),1,0)</f>
        <v>0</v>
      </c>
      <c r="S696" s="525" t="str">
        <f>INDEX('Rate Card'!$D:$D,MATCH(服务费底表!$T696,'Rate Card'!F:F,0))</f>
        <v>项目管理</v>
      </c>
      <c r="T696" s="328" t="s">
        <v>599</v>
      </c>
      <c r="U696" s="522" t="str">
        <f>INDEX('Rate Card'!$E:$E,MATCH(服务费底表!$T696,'Rate Card'!$F:$F,0))</f>
        <v>临床项目经理</v>
      </c>
      <c r="V696" s="331">
        <f>INDEX('Rate Card'!$J:$J,MATCH($T696,'Rate Card'!$F:$F,0))</f>
        <v>650</v>
      </c>
      <c r="W696" s="523">
        <f t="shared" si="637"/>
        <v>650</v>
      </c>
      <c r="X696" s="523">
        <f t="shared" si="638"/>
        <v>1</v>
      </c>
      <c r="Y696" s="327" cm="1">
        <f t="array" ref="Y696">_xlfn.IFS(报价场景=服务费底表!$AJ$2,服务费底表!$AJ696,报价场景=服务费底表!$AP$2,服务费底表!$AP696,报价场景=服务费底表!$AK$2,服务费底表!$AK696,报价场景=服务费底表!$AL$2,服务费底表!$AL696,报价场景=服务费底表!$AM$2,服务费底表!$AM696,报价场景=服务费底表!$AN$2,服务费底表!$AN696,报价场景=服务费底表!$AQ$2,服务费底表!$AQ696,报价场景=服务费底表!$AO$2,服务费底表!$AO696)</f>
        <v>1</v>
      </c>
      <c r="Z696" s="327"/>
      <c r="AA696" s="332">
        <f t="shared" si="654"/>
        <v>1</v>
      </c>
      <c r="AB696" s="333">
        <f t="shared" si="646"/>
        <v>0</v>
      </c>
      <c r="AC696" s="328">
        <f t="shared" si="647"/>
        <v>0</v>
      </c>
      <c r="AD696" s="334">
        <f t="shared" si="648"/>
        <v>0</v>
      </c>
      <c r="AE696" s="334">
        <f>$AB696*(1-INDEX(项目参数!$D$5:$D$14,MATCH(服务费底表!$S696,项目参数!$B$5:$B$14,0)))</f>
        <v>0</v>
      </c>
      <c r="AF696" s="334">
        <f>$AD696*INDEX(项目参数!$D$5:$D$14,MATCH(服务费底表!$S696,项目参数!$B$5:$B$14,0))</f>
        <v>0</v>
      </c>
      <c r="AG696" s="334">
        <f t="shared" si="655"/>
        <v>0</v>
      </c>
      <c r="AH696" s="328"/>
      <c r="AI696" s="328" t="s">
        <v>599</v>
      </c>
      <c r="AJ696" s="327">
        <v>1</v>
      </c>
      <c r="AK696" s="327">
        <v>1</v>
      </c>
      <c r="AL696" s="327">
        <v>1</v>
      </c>
      <c r="AM696" s="327">
        <v>1</v>
      </c>
      <c r="AN696" s="327">
        <v>1</v>
      </c>
      <c r="AO696" s="327">
        <v>1</v>
      </c>
      <c r="AP696" s="327">
        <v>1</v>
      </c>
      <c r="AQ696" s="327">
        <f t="shared" si="640"/>
        <v>1.5</v>
      </c>
      <c r="AR696" s="338"/>
      <c r="AS696" s="328">
        <f t="shared" si="650"/>
        <v>0</v>
      </c>
      <c r="AT696" s="328">
        <f t="shared" si="651"/>
        <v>0</v>
      </c>
      <c r="AU696" s="523">
        <v>1</v>
      </c>
      <c r="AV696" s="328"/>
      <c r="AW696" s="328"/>
      <c r="AX696" s="332">
        <v>1</v>
      </c>
      <c r="AY696" s="328" t="b">
        <f t="shared" si="652"/>
        <v>1</v>
      </c>
      <c r="AZ696" s="328" t="b">
        <f t="shared" si="596"/>
        <v>1</v>
      </c>
    </row>
    <row r="697" ht="27" customHeight="1" spans="1:52">
      <c r="A697" s="326" t="str">
        <f>INDEX('Rate Card'!$A:$A,MATCH(服务费底表!$T697,'Rate Card'!$F:$F,0))</f>
        <v>临床运营</v>
      </c>
      <c r="B697" s="327" t="str">
        <f>INDEX(二三级标准!$G:$G,MATCH(服务费底表!$K697,二三级标准!B:B,0))</f>
        <v>次</v>
      </c>
      <c r="C697" s="327">
        <f>INDEX(服务费明细!$E:$E,MATCH(服务费底表!$K697,服务费明细!$B:$B,0))</f>
        <v>0</v>
      </c>
      <c r="D697" s="327" t="str">
        <f t="shared" si="644"/>
        <v>A160CRA</v>
      </c>
      <c r="E697" s="327" t="str">
        <f t="shared" si="645"/>
        <v>T0524CRA</v>
      </c>
      <c r="F697" s="328"/>
      <c r="G697" s="328" t="s">
        <v>684</v>
      </c>
      <c r="H697" s="326" t="str">
        <f>INDEX('Rate Card'!$B:$B,MATCH(服务费底表!$T697,'Rate Card'!$F:$F,0))</f>
        <v>临床运营</v>
      </c>
      <c r="I697" s="328" t="s">
        <v>928</v>
      </c>
      <c r="J697" s="328" t="str">
        <f>INDEX(二三级标准!$Q:$Q,MATCH(服务费底表!I697,二三级标准!$O:$O,0))</f>
        <v>非盲临床运营</v>
      </c>
      <c r="K697" s="328" t="s">
        <v>427</v>
      </c>
      <c r="L697" s="328" t="str">
        <f>INDEX(二三级标准!C:C,MATCH(服务费底表!K697,二三级标准!$B:$B,0))</f>
        <v>非盲常规监查访视</v>
      </c>
      <c r="M697" s="328" t="s">
        <v>1700</v>
      </c>
      <c r="N697" s="328" t="str">
        <f>INDEX(二三级标准!$M:$M,MATCH(服务费底表!$M697,二三级标准!$L:$L,0))</f>
        <v>准备非盲常规监查访视</v>
      </c>
      <c r="O697" s="328"/>
      <c r="P697" s="327">
        <f>IF(R697=1,INDEX(服务费明细!$E:$E,MATCH(服务费底表!$K697,服务费明细!$B:$B,0)),0)</f>
        <v>0</v>
      </c>
      <c r="Q697" s="328" t="s">
        <v>1178</v>
      </c>
      <c r="R697" s="520">
        <f>IF(AND(非盲常规监查访视YN=1,临床监查YN=1),1,0)</f>
        <v>0</v>
      </c>
      <c r="S697" s="525" t="str">
        <f>INDEX('Rate Card'!$D:$D,MATCH(服务费底表!$T697,'Rate Card'!F:F,0))</f>
        <v>临床监查</v>
      </c>
      <c r="T697" s="328" t="s">
        <v>595</v>
      </c>
      <c r="U697" s="522" t="str">
        <f>INDEX('Rate Card'!$E:$E,MATCH(服务费底表!$T697,'Rate Card'!$F:$F,0))</f>
        <v>临床监查员</v>
      </c>
      <c r="V697" s="331">
        <f>INDEX('Rate Card'!$J:$J,MATCH($T697,'Rate Card'!$F:$F,0))</f>
        <v>340</v>
      </c>
      <c r="W697" s="523">
        <f t="shared" si="637"/>
        <v>340</v>
      </c>
      <c r="X697" s="523">
        <f t="shared" si="638"/>
        <v>1</v>
      </c>
      <c r="Y697" s="327" cm="1">
        <f t="array" ref="Y697">_xlfn.IFS(报价场景=服务费底表!$AJ$2,服务费底表!$AJ697,报价场景=服务费底表!$AP$2,服务费底表!$AP697,报价场景=服务费底表!$AK$2,服务费底表!$AK697,报价场景=服务费底表!$AL$2,服务费底表!$AL697,报价场景=服务费底表!$AM$2,服务费底表!$AM697,报价场景=服务费底表!$AN$2,服务费底表!$AN697,报价场景=服务费底表!$AQ$2,服务费底表!$AQ697,报价场景=服务费底表!$AO$2,服务费底表!$AO697)</f>
        <v>1</v>
      </c>
      <c r="Z697" s="327"/>
      <c r="AA697" s="332">
        <f t="shared" si="654"/>
        <v>1</v>
      </c>
      <c r="AB697" s="333">
        <f t="shared" si="646"/>
        <v>0</v>
      </c>
      <c r="AC697" s="328">
        <f t="shared" si="647"/>
        <v>0</v>
      </c>
      <c r="AD697" s="334">
        <f t="shared" si="648"/>
        <v>0</v>
      </c>
      <c r="AE697" s="334">
        <f>$AB697*(1-INDEX(项目参数!$D$5:$D$14,MATCH(服务费底表!$S697,项目参数!$B$5:$B$14,0)))</f>
        <v>0</v>
      </c>
      <c r="AF697" s="334">
        <f>$AD697*INDEX(项目参数!$D$5:$D$14,MATCH(服务费底表!$S697,项目参数!$B$5:$B$14,0))</f>
        <v>0</v>
      </c>
      <c r="AG697" s="334">
        <f t="shared" si="655"/>
        <v>0</v>
      </c>
      <c r="AH697" s="328"/>
      <c r="AI697" s="328" t="s">
        <v>595</v>
      </c>
      <c r="AJ697" s="327">
        <v>1</v>
      </c>
      <c r="AK697" s="327">
        <v>1</v>
      </c>
      <c r="AL697" s="327">
        <v>1</v>
      </c>
      <c r="AM697" s="327">
        <v>1</v>
      </c>
      <c r="AN697" s="327">
        <v>1</v>
      </c>
      <c r="AO697" s="327">
        <v>1</v>
      </c>
      <c r="AP697" s="327">
        <v>1</v>
      </c>
      <c r="AQ697" s="327">
        <f t="shared" si="640"/>
        <v>1.5</v>
      </c>
      <c r="AR697" s="338"/>
      <c r="AS697" s="328">
        <f t="shared" si="650"/>
        <v>0</v>
      </c>
      <c r="AT697" s="328">
        <f t="shared" si="651"/>
        <v>0</v>
      </c>
      <c r="AU697" s="523">
        <v>1</v>
      </c>
      <c r="AV697" s="328"/>
      <c r="AW697" s="328"/>
      <c r="AX697" s="332">
        <v>1</v>
      </c>
      <c r="AY697" s="328" t="b">
        <f t="shared" si="652"/>
        <v>1</v>
      </c>
      <c r="AZ697" s="328" t="b">
        <f t="shared" si="596"/>
        <v>0</v>
      </c>
    </row>
    <row r="698" ht="27" customHeight="1" spans="1:52">
      <c r="A698" s="326" t="str">
        <f>INDEX('Rate Card'!$A:$A,MATCH(服务费底表!$T698,'Rate Card'!$F:$F,0))</f>
        <v>临床运营</v>
      </c>
      <c r="B698" s="327" t="str">
        <f>INDEX(二三级标准!$G:$G,MATCH(服务费底表!$K698,二三级标准!B:B,0))</f>
        <v>次</v>
      </c>
      <c r="C698" s="327">
        <f>INDEX(服务费明细!$E:$E,MATCH(服务费底表!$K698,服务费明细!$B:$B,0))</f>
        <v>0</v>
      </c>
      <c r="D698" s="327" t="str">
        <f t="shared" si="644"/>
        <v>A160CRA</v>
      </c>
      <c r="E698" s="327" t="str">
        <f t="shared" si="645"/>
        <v>T0525CRA</v>
      </c>
      <c r="F698" s="328"/>
      <c r="G698" s="328" t="s">
        <v>684</v>
      </c>
      <c r="H698" s="326" t="str">
        <f>INDEX('Rate Card'!$B:$B,MATCH(服务费底表!$T698,'Rate Card'!$F:$F,0))</f>
        <v>临床运营</v>
      </c>
      <c r="I698" s="328" t="s">
        <v>928</v>
      </c>
      <c r="J698" s="328" t="str">
        <f>INDEX(二三级标准!$Q:$Q,MATCH(服务费底表!I698,二三级标准!$O:$O,0))</f>
        <v>非盲临床运营</v>
      </c>
      <c r="K698" s="328" t="s">
        <v>427</v>
      </c>
      <c r="L698" s="328" t="str">
        <f>INDEX(二三级标准!C:C,MATCH(服务费底表!K698,二三级标准!$B:$B,0))</f>
        <v>非盲常规监查访视</v>
      </c>
      <c r="M698" s="328" t="s">
        <v>1701</v>
      </c>
      <c r="N698" s="328" t="str">
        <f>INDEX(二三级标准!$M:$M,MATCH(服务费底表!$M698,二三级标准!$L:$L,0))</f>
        <v>非盲常规监查访视及撰写报告</v>
      </c>
      <c r="O698" s="328"/>
      <c r="P698" s="327">
        <f>IF(R698=1,INDEX(服务费明细!$E:$E,MATCH(服务费底表!$K698,服务费明细!$B:$B,0)),0)</f>
        <v>0</v>
      </c>
      <c r="Q698" s="328" t="s">
        <v>1178</v>
      </c>
      <c r="R698" s="520">
        <f>IF(AND(非盲常规监查访视YN=1,临床监查YN=1),1,0)</f>
        <v>0</v>
      </c>
      <c r="S698" s="525" t="str">
        <f>INDEX('Rate Card'!$D:$D,MATCH(服务费底表!$T698,'Rate Card'!F:F,0))</f>
        <v>临床监查</v>
      </c>
      <c r="T698" s="328" t="s">
        <v>595</v>
      </c>
      <c r="U698" s="522" t="str">
        <f>INDEX('Rate Card'!$E:$E,MATCH(服务费底表!$T698,'Rate Card'!$F:$F,0))</f>
        <v>临床监查员</v>
      </c>
      <c r="V698" s="331">
        <f>INDEX('Rate Card'!$J:$J,MATCH($T698,'Rate Card'!$F:$F,0))</f>
        <v>340</v>
      </c>
      <c r="W698" s="523">
        <f t="shared" si="637"/>
        <v>340</v>
      </c>
      <c r="X698" s="523">
        <f t="shared" si="638"/>
        <v>6</v>
      </c>
      <c r="Y698" s="327" cm="1">
        <f t="array" ref="Y698">_xlfn.IFS(报价场景=服务费底表!$AJ$2,服务费底表!$AJ698,报价场景=服务费底表!$AP$2,服务费底表!$AP698,报价场景=服务费底表!$AK$2,服务费底表!$AK698,报价场景=服务费底表!$AL$2,服务费底表!$AL698,报价场景=服务费底表!$AM$2,服务费底表!$AM698,报价场景=服务费底表!$AN$2,服务费底表!$AN698,报价场景=服务费底表!$AQ$2,服务费底表!$AQ698,报价场景=服务费底表!$AO$2,服务费底表!$AO698)</f>
        <v>6</v>
      </c>
      <c r="Z698" s="327"/>
      <c r="AA698" s="332">
        <f t="shared" si="654"/>
        <v>6</v>
      </c>
      <c r="AB698" s="333">
        <f t="shared" si="646"/>
        <v>0</v>
      </c>
      <c r="AC698" s="328">
        <f t="shared" si="647"/>
        <v>0</v>
      </c>
      <c r="AD698" s="334">
        <f t="shared" si="648"/>
        <v>0</v>
      </c>
      <c r="AE698" s="334">
        <f>$AB698*(1-INDEX(项目参数!$D$5:$D$14,MATCH(服务费底表!$S698,项目参数!$B$5:$B$14,0)))</f>
        <v>0</v>
      </c>
      <c r="AF698" s="334">
        <f>$AD698*INDEX(项目参数!$D$5:$D$14,MATCH(服务费底表!$S698,项目参数!$B$5:$B$14,0))</f>
        <v>0</v>
      </c>
      <c r="AG698" s="334">
        <f t="shared" si="655"/>
        <v>0</v>
      </c>
      <c r="AH698" s="328"/>
      <c r="AI698" s="328" t="s">
        <v>595</v>
      </c>
      <c r="AJ698" s="327">
        <v>6</v>
      </c>
      <c r="AK698" s="327">
        <v>6</v>
      </c>
      <c r="AL698" s="327">
        <v>6</v>
      </c>
      <c r="AM698" s="327">
        <v>6</v>
      </c>
      <c r="AN698" s="327">
        <v>6</v>
      </c>
      <c r="AO698" s="327">
        <v>6</v>
      </c>
      <c r="AP698" s="327">
        <v>6</v>
      </c>
      <c r="AQ698" s="327">
        <f t="shared" si="640"/>
        <v>9</v>
      </c>
      <c r="AR698" s="338"/>
      <c r="AS698" s="328">
        <f t="shared" si="650"/>
        <v>0</v>
      </c>
      <c r="AT698" s="328">
        <f t="shared" si="651"/>
        <v>0</v>
      </c>
      <c r="AU698" s="523">
        <v>6</v>
      </c>
      <c r="AV698" s="328"/>
      <c r="AW698" s="328"/>
      <c r="AX698" s="332">
        <v>6</v>
      </c>
      <c r="AY698" s="328" t="b">
        <f t="shared" si="652"/>
        <v>1</v>
      </c>
      <c r="AZ698" s="328" t="b">
        <f t="shared" si="596"/>
        <v>0</v>
      </c>
    </row>
    <row r="699" ht="27" customHeight="1" spans="1:52">
      <c r="A699" s="326" t="str">
        <f>INDEX('Rate Card'!$A:$A,MATCH(服务费底表!$T699,'Rate Card'!$F:$F,0))</f>
        <v>临床运营</v>
      </c>
      <c r="B699" s="327" t="str">
        <f>INDEX(二三级标准!$G:$G,MATCH(服务费底表!$K699,二三级标准!B:B,0))</f>
        <v>次</v>
      </c>
      <c r="C699" s="327">
        <f>INDEX(服务费明细!$E:$E,MATCH(服务费底表!$K699,服务费明细!$B:$B,0))</f>
        <v>0</v>
      </c>
      <c r="D699" s="327" t="str">
        <f t="shared" si="644"/>
        <v>A160PM</v>
      </c>
      <c r="E699" s="327" t="str">
        <f t="shared" si="645"/>
        <v>T0526PM</v>
      </c>
      <c r="F699" s="328"/>
      <c r="G699" s="328" t="s">
        <v>684</v>
      </c>
      <c r="H699" s="326" t="str">
        <f>INDEX('Rate Card'!$B:$B,MATCH(服务费底表!$T699,'Rate Card'!$F:$F,0))</f>
        <v>临床运营</v>
      </c>
      <c r="I699" s="328" t="s">
        <v>928</v>
      </c>
      <c r="J699" s="328" t="str">
        <f>INDEX(二三级标准!$Q:$Q,MATCH(服务费底表!I699,二三级标准!$O:$O,0))</f>
        <v>非盲临床运营</v>
      </c>
      <c r="K699" s="328" t="s">
        <v>427</v>
      </c>
      <c r="L699" s="328" t="str">
        <f>INDEX(二三级标准!C:C,MATCH(服务费底表!K699,二三级标准!$B:$B,0))</f>
        <v>非盲常规监查访视</v>
      </c>
      <c r="M699" s="328" t="s">
        <v>1702</v>
      </c>
      <c r="N699" s="328" t="str">
        <f>INDEX(二三级标准!$M:$M,MATCH(服务费底表!$M699,二三级标准!$L:$L,0))</f>
        <v>非盲常规监查报告审核</v>
      </c>
      <c r="O699" s="328"/>
      <c r="P699" s="327">
        <f>IF(R699=1,INDEX(服务费明细!$E:$E,MATCH(服务费底表!$K699,服务费明细!$B:$B,0)),0)</f>
        <v>0</v>
      </c>
      <c r="Q699" s="328" t="s">
        <v>1176</v>
      </c>
      <c r="R699" s="520">
        <f>IF(AND(非盲常规监查访视YN=1,项目管理YN=1),1,0)</f>
        <v>0</v>
      </c>
      <c r="S699" s="525" t="str">
        <f>INDEX('Rate Card'!$D:$D,MATCH(服务费底表!$T699,'Rate Card'!F:F,0))</f>
        <v>项目管理</v>
      </c>
      <c r="T699" s="328" t="s">
        <v>599</v>
      </c>
      <c r="U699" s="522" t="str">
        <f>INDEX('Rate Card'!$E:$E,MATCH(服务费底表!$T699,'Rate Card'!$F:$F,0))</f>
        <v>临床项目经理</v>
      </c>
      <c r="V699" s="331">
        <f>INDEX('Rate Card'!$J:$J,MATCH($T699,'Rate Card'!$F:$F,0))</f>
        <v>650</v>
      </c>
      <c r="W699" s="523">
        <f t="shared" si="637"/>
        <v>650</v>
      </c>
      <c r="X699" s="523">
        <f t="shared" si="638"/>
        <v>1</v>
      </c>
      <c r="Y699" s="327" cm="1">
        <f t="array" ref="Y699">_xlfn.IFS(报价场景=服务费底表!$AJ$2,服务费底表!$AJ699,报价场景=服务费底表!$AP$2,服务费底表!$AP699,报价场景=服务费底表!$AK$2,服务费底表!$AK699,报价场景=服务费底表!$AL$2,服务费底表!$AL699,报价场景=服务费底表!$AM$2,服务费底表!$AM699,报价场景=服务费底表!$AN$2,服务费底表!$AN699,报价场景=服务费底表!$AQ$2,服务费底表!$AQ699,报价场景=服务费底表!$AO$2,服务费底表!$AO699)</f>
        <v>1</v>
      </c>
      <c r="Z699" s="327"/>
      <c r="AA699" s="332">
        <f t="shared" si="654"/>
        <v>1</v>
      </c>
      <c r="AB699" s="333">
        <f t="shared" si="646"/>
        <v>0</v>
      </c>
      <c r="AC699" s="328">
        <f t="shared" si="647"/>
        <v>0</v>
      </c>
      <c r="AD699" s="334">
        <f t="shared" si="648"/>
        <v>0</v>
      </c>
      <c r="AE699" s="334">
        <f>$AB699*(1-INDEX(项目参数!$D$5:$D$14,MATCH(服务费底表!$S699,项目参数!$B$5:$B$14,0)))</f>
        <v>0</v>
      </c>
      <c r="AF699" s="334">
        <f>$AD699*INDEX(项目参数!$D$5:$D$14,MATCH(服务费底表!$S699,项目参数!$B$5:$B$14,0))</f>
        <v>0</v>
      </c>
      <c r="AG699" s="334">
        <f t="shared" si="655"/>
        <v>0</v>
      </c>
      <c r="AH699" s="328"/>
      <c r="AI699" s="328" t="s">
        <v>599</v>
      </c>
      <c r="AJ699" s="327">
        <v>1</v>
      </c>
      <c r="AK699" s="327">
        <v>1</v>
      </c>
      <c r="AL699" s="327">
        <v>1</v>
      </c>
      <c r="AM699" s="327">
        <v>1</v>
      </c>
      <c r="AN699" s="327">
        <v>1</v>
      </c>
      <c r="AO699" s="327">
        <v>1</v>
      </c>
      <c r="AP699" s="327">
        <v>1</v>
      </c>
      <c r="AQ699" s="327">
        <f t="shared" si="640"/>
        <v>1.5</v>
      </c>
      <c r="AR699" s="338"/>
      <c r="AS699" s="328">
        <f t="shared" ref="AS699:AS747" si="657">AC699</f>
        <v>0</v>
      </c>
      <c r="AT699" s="328">
        <f t="shared" ref="AT699:AT747" si="658">Y699*P699</f>
        <v>0</v>
      </c>
      <c r="AU699" s="523">
        <v>1</v>
      </c>
      <c r="AV699" s="328"/>
      <c r="AW699" s="328"/>
      <c r="AX699" s="332">
        <v>1</v>
      </c>
      <c r="AY699" s="328" t="b">
        <f t="shared" si="652"/>
        <v>1</v>
      </c>
      <c r="AZ699" s="328" t="b">
        <f t="shared" si="596"/>
        <v>0</v>
      </c>
    </row>
    <row r="700" ht="27" customHeight="1" spans="1:52">
      <c r="A700" s="326" t="str">
        <f>INDEX('Rate Card'!$A:$A,MATCH(服务费底表!$T700,'Rate Card'!$F:$F,0))</f>
        <v>临床运营</v>
      </c>
      <c r="B700" s="327" t="str">
        <f>INDEX(二三级标准!$G:$G,MATCH(服务费底表!$K700,二三级标准!B:B,0))</f>
        <v>月*中心</v>
      </c>
      <c r="C700" s="327">
        <f>INDEX(服务费明细!$E:$E,MATCH(服务费底表!$K700,服务费明细!$B:$B,0))</f>
        <v>0</v>
      </c>
      <c r="D700" s="327" t="str">
        <f t="shared" si="644"/>
        <v>A161CRA</v>
      </c>
      <c r="E700" s="327" t="str">
        <f t="shared" si="645"/>
        <v>T0527CRA</v>
      </c>
      <c r="F700" s="328"/>
      <c r="G700" s="328" t="s">
        <v>684</v>
      </c>
      <c r="H700" s="326" t="str">
        <f>INDEX('Rate Card'!$B:$B,MATCH(服务费底表!$T700,'Rate Card'!$F:$F,0))</f>
        <v>临床运营</v>
      </c>
      <c r="I700" s="328" t="s">
        <v>928</v>
      </c>
      <c r="J700" s="328" t="str">
        <f>INDEX(二三级标准!$Q:$Q,MATCH(服务费底表!I700,二三级标准!$O:$O,0))</f>
        <v>非盲临床运营</v>
      </c>
      <c r="K700" s="328" t="s">
        <v>429</v>
      </c>
      <c r="L700" s="328" t="str">
        <f>INDEX(二三级标准!C:C,MATCH(服务费底表!K700,二三级标准!$B:$B,0))</f>
        <v>非盲中心日常支持和管理</v>
      </c>
      <c r="M700" s="328" t="s">
        <v>1703</v>
      </c>
      <c r="N700" s="328" t="str">
        <f>INDEX(二三级标准!$M:$M,MATCH(服务费底表!$M700,二三级标准!$L:$L,0))</f>
        <v>非盲中心日常支持和管理</v>
      </c>
      <c r="O700" s="328"/>
      <c r="P700" s="327">
        <f>IF(R700=1,INDEX(服务费明细!$E:$E,MATCH(服务费底表!$K700,服务费明细!$B:$B,0)),0)</f>
        <v>0</v>
      </c>
      <c r="Q700" s="328" t="s">
        <v>1295</v>
      </c>
      <c r="R700" s="520">
        <f>IF(AND(非盲中心日常支持和管理YN=1,临床监查YN=1),1,0)</f>
        <v>0</v>
      </c>
      <c r="S700" s="525" t="str">
        <f>INDEX('Rate Card'!$D:$D,MATCH(服务费底表!$T700,'Rate Card'!F:F,0))</f>
        <v>临床监查</v>
      </c>
      <c r="T700" s="328" t="s">
        <v>595</v>
      </c>
      <c r="U700" s="522" t="str">
        <f>INDEX('Rate Card'!$E:$E,MATCH(服务费底表!$T700,'Rate Card'!$F:$F,0))</f>
        <v>临床监查员</v>
      </c>
      <c r="V700" s="331">
        <f>INDEX('Rate Card'!$J:$J,MATCH($T700,'Rate Card'!$F:$F,0))</f>
        <v>340</v>
      </c>
      <c r="W700" s="523">
        <f t="shared" si="637"/>
        <v>340</v>
      </c>
      <c r="X700" s="523">
        <f t="shared" si="638"/>
        <v>1</v>
      </c>
      <c r="Y700" s="327" cm="1">
        <f t="array" ref="Y700">_xlfn.IFS(报价场景=服务费底表!$AJ$2,服务费底表!$AJ700,报价场景=服务费底表!$AP$2,服务费底表!$AP700,报价场景=服务费底表!$AK$2,服务费底表!$AK700,报价场景=服务费底表!$AL$2,服务费底表!$AL700,报价场景=服务费底表!$AM$2,服务费底表!$AM700,报价场景=服务费底表!$AN$2,服务费底表!$AN700,报价场景=服务费底表!$AQ$2,服务费底表!$AQ700,报价场景=服务费底表!$AO$2,服务费底表!$AO700)</f>
        <v>1</v>
      </c>
      <c r="Z700" s="327"/>
      <c r="AA700" s="332">
        <f t="shared" si="654"/>
        <v>1</v>
      </c>
      <c r="AB700" s="333">
        <f t="shared" si="646"/>
        <v>0</v>
      </c>
      <c r="AC700" s="328">
        <f t="shared" si="647"/>
        <v>0</v>
      </c>
      <c r="AD700" s="334">
        <f t="shared" si="648"/>
        <v>0</v>
      </c>
      <c r="AE700" s="334">
        <f>$AB700*(1-INDEX(项目参数!$D$5:$D$14,MATCH(服务费底表!$S700,项目参数!$B$5:$B$14,0)))</f>
        <v>0</v>
      </c>
      <c r="AF700" s="334">
        <f>$AD700*INDEX(项目参数!$D$5:$D$14,MATCH(服务费底表!$S700,项目参数!$B$5:$B$14,0))</f>
        <v>0</v>
      </c>
      <c r="AG700" s="334">
        <f t="shared" si="655"/>
        <v>0</v>
      </c>
      <c r="AH700" s="328"/>
      <c r="AI700" s="328" t="s">
        <v>595</v>
      </c>
      <c r="AJ700" s="327">
        <v>1</v>
      </c>
      <c r="AK700" s="327">
        <v>1</v>
      </c>
      <c r="AL700" s="327">
        <v>1</v>
      </c>
      <c r="AM700" s="327">
        <v>1</v>
      </c>
      <c r="AN700" s="327">
        <v>1</v>
      </c>
      <c r="AO700" s="327">
        <v>1</v>
      </c>
      <c r="AP700" s="327">
        <v>1</v>
      </c>
      <c r="AQ700" s="327">
        <f t="shared" si="640"/>
        <v>1.5</v>
      </c>
      <c r="AR700" s="338"/>
      <c r="AS700" s="328">
        <f t="shared" si="657"/>
        <v>0</v>
      </c>
      <c r="AT700" s="328">
        <f t="shared" si="658"/>
        <v>0</v>
      </c>
      <c r="AU700" s="523">
        <v>1</v>
      </c>
      <c r="AV700" s="328"/>
      <c r="AW700" s="328"/>
      <c r="AX700" s="332">
        <v>1</v>
      </c>
      <c r="AY700" s="328" t="b">
        <f t="shared" si="652"/>
        <v>1</v>
      </c>
      <c r="AZ700" s="328" t="b">
        <f t="shared" si="596"/>
        <v>1</v>
      </c>
    </row>
    <row r="701" ht="27" customHeight="1" spans="1:52">
      <c r="A701" s="326" t="str">
        <f>INDEX('Rate Card'!$A:$A,MATCH(服务费底表!$T701,'Rate Card'!$F:$F,0))</f>
        <v>临床运营</v>
      </c>
      <c r="B701" s="327" t="str">
        <f>INDEX(二三级标准!$G:$G,MATCH(服务费底表!$K701,二三级标准!B:B,0))</f>
        <v>月</v>
      </c>
      <c r="C701" s="327">
        <f>INDEX(服务费明细!$E:$E,MATCH(服务费底表!$K701,服务费明细!$B:$B,0))</f>
        <v>0</v>
      </c>
      <c r="D701" s="327" t="str">
        <f t="shared" si="644"/>
        <v>A162CRA</v>
      </c>
      <c r="E701" s="327" t="str">
        <f t="shared" si="645"/>
        <v>T0528CRA</v>
      </c>
      <c r="F701" s="328"/>
      <c r="G701" s="328" t="s">
        <v>684</v>
      </c>
      <c r="H701" s="326" t="str">
        <f>INDEX('Rate Card'!$B:$B,MATCH(服务费底表!$T701,'Rate Card'!$F:$F,0))</f>
        <v>临床运营</v>
      </c>
      <c r="I701" s="328" t="s">
        <v>928</v>
      </c>
      <c r="J701" s="328" t="str">
        <f>INDEX(二三级标准!$Q:$Q,MATCH(服务费底表!I701,二三级标准!$O:$O,0))</f>
        <v>非盲临床运营</v>
      </c>
      <c r="K701" s="328" t="s">
        <v>431</v>
      </c>
      <c r="L701" s="328" t="str">
        <f>INDEX(二三级标准!C:C,MATCH(服务费底表!K701,二三级标准!$B:$B,0))</f>
        <v>非盲文件管理</v>
      </c>
      <c r="M701" s="328" t="s">
        <v>1704</v>
      </c>
      <c r="N701" s="328" t="str">
        <f>INDEX(二三级标准!$M:$M,MATCH(服务费底表!$M701,二三级标准!$L:$L,0))</f>
        <v>非盲文件管理</v>
      </c>
      <c r="O701" s="328"/>
      <c r="P701" s="327">
        <f>IF(R701=1,INDEX(服务费明细!$E:$E,MATCH(服务费底表!$K701,服务费明细!$B:$B,0)),0)</f>
        <v>0</v>
      </c>
      <c r="Q701" s="328" t="s">
        <v>1220</v>
      </c>
      <c r="R701" s="520">
        <f>IF(AND(非盲文件管理YN=1,临床监查YN=1),1,0)</f>
        <v>0</v>
      </c>
      <c r="S701" s="525" t="str">
        <f>INDEX('Rate Card'!$D:$D,MATCH(服务费底表!$T701,'Rate Card'!F:F,0))</f>
        <v>临床监查</v>
      </c>
      <c r="T701" s="328" t="s">
        <v>595</v>
      </c>
      <c r="U701" s="522" t="str">
        <f>INDEX('Rate Card'!$E:$E,MATCH(服务费底表!$T701,'Rate Card'!$F:$F,0))</f>
        <v>临床监查员</v>
      </c>
      <c r="V701" s="331">
        <f>INDEX('Rate Card'!$J:$J,MATCH($T701,'Rate Card'!$F:$F,0))</f>
        <v>340</v>
      </c>
      <c r="W701" s="523">
        <f t="shared" si="637"/>
        <v>340</v>
      </c>
      <c r="X701" s="523">
        <f t="shared" si="638"/>
        <v>0.5</v>
      </c>
      <c r="Y701" s="327" cm="1">
        <f t="array" ref="Y701">_xlfn.IFS(报价场景=服务费底表!$AJ$2,服务费底表!$AJ701,报价场景=服务费底表!$AP$2,服务费底表!$AP701,报价场景=服务费底表!$AK$2,服务费底表!$AK701,报价场景=服务费底表!$AL$2,服务费底表!$AL701,报价场景=服务费底表!$AM$2,服务费底表!$AM701,报价场景=服务费底表!$AN$2,服务费底表!$AN701,报价场景=服务费底表!$AQ$2,服务费底表!$AQ701,报价场景=服务费底表!$AO$2,服务费底表!$AO701)</f>
        <v>0.5</v>
      </c>
      <c r="Z701" s="327"/>
      <c r="AA701" s="332">
        <f t="shared" si="654"/>
        <v>0.5</v>
      </c>
      <c r="AB701" s="333">
        <f t="shared" si="646"/>
        <v>0</v>
      </c>
      <c r="AC701" s="328">
        <f t="shared" si="647"/>
        <v>0</v>
      </c>
      <c r="AD701" s="334">
        <f t="shared" si="648"/>
        <v>0</v>
      </c>
      <c r="AE701" s="334">
        <f>$AB701*(1-INDEX(项目参数!$D$5:$D$14,MATCH(服务费底表!$S701,项目参数!$B$5:$B$14,0)))</f>
        <v>0</v>
      </c>
      <c r="AF701" s="334">
        <f>$AD701*INDEX(项目参数!$D$5:$D$14,MATCH(服务费底表!$S701,项目参数!$B$5:$B$14,0))</f>
        <v>0</v>
      </c>
      <c r="AG701" s="334">
        <f t="shared" si="655"/>
        <v>0</v>
      </c>
      <c r="AH701" s="328"/>
      <c r="AI701" s="328" t="s">
        <v>595</v>
      </c>
      <c r="AJ701" s="327">
        <v>0.5</v>
      </c>
      <c r="AK701" s="327">
        <v>0.5</v>
      </c>
      <c r="AL701" s="327">
        <v>0.5</v>
      </c>
      <c r="AM701" s="327">
        <v>0.5</v>
      </c>
      <c r="AN701" s="327">
        <v>0.5</v>
      </c>
      <c r="AO701" s="327">
        <v>0.5</v>
      </c>
      <c r="AP701" s="327">
        <v>0.5</v>
      </c>
      <c r="AQ701" s="327">
        <f t="shared" si="640"/>
        <v>0.75</v>
      </c>
      <c r="AR701" s="338"/>
      <c r="AS701" s="328">
        <f t="shared" si="657"/>
        <v>0</v>
      </c>
      <c r="AT701" s="328">
        <f t="shared" si="658"/>
        <v>0</v>
      </c>
      <c r="AU701" s="523">
        <v>0.5</v>
      </c>
      <c r="AV701" s="328"/>
      <c r="AW701" s="328"/>
      <c r="AX701" s="332">
        <v>0.5</v>
      </c>
      <c r="AY701" s="328" t="b">
        <f t="shared" si="652"/>
        <v>1</v>
      </c>
      <c r="AZ701" s="328" t="b">
        <f t="shared" si="596"/>
        <v>0</v>
      </c>
    </row>
    <row r="702" ht="27" customHeight="1" spans="1:52">
      <c r="A702" s="326" t="str">
        <f>INDEX('Rate Card'!$A:$A,MATCH(服务费底表!$T702,'Rate Card'!$F:$F,0))</f>
        <v>临床运营</v>
      </c>
      <c r="B702" s="327" t="str">
        <f>INDEX(二三级标准!$G:$G,MATCH(服务费底表!$K702,二三级标准!B:B,0))</f>
        <v>月</v>
      </c>
      <c r="C702" s="327">
        <f>INDEX(服务费明细!$E:$E,MATCH(服务费底表!$K702,服务费明细!$B:$B,0))</f>
        <v>0</v>
      </c>
      <c r="D702" s="327" t="str">
        <f t="shared" si="644"/>
        <v>A162PM</v>
      </c>
      <c r="E702" s="327" t="str">
        <f t="shared" si="645"/>
        <v>T0528PM</v>
      </c>
      <c r="F702" s="328"/>
      <c r="G702" s="328" t="s">
        <v>684</v>
      </c>
      <c r="H702" s="326" t="str">
        <f>INDEX('Rate Card'!$B:$B,MATCH(服务费底表!$T702,'Rate Card'!$F:$F,0))</f>
        <v>临床运营</v>
      </c>
      <c r="I702" s="328" t="s">
        <v>928</v>
      </c>
      <c r="J702" s="328" t="str">
        <f>INDEX(二三级标准!$Q:$Q,MATCH(服务费底表!I702,二三级标准!$O:$O,0))</f>
        <v>非盲临床运营</v>
      </c>
      <c r="K702" s="328" t="s">
        <v>431</v>
      </c>
      <c r="L702" s="328" t="str">
        <f>INDEX(二三级标准!C:C,MATCH(服务费底表!K702,二三级标准!$B:$B,0))</f>
        <v>非盲文件管理</v>
      </c>
      <c r="M702" s="328" t="s">
        <v>1704</v>
      </c>
      <c r="N702" s="328" t="str">
        <f>INDEX(二三级标准!$M:$M,MATCH(服务费底表!$M702,二三级标准!$L:$L,0))</f>
        <v>非盲文件管理</v>
      </c>
      <c r="O702" s="328"/>
      <c r="P702" s="327">
        <f>IF(R702=1,INDEX(服务费明细!$E:$E,MATCH(服务费底表!$K702,服务费明细!$B:$B,0)),0)</f>
        <v>0</v>
      </c>
      <c r="Q702" s="328" t="s">
        <v>1220</v>
      </c>
      <c r="R702" s="520">
        <f>IF(AND(非盲文件管理YN=1,项目管理YN=1),1,0)</f>
        <v>0</v>
      </c>
      <c r="S702" s="525" t="str">
        <f>INDEX('Rate Card'!$D:$D,MATCH(服务费底表!$T702,'Rate Card'!F:F,0))</f>
        <v>项目管理</v>
      </c>
      <c r="T702" s="328" t="s">
        <v>599</v>
      </c>
      <c r="U702" s="522" t="str">
        <f>INDEX('Rate Card'!$E:$E,MATCH(服务费底表!$T702,'Rate Card'!$F:$F,0))</f>
        <v>临床项目经理</v>
      </c>
      <c r="V702" s="331">
        <f>INDEX('Rate Card'!$J:$J,MATCH($T702,'Rate Card'!$F:$F,0))</f>
        <v>650</v>
      </c>
      <c r="W702" s="523">
        <f t="shared" si="637"/>
        <v>650</v>
      </c>
      <c r="X702" s="523">
        <f t="shared" si="638"/>
        <v>0.5</v>
      </c>
      <c r="Y702" s="327" cm="1">
        <f t="array" ref="Y702">_xlfn.IFS(报价场景=服务费底表!$AJ$2,服务费底表!$AJ702,报价场景=服务费底表!$AP$2,服务费底表!$AP702,报价场景=服务费底表!$AK$2,服务费底表!$AK702,报价场景=服务费底表!$AL$2,服务费底表!$AL702,报价场景=服务费底表!$AM$2,服务费底表!$AM702,报价场景=服务费底表!$AN$2,服务费底表!$AN702,报价场景=服务费底表!$AQ$2,服务费底表!$AQ702,报价场景=服务费底表!$AO$2,服务费底表!$AO702)</f>
        <v>0.5</v>
      </c>
      <c r="Z702" s="327"/>
      <c r="AA702" s="332">
        <f t="shared" si="654"/>
        <v>0.5</v>
      </c>
      <c r="AB702" s="333">
        <f t="shared" si="646"/>
        <v>0</v>
      </c>
      <c r="AC702" s="328">
        <f t="shared" si="647"/>
        <v>0</v>
      </c>
      <c r="AD702" s="334">
        <f t="shared" si="648"/>
        <v>0</v>
      </c>
      <c r="AE702" s="334">
        <f>$AB702*(1-INDEX(项目参数!$D$5:$D$14,MATCH(服务费底表!$S702,项目参数!$B$5:$B$14,0)))</f>
        <v>0</v>
      </c>
      <c r="AF702" s="334">
        <f>$AD702*INDEX(项目参数!$D$5:$D$14,MATCH(服务费底表!$S702,项目参数!$B$5:$B$14,0))</f>
        <v>0</v>
      </c>
      <c r="AG702" s="334">
        <f t="shared" si="655"/>
        <v>0</v>
      </c>
      <c r="AH702" s="328"/>
      <c r="AI702" s="328" t="s">
        <v>599</v>
      </c>
      <c r="AJ702" s="327">
        <v>0.5</v>
      </c>
      <c r="AK702" s="327">
        <v>0.5</v>
      </c>
      <c r="AL702" s="327">
        <v>0.5</v>
      </c>
      <c r="AM702" s="327">
        <v>0.5</v>
      </c>
      <c r="AN702" s="327">
        <v>0.5</v>
      </c>
      <c r="AO702" s="327">
        <v>0.5</v>
      </c>
      <c r="AP702" s="327">
        <v>0.5</v>
      </c>
      <c r="AQ702" s="327">
        <f t="shared" si="640"/>
        <v>0.75</v>
      </c>
      <c r="AR702" s="338"/>
      <c r="AS702" s="328">
        <f t="shared" si="657"/>
        <v>0</v>
      </c>
      <c r="AT702" s="328">
        <f t="shared" si="658"/>
        <v>0</v>
      </c>
      <c r="AU702" s="523">
        <v>0.5</v>
      </c>
      <c r="AV702" s="328"/>
      <c r="AW702" s="328"/>
      <c r="AX702" s="332">
        <v>0.5</v>
      </c>
      <c r="AY702" s="328" t="b">
        <f t="shared" si="652"/>
        <v>1</v>
      </c>
      <c r="AZ702" s="328" t="b">
        <f t="shared" si="596"/>
        <v>0</v>
      </c>
    </row>
    <row r="703" ht="27" customHeight="1" spans="1:52">
      <c r="A703" s="326" t="str">
        <f>INDEX('Rate Card'!$A:$A,MATCH(服务费底表!$T703,'Rate Card'!$F:$F,0))</f>
        <v>临床运营</v>
      </c>
      <c r="B703" s="327" t="str">
        <f>INDEX(二三级标准!$G:$G,MATCH(服务费底表!$K703,二三级标准!B:B,0))</f>
        <v>月</v>
      </c>
      <c r="C703" s="327">
        <f>INDEX(服务费明细!$E:$E,MATCH(服务费底表!$K703,服务费明细!$B:$B,0))</f>
        <v>0</v>
      </c>
      <c r="D703" s="327" t="str">
        <f t="shared" si="644"/>
        <v>A163PM</v>
      </c>
      <c r="E703" s="327" t="str">
        <f t="shared" si="645"/>
        <v>T0529PM</v>
      </c>
      <c r="F703" s="328"/>
      <c r="G703" s="328" t="s">
        <v>684</v>
      </c>
      <c r="H703" s="326" t="str">
        <f>INDEX('Rate Card'!$B:$B,MATCH(服务费底表!$T703,'Rate Card'!$F:$F,0))</f>
        <v>临床运营</v>
      </c>
      <c r="I703" s="328" t="s">
        <v>928</v>
      </c>
      <c r="J703" s="328" t="str">
        <f>INDEX(二三级标准!$Q:$Q,MATCH(服务费底表!I703,二三级标准!$O:$O,0))</f>
        <v>非盲临床运营</v>
      </c>
      <c r="K703" s="328" t="s">
        <v>433</v>
      </c>
      <c r="L703" s="328" t="str">
        <f>INDEX(二三级标准!C:C,MATCH(服务费底表!K703,二三级标准!$B:$B,0))</f>
        <v>非盲项目管理</v>
      </c>
      <c r="M703" s="328" t="s">
        <v>1705</v>
      </c>
      <c r="N703" s="328" t="str">
        <f>INDEX(二三级标准!$M:$M,MATCH(服务费底表!$M703,二三级标准!$L:$L,0))</f>
        <v>非盲项目管理</v>
      </c>
      <c r="O703" s="328"/>
      <c r="P703" s="327">
        <f>IF(R703=1,INDEX(服务费明细!$E:$E,MATCH(服务费底表!$K703,服务费明细!$B:$B,0)),0)</f>
        <v>0</v>
      </c>
      <c r="Q703" s="328" t="s">
        <v>1220</v>
      </c>
      <c r="R703" s="520">
        <f>IF(AND(非盲项目管理YN=1,项目管理YN=1),1,0)</f>
        <v>0</v>
      </c>
      <c r="S703" s="525" t="str">
        <f>INDEX('Rate Card'!$D:$D,MATCH(服务费底表!$T703,'Rate Card'!F:F,0))</f>
        <v>项目管理</v>
      </c>
      <c r="T703" s="328" t="s">
        <v>599</v>
      </c>
      <c r="U703" s="522" t="str">
        <f>INDEX('Rate Card'!$E:$E,MATCH(服务费底表!$T703,'Rate Card'!$F:$F,0))</f>
        <v>临床项目经理</v>
      </c>
      <c r="V703" s="331">
        <f>INDEX('Rate Card'!$J:$J,MATCH($T703,'Rate Card'!$F:$F,0))</f>
        <v>650</v>
      </c>
      <c r="W703" s="523">
        <f t="shared" si="637"/>
        <v>650</v>
      </c>
      <c r="X703" s="523">
        <f t="shared" si="638"/>
        <v>2</v>
      </c>
      <c r="Y703" s="327" cm="1">
        <f t="array" ref="Y703">_xlfn.IFS(报价场景=服务费底表!$AJ$2,服务费底表!$AJ703,报价场景=服务费底表!$AP$2,服务费底表!$AP703,报价场景=服务费底表!$AK$2,服务费底表!$AK703,报价场景=服务费底表!$AL$2,服务费底表!$AL703,报价场景=服务费底表!$AM$2,服务费底表!$AM703,报价场景=服务费底表!$AN$2,服务费底表!$AN703,报价场景=服务费底表!$AQ$2,服务费底表!$AQ703,报价场景=服务费底表!$AO$2,服务费底表!$AO703)</f>
        <v>2</v>
      </c>
      <c r="Z703" s="327"/>
      <c r="AA703" s="332">
        <f t="shared" si="654"/>
        <v>2</v>
      </c>
      <c r="AB703" s="333">
        <f t="shared" si="646"/>
        <v>0</v>
      </c>
      <c r="AC703" s="328">
        <f t="shared" si="647"/>
        <v>0</v>
      </c>
      <c r="AD703" s="334">
        <f t="shared" si="648"/>
        <v>0</v>
      </c>
      <c r="AE703" s="334">
        <f>$AB703*(1-INDEX(项目参数!$D$5:$D$14,MATCH(服务费底表!$S703,项目参数!$B$5:$B$14,0)))</f>
        <v>0</v>
      </c>
      <c r="AF703" s="334">
        <f>$AD703*INDEX(项目参数!$D$5:$D$14,MATCH(服务费底表!$S703,项目参数!$B$5:$B$14,0))</f>
        <v>0</v>
      </c>
      <c r="AG703" s="334">
        <f t="shared" ref="AG703" si="659">AD703-AF703</f>
        <v>0</v>
      </c>
      <c r="AH703" s="328"/>
      <c r="AI703" s="328" t="s">
        <v>599</v>
      </c>
      <c r="AJ703" s="327">
        <v>2</v>
      </c>
      <c r="AK703" s="327">
        <v>2</v>
      </c>
      <c r="AL703" s="327">
        <v>2</v>
      </c>
      <c r="AM703" s="327">
        <v>2</v>
      </c>
      <c r="AN703" s="327">
        <v>2</v>
      </c>
      <c r="AO703" s="327">
        <v>2</v>
      </c>
      <c r="AP703" s="327">
        <v>2</v>
      </c>
      <c r="AQ703" s="327">
        <f t="shared" si="640"/>
        <v>3</v>
      </c>
      <c r="AR703" s="338"/>
      <c r="AS703" s="328">
        <f t="shared" si="657"/>
        <v>0</v>
      </c>
      <c r="AT703" s="328">
        <f t="shared" si="658"/>
        <v>0</v>
      </c>
      <c r="AU703" s="523">
        <v>2</v>
      </c>
      <c r="AV703" s="328"/>
      <c r="AW703" s="328"/>
      <c r="AX703" s="332">
        <v>2</v>
      </c>
      <c r="AY703" s="328" t="b">
        <f t="shared" si="652"/>
        <v>1</v>
      </c>
      <c r="AZ703" s="328" t="b">
        <f t="shared" si="596"/>
        <v>1</v>
      </c>
    </row>
    <row r="704" ht="27" customHeight="1" spans="1:52">
      <c r="A704" s="326" t="str">
        <f>INDEX('Rate Card'!$A:$A,MATCH(服务费底表!$T704,'Rate Card'!$F:$F,0))</f>
        <v>质量保证</v>
      </c>
      <c r="B704" s="327" t="str">
        <f>INDEX(二三级标准!$G:$G,MATCH(服务费底表!$K704,二三级标准!B:B,0))</f>
        <v>份</v>
      </c>
      <c r="C704" s="327">
        <f>INDEX(服务费明细!$E:$E,MATCH(服务费底表!$K704,服务费明细!$B:$B,0))</f>
        <v>0</v>
      </c>
      <c r="D704" s="327" t="str">
        <f t="shared" si="644"/>
        <v>A164QAM</v>
      </c>
      <c r="E704" s="327" t="str">
        <f t="shared" si="645"/>
        <v>T0530QAM</v>
      </c>
      <c r="F704" s="328"/>
      <c r="G704" s="328" t="s">
        <v>684</v>
      </c>
      <c r="H704" s="326" t="str">
        <f>INDEX('Rate Card'!$B:$B,MATCH(服务费底表!$T704,'Rate Card'!$F:$F,0))</f>
        <v>质量保证</v>
      </c>
      <c r="I704" s="328" t="s">
        <v>929</v>
      </c>
      <c r="J704" s="328" t="str">
        <f>INDEX(二三级标准!$Q:$Q,MATCH(服务费底表!I704,二三级标准!$O:$O,0))</f>
        <v>质量保证</v>
      </c>
      <c r="K704" s="328" t="s">
        <v>435</v>
      </c>
      <c r="L704" s="328" t="str">
        <f>INDEX(二三级标准!C:C,MATCH(服务费底表!K704,二三级标准!$B:$B,0))</f>
        <v>稽查计划撰写</v>
      </c>
      <c r="M704" s="328" t="s">
        <v>1706</v>
      </c>
      <c r="N704" s="328" t="str">
        <f>INDEX(二三级标准!$M:$M,MATCH(服务费底表!$M704,二三级标准!$L:$L,0))</f>
        <v>稽查计划制定</v>
      </c>
      <c r="O704" s="328"/>
      <c r="P704" s="327">
        <f>IF(R704=1,INDEX(服务费明细!$E:$E,MATCH(服务费底表!$K704,服务费明细!$B:$B,0)),0)</f>
        <v>0</v>
      </c>
      <c r="Q704" s="328" t="s">
        <v>1176</v>
      </c>
      <c r="R704" s="520">
        <f>IF(AND(稽查计划撰写YN=1,质量保证YN=1),1,0)</f>
        <v>0</v>
      </c>
      <c r="S704" s="328" t="str">
        <f>INDEX('Rate Card'!$D:$D,MATCH(服务费底表!$T704,'Rate Card'!F:F,0))</f>
        <v>质量保证</v>
      </c>
      <c r="T704" s="328" t="s">
        <v>647</v>
      </c>
      <c r="U704" s="522" t="str">
        <f>INDEX('Rate Card'!$E:$E,MATCH(服务费底表!$T704,'Rate Card'!$F:$F,0))</f>
        <v>临床稽查经理</v>
      </c>
      <c r="V704" s="331">
        <f>INDEX('Rate Card'!$J:$J,MATCH($T704,'Rate Card'!$F:$F,0))</f>
        <v>600</v>
      </c>
      <c r="W704" s="523">
        <f t="shared" si="637"/>
        <v>600</v>
      </c>
      <c r="X704" s="523">
        <f t="shared" si="638"/>
        <v>4</v>
      </c>
      <c r="Y704" s="327" cm="1">
        <f t="array" ref="Y704">_xlfn.IFS(报价场景=服务费底表!$AJ$2,服务费底表!$AJ704,报价场景=服务费底表!$AP$2,服务费底表!$AP704,报价场景=服务费底表!$AK$2,服务费底表!$AK704,报价场景=服务费底表!$AL$2,服务费底表!$AL704,报价场景=服务费底表!$AM$2,服务费底表!$AM704,报价场景=服务费底表!$AN$2,服务费底表!$AN704,报价场景=服务费底表!$AQ$2,服务费底表!$AQ704,报价场景=服务费底表!$AO$2,服务费底表!$AO704)</f>
        <v>4</v>
      </c>
      <c r="Z704" s="327"/>
      <c r="AA704" s="332">
        <f t="shared" si="654"/>
        <v>4</v>
      </c>
      <c r="AB704" s="333">
        <f t="shared" si="646"/>
        <v>0</v>
      </c>
      <c r="AC704" s="328">
        <f t="shared" si="647"/>
        <v>0</v>
      </c>
      <c r="AD704" s="334">
        <f t="shared" si="648"/>
        <v>0</v>
      </c>
      <c r="AE704" s="334">
        <f>$AB704*(1-INDEX(项目参数!$D$5:$D$14,MATCH(服务费底表!$S704,项目参数!$B$5:$B$14,0)))</f>
        <v>0</v>
      </c>
      <c r="AF704" s="334">
        <f>$AD704*INDEX(项目参数!$D$5:$D$14,MATCH(服务费底表!$S704,项目参数!$B$5:$B$14,0))</f>
        <v>0</v>
      </c>
      <c r="AG704" s="334">
        <f t="shared" si="655"/>
        <v>0</v>
      </c>
      <c r="AH704" s="328"/>
      <c r="AI704" s="328" t="s">
        <v>647</v>
      </c>
      <c r="AJ704" s="327">
        <v>4</v>
      </c>
      <c r="AK704" s="327">
        <v>4</v>
      </c>
      <c r="AL704" s="327">
        <v>4</v>
      </c>
      <c r="AM704" s="327">
        <v>4</v>
      </c>
      <c r="AN704" s="327">
        <v>4</v>
      </c>
      <c r="AO704" s="327">
        <v>4</v>
      </c>
      <c r="AP704" s="327">
        <v>4</v>
      </c>
      <c r="AQ704" s="327">
        <f t="shared" si="640"/>
        <v>6</v>
      </c>
      <c r="AR704" s="338"/>
      <c r="AS704" s="328">
        <f t="shared" si="657"/>
        <v>0</v>
      </c>
      <c r="AT704" s="328">
        <f t="shared" si="658"/>
        <v>0</v>
      </c>
      <c r="AU704" s="523">
        <v>4</v>
      </c>
      <c r="AV704" s="328"/>
      <c r="AW704" s="328"/>
      <c r="AX704" s="332">
        <v>4</v>
      </c>
      <c r="AY704" s="328" t="b">
        <f t="shared" si="652"/>
        <v>1</v>
      </c>
      <c r="AZ704" s="328" t="b">
        <f t="shared" si="596"/>
        <v>0</v>
      </c>
    </row>
    <row r="705" ht="27" customHeight="1" spans="1:52">
      <c r="A705" s="326" t="str">
        <f>INDEX('Rate Card'!$A:$A,MATCH(服务费底表!$T705,'Rate Card'!$F:$F,0))</f>
        <v>质量保证</v>
      </c>
      <c r="B705" s="327" t="str">
        <f>INDEX(二三级标准!$G:$G,MATCH(服务费底表!$K705,二三级标准!B:B,0))</f>
        <v>份</v>
      </c>
      <c r="C705" s="327">
        <f>INDEX(服务费明细!$E:$E,MATCH(服务费底表!$K705,服务费明细!$B:$B,0))</f>
        <v>0</v>
      </c>
      <c r="D705" s="327" t="str">
        <f t="shared" si="644"/>
        <v>A164QAD</v>
      </c>
      <c r="E705" s="327" t="str">
        <f t="shared" si="645"/>
        <v>T0531QAD</v>
      </c>
      <c r="F705" s="328"/>
      <c r="G705" s="328" t="s">
        <v>684</v>
      </c>
      <c r="H705" s="326" t="str">
        <f>INDEX('Rate Card'!$B:$B,MATCH(服务费底表!$T705,'Rate Card'!$F:$F,0))</f>
        <v>质量保证</v>
      </c>
      <c r="I705" s="328" t="s">
        <v>929</v>
      </c>
      <c r="J705" s="328" t="str">
        <f>INDEX(二三级标准!$Q:$Q,MATCH(服务费底表!I705,二三级标准!$O:$O,0))</f>
        <v>质量保证</v>
      </c>
      <c r="K705" s="328" t="s">
        <v>435</v>
      </c>
      <c r="L705" s="328" t="str">
        <f>INDEX(二三级标准!C:C,MATCH(服务费底表!K705,二三级标准!$B:$B,0))</f>
        <v>稽查计划撰写</v>
      </c>
      <c r="M705" s="328" t="s">
        <v>1707</v>
      </c>
      <c r="N705" s="328" t="str">
        <f>INDEX(二三级标准!$M:$M,MATCH(服务费底表!$M705,二三级标准!$L:$L,0))</f>
        <v>稽查计划审核</v>
      </c>
      <c r="O705" s="328"/>
      <c r="P705" s="327">
        <f>IF(R705=1,INDEX(服务费明细!$E:$E,MATCH(服务费底表!$K705,服务费明细!$B:$B,0)),0)</f>
        <v>0</v>
      </c>
      <c r="Q705" s="328" t="s">
        <v>1176</v>
      </c>
      <c r="R705" s="520">
        <f>IF(AND(稽查计划撰写YN=1,质量保证YN=1),1,0)</f>
        <v>0</v>
      </c>
      <c r="S705" s="328" t="str">
        <f>INDEX('Rate Card'!$D:$D,MATCH(服务费底表!$T705,'Rate Card'!F:F,0))</f>
        <v>质量保证</v>
      </c>
      <c r="T705" s="328" t="s">
        <v>645</v>
      </c>
      <c r="U705" s="522" t="str">
        <f>INDEX('Rate Card'!$E:$E,MATCH(服务费底表!$T705,'Rate Card'!$F:$F,0))</f>
        <v>临床稽查总监</v>
      </c>
      <c r="V705" s="331">
        <f>INDEX('Rate Card'!$J:$J,MATCH($T705,'Rate Card'!$F:$F,0))</f>
        <v>1000</v>
      </c>
      <c r="W705" s="523">
        <f t="shared" si="637"/>
        <v>1000</v>
      </c>
      <c r="X705" s="523">
        <f t="shared" si="638"/>
        <v>1</v>
      </c>
      <c r="Y705" s="327" cm="1">
        <f t="array" ref="Y705">_xlfn.IFS(报价场景=服务费底表!$AJ$2,服务费底表!$AJ705,报价场景=服务费底表!$AP$2,服务费底表!$AP705,报价场景=服务费底表!$AK$2,服务费底表!$AK705,报价场景=服务费底表!$AL$2,服务费底表!$AL705,报价场景=服务费底表!$AM$2,服务费底表!$AM705,报价场景=服务费底表!$AN$2,服务费底表!$AN705,报价场景=服务费底表!$AQ$2,服务费底表!$AQ705,报价场景=服务费底表!$AO$2,服务费底表!$AO705)</f>
        <v>1</v>
      </c>
      <c r="Z705" s="327"/>
      <c r="AA705" s="332">
        <f t="shared" si="654"/>
        <v>1</v>
      </c>
      <c r="AB705" s="333">
        <f t="shared" si="646"/>
        <v>0</v>
      </c>
      <c r="AC705" s="328">
        <f t="shared" si="647"/>
        <v>0</v>
      </c>
      <c r="AD705" s="334">
        <f t="shared" si="648"/>
        <v>0</v>
      </c>
      <c r="AE705" s="334">
        <f>$AB705*(1-INDEX(项目参数!$D$5:$D$14,MATCH(服务费底表!$S705,项目参数!$B$5:$B$14,0)))</f>
        <v>0</v>
      </c>
      <c r="AF705" s="334">
        <f>$AD705*INDEX(项目参数!$D$5:$D$14,MATCH(服务费底表!$S705,项目参数!$B$5:$B$14,0))</f>
        <v>0</v>
      </c>
      <c r="AG705" s="334">
        <f t="shared" si="655"/>
        <v>0</v>
      </c>
      <c r="AH705" s="328"/>
      <c r="AI705" s="328" t="s">
        <v>645</v>
      </c>
      <c r="AJ705" s="327">
        <v>1</v>
      </c>
      <c r="AK705" s="327">
        <v>1</v>
      </c>
      <c r="AL705" s="327">
        <v>1</v>
      </c>
      <c r="AM705" s="327">
        <v>1</v>
      </c>
      <c r="AN705" s="327">
        <v>1</v>
      </c>
      <c r="AO705" s="327">
        <v>1</v>
      </c>
      <c r="AP705" s="327">
        <v>1</v>
      </c>
      <c r="AQ705" s="327">
        <f t="shared" si="640"/>
        <v>1.5</v>
      </c>
      <c r="AR705" s="338"/>
      <c r="AS705" s="328">
        <f t="shared" si="657"/>
        <v>0</v>
      </c>
      <c r="AT705" s="328">
        <f t="shared" si="658"/>
        <v>0</v>
      </c>
      <c r="AU705" s="523">
        <v>1</v>
      </c>
      <c r="AV705" s="328"/>
      <c r="AW705" s="328"/>
      <c r="AX705" s="332">
        <v>1</v>
      </c>
      <c r="AY705" s="328" t="b">
        <f t="shared" si="652"/>
        <v>1</v>
      </c>
      <c r="AZ705" s="328" t="b">
        <f t="shared" si="596"/>
        <v>0</v>
      </c>
    </row>
    <row r="706" ht="27" customHeight="1" spans="1:52">
      <c r="A706" s="326" t="str">
        <f>INDEX('Rate Card'!$A:$A,MATCH(服务费底表!$T706,'Rate Card'!$F:$F,0))</f>
        <v>质量保证</v>
      </c>
      <c r="B706" s="327" t="str">
        <f>INDEX(二三级标准!$G:$G,MATCH(服务费底表!$K706,二三级标准!B:B,0))</f>
        <v>次</v>
      </c>
      <c r="C706" s="327">
        <f>INDEX(服务费明细!$E:$E,MATCH(服务费底表!$K706,服务费明细!$B:$B,0))</f>
        <v>0</v>
      </c>
      <c r="D706" s="327" t="str">
        <f t="shared" si="644"/>
        <v>A165QAS</v>
      </c>
      <c r="E706" s="327" t="str">
        <f t="shared" si="645"/>
        <v>T0532QAS</v>
      </c>
      <c r="F706" s="328"/>
      <c r="G706" s="328" t="s">
        <v>684</v>
      </c>
      <c r="H706" s="326" t="str">
        <f>INDEX('Rate Card'!$B:$B,MATCH(服务费底表!$T706,'Rate Card'!$F:$F,0))</f>
        <v>质量保证</v>
      </c>
      <c r="I706" s="328" t="s">
        <v>929</v>
      </c>
      <c r="J706" s="328" t="str">
        <f>INDEX(二三级标准!$Q:$Q,MATCH(服务费底表!I706,二三级标准!$O:$O,0))</f>
        <v>质量保证</v>
      </c>
      <c r="K706" s="328" t="s">
        <v>437</v>
      </c>
      <c r="L706" s="328" t="str">
        <f>INDEX(二三级标准!C:C,MATCH(服务费底表!K706,二三级标准!$B:$B,0))</f>
        <v>研究中心稽查</v>
      </c>
      <c r="M706" s="328" t="s">
        <v>1708</v>
      </c>
      <c r="N706" s="328" t="str">
        <f>INDEX(二三级标准!$M:$M,MATCH(服务费底表!$M706,二三级标准!$L:$L,0))</f>
        <v>研究中心稽查准备</v>
      </c>
      <c r="O706" s="328"/>
      <c r="P706" s="327">
        <f>IF(R706=1,INDEX(服务费明细!$E:$E,MATCH(服务费底表!$K706,服务费明细!$B:$B,0)),0)</f>
        <v>0</v>
      </c>
      <c r="Q706" s="328" t="s">
        <v>1178</v>
      </c>
      <c r="R706" s="520">
        <f>IF(AND(研究中心稽查YN=1,质量保证YN=1),1,0)</f>
        <v>0</v>
      </c>
      <c r="S706" s="328" t="str">
        <f>INDEX('Rate Card'!$D:$D,MATCH(服务费底表!$T706,'Rate Card'!F:F,0))</f>
        <v>质量保证</v>
      </c>
      <c r="T706" s="328" t="s">
        <v>649</v>
      </c>
      <c r="U706" s="522" t="str">
        <f>INDEX('Rate Card'!$E:$E,MATCH(服务费底表!$T706,'Rate Card'!$F:$F,0))</f>
        <v>临床稽查员</v>
      </c>
      <c r="V706" s="331">
        <f>INDEX('Rate Card'!$J:$J,MATCH($T706,'Rate Card'!$F:$F,0))</f>
        <v>400</v>
      </c>
      <c r="W706" s="523">
        <f t="shared" si="637"/>
        <v>400</v>
      </c>
      <c r="X706" s="523">
        <f t="shared" si="638"/>
        <v>8</v>
      </c>
      <c r="Y706" s="327" cm="1">
        <f t="array" ref="Y706">_xlfn.IFS(报价场景=服务费底表!$AJ$2,服务费底表!$AJ706,报价场景=服务费底表!$AP$2,服务费底表!$AP706,报价场景=服务费底表!$AK$2,服务费底表!$AK706,报价场景=服务费底表!$AL$2,服务费底表!$AL706,报价场景=服务费底表!$AM$2,服务费底表!$AM706,报价场景=服务费底表!$AN$2,服务费底表!$AN706,报价场景=服务费底表!$AQ$2,服务费底表!$AQ706,报价场景=服务费底表!$AO$2,服务费底表!$AO706)</f>
        <v>8</v>
      </c>
      <c r="Z706" s="327"/>
      <c r="AA706" s="332">
        <f t="shared" si="654"/>
        <v>8</v>
      </c>
      <c r="AB706" s="333">
        <f t="shared" si="646"/>
        <v>0</v>
      </c>
      <c r="AC706" s="328">
        <f t="shared" si="647"/>
        <v>0</v>
      </c>
      <c r="AD706" s="334">
        <f t="shared" si="648"/>
        <v>0</v>
      </c>
      <c r="AE706" s="334">
        <f>$AB706*(1-INDEX(项目参数!$D$5:$D$14,MATCH(服务费底表!$S706,项目参数!$B$5:$B$14,0)))</f>
        <v>0</v>
      </c>
      <c r="AF706" s="334">
        <f>$AD706*INDEX(项目参数!$D$5:$D$14,MATCH(服务费底表!$S706,项目参数!$B$5:$B$14,0))</f>
        <v>0</v>
      </c>
      <c r="AG706" s="334">
        <f t="shared" si="655"/>
        <v>0</v>
      </c>
      <c r="AH706" s="328"/>
      <c r="AI706" s="328" t="s">
        <v>649</v>
      </c>
      <c r="AJ706" s="327">
        <v>8</v>
      </c>
      <c r="AK706" s="327">
        <v>8</v>
      </c>
      <c r="AL706" s="327">
        <v>8</v>
      </c>
      <c r="AM706" s="327">
        <v>8</v>
      </c>
      <c r="AN706" s="327">
        <v>0</v>
      </c>
      <c r="AO706" s="327">
        <v>8</v>
      </c>
      <c r="AP706" s="327">
        <v>8</v>
      </c>
      <c r="AQ706" s="327">
        <f t="shared" si="640"/>
        <v>12</v>
      </c>
      <c r="AR706" s="338"/>
      <c r="AS706" s="328">
        <f t="shared" si="657"/>
        <v>0</v>
      </c>
      <c r="AT706" s="328">
        <f t="shared" si="658"/>
        <v>0</v>
      </c>
      <c r="AU706" s="523">
        <v>8</v>
      </c>
      <c r="AV706" s="328"/>
      <c r="AW706" s="328"/>
      <c r="AX706" s="332">
        <v>8</v>
      </c>
      <c r="AY706" s="328" t="b">
        <f t="shared" si="652"/>
        <v>1</v>
      </c>
      <c r="AZ706" s="328" t="b">
        <f t="shared" si="596"/>
        <v>1</v>
      </c>
    </row>
    <row r="707" ht="27" customHeight="1" spans="1:52">
      <c r="A707" s="326" t="str">
        <f>INDEX('Rate Card'!$A:$A,MATCH(服务费底表!$T707,'Rate Card'!$F:$F,0))</f>
        <v>质量保证</v>
      </c>
      <c r="B707" s="327" t="str">
        <f>INDEX(二三级标准!$G:$G,MATCH(服务费底表!$K707,二三级标准!B:B,0))</f>
        <v>次</v>
      </c>
      <c r="C707" s="327">
        <f>INDEX(服务费明细!$E:$E,MATCH(服务费底表!$K707,服务费明细!$B:$B,0))</f>
        <v>0</v>
      </c>
      <c r="D707" s="327" t="str">
        <f t="shared" si="644"/>
        <v>A165QAM</v>
      </c>
      <c r="E707" s="327" t="str">
        <f t="shared" si="645"/>
        <v>T0532QAM</v>
      </c>
      <c r="F707" s="328"/>
      <c r="G707" s="328" t="s">
        <v>684</v>
      </c>
      <c r="H707" s="326" t="str">
        <f>INDEX('Rate Card'!$B:$B,MATCH(服务费底表!$T707,'Rate Card'!$F:$F,0))</f>
        <v>质量保证</v>
      </c>
      <c r="I707" s="328" t="s">
        <v>929</v>
      </c>
      <c r="J707" s="328" t="str">
        <f>INDEX(二三级标准!$Q:$Q,MATCH(服务费底表!I707,二三级标准!$O:$O,0))</f>
        <v>质量保证</v>
      </c>
      <c r="K707" s="328" t="s">
        <v>437</v>
      </c>
      <c r="L707" s="328" t="str">
        <f>INDEX(二三级标准!C:C,MATCH(服务费底表!K707,二三级标准!$B:$B,0))</f>
        <v>研究中心稽查</v>
      </c>
      <c r="M707" s="328" t="s">
        <v>1708</v>
      </c>
      <c r="N707" s="328" t="str">
        <f>INDEX(二三级标准!$M:$M,MATCH(服务费底表!$M707,二三级标准!$L:$L,0))</f>
        <v>研究中心稽查准备</v>
      </c>
      <c r="O707" s="328"/>
      <c r="P707" s="327">
        <f>IF(R707=1,INDEX(服务费明细!$E:$E,MATCH(服务费底表!$K707,服务费明细!$B:$B,0)),0)</f>
        <v>0</v>
      </c>
      <c r="Q707" s="328" t="s">
        <v>1178</v>
      </c>
      <c r="R707" s="520">
        <f t="shared" ref="R706:R719" si="660">IF(AND(研究中心稽查YN=1,质量保证YN=1),1,0)</f>
        <v>0</v>
      </c>
      <c r="S707" s="328" t="str">
        <f>INDEX('Rate Card'!$D:$D,MATCH(服务费底表!$T707,'Rate Card'!F:F,0))</f>
        <v>质量保证</v>
      </c>
      <c r="T707" s="328" t="s">
        <v>647</v>
      </c>
      <c r="U707" s="522" t="str">
        <f>INDEX('Rate Card'!$E:$E,MATCH(服务费底表!$T707,'Rate Card'!$F:$F,0))</f>
        <v>临床稽查经理</v>
      </c>
      <c r="V707" s="331">
        <f>INDEX('Rate Card'!$J:$J,MATCH($T707,'Rate Card'!$F:$F,0))</f>
        <v>600</v>
      </c>
      <c r="W707" s="523">
        <f t="shared" si="637"/>
        <v>600</v>
      </c>
      <c r="X707" s="523">
        <f t="shared" si="638"/>
        <v>8</v>
      </c>
      <c r="Y707" s="327" cm="1">
        <f t="array" ref="Y707">_xlfn.IFS(报价场景=服务费底表!$AJ$2,服务费底表!$AJ707,报价场景=服务费底表!$AP$2,服务费底表!$AP707,报价场景=服务费底表!$AK$2,服务费底表!$AK707,报价场景=服务费底表!$AL$2,服务费底表!$AL707,报价场景=服务费底表!$AM$2,服务费底表!$AM707,报价场景=服务费底表!$AN$2,服务费底表!$AN707,报价场景=服务费底表!$AQ$2,服务费底表!$AQ707,报价场景=服务费底表!$AO$2,服务费底表!$AO707)</f>
        <v>8</v>
      </c>
      <c r="Z707" s="327"/>
      <c r="AA707" s="332">
        <f t="shared" si="654"/>
        <v>8</v>
      </c>
      <c r="AB707" s="333">
        <f t="shared" si="646"/>
        <v>0</v>
      </c>
      <c r="AC707" s="328">
        <f t="shared" si="647"/>
        <v>0</v>
      </c>
      <c r="AD707" s="334">
        <f t="shared" si="648"/>
        <v>0</v>
      </c>
      <c r="AE707" s="334">
        <f>$AB707*(1-INDEX(项目参数!$D$5:$D$14,MATCH(服务费底表!$S707,项目参数!$B$5:$B$14,0)))</f>
        <v>0</v>
      </c>
      <c r="AF707" s="334">
        <f>$AD707*INDEX(项目参数!$D$5:$D$14,MATCH(服务费底表!$S707,项目参数!$B$5:$B$14,0))</f>
        <v>0</v>
      </c>
      <c r="AG707" s="334">
        <f t="shared" si="655"/>
        <v>0</v>
      </c>
      <c r="AH707" s="328"/>
      <c r="AI707" s="328" t="s">
        <v>647</v>
      </c>
      <c r="AJ707" s="327">
        <v>8</v>
      </c>
      <c r="AK707" s="327">
        <v>8</v>
      </c>
      <c r="AL707" s="327">
        <v>8</v>
      </c>
      <c r="AM707" s="327">
        <v>8</v>
      </c>
      <c r="AN707" s="327">
        <v>8</v>
      </c>
      <c r="AO707" s="327">
        <v>8</v>
      </c>
      <c r="AP707" s="327">
        <v>8</v>
      </c>
      <c r="AQ707" s="327">
        <f t="shared" si="640"/>
        <v>12</v>
      </c>
      <c r="AR707" s="338"/>
      <c r="AS707" s="328">
        <f t="shared" si="657"/>
        <v>0</v>
      </c>
      <c r="AT707" s="328">
        <f t="shared" si="658"/>
        <v>0</v>
      </c>
      <c r="AU707" s="523">
        <v>8</v>
      </c>
      <c r="AV707" s="328"/>
      <c r="AW707" s="328"/>
      <c r="AX707" s="332">
        <v>8</v>
      </c>
      <c r="AY707" s="328" t="b">
        <f t="shared" si="652"/>
        <v>1</v>
      </c>
      <c r="AZ707" s="328" t="b">
        <f t="shared" si="596"/>
        <v>1</v>
      </c>
    </row>
    <row r="708" ht="27" customHeight="1" spans="1:52">
      <c r="A708" s="326" t="str">
        <f>INDEX('Rate Card'!$A:$A,MATCH(服务费底表!$T708,'Rate Card'!$F:$F,0))</f>
        <v>质量保证</v>
      </c>
      <c r="B708" s="327" t="str">
        <f>INDEX(二三级标准!$G:$G,MATCH(服务费底表!$K708,二三级标准!B:B,0))</f>
        <v>次</v>
      </c>
      <c r="C708" s="327">
        <f>INDEX(服务费明细!$E:$E,MATCH(服务费底表!$K708,服务费明细!$B:$B,0))</f>
        <v>0</v>
      </c>
      <c r="D708" s="327" t="str">
        <f t="shared" si="644"/>
        <v>A165QAM</v>
      </c>
      <c r="E708" s="327" t="str">
        <f t="shared" si="645"/>
        <v>T0533QAM</v>
      </c>
      <c r="F708" s="328"/>
      <c r="G708" s="328" t="s">
        <v>684</v>
      </c>
      <c r="H708" s="326" t="str">
        <f>INDEX('Rate Card'!$B:$B,MATCH(服务费底表!$T708,'Rate Card'!$F:$F,0))</f>
        <v>质量保证</v>
      </c>
      <c r="I708" s="328" t="s">
        <v>929</v>
      </c>
      <c r="J708" s="328" t="str">
        <f>INDEX(二三级标准!$Q:$Q,MATCH(服务费底表!I708,二三级标准!$O:$O,0))</f>
        <v>质量保证</v>
      </c>
      <c r="K708" s="328" t="s">
        <v>437</v>
      </c>
      <c r="L708" s="328" t="str">
        <f>INDEX(二三级标准!C:C,MATCH(服务费底表!K708,二三级标准!$B:$B,0))</f>
        <v>研究中心稽查</v>
      </c>
      <c r="M708" s="328" t="s">
        <v>1709</v>
      </c>
      <c r="N708" s="328" t="str">
        <f>INDEX(二三级标准!$M:$M,MATCH(服务费底表!$M708,二三级标准!$L:$L,0))</f>
        <v>研究中心稽查前TMF审阅</v>
      </c>
      <c r="O708" s="328"/>
      <c r="P708" s="327">
        <f>IF(R708=1,INDEX(服务费明细!$E:$E,MATCH(服务费底表!$K708,服务费明细!$B:$B,0)),0)</f>
        <v>0</v>
      </c>
      <c r="Q708" s="328" t="s">
        <v>1178</v>
      </c>
      <c r="R708" s="520">
        <f t="shared" si="660"/>
        <v>0</v>
      </c>
      <c r="S708" s="328" t="str">
        <f>INDEX('Rate Card'!$D:$D,MATCH(服务费底表!$T708,'Rate Card'!F:F,0))</f>
        <v>质量保证</v>
      </c>
      <c r="T708" s="328" t="s">
        <v>647</v>
      </c>
      <c r="U708" s="522" t="str">
        <f>INDEX('Rate Card'!$E:$E,MATCH(服务费底表!$T708,'Rate Card'!$F:$F,0))</f>
        <v>临床稽查经理</v>
      </c>
      <c r="V708" s="331">
        <f>INDEX('Rate Card'!$J:$J,MATCH($T708,'Rate Card'!$F:$F,0))</f>
        <v>600</v>
      </c>
      <c r="W708" s="523">
        <f t="shared" si="637"/>
        <v>600</v>
      </c>
      <c r="X708" s="523">
        <f t="shared" si="638"/>
        <v>8</v>
      </c>
      <c r="Y708" s="327" cm="1">
        <f t="array" ref="Y708">_xlfn.IFS(报价场景=服务费底表!$AJ$2,服务费底表!$AJ708,报价场景=服务费底表!$AP$2,服务费底表!$AP708,报价场景=服务费底表!$AK$2,服务费底表!$AK708,报价场景=服务费底表!$AL$2,服务费底表!$AL708,报价场景=服务费底表!$AM$2,服务费底表!$AM708,报价场景=服务费底表!$AN$2,服务费底表!$AN708,报价场景=服务费底表!$AQ$2,服务费底表!$AQ708,报价场景=服务费底表!$AO$2,服务费底表!$AO708)</f>
        <v>8</v>
      </c>
      <c r="Z708" s="327"/>
      <c r="AA708" s="332">
        <f t="shared" si="654"/>
        <v>8</v>
      </c>
      <c r="AB708" s="333">
        <f t="shared" si="646"/>
        <v>0</v>
      </c>
      <c r="AC708" s="328">
        <f t="shared" si="647"/>
        <v>0</v>
      </c>
      <c r="AD708" s="334">
        <f t="shared" si="648"/>
        <v>0</v>
      </c>
      <c r="AE708" s="334">
        <f>$AB708*(1-INDEX(项目参数!$D$5:$D$14,MATCH(服务费底表!$S708,项目参数!$B$5:$B$14,0)))</f>
        <v>0</v>
      </c>
      <c r="AF708" s="334">
        <f>$AD708*INDEX(项目参数!$D$5:$D$14,MATCH(服务费底表!$S708,项目参数!$B$5:$B$14,0))</f>
        <v>0</v>
      </c>
      <c r="AG708" s="334">
        <f t="shared" si="655"/>
        <v>0</v>
      </c>
      <c r="AH708" s="328"/>
      <c r="AI708" s="328" t="s">
        <v>647</v>
      </c>
      <c r="AJ708" s="327">
        <v>8</v>
      </c>
      <c r="AK708" s="327">
        <v>8</v>
      </c>
      <c r="AL708" s="327">
        <v>8</v>
      </c>
      <c r="AM708" s="327">
        <v>8</v>
      </c>
      <c r="AN708" s="327">
        <v>6</v>
      </c>
      <c r="AO708" s="327">
        <v>8</v>
      </c>
      <c r="AP708" s="327">
        <v>8</v>
      </c>
      <c r="AQ708" s="327">
        <f t="shared" si="640"/>
        <v>12</v>
      </c>
      <c r="AR708" s="338"/>
      <c r="AS708" s="328">
        <f t="shared" si="657"/>
        <v>0</v>
      </c>
      <c r="AT708" s="328">
        <f t="shared" si="658"/>
        <v>0</v>
      </c>
      <c r="AU708" s="523">
        <v>8</v>
      </c>
      <c r="AV708" s="328"/>
      <c r="AW708" s="328"/>
      <c r="AX708" s="332">
        <v>8</v>
      </c>
      <c r="AY708" s="328" t="b">
        <f t="shared" si="652"/>
        <v>1</v>
      </c>
      <c r="AZ708" s="328" t="b">
        <f t="shared" ref="AZ708:AZ746" si="661">IF(K708&lt;&gt;K707,IF(AZ707=TRUE,FALSE,TRUE),AZ707)</f>
        <v>1</v>
      </c>
    </row>
    <row r="709" ht="27" customHeight="1" spans="1:52">
      <c r="A709" s="326" t="str">
        <f>INDEX('Rate Card'!$A:$A,MATCH(服务费底表!$T709,'Rate Card'!$F:$F,0))</f>
        <v>质量保证</v>
      </c>
      <c r="B709" s="327" t="str">
        <f>INDEX(二三级标准!$G:$G,MATCH(服务费底表!$K709,二三级标准!B:B,0))</f>
        <v>次</v>
      </c>
      <c r="C709" s="327">
        <f>INDEX(服务费明细!$E:$E,MATCH(服务费底表!$K709,服务费明细!$B:$B,0))</f>
        <v>0</v>
      </c>
      <c r="D709" s="327" t="str">
        <f t="shared" si="644"/>
        <v>A165QAM</v>
      </c>
      <c r="E709" s="327" t="str">
        <f t="shared" si="645"/>
        <v>T0534QAM</v>
      </c>
      <c r="F709" s="328"/>
      <c r="G709" s="328" t="s">
        <v>684</v>
      </c>
      <c r="H709" s="326" t="str">
        <f>INDEX('Rate Card'!$B:$B,MATCH(服务费底表!$T709,'Rate Card'!$F:$F,0))</f>
        <v>质量保证</v>
      </c>
      <c r="I709" s="328" t="s">
        <v>929</v>
      </c>
      <c r="J709" s="328" t="str">
        <f>INDEX(二三级标准!$Q:$Q,MATCH(服务费底表!I709,二三级标准!$O:$O,0))</f>
        <v>质量保证</v>
      </c>
      <c r="K709" s="328" t="s">
        <v>437</v>
      </c>
      <c r="L709" s="328" t="str">
        <f>INDEX(二三级标准!C:C,MATCH(服务费底表!K709,二三级标准!$B:$B,0))</f>
        <v>研究中心稽查</v>
      </c>
      <c r="M709" s="328" t="s">
        <v>1710</v>
      </c>
      <c r="N709" s="328" t="str">
        <f>INDEX(二三级标准!$M:$M,MATCH(服务费底表!$M709,二三级标准!$L:$L,0))</f>
        <v>研究中心稽查差旅</v>
      </c>
      <c r="O709" s="328"/>
      <c r="P709" s="327">
        <f>IF(R709=1,INDEX(服务费明细!$E:$E,MATCH(服务费底表!$K709,服务费明细!$B:$B,0)),0)</f>
        <v>0</v>
      </c>
      <c r="Q709" s="328" t="s">
        <v>1178</v>
      </c>
      <c r="R709" s="520">
        <f t="shared" si="660"/>
        <v>0</v>
      </c>
      <c r="S709" s="328" t="str">
        <f>INDEX('Rate Card'!$D:$D,MATCH(服务费底表!$T709,'Rate Card'!F:F,0))</f>
        <v>质量保证</v>
      </c>
      <c r="T709" s="328" t="s">
        <v>647</v>
      </c>
      <c r="U709" s="522" t="str">
        <f>INDEX('Rate Card'!$E:$E,MATCH(服务费底表!$T709,'Rate Card'!$F:$F,0))</f>
        <v>临床稽查经理</v>
      </c>
      <c r="V709" s="331">
        <f>INDEX('Rate Card'!$J:$J,MATCH($T709,'Rate Card'!$F:$F,0))</f>
        <v>600</v>
      </c>
      <c r="W709" s="523">
        <f t="shared" si="637"/>
        <v>600</v>
      </c>
      <c r="X709" s="523">
        <f t="shared" si="638"/>
        <v>8</v>
      </c>
      <c r="Y709" s="327" cm="1">
        <f t="array" ref="Y709">_xlfn.IFS(报价场景=服务费底表!$AJ$2,服务费底表!$AJ709,报价场景=服务费底表!$AP$2,服务费底表!$AP709,报价场景=服务费底表!$AK$2,服务费底表!$AK709,报价场景=服务费底表!$AL$2,服务费底表!$AL709,报价场景=服务费底表!$AM$2,服务费底表!$AM709,报价场景=服务费底表!$AN$2,服务费底表!$AN709,报价场景=服务费底表!$AQ$2,服务费底表!$AQ709,报价场景=服务费底表!$AO$2,服务费底表!$AO709)</f>
        <v>8</v>
      </c>
      <c r="Z709" s="327"/>
      <c r="AA709" s="332">
        <f t="shared" si="654"/>
        <v>8</v>
      </c>
      <c r="AB709" s="333">
        <f t="shared" si="646"/>
        <v>0</v>
      </c>
      <c r="AC709" s="328">
        <f t="shared" si="647"/>
        <v>0</v>
      </c>
      <c r="AD709" s="334">
        <f t="shared" si="648"/>
        <v>0</v>
      </c>
      <c r="AE709" s="334">
        <f>$AB709*(1-INDEX(项目参数!$D$5:$D$14,MATCH(服务费底表!$S709,项目参数!$B$5:$B$14,0)))</f>
        <v>0</v>
      </c>
      <c r="AF709" s="334">
        <f>$AD709*INDEX(项目参数!$D$5:$D$14,MATCH(服务费底表!$S709,项目参数!$B$5:$B$14,0))</f>
        <v>0</v>
      </c>
      <c r="AG709" s="334">
        <f t="shared" si="655"/>
        <v>0</v>
      </c>
      <c r="AH709" s="328"/>
      <c r="AI709" s="328" t="s">
        <v>647</v>
      </c>
      <c r="AJ709" s="327">
        <v>8</v>
      </c>
      <c r="AK709" s="327">
        <v>8</v>
      </c>
      <c r="AL709" s="327">
        <v>8</v>
      </c>
      <c r="AM709" s="327">
        <v>8</v>
      </c>
      <c r="AN709" s="327">
        <v>8</v>
      </c>
      <c r="AO709" s="327">
        <v>8</v>
      </c>
      <c r="AP709" s="327">
        <v>8</v>
      </c>
      <c r="AQ709" s="327">
        <f t="shared" si="640"/>
        <v>12</v>
      </c>
      <c r="AR709" s="338"/>
      <c r="AS709" s="328">
        <f t="shared" si="657"/>
        <v>0</v>
      </c>
      <c r="AT709" s="328">
        <f t="shared" si="658"/>
        <v>0</v>
      </c>
      <c r="AU709" s="523">
        <v>8</v>
      </c>
      <c r="AV709" s="328"/>
      <c r="AW709" s="328"/>
      <c r="AX709" s="332">
        <v>8</v>
      </c>
      <c r="AY709" s="328" t="b">
        <f t="shared" si="652"/>
        <v>1</v>
      </c>
      <c r="AZ709" s="328" t="b">
        <f t="shared" si="661"/>
        <v>1</v>
      </c>
    </row>
    <row r="710" ht="27" customHeight="1" spans="1:52">
      <c r="A710" s="326" t="str">
        <f>INDEX('Rate Card'!$A:$A,MATCH(服务费底表!$T710,'Rate Card'!$F:$F,0))</f>
        <v>质量保证</v>
      </c>
      <c r="B710" s="327" t="str">
        <f>INDEX(二三级标准!$G:$G,MATCH(服务费底表!$K710,二三级标准!B:B,0))</f>
        <v>次</v>
      </c>
      <c r="C710" s="327">
        <f>INDEX(服务费明细!$E:$E,MATCH(服务费底表!$K710,服务费明细!$B:$B,0))</f>
        <v>0</v>
      </c>
      <c r="D710" s="327" t="str">
        <f t="shared" si="644"/>
        <v>A165QAS</v>
      </c>
      <c r="E710" s="327" t="str">
        <f t="shared" si="645"/>
        <v>T0534QAS</v>
      </c>
      <c r="F710" s="328"/>
      <c r="G710" s="328" t="s">
        <v>684</v>
      </c>
      <c r="H710" s="326" t="str">
        <f>INDEX('Rate Card'!$B:$B,MATCH(服务费底表!$T710,'Rate Card'!$F:$F,0))</f>
        <v>质量保证</v>
      </c>
      <c r="I710" s="328" t="s">
        <v>929</v>
      </c>
      <c r="J710" s="328" t="str">
        <f>INDEX(二三级标准!$Q:$Q,MATCH(服务费底表!I710,二三级标准!$O:$O,0))</f>
        <v>质量保证</v>
      </c>
      <c r="K710" s="328" t="s">
        <v>437</v>
      </c>
      <c r="L710" s="328" t="str">
        <f>INDEX(二三级标准!C:C,MATCH(服务费底表!K710,二三级标准!$B:$B,0))</f>
        <v>研究中心稽查</v>
      </c>
      <c r="M710" s="328" t="s">
        <v>1710</v>
      </c>
      <c r="N710" s="328" t="str">
        <f>INDEX(二三级标准!$M:$M,MATCH(服务费底表!$M710,二三级标准!$L:$L,0))</f>
        <v>研究中心稽查差旅</v>
      </c>
      <c r="O710" s="328"/>
      <c r="P710" s="327">
        <f>IF(R710=1,INDEX(服务费明细!$E:$E,MATCH(服务费底表!$K710,服务费明细!$B:$B,0)),0)</f>
        <v>0</v>
      </c>
      <c r="Q710" s="328" t="s">
        <v>1178</v>
      </c>
      <c r="R710" s="520">
        <f>IF(AND(研究中心稽查YN=1,质量保证YN=1),1,0)</f>
        <v>0</v>
      </c>
      <c r="S710" s="328" t="str">
        <f>INDEX('Rate Card'!$D:$D,MATCH(服务费底表!$T710,'Rate Card'!F:F,0))</f>
        <v>质量保证</v>
      </c>
      <c r="T710" s="328" t="s">
        <v>649</v>
      </c>
      <c r="U710" s="522" t="str">
        <f>INDEX('Rate Card'!$E:$E,MATCH(服务费底表!$T710,'Rate Card'!$F:$F,0))</f>
        <v>临床稽查员</v>
      </c>
      <c r="V710" s="331">
        <f>INDEX('Rate Card'!$J:$J,MATCH($T710,'Rate Card'!$F:$F,0))</f>
        <v>400</v>
      </c>
      <c r="W710" s="523">
        <f t="shared" si="637"/>
        <v>400</v>
      </c>
      <c r="X710" s="523">
        <f t="shared" si="638"/>
        <v>8</v>
      </c>
      <c r="Y710" s="327" cm="1">
        <f t="array" ref="Y710">_xlfn.IFS(报价场景=服务费底表!$AJ$2,服务费底表!$AJ710,报价场景=服务费底表!$AP$2,服务费底表!$AP710,报价场景=服务费底表!$AK$2,服务费底表!$AK710,报价场景=服务费底表!$AL$2,服务费底表!$AL710,报价场景=服务费底表!$AM$2,服务费底表!$AM710,报价场景=服务费底表!$AN$2,服务费底表!$AN710,报价场景=服务费底表!$AQ$2,服务费底表!$AQ710,报价场景=服务费底表!$AO$2,服务费底表!$AO710)</f>
        <v>8</v>
      </c>
      <c r="Z710" s="327"/>
      <c r="AA710" s="332">
        <f t="shared" si="654"/>
        <v>8</v>
      </c>
      <c r="AB710" s="333">
        <f t="shared" si="646"/>
        <v>0</v>
      </c>
      <c r="AC710" s="328">
        <f t="shared" si="647"/>
        <v>0</v>
      </c>
      <c r="AD710" s="334">
        <f t="shared" si="648"/>
        <v>0</v>
      </c>
      <c r="AE710" s="334">
        <f>$AB710*(1-INDEX(项目参数!$D$5:$D$14,MATCH(服务费底表!$S710,项目参数!$B$5:$B$14,0)))</f>
        <v>0</v>
      </c>
      <c r="AF710" s="334">
        <f>$AD710*INDEX(项目参数!$D$5:$D$14,MATCH(服务费底表!$S710,项目参数!$B$5:$B$14,0))</f>
        <v>0</v>
      </c>
      <c r="AG710" s="334">
        <f t="shared" si="655"/>
        <v>0</v>
      </c>
      <c r="AH710" s="328"/>
      <c r="AI710" s="328" t="s">
        <v>649</v>
      </c>
      <c r="AJ710" s="327">
        <v>8</v>
      </c>
      <c r="AK710" s="327">
        <v>8</v>
      </c>
      <c r="AL710" s="327">
        <v>8</v>
      </c>
      <c r="AM710" s="327">
        <v>8</v>
      </c>
      <c r="AN710" s="327">
        <v>8</v>
      </c>
      <c r="AO710" s="327">
        <v>8</v>
      </c>
      <c r="AP710" s="327">
        <v>8</v>
      </c>
      <c r="AQ710" s="327">
        <f t="shared" si="640"/>
        <v>12</v>
      </c>
      <c r="AR710" s="338"/>
      <c r="AS710" s="328">
        <f t="shared" si="657"/>
        <v>0</v>
      </c>
      <c r="AT710" s="328">
        <f t="shared" si="658"/>
        <v>0</v>
      </c>
      <c r="AU710" s="523">
        <v>8</v>
      </c>
      <c r="AV710" s="328"/>
      <c r="AW710" s="328"/>
      <c r="AX710" s="332">
        <v>8</v>
      </c>
      <c r="AY710" s="328" t="b">
        <f t="shared" si="652"/>
        <v>1</v>
      </c>
      <c r="AZ710" s="328" t="b">
        <f t="shared" si="661"/>
        <v>1</v>
      </c>
    </row>
    <row r="711" ht="27" customHeight="1" spans="1:52">
      <c r="A711" s="326" t="str">
        <f>INDEX('Rate Card'!$A:$A,MATCH(服务费底表!$T711,'Rate Card'!$F:$F,0))</f>
        <v>质量保证</v>
      </c>
      <c r="B711" s="327" t="str">
        <f>INDEX(二三级标准!$G:$G,MATCH(服务费底表!$K711,二三级标准!B:B,0))</f>
        <v>次</v>
      </c>
      <c r="C711" s="327">
        <f>INDEX(服务费明细!$E:$E,MATCH(服务费底表!$K711,服务费明细!$B:$B,0))</f>
        <v>0</v>
      </c>
      <c r="D711" s="327" t="str">
        <f t="shared" si="644"/>
        <v>A165QAM</v>
      </c>
      <c r="E711" s="327" t="str">
        <f t="shared" si="645"/>
        <v>T0535QAM</v>
      </c>
      <c r="F711" s="328"/>
      <c r="G711" s="328" t="s">
        <v>684</v>
      </c>
      <c r="H711" s="326" t="str">
        <f>INDEX('Rate Card'!$B:$B,MATCH(服务费底表!$T711,'Rate Card'!$F:$F,0))</f>
        <v>质量保证</v>
      </c>
      <c r="I711" s="328" t="s">
        <v>929</v>
      </c>
      <c r="J711" s="328" t="str">
        <f>INDEX(二三级标准!$Q:$Q,MATCH(服务费底表!I711,二三级标准!$O:$O,0))</f>
        <v>质量保证</v>
      </c>
      <c r="K711" s="328" t="s">
        <v>437</v>
      </c>
      <c r="L711" s="328" t="str">
        <f>INDEX(二三级标准!C:C,MATCH(服务费底表!K711,二三级标准!$B:$B,0))</f>
        <v>研究中心稽查</v>
      </c>
      <c r="M711" s="328" t="s">
        <v>1711</v>
      </c>
      <c r="N711" s="328" t="str">
        <f>INDEX(二三级标准!$M:$M,MATCH(服务费底表!$M711,二三级标准!$L:$L,0))</f>
        <v>研究中心现场稽查</v>
      </c>
      <c r="O711" s="328"/>
      <c r="P711" s="327">
        <f>IF(R711=1,INDEX(服务费明细!$E:$E,MATCH(服务费底表!$K711,服务费明细!$B:$B,0)),0)</f>
        <v>0</v>
      </c>
      <c r="Q711" s="328" t="s">
        <v>1178</v>
      </c>
      <c r="R711" s="520">
        <f t="shared" si="660"/>
        <v>0</v>
      </c>
      <c r="S711" s="328" t="str">
        <f>INDEX('Rate Card'!$D:$D,MATCH(服务费底表!$T711,'Rate Card'!F:F,0))</f>
        <v>质量保证</v>
      </c>
      <c r="T711" s="328" t="s">
        <v>647</v>
      </c>
      <c r="U711" s="522" t="str">
        <f>INDEX('Rate Card'!$E:$E,MATCH(服务费底表!$T711,'Rate Card'!$F:$F,0))</f>
        <v>临床稽查经理</v>
      </c>
      <c r="V711" s="331">
        <f>INDEX('Rate Card'!$J:$J,MATCH($T711,'Rate Card'!$F:$F,0))</f>
        <v>600</v>
      </c>
      <c r="W711" s="523">
        <f t="shared" si="637"/>
        <v>600</v>
      </c>
      <c r="X711" s="523">
        <f t="shared" si="638"/>
        <v>20</v>
      </c>
      <c r="Y711" s="327" cm="1">
        <f t="array" ref="Y711">_xlfn.IFS(报价场景=服务费底表!$AJ$2,服务费底表!$AJ711,报价场景=服务费底表!$AP$2,服务费底表!$AP711,报价场景=服务费底表!$AK$2,服务费底表!$AK711,报价场景=服务费底表!$AL$2,服务费底表!$AL711,报价场景=服务费底表!$AM$2,服务费底表!$AM711,报价场景=服务费底表!$AN$2,服务费底表!$AN711,报价场景=服务费底表!$AQ$2,服务费底表!$AQ711,报价场景=服务费底表!$AO$2,服务费底表!$AO711)</f>
        <v>20</v>
      </c>
      <c r="Z711" s="327"/>
      <c r="AA711" s="332">
        <f t="shared" si="654"/>
        <v>20</v>
      </c>
      <c r="AB711" s="333">
        <f t="shared" si="646"/>
        <v>0</v>
      </c>
      <c r="AC711" s="328">
        <f t="shared" si="647"/>
        <v>0</v>
      </c>
      <c r="AD711" s="334">
        <f t="shared" si="648"/>
        <v>0</v>
      </c>
      <c r="AE711" s="334">
        <f>$AB711*(1-INDEX(项目参数!$D$5:$D$14,MATCH(服务费底表!$S711,项目参数!$B$5:$B$14,0)))</f>
        <v>0</v>
      </c>
      <c r="AF711" s="334">
        <f>$AD711*INDEX(项目参数!$D$5:$D$14,MATCH(服务费底表!$S711,项目参数!$B$5:$B$14,0))</f>
        <v>0</v>
      </c>
      <c r="AG711" s="334">
        <f t="shared" si="655"/>
        <v>0</v>
      </c>
      <c r="AH711" s="328"/>
      <c r="AI711" s="328" t="s">
        <v>647</v>
      </c>
      <c r="AJ711" s="327">
        <v>20</v>
      </c>
      <c r="AK711" s="327">
        <v>20</v>
      </c>
      <c r="AL711" s="327">
        <v>20</v>
      </c>
      <c r="AM711" s="327">
        <v>20</v>
      </c>
      <c r="AN711" s="327">
        <v>24</v>
      </c>
      <c r="AO711" s="327">
        <v>20</v>
      </c>
      <c r="AP711" s="327">
        <v>20</v>
      </c>
      <c r="AQ711" s="327">
        <f t="shared" si="640"/>
        <v>30</v>
      </c>
      <c r="AR711" s="338"/>
      <c r="AS711" s="328">
        <f t="shared" si="657"/>
        <v>0</v>
      </c>
      <c r="AT711" s="328">
        <f t="shared" si="658"/>
        <v>0</v>
      </c>
      <c r="AU711" s="523">
        <v>20</v>
      </c>
      <c r="AV711" s="328"/>
      <c r="AW711" s="328"/>
      <c r="AX711" s="332">
        <v>20</v>
      </c>
      <c r="AY711" s="328" t="b">
        <f t="shared" si="652"/>
        <v>1</v>
      </c>
      <c r="AZ711" s="328" t="b">
        <f t="shared" si="661"/>
        <v>1</v>
      </c>
    </row>
    <row r="712" ht="27" customHeight="1" spans="1:52">
      <c r="A712" s="326" t="str">
        <f>INDEX('Rate Card'!$A:$A,MATCH(服务费底表!$T712,'Rate Card'!$F:$F,0))</f>
        <v>质量保证</v>
      </c>
      <c r="B712" s="327" t="str">
        <f>INDEX(二三级标准!$G:$G,MATCH(服务费底表!$K712,二三级标准!B:B,0))</f>
        <v>次</v>
      </c>
      <c r="C712" s="327">
        <f>INDEX(服务费明细!$E:$E,MATCH(服务费底表!$K712,服务费明细!$B:$B,0))</f>
        <v>0</v>
      </c>
      <c r="D712" s="327" t="str">
        <f t="shared" si="644"/>
        <v>A165QAS</v>
      </c>
      <c r="E712" s="327" t="str">
        <f t="shared" si="645"/>
        <v>T0535QAS</v>
      </c>
      <c r="F712" s="328"/>
      <c r="G712" s="328" t="s">
        <v>684</v>
      </c>
      <c r="H712" s="326" t="str">
        <f>INDEX('Rate Card'!$B:$B,MATCH(服务费底表!$T712,'Rate Card'!$F:$F,0))</f>
        <v>质量保证</v>
      </c>
      <c r="I712" s="328" t="s">
        <v>929</v>
      </c>
      <c r="J712" s="328" t="str">
        <f>INDEX(二三级标准!$Q:$Q,MATCH(服务费底表!I712,二三级标准!$O:$O,0))</f>
        <v>质量保证</v>
      </c>
      <c r="K712" s="328" t="s">
        <v>437</v>
      </c>
      <c r="L712" s="328" t="str">
        <f>INDEX(二三级标准!C:C,MATCH(服务费底表!K712,二三级标准!$B:$B,0))</f>
        <v>研究中心稽查</v>
      </c>
      <c r="M712" s="328" t="s">
        <v>1711</v>
      </c>
      <c r="N712" s="328" t="str">
        <f>INDEX(二三级标准!$M:$M,MATCH(服务费底表!$M712,二三级标准!$L:$L,0))</f>
        <v>研究中心现场稽查</v>
      </c>
      <c r="O712" s="328"/>
      <c r="P712" s="327">
        <f>IF(R712=1,INDEX(服务费明细!$E:$E,MATCH(服务费底表!$K712,服务费明细!$B:$B,0)),0)</f>
        <v>0</v>
      </c>
      <c r="Q712" s="328" t="s">
        <v>1178</v>
      </c>
      <c r="R712" s="520">
        <f>IF(AND(研究中心稽查YN=1,质量保证YN=1),1,0)</f>
        <v>0</v>
      </c>
      <c r="S712" s="328" t="str">
        <f>INDEX('Rate Card'!$D:$D,MATCH(服务费底表!$T712,'Rate Card'!F:F,0))</f>
        <v>质量保证</v>
      </c>
      <c r="T712" s="328" t="s">
        <v>649</v>
      </c>
      <c r="U712" s="522" t="str">
        <f>INDEX('Rate Card'!$E:$E,MATCH(服务费底表!$T712,'Rate Card'!$F:$F,0))</f>
        <v>临床稽查员</v>
      </c>
      <c r="V712" s="331">
        <f>INDEX('Rate Card'!$J:$J,MATCH($T712,'Rate Card'!$F:$F,0))</f>
        <v>400</v>
      </c>
      <c r="W712" s="523">
        <f t="shared" si="637"/>
        <v>400</v>
      </c>
      <c r="X712" s="523">
        <f t="shared" si="638"/>
        <v>20</v>
      </c>
      <c r="Y712" s="327" cm="1">
        <f t="array" ref="Y712">_xlfn.IFS(报价场景=服务费底表!$AJ$2,服务费底表!$AJ712,报价场景=服务费底表!$AP$2,服务费底表!$AP712,报价场景=服务费底表!$AK$2,服务费底表!$AK712,报价场景=服务费底表!$AL$2,服务费底表!$AL712,报价场景=服务费底表!$AM$2,服务费底表!$AM712,报价场景=服务费底表!$AN$2,服务费底表!$AN712,报价场景=服务费底表!$AQ$2,服务费底表!$AQ712,报价场景=服务费底表!$AO$2,服务费底表!$AO712)</f>
        <v>20</v>
      </c>
      <c r="Z712" s="327"/>
      <c r="AA712" s="332">
        <f t="shared" si="654"/>
        <v>20</v>
      </c>
      <c r="AB712" s="333">
        <f t="shared" si="646"/>
        <v>0</v>
      </c>
      <c r="AC712" s="328">
        <f t="shared" si="647"/>
        <v>0</v>
      </c>
      <c r="AD712" s="334">
        <f t="shared" si="648"/>
        <v>0</v>
      </c>
      <c r="AE712" s="334">
        <f>$AB712*(1-INDEX(项目参数!$D$5:$D$14,MATCH(服务费底表!$S712,项目参数!$B$5:$B$14,0)))</f>
        <v>0</v>
      </c>
      <c r="AF712" s="334">
        <f>$AD712*INDEX(项目参数!$D$5:$D$14,MATCH(服务费底表!$S712,项目参数!$B$5:$B$14,0))</f>
        <v>0</v>
      </c>
      <c r="AG712" s="334">
        <f t="shared" si="655"/>
        <v>0</v>
      </c>
      <c r="AH712" s="328"/>
      <c r="AI712" s="328" t="s">
        <v>649</v>
      </c>
      <c r="AJ712" s="327">
        <v>20</v>
      </c>
      <c r="AK712" s="327">
        <v>20</v>
      </c>
      <c r="AL712" s="327">
        <v>20</v>
      </c>
      <c r="AM712" s="327">
        <v>20</v>
      </c>
      <c r="AN712" s="327">
        <v>0</v>
      </c>
      <c r="AO712" s="327">
        <v>20</v>
      </c>
      <c r="AP712" s="327">
        <v>20</v>
      </c>
      <c r="AQ712" s="327">
        <f t="shared" si="640"/>
        <v>30</v>
      </c>
      <c r="AR712" s="338"/>
      <c r="AS712" s="328">
        <f t="shared" si="657"/>
        <v>0</v>
      </c>
      <c r="AT712" s="328">
        <f t="shared" si="658"/>
        <v>0</v>
      </c>
      <c r="AU712" s="523">
        <v>20</v>
      </c>
      <c r="AV712" s="328"/>
      <c r="AW712" s="328"/>
      <c r="AX712" s="332">
        <v>20</v>
      </c>
      <c r="AY712" s="328" t="b">
        <f t="shared" si="652"/>
        <v>1</v>
      </c>
      <c r="AZ712" s="328" t="b">
        <f t="shared" si="661"/>
        <v>1</v>
      </c>
    </row>
    <row r="713" ht="27" customHeight="1" spans="1:52">
      <c r="A713" s="326" t="str">
        <f>INDEX('Rate Card'!$A:$A,MATCH(服务费底表!$T713,'Rate Card'!$F:$F,0))</f>
        <v>质量保证</v>
      </c>
      <c r="B713" s="327" t="str">
        <f>INDEX(二三级标准!$G:$G,MATCH(服务费底表!$K713,二三级标准!B:B,0))</f>
        <v>次</v>
      </c>
      <c r="C713" s="327">
        <f>INDEX(服务费明细!$E:$E,MATCH(服务费底表!$K713,服务费明细!$B:$B,0))</f>
        <v>0</v>
      </c>
      <c r="D713" s="327" t="str">
        <f t="shared" si="644"/>
        <v>A165QAM</v>
      </c>
      <c r="E713" s="327" t="str">
        <f t="shared" si="645"/>
        <v>T0536QAM</v>
      </c>
      <c r="F713" s="328"/>
      <c r="G713" s="328" t="s">
        <v>684</v>
      </c>
      <c r="H713" s="326" t="str">
        <f>INDEX('Rate Card'!$B:$B,MATCH(服务费底表!$T713,'Rate Card'!$F:$F,0))</f>
        <v>质量保证</v>
      </c>
      <c r="I713" s="328" t="s">
        <v>929</v>
      </c>
      <c r="J713" s="328" t="str">
        <f>INDEX(二三级标准!$Q:$Q,MATCH(服务费底表!I713,二三级标准!$O:$O,0))</f>
        <v>质量保证</v>
      </c>
      <c r="K713" s="328" t="s">
        <v>437</v>
      </c>
      <c r="L713" s="328" t="str">
        <f>INDEX(二三级标准!C:C,MATCH(服务费底表!K713,二三级标准!$B:$B,0))</f>
        <v>研究中心稽查</v>
      </c>
      <c r="M713" s="328" t="s">
        <v>1712</v>
      </c>
      <c r="N713" s="328" t="str">
        <f>INDEX(二三级标准!$M:$M,MATCH(服务费底表!$M713,二三级标准!$L:$L,0))</f>
        <v>研究中心稽查报告撰写</v>
      </c>
      <c r="O713" s="328"/>
      <c r="P713" s="327">
        <f>IF(R713=1,INDEX(服务费明细!$E:$E,MATCH(服务费底表!$K713,服务费明细!$B:$B,0)),0)</f>
        <v>0</v>
      </c>
      <c r="Q713" s="328" t="s">
        <v>1178</v>
      </c>
      <c r="R713" s="520">
        <f t="shared" si="660"/>
        <v>0</v>
      </c>
      <c r="S713" s="328" t="str">
        <f>INDEX('Rate Card'!$D:$D,MATCH(服务费底表!$T713,'Rate Card'!F:F,0))</f>
        <v>质量保证</v>
      </c>
      <c r="T713" s="328" t="s">
        <v>647</v>
      </c>
      <c r="U713" s="522" t="str">
        <f>INDEX('Rate Card'!$E:$E,MATCH(服务费底表!$T713,'Rate Card'!$F:$F,0))</f>
        <v>临床稽查经理</v>
      </c>
      <c r="V713" s="331">
        <f>INDEX('Rate Card'!$J:$J,MATCH($T713,'Rate Card'!$F:$F,0))</f>
        <v>600</v>
      </c>
      <c r="W713" s="523">
        <f t="shared" si="637"/>
        <v>600</v>
      </c>
      <c r="X713" s="523">
        <f t="shared" si="638"/>
        <v>6</v>
      </c>
      <c r="Y713" s="327" cm="1">
        <f t="array" ref="Y713">_xlfn.IFS(报价场景=服务费底表!$AJ$2,服务费底表!$AJ713,报价场景=服务费底表!$AP$2,服务费底表!$AP713,报价场景=服务费底表!$AK$2,服务费底表!$AK713,报价场景=服务费底表!$AL$2,服务费底表!$AL713,报价场景=服务费底表!$AM$2,服务费底表!$AM713,报价场景=服务费底表!$AN$2,服务费底表!$AN713,报价场景=服务费底表!$AQ$2,服务费底表!$AQ713,报价场景=服务费底表!$AO$2,服务费底表!$AO713)</f>
        <v>6</v>
      </c>
      <c r="Z713" s="327"/>
      <c r="AA713" s="332">
        <f t="shared" si="654"/>
        <v>6</v>
      </c>
      <c r="AB713" s="333">
        <f t="shared" si="646"/>
        <v>0</v>
      </c>
      <c r="AC713" s="328">
        <f t="shared" si="647"/>
        <v>0</v>
      </c>
      <c r="AD713" s="334">
        <f t="shared" si="648"/>
        <v>0</v>
      </c>
      <c r="AE713" s="334">
        <f>$AB713*(1-INDEX(项目参数!$D$5:$D$14,MATCH(服务费底表!$S713,项目参数!$B$5:$B$14,0)))</f>
        <v>0</v>
      </c>
      <c r="AF713" s="334">
        <f>$AD713*INDEX(项目参数!$D$5:$D$14,MATCH(服务费底表!$S713,项目参数!$B$5:$B$14,0))</f>
        <v>0</v>
      </c>
      <c r="AG713" s="334">
        <f t="shared" ref="AG713:AG721" si="662">AD713-AF713</f>
        <v>0</v>
      </c>
      <c r="AH713" s="328"/>
      <c r="AI713" s="328" t="s">
        <v>647</v>
      </c>
      <c r="AJ713" s="327">
        <v>6</v>
      </c>
      <c r="AK713" s="327">
        <v>6</v>
      </c>
      <c r="AL713" s="327">
        <v>6</v>
      </c>
      <c r="AM713" s="327">
        <v>6</v>
      </c>
      <c r="AN713" s="327">
        <v>6</v>
      </c>
      <c r="AO713" s="327">
        <v>6</v>
      </c>
      <c r="AP713" s="327">
        <v>6</v>
      </c>
      <c r="AQ713" s="327">
        <f t="shared" si="640"/>
        <v>9</v>
      </c>
      <c r="AR713" s="338"/>
      <c r="AS713" s="328">
        <f t="shared" si="657"/>
        <v>0</v>
      </c>
      <c r="AT713" s="328">
        <f t="shared" si="658"/>
        <v>0</v>
      </c>
      <c r="AU713" s="523">
        <v>6</v>
      </c>
      <c r="AV713" s="328"/>
      <c r="AW713" s="328"/>
      <c r="AX713" s="332">
        <v>6</v>
      </c>
      <c r="AY713" s="328" t="b">
        <f t="shared" si="652"/>
        <v>1</v>
      </c>
      <c r="AZ713" s="328" t="b">
        <f t="shared" si="661"/>
        <v>1</v>
      </c>
    </row>
    <row r="714" ht="27" customHeight="1" spans="1:52">
      <c r="A714" s="326" t="str">
        <f>INDEX('Rate Card'!$A:$A,MATCH(服务费底表!$T714,'Rate Card'!$F:$F,0))</f>
        <v>质量保证</v>
      </c>
      <c r="B714" s="327" t="str">
        <f>INDEX(二三级标准!$G:$G,MATCH(服务费底表!$K714,二三级标准!B:B,0))</f>
        <v>次</v>
      </c>
      <c r="C714" s="327">
        <f>INDEX(服务费明细!$E:$E,MATCH(服务费底表!$K714,服务费明细!$B:$B,0))</f>
        <v>0</v>
      </c>
      <c r="D714" s="327" t="str">
        <f t="shared" si="644"/>
        <v>A165QAS</v>
      </c>
      <c r="E714" s="327" t="str">
        <f t="shared" si="645"/>
        <v>T0536QAS</v>
      </c>
      <c r="F714" s="328"/>
      <c r="G714" s="328" t="s">
        <v>684</v>
      </c>
      <c r="H714" s="326" t="str">
        <f>INDEX('Rate Card'!$B:$B,MATCH(服务费底表!$T714,'Rate Card'!$F:$F,0))</f>
        <v>质量保证</v>
      </c>
      <c r="I714" s="328" t="s">
        <v>929</v>
      </c>
      <c r="J714" s="328" t="str">
        <f>INDEX(二三级标准!$Q:$Q,MATCH(服务费底表!I714,二三级标准!$O:$O,0))</f>
        <v>质量保证</v>
      </c>
      <c r="K714" s="328" t="s">
        <v>437</v>
      </c>
      <c r="L714" s="328" t="str">
        <f>INDEX(二三级标准!C:C,MATCH(服务费底表!K714,二三级标准!$B:$B,0))</f>
        <v>研究中心稽查</v>
      </c>
      <c r="M714" s="328" t="s">
        <v>1712</v>
      </c>
      <c r="N714" s="328" t="str">
        <f>INDEX(二三级标准!$M:$M,MATCH(服务费底表!$M714,二三级标准!$L:$L,0))</f>
        <v>研究中心稽查报告撰写</v>
      </c>
      <c r="O714" s="328"/>
      <c r="P714" s="327">
        <f>IF(R714=1,INDEX(服务费明细!$E:$E,MATCH(服务费底表!$K714,服务费明细!$B:$B,0)),0)</f>
        <v>0</v>
      </c>
      <c r="Q714" s="328" t="s">
        <v>1178</v>
      </c>
      <c r="R714" s="520">
        <f>IF(AND(研究中心稽查YN=1,质量保证YN=1),1,0)</f>
        <v>0</v>
      </c>
      <c r="S714" s="328" t="str">
        <f>INDEX('Rate Card'!$D:$D,MATCH(服务费底表!$T714,'Rate Card'!F:F,0))</f>
        <v>质量保证</v>
      </c>
      <c r="T714" s="328" t="s">
        <v>649</v>
      </c>
      <c r="U714" s="522" t="str">
        <f>INDEX('Rate Card'!$E:$E,MATCH(服务费底表!$T714,'Rate Card'!$F:$F,0))</f>
        <v>临床稽查员</v>
      </c>
      <c r="V714" s="331">
        <f>INDEX('Rate Card'!$J:$J,MATCH($T714,'Rate Card'!$F:$F,0))</f>
        <v>400</v>
      </c>
      <c r="W714" s="523">
        <f t="shared" si="637"/>
        <v>400</v>
      </c>
      <c r="X714" s="523">
        <f t="shared" si="638"/>
        <v>4</v>
      </c>
      <c r="Y714" s="327" cm="1">
        <f t="array" ref="Y714">_xlfn.IFS(报价场景=服务费底表!$AJ$2,服务费底表!$AJ714,报价场景=服务费底表!$AP$2,服务费底表!$AP714,报价场景=服务费底表!$AK$2,服务费底表!$AK714,报价场景=服务费底表!$AL$2,服务费底表!$AL714,报价场景=服务费底表!$AM$2,服务费底表!$AM714,报价场景=服务费底表!$AN$2,服务费底表!$AN714,报价场景=服务费底表!$AQ$2,服务费底表!$AQ714,报价场景=服务费底表!$AO$2,服务费底表!$AO714)</f>
        <v>4</v>
      </c>
      <c r="Z714" s="327"/>
      <c r="AA714" s="332">
        <f t="shared" si="654"/>
        <v>4</v>
      </c>
      <c r="AB714" s="333">
        <f t="shared" si="646"/>
        <v>0</v>
      </c>
      <c r="AC714" s="328">
        <f t="shared" si="647"/>
        <v>0</v>
      </c>
      <c r="AD714" s="334">
        <f t="shared" si="648"/>
        <v>0</v>
      </c>
      <c r="AE714" s="334">
        <f>$AB714*(1-INDEX(项目参数!$D$5:$D$14,MATCH(服务费底表!$S714,项目参数!$B$5:$B$14,0)))</f>
        <v>0</v>
      </c>
      <c r="AF714" s="334">
        <f>$AD714*INDEX(项目参数!$D$5:$D$14,MATCH(服务费底表!$S714,项目参数!$B$5:$B$14,0))</f>
        <v>0</v>
      </c>
      <c r="AG714" s="334">
        <f t="shared" si="662"/>
        <v>0</v>
      </c>
      <c r="AH714" s="328"/>
      <c r="AI714" s="328" t="s">
        <v>649</v>
      </c>
      <c r="AJ714" s="327">
        <v>4</v>
      </c>
      <c r="AK714" s="327">
        <v>4</v>
      </c>
      <c r="AL714" s="327">
        <v>4</v>
      </c>
      <c r="AM714" s="327">
        <v>4</v>
      </c>
      <c r="AN714" s="327">
        <v>0</v>
      </c>
      <c r="AO714" s="327">
        <v>4</v>
      </c>
      <c r="AP714" s="327">
        <v>4</v>
      </c>
      <c r="AQ714" s="327">
        <f t="shared" si="640"/>
        <v>6</v>
      </c>
      <c r="AR714" s="338"/>
      <c r="AS714" s="328">
        <f t="shared" si="657"/>
        <v>0</v>
      </c>
      <c r="AT714" s="328">
        <f t="shared" si="658"/>
        <v>0</v>
      </c>
      <c r="AU714" s="523">
        <v>4</v>
      </c>
      <c r="AV714" s="328"/>
      <c r="AW714" s="328"/>
      <c r="AX714" s="332">
        <v>4</v>
      </c>
      <c r="AY714" s="328" t="b">
        <f t="shared" si="652"/>
        <v>1</v>
      </c>
      <c r="AZ714" s="328" t="b">
        <f t="shared" si="661"/>
        <v>1</v>
      </c>
    </row>
    <row r="715" ht="27" customHeight="1" spans="1:52">
      <c r="A715" s="326" t="str">
        <f>INDEX('Rate Card'!$A:$A,MATCH(服务费底表!$T715,'Rate Card'!$F:$F,0))</f>
        <v>质量保证</v>
      </c>
      <c r="B715" s="327" t="str">
        <f>INDEX(二三级标准!$G:$G,MATCH(服务费底表!$K715,二三级标准!B:B,0))</f>
        <v>次</v>
      </c>
      <c r="C715" s="327">
        <f>INDEX(服务费明细!$E:$E,MATCH(服务费底表!$K715,服务费明细!$B:$B,0))</f>
        <v>0</v>
      </c>
      <c r="D715" s="327" t="str">
        <f t="shared" si="644"/>
        <v>A165QAD</v>
      </c>
      <c r="E715" s="327" t="str">
        <f t="shared" si="645"/>
        <v>T0537QAD</v>
      </c>
      <c r="F715" s="328"/>
      <c r="G715" s="328" t="s">
        <v>684</v>
      </c>
      <c r="H715" s="326" t="str">
        <f>INDEX('Rate Card'!$B:$B,MATCH(服务费底表!$T715,'Rate Card'!$F:$F,0))</f>
        <v>质量保证</v>
      </c>
      <c r="I715" s="328" t="s">
        <v>929</v>
      </c>
      <c r="J715" s="328" t="str">
        <f>INDEX(二三级标准!$Q:$Q,MATCH(服务费底表!I715,二三级标准!$O:$O,0))</f>
        <v>质量保证</v>
      </c>
      <c r="K715" s="328" t="s">
        <v>437</v>
      </c>
      <c r="L715" s="328" t="str">
        <f>INDEX(二三级标准!C:C,MATCH(服务费底表!K715,二三级标准!$B:$B,0))</f>
        <v>研究中心稽查</v>
      </c>
      <c r="M715" s="328" t="s">
        <v>1713</v>
      </c>
      <c r="N715" s="328" t="str">
        <f>INDEX(二三级标准!$M:$M,MATCH(服务费底表!$M715,二三级标准!$L:$L,0))</f>
        <v>研究中心稽查报告审核</v>
      </c>
      <c r="O715" s="328"/>
      <c r="P715" s="327">
        <f>IF(R715=1,INDEX(服务费明细!$E:$E,MATCH(服务费底表!$K715,服务费明细!$B:$B,0)),0)</f>
        <v>0</v>
      </c>
      <c r="Q715" s="328" t="s">
        <v>1178</v>
      </c>
      <c r="R715" s="520">
        <f t="shared" si="660"/>
        <v>0</v>
      </c>
      <c r="S715" s="328" t="str">
        <f>INDEX('Rate Card'!$D:$D,MATCH(服务费底表!$T715,'Rate Card'!F:F,0))</f>
        <v>质量保证</v>
      </c>
      <c r="T715" s="328" t="s">
        <v>645</v>
      </c>
      <c r="U715" s="522" t="str">
        <f>INDEX('Rate Card'!$E:$E,MATCH(服务费底表!$T715,'Rate Card'!$F:$F,0))</f>
        <v>临床稽查总监</v>
      </c>
      <c r="V715" s="331">
        <f>INDEX('Rate Card'!$J:$J,MATCH($T715,'Rate Card'!$F:$F,0))</f>
        <v>1000</v>
      </c>
      <c r="W715" s="523">
        <f t="shared" si="637"/>
        <v>1000</v>
      </c>
      <c r="X715" s="523">
        <f t="shared" si="638"/>
        <v>2</v>
      </c>
      <c r="Y715" s="327" cm="1">
        <f t="array" ref="Y715">_xlfn.IFS(报价场景=服务费底表!$AJ$2,服务费底表!$AJ715,报价场景=服务费底表!$AP$2,服务费底表!$AP715,报价场景=服务费底表!$AK$2,服务费底表!$AK715,报价场景=服务费底表!$AL$2,服务费底表!$AL715,报价场景=服务费底表!$AM$2,服务费底表!$AM715,报价场景=服务费底表!$AN$2,服务费底表!$AN715,报价场景=服务费底表!$AQ$2,服务费底表!$AQ715,报价场景=服务费底表!$AO$2,服务费底表!$AO715)</f>
        <v>2</v>
      </c>
      <c r="Z715" s="327"/>
      <c r="AA715" s="332">
        <f t="shared" si="654"/>
        <v>2</v>
      </c>
      <c r="AB715" s="333">
        <f t="shared" si="646"/>
        <v>0</v>
      </c>
      <c r="AC715" s="328">
        <f t="shared" si="647"/>
        <v>0</v>
      </c>
      <c r="AD715" s="334">
        <f t="shared" si="648"/>
        <v>0</v>
      </c>
      <c r="AE715" s="334">
        <f>$AB715*(1-INDEX(项目参数!$D$5:$D$14,MATCH(服务费底表!$S715,项目参数!$B$5:$B$14,0)))</f>
        <v>0</v>
      </c>
      <c r="AF715" s="334">
        <f>$AD715*INDEX(项目参数!$D$5:$D$14,MATCH(服务费底表!$S715,项目参数!$B$5:$B$14,0))</f>
        <v>0</v>
      </c>
      <c r="AG715" s="334">
        <f t="shared" si="662"/>
        <v>0</v>
      </c>
      <c r="AH715" s="328"/>
      <c r="AI715" s="328" t="s">
        <v>645</v>
      </c>
      <c r="AJ715" s="327">
        <v>2</v>
      </c>
      <c r="AK715" s="327">
        <v>2</v>
      </c>
      <c r="AL715" s="327">
        <v>2</v>
      </c>
      <c r="AM715" s="327">
        <v>2</v>
      </c>
      <c r="AN715" s="327">
        <v>1</v>
      </c>
      <c r="AO715" s="327">
        <v>2</v>
      </c>
      <c r="AP715" s="327">
        <v>2</v>
      </c>
      <c r="AQ715" s="327">
        <f t="shared" si="640"/>
        <v>3</v>
      </c>
      <c r="AR715" s="338"/>
      <c r="AS715" s="328">
        <f t="shared" si="657"/>
        <v>0</v>
      </c>
      <c r="AT715" s="328">
        <f t="shared" si="658"/>
        <v>0</v>
      </c>
      <c r="AU715" s="523">
        <v>2</v>
      </c>
      <c r="AV715" s="328"/>
      <c r="AW715" s="328"/>
      <c r="AX715" s="332">
        <v>2</v>
      </c>
      <c r="AY715" s="328" t="b">
        <f t="shared" si="652"/>
        <v>1</v>
      </c>
      <c r="AZ715" s="328" t="b">
        <f t="shared" si="661"/>
        <v>1</v>
      </c>
    </row>
    <row r="716" ht="27" customHeight="1" spans="1:52">
      <c r="A716" s="326" t="str">
        <f>INDEX('Rate Card'!$A:$A,MATCH(服务费底表!$T716,'Rate Card'!$F:$F,0))</f>
        <v>质量保证</v>
      </c>
      <c r="B716" s="327" t="str">
        <f>INDEX(二三级标准!$G:$G,MATCH(服务费底表!$K716,二三级标准!B:B,0))</f>
        <v>次</v>
      </c>
      <c r="C716" s="327">
        <f>INDEX(服务费明细!$E:$E,MATCH(服务费底表!$K716,服务费明细!$B:$B,0))</f>
        <v>0</v>
      </c>
      <c r="D716" s="327" t="str">
        <f t="shared" si="644"/>
        <v>A165QAM</v>
      </c>
      <c r="E716" s="327" t="str">
        <f t="shared" si="645"/>
        <v>T0538QAM</v>
      </c>
      <c r="F716" s="328"/>
      <c r="G716" s="328" t="s">
        <v>684</v>
      </c>
      <c r="H716" s="326" t="str">
        <f>INDEX('Rate Card'!$B:$B,MATCH(服务费底表!$T716,'Rate Card'!$F:$F,0))</f>
        <v>质量保证</v>
      </c>
      <c r="I716" s="328" t="s">
        <v>929</v>
      </c>
      <c r="J716" s="328" t="str">
        <f>INDEX(二三级标准!$Q:$Q,MATCH(服务费底表!I716,二三级标准!$O:$O,0))</f>
        <v>质量保证</v>
      </c>
      <c r="K716" s="328" t="s">
        <v>437</v>
      </c>
      <c r="L716" s="328" t="str">
        <f>INDEX(二三级标准!C:C,MATCH(服务费底表!K716,二三级标准!$B:$B,0))</f>
        <v>研究中心稽查</v>
      </c>
      <c r="M716" s="328" t="s">
        <v>1714</v>
      </c>
      <c r="N716" s="328" t="str">
        <f>INDEX(二三级标准!$M:$M,MATCH(服务费底表!$M716,二三级标准!$L:$L,0))</f>
        <v>研究中心跟进稽查发现</v>
      </c>
      <c r="O716" s="328"/>
      <c r="P716" s="327">
        <f>IF(R716=1,INDEX(服务费明细!$E:$E,MATCH(服务费底表!$K716,服务费明细!$B:$B,0)),0)</f>
        <v>0</v>
      </c>
      <c r="Q716" s="328" t="s">
        <v>1178</v>
      </c>
      <c r="R716" s="520">
        <f t="shared" si="660"/>
        <v>0</v>
      </c>
      <c r="S716" s="328" t="str">
        <f>INDEX('Rate Card'!$D:$D,MATCH(服务费底表!$T716,'Rate Card'!F:F,0))</f>
        <v>质量保证</v>
      </c>
      <c r="T716" s="328" t="s">
        <v>647</v>
      </c>
      <c r="U716" s="522" t="str">
        <f>INDEX('Rate Card'!$E:$E,MATCH(服务费底表!$T716,'Rate Card'!$F:$F,0))</f>
        <v>临床稽查经理</v>
      </c>
      <c r="V716" s="331">
        <f>INDEX('Rate Card'!$J:$J,MATCH($T716,'Rate Card'!$F:$F,0))</f>
        <v>600</v>
      </c>
      <c r="W716" s="523">
        <f t="shared" si="637"/>
        <v>600</v>
      </c>
      <c r="X716" s="523">
        <f t="shared" si="638"/>
        <v>8</v>
      </c>
      <c r="Y716" s="327" cm="1">
        <f t="array" ref="Y716">_xlfn.IFS(报价场景=服务费底表!$AJ$2,服务费底表!$AJ716,报价场景=服务费底表!$AP$2,服务费底表!$AP716,报价场景=服务费底表!$AK$2,服务费底表!$AK716,报价场景=服务费底表!$AL$2,服务费底表!$AL716,报价场景=服务费底表!$AM$2,服务费底表!$AM716,报价场景=服务费底表!$AN$2,服务费底表!$AN716,报价场景=服务费底表!$AQ$2,服务费底表!$AQ716,报价场景=服务费底表!$AO$2,服务费底表!$AO716)</f>
        <v>8</v>
      </c>
      <c r="Z716" s="327"/>
      <c r="AA716" s="332">
        <f t="shared" si="654"/>
        <v>8</v>
      </c>
      <c r="AB716" s="333">
        <f t="shared" si="646"/>
        <v>0</v>
      </c>
      <c r="AC716" s="328">
        <f t="shared" si="647"/>
        <v>0</v>
      </c>
      <c r="AD716" s="334">
        <f t="shared" si="648"/>
        <v>0</v>
      </c>
      <c r="AE716" s="334">
        <f>$AB716*(1-INDEX(项目参数!$D$5:$D$14,MATCH(服务费底表!$S716,项目参数!$B$5:$B$14,0)))</f>
        <v>0</v>
      </c>
      <c r="AF716" s="334">
        <f>$AD716*INDEX(项目参数!$D$5:$D$14,MATCH(服务费底表!$S716,项目参数!$B$5:$B$14,0))</f>
        <v>0</v>
      </c>
      <c r="AG716" s="334">
        <f t="shared" si="662"/>
        <v>0</v>
      </c>
      <c r="AH716" s="328"/>
      <c r="AI716" s="328" t="s">
        <v>647</v>
      </c>
      <c r="AJ716" s="327">
        <v>8</v>
      </c>
      <c r="AK716" s="327">
        <v>8</v>
      </c>
      <c r="AL716" s="327">
        <v>8</v>
      </c>
      <c r="AM716" s="327">
        <v>8</v>
      </c>
      <c r="AN716" s="327">
        <v>6</v>
      </c>
      <c r="AO716" s="327">
        <v>8</v>
      </c>
      <c r="AP716" s="327">
        <v>8</v>
      </c>
      <c r="AQ716" s="327">
        <f t="shared" si="640"/>
        <v>12</v>
      </c>
      <c r="AR716" s="338"/>
      <c r="AS716" s="328">
        <f t="shared" si="657"/>
        <v>0</v>
      </c>
      <c r="AT716" s="328">
        <f t="shared" si="658"/>
        <v>0</v>
      </c>
      <c r="AU716" s="523">
        <v>8</v>
      </c>
      <c r="AV716" s="328"/>
      <c r="AW716" s="328"/>
      <c r="AX716" s="332">
        <v>8</v>
      </c>
      <c r="AY716" s="328" t="b">
        <f t="shared" si="652"/>
        <v>1</v>
      </c>
      <c r="AZ716" s="328" t="b">
        <f t="shared" si="661"/>
        <v>1</v>
      </c>
    </row>
    <row r="717" ht="27" customHeight="1" spans="1:52">
      <c r="A717" s="326" t="str">
        <f>INDEX('Rate Card'!$A:$A,MATCH(服务费底表!$T717,'Rate Card'!$F:$F,0))</f>
        <v>质量保证</v>
      </c>
      <c r="B717" s="327" t="str">
        <f>INDEX(二三级标准!$G:$G,MATCH(服务费底表!$K717,二三级标准!B:B,0))</f>
        <v>次</v>
      </c>
      <c r="C717" s="327">
        <f>INDEX(服务费明细!$E:$E,MATCH(服务费底表!$K717,服务费明细!$B:$B,0))</f>
        <v>0</v>
      </c>
      <c r="D717" s="327" t="str">
        <f t="shared" si="644"/>
        <v>A165QAS</v>
      </c>
      <c r="E717" s="327" t="str">
        <f t="shared" si="645"/>
        <v>T0538QAS</v>
      </c>
      <c r="F717" s="328"/>
      <c r="G717" s="328" t="s">
        <v>684</v>
      </c>
      <c r="H717" s="326" t="str">
        <f>INDEX('Rate Card'!$B:$B,MATCH(服务费底表!$T717,'Rate Card'!$F:$F,0))</f>
        <v>质量保证</v>
      </c>
      <c r="I717" s="328" t="s">
        <v>929</v>
      </c>
      <c r="J717" s="328" t="str">
        <f>INDEX(二三级标准!$Q:$Q,MATCH(服务费底表!I717,二三级标准!$O:$O,0))</f>
        <v>质量保证</v>
      </c>
      <c r="K717" s="328" t="s">
        <v>437</v>
      </c>
      <c r="L717" s="328" t="str">
        <f>INDEX(二三级标准!C:C,MATCH(服务费底表!K717,二三级标准!$B:$B,0))</f>
        <v>研究中心稽查</v>
      </c>
      <c r="M717" s="328" t="s">
        <v>1714</v>
      </c>
      <c r="N717" s="328" t="str">
        <f>INDEX(二三级标准!$M:$M,MATCH(服务费底表!$M717,二三级标准!$L:$L,0))</f>
        <v>研究中心跟进稽查发现</v>
      </c>
      <c r="O717" s="328"/>
      <c r="P717" s="327">
        <f>IF(R717=1,INDEX(服务费明细!$E:$E,MATCH(服务费底表!$K717,服务费明细!$B:$B,0)),0)</f>
        <v>0</v>
      </c>
      <c r="Q717" s="328" t="s">
        <v>1178</v>
      </c>
      <c r="R717" s="520">
        <f>IF(AND(研究中心稽查YN=1,质量保证YN=1),1,0)</f>
        <v>0</v>
      </c>
      <c r="S717" s="328" t="str">
        <f>INDEX('Rate Card'!$D:$D,MATCH(服务费底表!$T717,'Rate Card'!F:F,0))</f>
        <v>质量保证</v>
      </c>
      <c r="T717" s="328" t="s">
        <v>649</v>
      </c>
      <c r="U717" s="522" t="str">
        <f>INDEX('Rate Card'!$E:$E,MATCH(服务费底表!$T717,'Rate Card'!$F:$F,0))</f>
        <v>临床稽查员</v>
      </c>
      <c r="V717" s="331">
        <f>INDEX('Rate Card'!$J:$J,MATCH($T717,'Rate Card'!$F:$F,0))</f>
        <v>400</v>
      </c>
      <c r="W717" s="523">
        <f t="shared" si="637"/>
        <v>400</v>
      </c>
      <c r="X717" s="523">
        <f t="shared" si="638"/>
        <v>2</v>
      </c>
      <c r="Y717" s="327" cm="1">
        <f t="array" ref="Y717">_xlfn.IFS(报价场景=服务费底表!$AJ$2,服务费底表!$AJ717,报价场景=服务费底表!$AP$2,服务费底表!$AP717,报价场景=服务费底表!$AK$2,服务费底表!$AK717,报价场景=服务费底表!$AL$2,服务费底表!$AL717,报价场景=服务费底表!$AM$2,服务费底表!$AM717,报价场景=服务费底表!$AN$2,服务费底表!$AN717,报价场景=服务费底表!$AQ$2,服务费底表!$AQ717,报价场景=服务费底表!$AO$2,服务费底表!$AO717)</f>
        <v>2</v>
      </c>
      <c r="Z717" s="327"/>
      <c r="AA717" s="332">
        <f t="shared" si="654"/>
        <v>2</v>
      </c>
      <c r="AB717" s="333">
        <f t="shared" si="646"/>
        <v>0</v>
      </c>
      <c r="AC717" s="328">
        <f t="shared" si="647"/>
        <v>0</v>
      </c>
      <c r="AD717" s="334">
        <f t="shared" si="648"/>
        <v>0</v>
      </c>
      <c r="AE717" s="334">
        <f>$AB717*(1-INDEX(项目参数!$D$5:$D$14,MATCH(服务费底表!$S717,项目参数!$B$5:$B$14,0)))</f>
        <v>0</v>
      </c>
      <c r="AF717" s="334">
        <f>$AD717*INDEX(项目参数!$D$5:$D$14,MATCH(服务费底表!$S717,项目参数!$B$5:$B$14,0))</f>
        <v>0</v>
      </c>
      <c r="AG717" s="334">
        <f t="shared" si="662"/>
        <v>0</v>
      </c>
      <c r="AH717" s="328"/>
      <c r="AI717" s="328" t="s">
        <v>649</v>
      </c>
      <c r="AJ717" s="327">
        <v>2</v>
      </c>
      <c r="AK717" s="327">
        <v>2</v>
      </c>
      <c r="AL717" s="327">
        <v>2</v>
      </c>
      <c r="AM717" s="327">
        <v>2</v>
      </c>
      <c r="AN717" s="327">
        <v>0</v>
      </c>
      <c r="AO717" s="327">
        <v>2</v>
      </c>
      <c r="AP717" s="327">
        <v>2</v>
      </c>
      <c r="AQ717" s="327">
        <f t="shared" si="640"/>
        <v>3</v>
      </c>
      <c r="AR717" s="338"/>
      <c r="AS717" s="328">
        <f t="shared" si="657"/>
        <v>0</v>
      </c>
      <c r="AT717" s="328">
        <f t="shared" si="658"/>
        <v>0</v>
      </c>
      <c r="AU717" s="523">
        <v>2</v>
      </c>
      <c r="AV717" s="328"/>
      <c r="AW717" s="328"/>
      <c r="AX717" s="332">
        <v>2</v>
      </c>
      <c r="AY717" s="328" t="b">
        <f t="shared" si="652"/>
        <v>1</v>
      </c>
      <c r="AZ717" s="328" t="b">
        <f t="shared" si="661"/>
        <v>1</v>
      </c>
    </row>
    <row r="718" ht="27" customHeight="1" spans="1:52">
      <c r="A718" s="326" t="str">
        <f>INDEX('Rate Card'!$A:$A,MATCH(服务费底表!$T718,'Rate Card'!$F:$F,0))</f>
        <v>质量保证</v>
      </c>
      <c r="B718" s="327" t="str">
        <f>INDEX(二三级标准!$G:$G,MATCH(服务费底表!$K718,二三级标准!B:B,0))</f>
        <v>次</v>
      </c>
      <c r="C718" s="327">
        <f>INDEX(服务费明细!$E:$E,MATCH(服务费底表!$K718,服务费明细!$B:$B,0))</f>
        <v>0</v>
      </c>
      <c r="D718" s="327" t="str">
        <f t="shared" si="644"/>
        <v>A165QAD</v>
      </c>
      <c r="E718" s="327" t="str">
        <f t="shared" si="645"/>
        <v>T0538QAD</v>
      </c>
      <c r="F718" s="328"/>
      <c r="G718" s="328" t="s">
        <v>684</v>
      </c>
      <c r="H718" s="326" t="str">
        <f>INDEX('Rate Card'!$B:$B,MATCH(服务费底表!$T718,'Rate Card'!$F:$F,0))</f>
        <v>质量保证</v>
      </c>
      <c r="I718" s="328" t="s">
        <v>929</v>
      </c>
      <c r="J718" s="328" t="str">
        <f>INDEX(二三级标准!$Q:$Q,MATCH(服务费底表!I718,二三级标准!$O:$O,0))</f>
        <v>质量保证</v>
      </c>
      <c r="K718" s="328" t="s">
        <v>437</v>
      </c>
      <c r="L718" s="328" t="str">
        <f>INDEX(二三级标准!C:C,MATCH(服务费底表!K718,二三级标准!$B:$B,0))</f>
        <v>研究中心稽查</v>
      </c>
      <c r="M718" s="328" t="s">
        <v>1714</v>
      </c>
      <c r="N718" s="328" t="str">
        <f>INDEX(二三级标准!$M:$M,MATCH(服务费底表!$M718,二三级标准!$L:$L,0))</f>
        <v>研究中心跟进稽查发现</v>
      </c>
      <c r="O718" s="328"/>
      <c r="P718" s="327">
        <f>IF(R718=1,INDEX(服务费明细!$E:$E,MATCH(服务费底表!$K718,服务费明细!$B:$B,0)),0)</f>
        <v>0</v>
      </c>
      <c r="Q718" s="328" t="s">
        <v>1178</v>
      </c>
      <c r="R718" s="520">
        <f t="shared" si="660"/>
        <v>0</v>
      </c>
      <c r="S718" s="328" t="str">
        <f>INDEX('Rate Card'!$D:$D,MATCH(服务费底表!$T718,'Rate Card'!F:F,0))</f>
        <v>质量保证</v>
      </c>
      <c r="T718" s="328" t="s">
        <v>645</v>
      </c>
      <c r="U718" s="522" t="str">
        <f>INDEX('Rate Card'!$E:$E,MATCH(服务费底表!$T718,'Rate Card'!$F:$F,0))</f>
        <v>临床稽查总监</v>
      </c>
      <c r="V718" s="331">
        <f>INDEX('Rate Card'!$J:$J,MATCH($T718,'Rate Card'!$F:$F,0))</f>
        <v>1000</v>
      </c>
      <c r="W718" s="523">
        <f t="shared" si="637"/>
        <v>1000</v>
      </c>
      <c r="X718" s="523">
        <f t="shared" si="638"/>
        <v>2</v>
      </c>
      <c r="Y718" s="327" cm="1">
        <f t="array" ref="Y718">_xlfn.IFS(报价场景=服务费底表!$AJ$2,服务费底表!$AJ718,报价场景=服务费底表!$AP$2,服务费底表!$AP718,报价场景=服务费底表!$AK$2,服务费底表!$AK718,报价场景=服务费底表!$AL$2,服务费底表!$AL718,报价场景=服务费底表!$AM$2,服务费底表!$AM718,报价场景=服务费底表!$AN$2,服务费底表!$AN718,报价场景=服务费底表!$AQ$2,服务费底表!$AQ718,报价场景=服务费底表!$AO$2,服务费底表!$AO718)</f>
        <v>2</v>
      </c>
      <c r="Z718" s="327"/>
      <c r="AA718" s="332">
        <f t="shared" si="654"/>
        <v>2</v>
      </c>
      <c r="AB718" s="333">
        <f t="shared" si="646"/>
        <v>0</v>
      </c>
      <c r="AC718" s="328">
        <f t="shared" si="647"/>
        <v>0</v>
      </c>
      <c r="AD718" s="334">
        <f t="shared" si="648"/>
        <v>0</v>
      </c>
      <c r="AE718" s="334">
        <f>$AB718*(1-INDEX(项目参数!$D$5:$D$14,MATCH(服务费底表!$S718,项目参数!$B$5:$B$14,0)))</f>
        <v>0</v>
      </c>
      <c r="AF718" s="334">
        <f>$AD718*INDEX(项目参数!$D$5:$D$14,MATCH(服务费底表!$S718,项目参数!$B$5:$B$14,0))</f>
        <v>0</v>
      </c>
      <c r="AG718" s="334">
        <f t="shared" si="662"/>
        <v>0</v>
      </c>
      <c r="AH718" s="328"/>
      <c r="AI718" s="328" t="s">
        <v>645</v>
      </c>
      <c r="AJ718" s="327">
        <v>2</v>
      </c>
      <c r="AK718" s="327">
        <v>2</v>
      </c>
      <c r="AL718" s="327">
        <v>2</v>
      </c>
      <c r="AM718" s="327">
        <v>2</v>
      </c>
      <c r="AN718" s="327">
        <v>0</v>
      </c>
      <c r="AO718" s="327">
        <v>2</v>
      </c>
      <c r="AP718" s="327">
        <v>2</v>
      </c>
      <c r="AQ718" s="327">
        <f t="shared" si="640"/>
        <v>3</v>
      </c>
      <c r="AR718" s="338"/>
      <c r="AS718" s="328">
        <f t="shared" si="657"/>
        <v>0</v>
      </c>
      <c r="AT718" s="328">
        <f t="shared" si="658"/>
        <v>0</v>
      </c>
      <c r="AU718" s="523">
        <v>2</v>
      </c>
      <c r="AV718" s="328"/>
      <c r="AW718" s="328"/>
      <c r="AX718" s="332">
        <v>2</v>
      </c>
      <c r="AY718" s="328" t="b">
        <f t="shared" si="652"/>
        <v>1</v>
      </c>
      <c r="AZ718" s="328" t="b">
        <f t="shared" si="661"/>
        <v>1</v>
      </c>
    </row>
    <row r="719" ht="27" customHeight="1" spans="1:52">
      <c r="A719" s="326" t="str">
        <f>INDEX('Rate Card'!$A:$A,MATCH(服务费底表!$T719,'Rate Card'!$F:$F,0))</f>
        <v>质量保证</v>
      </c>
      <c r="B719" s="327" t="str">
        <f>INDEX(二三级标准!$G:$G,MATCH(服务费底表!$K719,二三级标准!B:B,0))</f>
        <v>次</v>
      </c>
      <c r="C719" s="327">
        <f>INDEX(服务费明细!$E:$E,MATCH(服务费底表!$K719,服务费明细!$B:$B,0))</f>
        <v>0</v>
      </c>
      <c r="D719" s="327" t="str">
        <f t="shared" si="644"/>
        <v>A165QAM</v>
      </c>
      <c r="E719" s="327" t="str">
        <f t="shared" si="645"/>
        <v>T0539QAM</v>
      </c>
      <c r="F719" s="328"/>
      <c r="G719" s="328" t="s">
        <v>684</v>
      </c>
      <c r="H719" s="326" t="str">
        <f>INDEX('Rate Card'!$B:$B,MATCH(服务费底表!$T719,'Rate Card'!$F:$F,0))</f>
        <v>质量保证</v>
      </c>
      <c r="I719" s="328" t="s">
        <v>929</v>
      </c>
      <c r="J719" s="328" t="str">
        <f>INDEX(二三级标准!$Q:$Q,MATCH(服务费底表!I719,二三级标准!$O:$O,0))</f>
        <v>质量保证</v>
      </c>
      <c r="K719" s="328" t="s">
        <v>437</v>
      </c>
      <c r="L719" s="328" t="str">
        <f>INDEX(二三级标准!C:C,MATCH(服务费底表!K719,二三级标准!$B:$B,0))</f>
        <v>研究中心稽查</v>
      </c>
      <c r="M719" s="328" t="s">
        <v>1715</v>
      </c>
      <c r="N719" s="328" t="str">
        <f>INDEX(二三级标准!$M:$M,MATCH(服务费底表!$M719,二三级标准!$L:$L,0))</f>
        <v>研究中心发送稽查证明</v>
      </c>
      <c r="O719" s="328"/>
      <c r="P719" s="327">
        <f>IF(R719=1,INDEX(服务费明细!$E:$E,MATCH(服务费底表!$K719,服务费明细!$B:$B,0)),0)</f>
        <v>0</v>
      </c>
      <c r="Q719" s="328" t="s">
        <v>1178</v>
      </c>
      <c r="R719" s="520">
        <f t="shared" si="660"/>
        <v>0</v>
      </c>
      <c r="S719" s="328" t="str">
        <f>INDEX('Rate Card'!$D:$D,MATCH(服务费底表!$T719,'Rate Card'!F:F,0))</f>
        <v>质量保证</v>
      </c>
      <c r="T719" s="328" t="s">
        <v>647</v>
      </c>
      <c r="U719" s="522" t="str">
        <f>INDEX('Rate Card'!$E:$E,MATCH(服务费底表!$T719,'Rate Card'!$F:$F,0))</f>
        <v>临床稽查经理</v>
      </c>
      <c r="V719" s="331">
        <f>INDEX('Rate Card'!$J:$J,MATCH($T719,'Rate Card'!$F:$F,0))</f>
        <v>600</v>
      </c>
      <c r="W719" s="523">
        <f t="shared" si="637"/>
        <v>600</v>
      </c>
      <c r="X719" s="523">
        <f t="shared" si="638"/>
        <v>1</v>
      </c>
      <c r="Y719" s="327" cm="1">
        <f t="array" ref="Y719">_xlfn.IFS(报价场景=服务费底表!$AJ$2,服务费底表!$AJ719,报价场景=服务费底表!$AP$2,服务费底表!$AP719,报价场景=服务费底表!$AK$2,服务费底表!$AK719,报价场景=服务费底表!$AL$2,服务费底表!$AL719,报价场景=服务费底表!$AM$2,服务费底表!$AM719,报价场景=服务费底表!$AN$2,服务费底表!$AN719,报价场景=服务费底表!$AQ$2,服务费底表!$AQ719,报价场景=服务费底表!$AO$2,服务费底表!$AO719)</f>
        <v>1</v>
      </c>
      <c r="Z719" s="327"/>
      <c r="AA719" s="332">
        <f t="shared" si="654"/>
        <v>1</v>
      </c>
      <c r="AB719" s="333">
        <f t="shared" si="646"/>
        <v>0</v>
      </c>
      <c r="AC719" s="328">
        <f t="shared" si="647"/>
        <v>0</v>
      </c>
      <c r="AD719" s="334">
        <f t="shared" si="648"/>
        <v>0</v>
      </c>
      <c r="AE719" s="334">
        <f>$AB719*(1-INDEX(项目参数!$D$5:$D$14,MATCH(服务费底表!$S719,项目参数!$B$5:$B$14,0)))</f>
        <v>0</v>
      </c>
      <c r="AF719" s="334">
        <f>$AD719*INDEX(项目参数!$D$5:$D$14,MATCH(服务费底表!$S719,项目参数!$B$5:$B$14,0))</f>
        <v>0</v>
      </c>
      <c r="AG719" s="334">
        <f t="shared" si="662"/>
        <v>0</v>
      </c>
      <c r="AH719" s="328"/>
      <c r="AI719" s="328" t="s">
        <v>647</v>
      </c>
      <c r="AJ719" s="327">
        <v>1</v>
      </c>
      <c r="AK719" s="327">
        <v>1</v>
      </c>
      <c r="AL719" s="327">
        <v>1</v>
      </c>
      <c r="AM719" s="327">
        <v>1</v>
      </c>
      <c r="AN719" s="327">
        <v>1</v>
      </c>
      <c r="AO719" s="327">
        <v>1</v>
      </c>
      <c r="AP719" s="327">
        <v>1</v>
      </c>
      <c r="AQ719" s="327">
        <f t="shared" si="640"/>
        <v>1.5</v>
      </c>
      <c r="AR719" s="338"/>
      <c r="AS719" s="328">
        <f t="shared" si="657"/>
        <v>0</v>
      </c>
      <c r="AT719" s="328">
        <f t="shared" si="658"/>
        <v>0</v>
      </c>
      <c r="AU719" s="523">
        <v>1</v>
      </c>
      <c r="AV719" s="328"/>
      <c r="AW719" s="328"/>
      <c r="AX719" s="332">
        <v>1</v>
      </c>
      <c r="AY719" s="328" t="b">
        <f t="shared" si="652"/>
        <v>1</v>
      </c>
      <c r="AZ719" s="328" t="b">
        <f t="shared" si="661"/>
        <v>1</v>
      </c>
    </row>
    <row r="720" ht="27" customHeight="1" spans="1:52">
      <c r="A720" s="326" t="str">
        <f>INDEX('Rate Card'!$A:$A,MATCH(服务费底表!$T720,'Rate Card'!$F:$F,0))</f>
        <v>质量保证</v>
      </c>
      <c r="B720" s="327" t="str">
        <f>INDEX(二三级标准!$G:$G,MATCH(服务费底表!$K720,二三级标准!B:B,0))</f>
        <v>次</v>
      </c>
      <c r="C720" s="327">
        <f>INDEX(服务费明细!$E:$E,MATCH(服务费底表!$K720,服务费明细!$B:$B,0))</f>
        <v>0</v>
      </c>
      <c r="D720" s="327" t="str">
        <f t="shared" si="644"/>
        <v>A166QAM</v>
      </c>
      <c r="E720" s="327" t="str">
        <f t="shared" si="645"/>
        <v>T0540QAM</v>
      </c>
      <c r="F720" s="328"/>
      <c r="G720" s="328" t="s">
        <v>684</v>
      </c>
      <c r="H720" s="326" t="str">
        <f>INDEX('Rate Card'!$B:$B,MATCH(服务费底表!$T720,'Rate Card'!$F:$F,0))</f>
        <v>质量保证</v>
      </c>
      <c r="I720" s="328" t="s">
        <v>929</v>
      </c>
      <c r="J720" s="328" t="str">
        <f>INDEX(二三级标准!$Q:$Q,MATCH(服务费底表!I720,二三级标准!$O:$O,0))</f>
        <v>质量保证</v>
      </c>
      <c r="K720" s="328" t="s">
        <v>439</v>
      </c>
      <c r="L720" s="328" t="str">
        <f>INDEX(二三级标准!C:C,MATCH(服务费底表!K720,二三级标准!$B:$B,0))</f>
        <v>临床试验主文件稽查</v>
      </c>
      <c r="M720" s="328" t="s">
        <v>1716</v>
      </c>
      <c r="N720" s="328" t="str">
        <f>INDEX(二三级标准!$M:$M,MATCH(服务费底表!$M720,二三级标准!$L:$L,0))</f>
        <v>TMF稽查准备</v>
      </c>
      <c r="O720" s="328"/>
      <c r="P720" s="327">
        <f>IF(R720=1,INDEX(服务费明细!$E:$E,MATCH(服务费底表!$K720,服务费明细!$B:$B,0)),0)</f>
        <v>0</v>
      </c>
      <c r="Q720" s="328" t="s">
        <v>1178</v>
      </c>
      <c r="R720" s="520">
        <f t="shared" ref="R720:R725" si="663">IF(AND(临床试验主文件稽查YN=1,质量保证YN=1),1,0)</f>
        <v>0</v>
      </c>
      <c r="S720" s="328" t="str">
        <f>INDEX('Rate Card'!$D:$D,MATCH(服务费底表!$T720,'Rate Card'!F:F,0))</f>
        <v>质量保证</v>
      </c>
      <c r="T720" s="328" t="s">
        <v>647</v>
      </c>
      <c r="U720" s="522" t="str">
        <f>INDEX('Rate Card'!$E:$E,MATCH(服务费底表!$T720,'Rate Card'!$F:$F,0))</f>
        <v>临床稽查经理</v>
      </c>
      <c r="V720" s="331">
        <f>INDEX('Rate Card'!$J:$J,MATCH($T720,'Rate Card'!$F:$F,0))</f>
        <v>600</v>
      </c>
      <c r="W720" s="523">
        <f t="shared" si="637"/>
        <v>600</v>
      </c>
      <c r="X720" s="523">
        <f t="shared" si="638"/>
        <v>2</v>
      </c>
      <c r="Y720" s="327" cm="1">
        <f t="array" ref="Y720">_xlfn.IFS(报价场景=服务费底表!$AJ$2,服务费底表!$AJ720,报价场景=服务费底表!$AP$2,服务费底表!$AP720,报价场景=服务费底表!$AK$2,服务费底表!$AK720,报价场景=服务费底表!$AL$2,服务费底表!$AL720,报价场景=服务费底表!$AM$2,服务费底表!$AM720,报价场景=服务费底表!$AN$2,服务费底表!$AN720,报价场景=服务费底表!$AQ$2,服务费底表!$AQ720,报价场景=服务费底表!$AO$2,服务费底表!$AO720)</f>
        <v>2</v>
      </c>
      <c r="Z720" s="327"/>
      <c r="AA720" s="332">
        <f t="shared" si="654"/>
        <v>2</v>
      </c>
      <c r="AB720" s="333">
        <f t="shared" si="646"/>
        <v>0</v>
      </c>
      <c r="AC720" s="328">
        <f t="shared" si="647"/>
        <v>0</v>
      </c>
      <c r="AD720" s="334">
        <f t="shared" si="648"/>
        <v>0</v>
      </c>
      <c r="AE720" s="334">
        <f>$AB720*(1-INDEX(项目参数!$D$5:$D$14,MATCH(服务费底表!$S720,项目参数!$B$5:$B$14,0)))</f>
        <v>0</v>
      </c>
      <c r="AF720" s="334">
        <f>$AD720*INDEX(项目参数!$D$5:$D$14,MATCH(服务费底表!$S720,项目参数!$B$5:$B$14,0))</f>
        <v>0</v>
      </c>
      <c r="AG720" s="334">
        <f t="shared" si="662"/>
        <v>0</v>
      </c>
      <c r="AH720" s="328"/>
      <c r="AI720" s="328" t="s">
        <v>647</v>
      </c>
      <c r="AJ720" s="327">
        <v>2</v>
      </c>
      <c r="AK720" s="327">
        <v>2</v>
      </c>
      <c r="AL720" s="327">
        <v>2</v>
      </c>
      <c r="AM720" s="327">
        <v>2</v>
      </c>
      <c r="AN720" s="327">
        <v>2</v>
      </c>
      <c r="AO720" s="327">
        <v>2</v>
      </c>
      <c r="AP720" s="327">
        <v>2</v>
      </c>
      <c r="AQ720" s="327">
        <f t="shared" si="640"/>
        <v>3</v>
      </c>
      <c r="AR720" s="338"/>
      <c r="AS720" s="328">
        <f t="shared" si="657"/>
        <v>0</v>
      </c>
      <c r="AT720" s="328">
        <f t="shared" si="658"/>
        <v>0</v>
      </c>
      <c r="AU720" s="523">
        <v>2</v>
      </c>
      <c r="AV720" s="328"/>
      <c r="AW720" s="328"/>
      <c r="AX720" s="332">
        <v>2</v>
      </c>
      <c r="AY720" s="328" t="b">
        <f t="shared" si="652"/>
        <v>1</v>
      </c>
      <c r="AZ720" s="328" t="b">
        <f t="shared" si="661"/>
        <v>0</v>
      </c>
    </row>
    <row r="721" ht="27" customHeight="1" spans="1:52">
      <c r="A721" s="326" t="str">
        <f>INDEX('Rate Card'!$A:$A,MATCH(服务费底表!$T721,'Rate Card'!$F:$F,0))</f>
        <v>质量保证</v>
      </c>
      <c r="B721" s="327" t="str">
        <f>INDEX(二三级标准!$G:$G,MATCH(服务费底表!$K721,二三级标准!B:B,0))</f>
        <v>次</v>
      </c>
      <c r="C721" s="327">
        <f>INDEX(服务费明细!$E:$E,MATCH(服务费底表!$K721,服务费明细!$B:$B,0))</f>
        <v>0</v>
      </c>
      <c r="D721" s="327" t="str">
        <f t="shared" si="644"/>
        <v>A166QAM</v>
      </c>
      <c r="E721" s="327" t="str">
        <f t="shared" si="645"/>
        <v>T0541QAM</v>
      </c>
      <c r="F721" s="328"/>
      <c r="G721" s="328" t="s">
        <v>684</v>
      </c>
      <c r="H721" s="326" t="str">
        <f>INDEX('Rate Card'!$B:$B,MATCH(服务费底表!$T721,'Rate Card'!$F:$F,0))</f>
        <v>质量保证</v>
      </c>
      <c r="I721" s="328" t="s">
        <v>929</v>
      </c>
      <c r="J721" s="328" t="str">
        <f>INDEX(二三级标准!$Q:$Q,MATCH(服务费底表!I721,二三级标准!$O:$O,0))</f>
        <v>质量保证</v>
      </c>
      <c r="K721" s="328" t="s">
        <v>439</v>
      </c>
      <c r="L721" s="328" t="str">
        <f>INDEX(二三级标准!C:C,MATCH(服务费底表!K721,二三级标准!$B:$B,0))</f>
        <v>临床试验主文件稽查</v>
      </c>
      <c r="M721" s="328" t="s">
        <v>1717</v>
      </c>
      <c r="N721" s="328" t="str">
        <f>INDEX(二三级标准!$M:$M,MATCH(服务费底表!$M721,二三级标准!$L:$L,0))</f>
        <v>TMF稽查执行</v>
      </c>
      <c r="O721" s="328"/>
      <c r="P721" s="327">
        <f>IF(R721=1,INDEX(服务费明细!$E:$E,MATCH(服务费底表!$K721,服务费明细!$B:$B,0)),0)</f>
        <v>0</v>
      </c>
      <c r="Q721" s="328" t="s">
        <v>1178</v>
      </c>
      <c r="R721" s="520">
        <f t="shared" si="663"/>
        <v>0</v>
      </c>
      <c r="S721" s="328" t="str">
        <f>INDEX('Rate Card'!$D:$D,MATCH(服务费底表!$T721,'Rate Card'!F:F,0))</f>
        <v>质量保证</v>
      </c>
      <c r="T721" s="328" t="s">
        <v>647</v>
      </c>
      <c r="U721" s="522" t="str">
        <f>INDEX('Rate Card'!$E:$E,MATCH(服务费底表!$T721,'Rate Card'!$F:$F,0))</f>
        <v>临床稽查经理</v>
      </c>
      <c r="V721" s="331">
        <f>INDEX('Rate Card'!$J:$J,MATCH($T721,'Rate Card'!$F:$F,0))</f>
        <v>600</v>
      </c>
      <c r="W721" s="523">
        <f t="shared" si="637"/>
        <v>600</v>
      </c>
      <c r="X721" s="523">
        <f t="shared" si="638"/>
        <v>24</v>
      </c>
      <c r="Y721" s="327" cm="1">
        <f t="array" ref="Y721">_xlfn.IFS(报价场景=服务费底表!$AJ$2,服务费底表!$AJ721,报价场景=服务费底表!$AP$2,服务费底表!$AP721,报价场景=服务费底表!$AK$2,服务费底表!$AK721,报价场景=服务费底表!$AL$2,服务费底表!$AL721,报价场景=服务费底表!$AM$2,服务费底表!$AM721,报价场景=服务费底表!$AN$2,服务费底表!$AN721,报价场景=服务费底表!$AQ$2,服务费底表!$AQ721,报价场景=服务费底表!$AO$2,服务费底表!$AO721)</f>
        <v>24</v>
      </c>
      <c r="Z721" s="327"/>
      <c r="AA721" s="332">
        <f t="shared" si="654"/>
        <v>24</v>
      </c>
      <c r="AB721" s="333">
        <f t="shared" si="646"/>
        <v>0</v>
      </c>
      <c r="AC721" s="328">
        <f t="shared" si="647"/>
        <v>0</v>
      </c>
      <c r="AD721" s="334">
        <f t="shared" si="648"/>
        <v>0</v>
      </c>
      <c r="AE721" s="334">
        <f>$AB721*(1-INDEX(项目参数!$D$5:$D$14,MATCH(服务费底表!$S721,项目参数!$B$5:$B$14,0)))</f>
        <v>0</v>
      </c>
      <c r="AF721" s="334">
        <f>$AD721*INDEX(项目参数!$D$5:$D$14,MATCH(服务费底表!$S721,项目参数!$B$5:$B$14,0))</f>
        <v>0</v>
      </c>
      <c r="AG721" s="334">
        <f t="shared" si="662"/>
        <v>0</v>
      </c>
      <c r="AH721" s="328"/>
      <c r="AI721" s="328" t="s">
        <v>647</v>
      </c>
      <c r="AJ721" s="327">
        <v>24</v>
      </c>
      <c r="AK721" s="327">
        <v>24</v>
      </c>
      <c r="AL721" s="327">
        <v>24</v>
      </c>
      <c r="AM721" s="327">
        <v>24</v>
      </c>
      <c r="AN721" s="327">
        <v>24</v>
      </c>
      <c r="AO721" s="327">
        <v>24</v>
      </c>
      <c r="AP721" s="327">
        <v>24</v>
      </c>
      <c r="AQ721" s="327">
        <f t="shared" si="640"/>
        <v>36</v>
      </c>
      <c r="AR721" s="338"/>
      <c r="AS721" s="328">
        <f t="shared" si="657"/>
        <v>0</v>
      </c>
      <c r="AT721" s="328">
        <f t="shared" si="658"/>
        <v>0</v>
      </c>
      <c r="AU721" s="523">
        <v>24</v>
      </c>
      <c r="AV721" s="328"/>
      <c r="AW721" s="328"/>
      <c r="AX721" s="332">
        <v>24</v>
      </c>
      <c r="AY721" s="328" t="b">
        <f t="shared" si="652"/>
        <v>1</v>
      </c>
      <c r="AZ721" s="328" t="b">
        <f t="shared" si="661"/>
        <v>0</v>
      </c>
    </row>
    <row r="722" ht="27" customHeight="1" spans="1:52">
      <c r="A722" s="326" t="str">
        <f>INDEX('Rate Card'!$A:$A,MATCH(服务费底表!$T722,'Rate Card'!$F:$F,0))</f>
        <v>质量保证</v>
      </c>
      <c r="B722" s="327" t="str">
        <f>INDEX(二三级标准!$G:$G,MATCH(服务费底表!$K722,二三级标准!B:B,0))</f>
        <v>次</v>
      </c>
      <c r="C722" s="327">
        <f>INDEX(服务费明细!$E:$E,MATCH(服务费底表!$K722,服务费明细!$B:$B,0))</f>
        <v>0</v>
      </c>
      <c r="D722" s="327" t="str">
        <f t="shared" si="644"/>
        <v>A166QAM</v>
      </c>
      <c r="E722" s="327" t="str">
        <f t="shared" si="645"/>
        <v>T0542QAM</v>
      </c>
      <c r="F722" s="328"/>
      <c r="G722" s="328" t="s">
        <v>684</v>
      </c>
      <c r="H722" s="326" t="str">
        <f>INDEX('Rate Card'!$B:$B,MATCH(服务费底表!$T722,'Rate Card'!$F:$F,0))</f>
        <v>质量保证</v>
      </c>
      <c r="I722" s="328" t="s">
        <v>929</v>
      </c>
      <c r="J722" s="328" t="str">
        <f>INDEX(二三级标准!$Q:$Q,MATCH(服务费底表!I722,二三级标准!$O:$O,0))</f>
        <v>质量保证</v>
      </c>
      <c r="K722" s="328" t="s">
        <v>439</v>
      </c>
      <c r="L722" s="328" t="str">
        <f>INDEX(二三级标准!C:C,MATCH(服务费底表!K722,二三级标准!$B:$B,0))</f>
        <v>临床试验主文件稽查</v>
      </c>
      <c r="M722" s="328" t="s">
        <v>1718</v>
      </c>
      <c r="N722" s="328" t="str">
        <f>INDEX(二三级标准!$M:$M,MATCH(服务费底表!$M722,二三级标准!$L:$L,0))</f>
        <v>TMF稽查报告撰写</v>
      </c>
      <c r="O722" s="328"/>
      <c r="P722" s="327">
        <f>IF(R722=1,INDEX(服务费明细!$E:$E,MATCH(服务费底表!$K722,服务费明细!$B:$B,0)),0)</f>
        <v>0</v>
      </c>
      <c r="Q722" s="328" t="s">
        <v>1178</v>
      </c>
      <c r="R722" s="520">
        <f t="shared" si="663"/>
        <v>0</v>
      </c>
      <c r="S722" s="328" t="str">
        <f>INDEX('Rate Card'!$D:$D,MATCH(服务费底表!$T722,'Rate Card'!F:F,0))</f>
        <v>质量保证</v>
      </c>
      <c r="T722" s="328" t="s">
        <v>647</v>
      </c>
      <c r="U722" s="522" t="str">
        <f>INDEX('Rate Card'!$E:$E,MATCH(服务费底表!$T722,'Rate Card'!$F:$F,0))</f>
        <v>临床稽查经理</v>
      </c>
      <c r="V722" s="331">
        <f>INDEX('Rate Card'!$J:$J,MATCH($T722,'Rate Card'!$F:$F,0))</f>
        <v>600</v>
      </c>
      <c r="W722" s="523">
        <f t="shared" si="637"/>
        <v>600</v>
      </c>
      <c r="X722" s="523">
        <f t="shared" si="638"/>
        <v>6</v>
      </c>
      <c r="Y722" s="327" cm="1">
        <f t="array" ref="Y722">_xlfn.IFS(报价场景=服务费底表!$AJ$2,服务费底表!$AJ722,报价场景=服务费底表!$AP$2,服务费底表!$AP722,报价场景=服务费底表!$AK$2,服务费底表!$AK722,报价场景=服务费底表!$AL$2,服务费底表!$AL722,报价场景=服务费底表!$AM$2,服务费底表!$AM722,报价场景=服务费底表!$AN$2,服务费底表!$AN722,报价场景=服务费底表!$AQ$2,服务费底表!$AQ722,报价场景=服务费底表!$AO$2,服务费底表!$AO722)</f>
        <v>6</v>
      </c>
      <c r="Z722" s="327"/>
      <c r="AA722" s="332">
        <f t="shared" si="654"/>
        <v>6</v>
      </c>
      <c r="AB722" s="333">
        <f t="shared" si="646"/>
        <v>0</v>
      </c>
      <c r="AC722" s="328">
        <f t="shared" si="647"/>
        <v>0</v>
      </c>
      <c r="AD722" s="334">
        <f t="shared" si="648"/>
        <v>0</v>
      </c>
      <c r="AE722" s="334">
        <f>$AB722*(1-INDEX(项目参数!$D$5:$D$14,MATCH(服务费底表!$S722,项目参数!$B$5:$B$14,0)))</f>
        <v>0</v>
      </c>
      <c r="AF722" s="334">
        <f>$AD722*INDEX(项目参数!$D$5:$D$14,MATCH(服务费底表!$S722,项目参数!$B$5:$B$14,0))</f>
        <v>0</v>
      </c>
      <c r="AG722" s="334">
        <f t="shared" ref="AG722:AG729" si="664">AD722-AF722</f>
        <v>0</v>
      </c>
      <c r="AH722" s="328"/>
      <c r="AI722" s="328" t="s">
        <v>647</v>
      </c>
      <c r="AJ722" s="327">
        <v>6</v>
      </c>
      <c r="AK722" s="327">
        <v>6</v>
      </c>
      <c r="AL722" s="327">
        <v>6</v>
      </c>
      <c r="AM722" s="327">
        <v>6</v>
      </c>
      <c r="AN722" s="327">
        <v>6</v>
      </c>
      <c r="AO722" s="327">
        <v>6</v>
      </c>
      <c r="AP722" s="327">
        <v>6</v>
      </c>
      <c r="AQ722" s="327">
        <f t="shared" si="640"/>
        <v>9</v>
      </c>
      <c r="AR722" s="338"/>
      <c r="AS722" s="328">
        <f t="shared" si="657"/>
        <v>0</v>
      </c>
      <c r="AT722" s="328">
        <f t="shared" si="658"/>
        <v>0</v>
      </c>
      <c r="AU722" s="523">
        <v>6</v>
      </c>
      <c r="AV722" s="328"/>
      <c r="AW722" s="328"/>
      <c r="AX722" s="332">
        <v>6</v>
      </c>
      <c r="AY722" s="328" t="b">
        <f t="shared" ref="AY722:AY729" si="665">IF(AX722=AJ722,TRUE,FALSE)</f>
        <v>1</v>
      </c>
      <c r="AZ722" s="328" t="b">
        <f t="shared" si="661"/>
        <v>0</v>
      </c>
    </row>
    <row r="723" ht="27" customHeight="1" spans="1:52">
      <c r="A723" s="326" t="str">
        <f>INDEX('Rate Card'!$A:$A,MATCH(服务费底表!$T723,'Rate Card'!$F:$F,0))</f>
        <v>质量保证</v>
      </c>
      <c r="B723" s="327" t="str">
        <f>INDEX(二三级标准!$G:$G,MATCH(服务费底表!$K723,二三级标准!B:B,0))</f>
        <v>次</v>
      </c>
      <c r="C723" s="327">
        <f>INDEX(服务费明细!$E:$E,MATCH(服务费底表!$K723,服务费明细!$B:$B,0))</f>
        <v>0</v>
      </c>
      <c r="D723" s="327" t="str">
        <f t="shared" si="644"/>
        <v>A166QAD</v>
      </c>
      <c r="E723" s="327" t="str">
        <f t="shared" si="645"/>
        <v>T0543QAD</v>
      </c>
      <c r="F723" s="328"/>
      <c r="G723" s="328" t="s">
        <v>684</v>
      </c>
      <c r="H723" s="326" t="str">
        <f>INDEX('Rate Card'!$B:$B,MATCH(服务费底表!$T723,'Rate Card'!$F:$F,0))</f>
        <v>质量保证</v>
      </c>
      <c r="I723" s="328" t="s">
        <v>929</v>
      </c>
      <c r="J723" s="328" t="str">
        <f>INDEX(二三级标准!$Q:$Q,MATCH(服务费底表!I723,二三级标准!$O:$O,0))</f>
        <v>质量保证</v>
      </c>
      <c r="K723" s="328" t="s">
        <v>439</v>
      </c>
      <c r="L723" s="328" t="str">
        <f>INDEX(二三级标准!C:C,MATCH(服务费底表!K723,二三级标准!$B:$B,0))</f>
        <v>临床试验主文件稽查</v>
      </c>
      <c r="M723" s="328" t="s">
        <v>1719</v>
      </c>
      <c r="N723" s="328" t="str">
        <f>INDEX(二三级标准!$M:$M,MATCH(服务费底表!$M723,二三级标准!$L:$L,0))</f>
        <v>TMF稽查报告审核</v>
      </c>
      <c r="O723" s="328"/>
      <c r="P723" s="327">
        <f>IF(R723=1,INDEX(服务费明细!$E:$E,MATCH(服务费底表!$K723,服务费明细!$B:$B,0)),0)</f>
        <v>0</v>
      </c>
      <c r="Q723" s="328" t="s">
        <v>1178</v>
      </c>
      <c r="R723" s="520">
        <f t="shared" si="663"/>
        <v>0</v>
      </c>
      <c r="S723" s="328" t="str">
        <f>INDEX('Rate Card'!$D:$D,MATCH(服务费底表!$T723,'Rate Card'!F:F,0))</f>
        <v>质量保证</v>
      </c>
      <c r="T723" s="328" t="s">
        <v>645</v>
      </c>
      <c r="U723" s="522" t="str">
        <f>INDEX('Rate Card'!$E:$E,MATCH(服务费底表!$T723,'Rate Card'!$F:$F,0))</f>
        <v>临床稽查总监</v>
      </c>
      <c r="V723" s="331">
        <f>INDEX('Rate Card'!$J:$J,MATCH($T723,'Rate Card'!$F:$F,0))</f>
        <v>1000</v>
      </c>
      <c r="W723" s="523">
        <f t="shared" ref="W723:W747" si="666">V723*(1-$W$1)</f>
        <v>1000</v>
      </c>
      <c r="X723" s="523">
        <f t="shared" ref="X723:X747" si="667">Y723*$X$1</f>
        <v>2</v>
      </c>
      <c r="Y723" s="327" cm="1">
        <f t="array" ref="Y723">_xlfn.IFS(报价场景=服务费底表!$AJ$2,服务费底表!$AJ723,报价场景=服务费底表!$AP$2,服务费底表!$AP723,报价场景=服务费底表!$AK$2,服务费底表!$AK723,报价场景=服务费底表!$AL$2,服务费底表!$AL723,报价场景=服务费底表!$AM$2,服务费底表!$AM723,报价场景=服务费底表!$AN$2,服务费底表!$AN723,报价场景=服务费底表!$AQ$2,服务费底表!$AQ723,报价场景=服务费底表!$AO$2,服务费底表!$AO723)</f>
        <v>2</v>
      </c>
      <c r="Z723" s="327"/>
      <c r="AA723" s="332">
        <f t="shared" si="654"/>
        <v>2</v>
      </c>
      <c r="AB723" s="333">
        <f t="shared" si="646"/>
        <v>0</v>
      </c>
      <c r="AC723" s="328">
        <f t="shared" si="647"/>
        <v>0</v>
      </c>
      <c r="AD723" s="334">
        <f t="shared" si="648"/>
        <v>0</v>
      </c>
      <c r="AE723" s="334">
        <f>$AB723*(1-INDEX(项目参数!$D$5:$D$14,MATCH(服务费底表!$S723,项目参数!$B$5:$B$14,0)))</f>
        <v>0</v>
      </c>
      <c r="AF723" s="334">
        <f>$AD723*INDEX(项目参数!$D$5:$D$14,MATCH(服务费底表!$S723,项目参数!$B$5:$B$14,0))</f>
        <v>0</v>
      </c>
      <c r="AG723" s="334">
        <f t="shared" si="664"/>
        <v>0</v>
      </c>
      <c r="AH723" s="328"/>
      <c r="AI723" s="328" t="s">
        <v>645</v>
      </c>
      <c r="AJ723" s="327">
        <v>2</v>
      </c>
      <c r="AK723" s="327">
        <v>2</v>
      </c>
      <c r="AL723" s="327">
        <v>2</v>
      </c>
      <c r="AM723" s="327">
        <v>2</v>
      </c>
      <c r="AN723" s="327">
        <v>2</v>
      </c>
      <c r="AO723" s="327">
        <v>2</v>
      </c>
      <c r="AP723" s="327">
        <v>2</v>
      </c>
      <c r="AQ723" s="327">
        <f t="shared" ref="AQ723:AQ746" si="668">AJ723*$AQ$1</f>
        <v>3</v>
      </c>
      <c r="AR723" s="338"/>
      <c r="AS723" s="328">
        <f t="shared" si="657"/>
        <v>0</v>
      </c>
      <c r="AT723" s="328">
        <f t="shared" si="658"/>
        <v>0</v>
      </c>
      <c r="AU723" s="523">
        <v>2</v>
      </c>
      <c r="AV723" s="328"/>
      <c r="AW723" s="328"/>
      <c r="AX723" s="332">
        <v>2</v>
      </c>
      <c r="AY723" s="328" t="b">
        <f t="shared" si="665"/>
        <v>1</v>
      </c>
      <c r="AZ723" s="328" t="b">
        <f t="shared" si="661"/>
        <v>0</v>
      </c>
    </row>
    <row r="724" ht="27" customHeight="1" spans="1:52">
      <c r="A724" s="326" t="str">
        <f>INDEX('Rate Card'!$A:$A,MATCH(服务费底表!$T724,'Rate Card'!$F:$F,0))</f>
        <v>质量保证</v>
      </c>
      <c r="B724" s="327" t="str">
        <f>INDEX(二三级标准!$G:$G,MATCH(服务费底表!$K724,二三级标准!B:B,0))</f>
        <v>次</v>
      </c>
      <c r="C724" s="327">
        <f>INDEX(服务费明细!$E:$E,MATCH(服务费底表!$K724,服务费明细!$B:$B,0))</f>
        <v>0</v>
      </c>
      <c r="D724" s="327" t="str">
        <f t="shared" si="644"/>
        <v>A166QAM</v>
      </c>
      <c r="E724" s="327" t="str">
        <f t="shared" si="645"/>
        <v>T0544QAM</v>
      </c>
      <c r="F724" s="328"/>
      <c r="G724" s="328" t="s">
        <v>684</v>
      </c>
      <c r="H724" s="326" t="str">
        <f>INDEX('Rate Card'!$B:$B,MATCH(服务费底表!$T724,'Rate Card'!$F:$F,0))</f>
        <v>质量保证</v>
      </c>
      <c r="I724" s="328" t="s">
        <v>929</v>
      </c>
      <c r="J724" s="328" t="str">
        <f>INDEX(二三级标准!$Q:$Q,MATCH(服务费底表!I724,二三级标准!$O:$O,0))</f>
        <v>质量保证</v>
      </c>
      <c r="K724" s="328" t="s">
        <v>439</v>
      </c>
      <c r="L724" s="328" t="str">
        <f>INDEX(二三级标准!C:C,MATCH(服务费底表!K724,二三级标准!$B:$B,0))</f>
        <v>临床试验主文件稽查</v>
      </c>
      <c r="M724" s="328" t="s">
        <v>1720</v>
      </c>
      <c r="N724" s="328" t="str">
        <f>INDEX(二三级标准!$M:$M,MATCH(服务费底表!$M724,二三级标准!$L:$L,0))</f>
        <v>跟进TMF稽查发现</v>
      </c>
      <c r="O724" s="328"/>
      <c r="P724" s="327">
        <f>IF(R724=1,INDEX(服务费明细!$E:$E,MATCH(服务费底表!$K724,服务费明细!$B:$B,0)),0)</f>
        <v>0</v>
      </c>
      <c r="Q724" s="328" t="s">
        <v>1178</v>
      </c>
      <c r="R724" s="520">
        <f t="shared" si="663"/>
        <v>0</v>
      </c>
      <c r="S724" s="328" t="str">
        <f>INDEX('Rate Card'!$D:$D,MATCH(服务费底表!$T724,'Rate Card'!F:F,0))</f>
        <v>质量保证</v>
      </c>
      <c r="T724" s="328" t="s">
        <v>647</v>
      </c>
      <c r="U724" s="522" t="str">
        <f>INDEX('Rate Card'!$E:$E,MATCH(服务费底表!$T724,'Rate Card'!$F:$F,0))</f>
        <v>临床稽查经理</v>
      </c>
      <c r="V724" s="331">
        <f>INDEX('Rate Card'!$J:$J,MATCH($T724,'Rate Card'!$F:$F,0))</f>
        <v>600</v>
      </c>
      <c r="W724" s="523">
        <f t="shared" si="666"/>
        <v>600</v>
      </c>
      <c r="X724" s="523">
        <f t="shared" si="667"/>
        <v>8</v>
      </c>
      <c r="Y724" s="327" cm="1">
        <f t="array" ref="Y724">_xlfn.IFS(报价场景=服务费底表!$AJ$2,服务费底表!$AJ724,报价场景=服务费底表!$AP$2,服务费底表!$AP724,报价场景=服务费底表!$AK$2,服务费底表!$AK724,报价场景=服务费底表!$AL$2,服务费底表!$AL724,报价场景=服务费底表!$AM$2,服务费底表!$AM724,报价场景=服务费底表!$AN$2,服务费底表!$AN724,报价场景=服务费底表!$AQ$2,服务费底表!$AQ724,报价场景=服务费底表!$AO$2,服务费底表!$AO724)</f>
        <v>8</v>
      </c>
      <c r="Z724" s="327"/>
      <c r="AA724" s="332">
        <f t="shared" si="654"/>
        <v>8</v>
      </c>
      <c r="AB724" s="333">
        <f t="shared" si="646"/>
        <v>0</v>
      </c>
      <c r="AC724" s="328">
        <f t="shared" si="647"/>
        <v>0</v>
      </c>
      <c r="AD724" s="334">
        <f t="shared" si="648"/>
        <v>0</v>
      </c>
      <c r="AE724" s="334">
        <f>$AB724*(1-INDEX(项目参数!$D$5:$D$14,MATCH(服务费底表!$S724,项目参数!$B$5:$B$14,0)))</f>
        <v>0</v>
      </c>
      <c r="AF724" s="334">
        <f>$AD724*INDEX(项目参数!$D$5:$D$14,MATCH(服务费底表!$S724,项目参数!$B$5:$B$14,0))</f>
        <v>0</v>
      </c>
      <c r="AG724" s="334">
        <f t="shared" si="664"/>
        <v>0</v>
      </c>
      <c r="AH724" s="328"/>
      <c r="AI724" s="328" t="s">
        <v>647</v>
      </c>
      <c r="AJ724" s="327">
        <v>8</v>
      </c>
      <c r="AK724" s="327">
        <v>8</v>
      </c>
      <c r="AL724" s="327">
        <v>8</v>
      </c>
      <c r="AM724" s="327">
        <v>8</v>
      </c>
      <c r="AN724" s="327">
        <v>8</v>
      </c>
      <c r="AO724" s="327">
        <v>8</v>
      </c>
      <c r="AP724" s="327">
        <v>8</v>
      </c>
      <c r="AQ724" s="327">
        <f t="shared" si="668"/>
        <v>12</v>
      </c>
      <c r="AR724" s="338"/>
      <c r="AS724" s="328">
        <f t="shared" si="657"/>
        <v>0</v>
      </c>
      <c r="AT724" s="328">
        <f t="shared" si="658"/>
        <v>0</v>
      </c>
      <c r="AU724" s="523">
        <v>8</v>
      </c>
      <c r="AV724" s="328"/>
      <c r="AW724" s="328"/>
      <c r="AX724" s="332">
        <v>8</v>
      </c>
      <c r="AY724" s="328" t="b">
        <f t="shared" si="665"/>
        <v>1</v>
      </c>
      <c r="AZ724" s="328" t="b">
        <f t="shared" si="661"/>
        <v>0</v>
      </c>
    </row>
    <row r="725" ht="27" customHeight="1" spans="1:52">
      <c r="A725" s="326" t="str">
        <f>INDEX('Rate Card'!$A:$A,MATCH(服务费底表!$T725,'Rate Card'!$F:$F,0))</f>
        <v>质量保证</v>
      </c>
      <c r="B725" s="327" t="str">
        <f>INDEX(二三级标准!$G:$G,MATCH(服务费底表!$K725,二三级标准!B:B,0))</f>
        <v>次</v>
      </c>
      <c r="C725" s="327">
        <f>INDEX(服务费明细!$E:$E,MATCH(服务费底表!$K725,服务费明细!$B:$B,0))</f>
        <v>0</v>
      </c>
      <c r="D725" s="327" t="str">
        <f t="shared" si="644"/>
        <v>A166QAM</v>
      </c>
      <c r="E725" s="327" t="str">
        <f t="shared" si="645"/>
        <v>T0545QAM</v>
      </c>
      <c r="F725" s="328"/>
      <c r="G725" s="328" t="s">
        <v>684</v>
      </c>
      <c r="H725" s="326" t="str">
        <f>INDEX('Rate Card'!$B:$B,MATCH(服务费底表!$T725,'Rate Card'!$F:$F,0))</f>
        <v>质量保证</v>
      </c>
      <c r="I725" s="328" t="s">
        <v>929</v>
      </c>
      <c r="J725" s="328" t="str">
        <f>INDEX(二三级标准!$Q:$Q,MATCH(服务费底表!I725,二三级标准!$O:$O,0))</f>
        <v>质量保证</v>
      </c>
      <c r="K725" s="328" t="s">
        <v>439</v>
      </c>
      <c r="L725" s="328" t="str">
        <f>INDEX(二三级标准!C:C,MATCH(服务费底表!K725,二三级标准!$B:$B,0))</f>
        <v>临床试验主文件稽查</v>
      </c>
      <c r="M725" s="328" t="s">
        <v>1721</v>
      </c>
      <c r="N725" s="328" t="str">
        <f>INDEX(二三级标准!$M:$M,MATCH(服务费底表!$M725,二三级标准!$L:$L,0))</f>
        <v>发送TMF稽查证明</v>
      </c>
      <c r="O725" s="328"/>
      <c r="P725" s="327">
        <f>IF(R725=1,INDEX(服务费明细!$E:$E,MATCH(服务费底表!$K725,服务费明细!$B:$B,0)),0)</f>
        <v>0</v>
      </c>
      <c r="Q725" s="328" t="s">
        <v>1178</v>
      </c>
      <c r="R725" s="520">
        <f t="shared" si="663"/>
        <v>0</v>
      </c>
      <c r="S725" s="328" t="str">
        <f>INDEX('Rate Card'!$D:$D,MATCH(服务费底表!$T725,'Rate Card'!F:F,0))</f>
        <v>质量保证</v>
      </c>
      <c r="T725" s="328" t="s">
        <v>647</v>
      </c>
      <c r="U725" s="522" t="str">
        <f>INDEX('Rate Card'!$E:$E,MATCH(服务费底表!$T725,'Rate Card'!$F:$F,0))</f>
        <v>临床稽查经理</v>
      </c>
      <c r="V725" s="331">
        <f>INDEX('Rate Card'!$J:$J,MATCH($T725,'Rate Card'!$F:$F,0))</f>
        <v>600</v>
      </c>
      <c r="W725" s="523">
        <f t="shared" si="666"/>
        <v>600</v>
      </c>
      <c r="X725" s="523">
        <f t="shared" si="667"/>
        <v>1</v>
      </c>
      <c r="Y725" s="327" cm="1">
        <f t="array" ref="Y725">_xlfn.IFS(报价场景=服务费底表!$AJ$2,服务费底表!$AJ725,报价场景=服务费底表!$AP$2,服务费底表!$AP725,报价场景=服务费底表!$AK$2,服务费底表!$AK725,报价场景=服务费底表!$AL$2,服务费底表!$AL725,报价场景=服务费底表!$AM$2,服务费底表!$AM725,报价场景=服务费底表!$AN$2,服务费底表!$AN725,报价场景=服务费底表!$AQ$2,服务费底表!$AQ725,报价场景=服务费底表!$AO$2,服务费底表!$AO725)</f>
        <v>1</v>
      </c>
      <c r="Z725" s="327"/>
      <c r="AA725" s="332">
        <f t="shared" si="654"/>
        <v>1</v>
      </c>
      <c r="AB725" s="333">
        <f t="shared" si="646"/>
        <v>0</v>
      </c>
      <c r="AC725" s="328">
        <f t="shared" si="647"/>
        <v>0</v>
      </c>
      <c r="AD725" s="334">
        <f t="shared" si="648"/>
        <v>0</v>
      </c>
      <c r="AE725" s="334">
        <f>$AB725*(1-INDEX(项目参数!$D$5:$D$14,MATCH(服务费底表!$S725,项目参数!$B$5:$B$14,0)))</f>
        <v>0</v>
      </c>
      <c r="AF725" s="334">
        <f>$AD725*INDEX(项目参数!$D$5:$D$14,MATCH(服务费底表!$S725,项目参数!$B$5:$B$14,0))</f>
        <v>0</v>
      </c>
      <c r="AG725" s="334">
        <f t="shared" si="664"/>
        <v>0</v>
      </c>
      <c r="AH725" s="328"/>
      <c r="AI725" s="328" t="s">
        <v>647</v>
      </c>
      <c r="AJ725" s="327">
        <v>1</v>
      </c>
      <c r="AK725" s="327">
        <v>1</v>
      </c>
      <c r="AL725" s="327">
        <v>1</v>
      </c>
      <c r="AM725" s="327">
        <v>1</v>
      </c>
      <c r="AN725" s="327">
        <v>1</v>
      </c>
      <c r="AO725" s="327">
        <v>1</v>
      </c>
      <c r="AP725" s="327">
        <v>1</v>
      </c>
      <c r="AQ725" s="327">
        <f t="shared" si="668"/>
        <v>1.5</v>
      </c>
      <c r="AR725" s="338"/>
      <c r="AS725" s="328">
        <f t="shared" si="657"/>
        <v>0</v>
      </c>
      <c r="AT725" s="328">
        <f t="shared" si="658"/>
        <v>0</v>
      </c>
      <c r="AU725" s="523">
        <v>1</v>
      </c>
      <c r="AV725" s="328"/>
      <c r="AW725" s="328"/>
      <c r="AX725" s="332">
        <v>1</v>
      </c>
      <c r="AY725" s="328" t="b">
        <f t="shared" si="665"/>
        <v>1</v>
      </c>
      <c r="AZ725" s="328" t="b">
        <f t="shared" si="661"/>
        <v>0</v>
      </c>
    </row>
    <row r="726" ht="27" customHeight="1" spans="1:52">
      <c r="A726" s="326" t="str">
        <f>INDEX('Rate Card'!$A:$A,MATCH(服务费底表!$T726,'Rate Card'!$F:$F,0))</f>
        <v>质量保证</v>
      </c>
      <c r="B726" s="327" t="str">
        <f>INDEX(二三级标准!$G:$G,MATCH(服务费底表!$K726,二三级标准!B:B,0))</f>
        <v>次</v>
      </c>
      <c r="C726" s="327">
        <f>INDEX(服务费明细!$E:$E,MATCH(服务费底表!$K726,服务费明细!$B:$B,0))</f>
        <v>0</v>
      </c>
      <c r="D726" s="327" t="str">
        <f t="shared" si="644"/>
        <v>A167QAM</v>
      </c>
      <c r="E726" s="327" t="str">
        <f t="shared" si="645"/>
        <v>T0546QAM</v>
      </c>
      <c r="F726" s="328"/>
      <c r="G726" s="328" t="s">
        <v>684</v>
      </c>
      <c r="H726" s="326" t="str">
        <f>INDEX('Rate Card'!$B:$B,MATCH(服务费底表!$T726,'Rate Card'!$F:$F,0))</f>
        <v>质量保证</v>
      </c>
      <c r="I726" s="328" t="s">
        <v>929</v>
      </c>
      <c r="J726" s="328" t="str">
        <f>INDEX(二三级标准!$Q:$Q,MATCH(服务费底表!I726,二三级标准!$O:$O,0))</f>
        <v>质量保证</v>
      </c>
      <c r="K726" s="328" t="s">
        <v>441</v>
      </c>
      <c r="L726" s="328" t="str">
        <f>INDEX(二三级标准!C:C,MATCH(服务费底表!K726,二三级标准!$B:$B,0))</f>
        <v>第三方供应商稽查</v>
      </c>
      <c r="M726" s="328" t="s">
        <v>1722</v>
      </c>
      <c r="N726" s="328" t="str">
        <f>INDEX(二三级标准!$M:$M,MATCH(服务费底表!$M726,二三级标准!$L:$L,0))</f>
        <v>第三方供应商稽查准备</v>
      </c>
      <c r="O726" s="328"/>
      <c r="P726" s="327">
        <f>IF(R726=1,INDEX(服务费明细!$E:$E,MATCH(服务费底表!$K726,服务费明细!$B:$B,0)),0)</f>
        <v>0</v>
      </c>
      <c r="Q726" s="328" t="s">
        <v>1178</v>
      </c>
      <c r="R726" s="520">
        <f>IF(AND(IRC稽查YN=1,质量保证YN=1),1,0)</f>
        <v>0</v>
      </c>
      <c r="S726" s="328" t="str">
        <f>INDEX('Rate Card'!$D:$D,MATCH(服务费底表!$T726,'Rate Card'!F:F,0))</f>
        <v>质量保证</v>
      </c>
      <c r="T726" s="328" t="s">
        <v>647</v>
      </c>
      <c r="U726" s="522" t="str">
        <f>INDEX('Rate Card'!$E:$E,MATCH(服务费底表!$T726,'Rate Card'!$F:$F,0))</f>
        <v>临床稽查经理</v>
      </c>
      <c r="V726" s="331">
        <f>INDEX('Rate Card'!$J:$J,MATCH($T726,'Rate Card'!$F:$F,0))</f>
        <v>600</v>
      </c>
      <c r="W726" s="523">
        <f t="shared" si="666"/>
        <v>600</v>
      </c>
      <c r="X726" s="523">
        <f t="shared" si="667"/>
        <v>8</v>
      </c>
      <c r="Y726" s="327" cm="1">
        <f t="array" ref="Y726">_xlfn.IFS(报价场景=服务费底表!$AJ$2,服务费底表!$AJ726,报价场景=服务费底表!$AP$2,服务费底表!$AP726,报价场景=服务费底表!$AK$2,服务费底表!$AK726,报价场景=服务费底表!$AL$2,服务费底表!$AL726,报价场景=服务费底表!$AM$2,服务费底表!$AM726,报价场景=服务费底表!$AN$2,服务费底表!$AN726,报价场景=服务费底表!$AQ$2,服务费底表!$AQ726,报价场景=服务费底表!$AO$2,服务费底表!$AO726)</f>
        <v>8</v>
      </c>
      <c r="Z726" s="327"/>
      <c r="AA726" s="332">
        <f t="shared" si="654"/>
        <v>8</v>
      </c>
      <c r="AB726" s="333">
        <f t="shared" si="646"/>
        <v>0</v>
      </c>
      <c r="AC726" s="328">
        <f t="shared" si="647"/>
        <v>0</v>
      </c>
      <c r="AD726" s="334">
        <f t="shared" si="648"/>
        <v>0</v>
      </c>
      <c r="AE726" s="334">
        <f>$AB726*(1-INDEX(项目参数!$D$5:$D$14,MATCH(服务费底表!$S726,项目参数!$B$5:$B$14,0)))</f>
        <v>0</v>
      </c>
      <c r="AF726" s="334">
        <f>$AD726*INDEX(项目参数!$D$5:$D$14,MATCH(服务费底表!$S726,项目参数!$B$5:$B$14,0))</f>
        <v>0</v>
      </c>
      <c r="AG726" s="334">
        <f t="shared" si="664"/>
        <v>0</v>
      </c>
      <c r="AH726" s="328"/>
      <c r="AI726" s="328" t="s">
        <v>647</v>
      </c>
      <c r="AJ726" s="327">
        <v>8</v>
      </c>
      <c r="AK726" s="327">
        <v>8</v>
      </c>
      <c r="AL726" s="327">
        <v>8</v>
      </c>
      <c r="AM726" s="327">
        <v>8</v>
      </c>
      <c r="AN726" s="327">
        <v>8</v>
      </c>
      <c r="AO726" s="327">
        <v>8</v>
      </c>
      <c r="AP726" s="327">
        <v>8</v>
      </c>
      <c r="AQ726" s="327">
        <f t="shared" si="668"/>
        <v>12</v>
      </c>
      <c r="AR726" s="338"/>
      <c r="AS726" s="328">
        <f t="shared" si="657"/>
        <v>0</v>
      </c>
      <c r="AT726" s="328">
        <f t="shared" si="658"/>
        <v>0</v>
      </c>
      <c r="AU726" s="523">
        <v>8</v>
      </c>
      <c r="AV726" s="328"/>
      <c r="AW726" s="328"/>
      <c r="AX726" s="332">
        <v>8</v>
      </c>
      <c r="AY726" s="328" t="b">
        <f t="shared" si="665"/>
        <v>1</v>
      </c>
      <c r="AZ726" s="328" t="b">
        <f t="shared" si="661"/>
        <v>1</v>
      </c>
    </row>
    <row r="727" ht="27" customHeight="1" spans="1:52">
      <c r="A727" s="326" t="str">
        <f>INDEX('Rate Card'!$A:$A,MATCH(服务费底表!$T727,'Rate Card'!$F:$F,0))</f>
        <v>质量保证</v>
      </c>
      <c r="B727" s="327" t="str">
        <f>INDEX(二三级标准!$G:$G,MATCH(服务费底表!$K727,二三级标准!B:B,0))</f>
        <v>次</v>
      </c>
      <c r="C727" s="327">
        <f>INDEX(服务费明细!$E:$E,MATCH(服务费底表!$K727,服务费明细!$B:$B,0))</f>
        <v>0</v>
      </c>
      <c r="D727" s="327" t="str">
        <f t="shared" si="644"/>
        <v>A167QAS</v>
      </c>
      <c r="E727" s="327" t="str">
        <f t="shared" si="645"/>
        <v>T0547QAS</v>
      </c>
      <c r="F727" s="328"/>
      <c r="G727" s="328" t="s">
        <v>684</v>
      </c>
      <c r="H727" s="326" t="str">
        <f>INDEX('Rate Card'!$B:$B,MATCH(服务费底表!$T727,'Rate Card'!$F:$F,0))</f>
        <v>质量保证</v>
      </c>
      <c r="I727" s="328" t="s">
        <v>929</v>
      </c>
      <c r="J727" s="328" t="str">
        <f>INDEX(二三级标准!$Q:$Q,MATCH(服务费底表!I727,二三级标准!$O:$O,0))</f>
        <v>质量保证</v>
      </c>
      <c r="K727" s="328" t="s">
        <v>441</v>
      </c>
      <c r="L727" s="328" t="str">
        <f>INDEX(二三级标准!C:C,MATCH(服务费底表!K727,二三级标准!$B:$B,0))</f>
        <v>第三方供应商稽查</v>
      </c>
      <c r="M727" s="328" t="s">
        <v>1723</v>
      </c>
      <c r="N727" s="328" t="str">
        <f>INDEX(二三级标准!$M:$M,MATCH(服务费底表!$M727,二三级标准!$L:$L,0))</f>
        <v>第三方供应商稽查差旅</v>
      </c>
      <c r="O727" s="328"/>
      <c r="P727" s="327">
        <f>IF(R727=1,INDEX(服务费明细!$E:$E,MATCH(服务费底表!$K727,服务费明细!$B:$B,0)),0)</f>
        <v>0</v>
      </c>
      <c r="Q727" s="328" t="s">
        <v>1178</v>
      </c>
      <c r="R727" s="520">
        <f>IF(AND(IRC稽查YN=1,质量保证YN=1),1,0)</f>
        <v>0</v>
      </c>
      <c r="S727" s="328" t="str">
        <f>INDEX('Rate Card'!$D:$D,MATCH(服务费底表!$T727,'Rate Card'!F:F,0))</f>
        <v>质量保证</v>
      </c>
      <c r="T727" s="328" t="s">
        <v>649</v>
      </c>
      <c r="U727" s="522" t="str">
        <f>INDEX('Rate Card'!$E:$E,MATCH(服务费底表!$T727,'Rate Card'!$F:$F,0))</f>
        <v>临床稽查员</v>
      </c>
      <c r="V727" s="331">
        <f>INDEX('Rate Card'!$J:$J,MATCH($T727,'Rate Card'!$F:$F,0))</f>
        <v>400</v>
      </c>
      <c r="W727" s="523">
        <f t="shared" si="666"/>
        <v>400</v>
      </c>
      <c r="X727" s="523">
        <f t="shared" si="667"/>
        <v>8</v>
      </c>
      <c r="Y727" s="327" cm="1">
        <f t="array" ref="Y727">_xlfn.IFS(报价场景=服务费底表!$AJ$2,服务费底表!$AJ727,报价场景=服务费底表!$AP$2,服务费底表!$AP727,报价场景=服务费底表!$AK$2,服务费底表!$AK727,报价场景=服务费底表!$AL$2,服务费底表!$AL727,报价场景=服务费底表!$AM$2,服务费底表!$AM727,报价场景=服务费底表!$AN$2,服务费底表!$AN727,报价场景=服务费底表!$AQ$2,服务费底表!$AQ727,报价场景=服务费底表!$AO$2,服务费底表!$AO727)</f>
        <v>8</v>
      </c>
      <c r="Z727" s="327"/>
      <c r="AA727" s="332">
        <f t="shared" si="654"/>
        <v>8</v>
      </c>
      <c r="AB727" s="333">
        <f t="shared" si="646"/>
        <v>0</v>
      </c>
      <c r="AC727" s="328">
        <f t="shared" si="647"/>
        <v>0</v>
      </c>
      <c r="AD727" s="334">
        <f t="shared" si="648"/>
        <v>0</v>
      </c>
      <c r="AE727" s="334">
        <f>$AB727*(1-INDEX(项目参数!$D$5:$D$14,MATCH(服务费底表!$S727,项目参数!$B$5:$B$14,0)))</f>
        <v>0</v>
      </c>
      <c r="AF727" s="334">
        <f>$AD727*INDEX(项目参数!$D$5:$D$14,MATCH(服务费底表!$S727,项目参数!$B$5:$B$14,0))</f>
        <v>0</v>
      </c>
      <c r="AG727" s="334">
        <f t="shared" si="664"/>
        <v>0</v>
      </c>
      <c r="AH727" s="328"/>
      <c r="AI727" s="328" t="s">
        <v>649</v>
      </c>
      <c r="AJ727" s="327">
        <v>8</v>
      </c>
      <c r="AK727" s="327">
        <v>8</v>
      </c>
      <c r="AL727" s="327">
        <v>8</v>
      </c>
      <c r="AM727" s="327">
        <v>8</v>
      </c>
      <c r="AN727" s="327">
        <v>8</v>
      </c>
      <c r="AO727" s="327">
        <v>8</v>
      </c>
      <c r="AP727" s="327">
        <v>8</v>
      </c>
      <c r="AQ727" s="327">
        <f t="shared" si="668"/>
        <v>12</v>
      </c>
      <c r="AR727" s="338"/>
      <c r="AS727" s="328">
        <f t="shared" si="657"/>
        <v>0</v>
      </c>
      <c r="AT727" s="328">
        <f t="shared" si="658"/>
        <v>0</v>
      </c>
      <c r="AU727" s="523">
        <v>8</v>
      </c>
      <c r="AV727" s="328"/>
      <c r="AW727" s="328"/>
      <c r="AX727" s="332">
        <v>8</v>
      </c>
      <c r="AY727" s="328" t="b">
        <f t="shared" si="665"/>
        <v>1</v>
      </c>
      <c r="AZ727" s="328" t="b">
        <f t="shared" si="661"/>
        <v>1</v>
      </c>
    </row>
    <row r="728" ht="27" customHeight="1" spans="1:52">
      <c r="A728" s="326" t="str">
        <f>INDEX('Rate Card'!$A:$A,MATCH(服务费底表!$T728,'Rate Card'!$F:$F,0))</f>
        <v>质量保证</v>
      </c>
      <c r="B728" s="327" t="str">
        <f>INDEX(二三级标准!$G:$G,MATCH(服务费底表!$K728,二三级标准!B:B,0))</f>
        <v>次</v>
      </c>
      <c r="C728" s="327">
        <f>INDEX(服务费明细!$E:$E,MATCH(服务费底表!$K728,服务费明细!$B:$B,0))</f>
        <v>0</v>
      </c>
      <c r="D728" s="327" t="str">
        <f t="shared" si="644"/>
        <v>A167QAM</v>
      </c>
      <c r="E728" s="327" t="str">
        <f t="shared" si="645"/>
        <v>T0547QAM</v>
      </c>
      <c r="F728" s="328"/>
      <c r="G728" s="328" t="s">
        <v>684</v>
      </c>
      <c r="H728" s="326" t="str">
        <f>INDEX('Rate Card'!$B:$B,MATCH(服务费底表!$T728,'Rate Card'!$F:$F,0))</f>
        <v>质量保证</v>
      </c>
      <c r="I728" s="328" t="s">
        <v>929</v>
      </c>
      <c r="J728" s="328" t="str">
        <f>INDEX(二三级标准!$Q:$Q,MATCH(服务费底表!I728,二三级标准!$O:$O,0))</f>
        <v>质量保证</v>
      </c>
      <c r="K728" s="328" t="s">
        <v>441</v>
      </c>
      <c r="L728" s="328" t="str">
        <f>INDEX(二三级标准!C:C,MATCH(服务费底表!K728,二三级标准!$B:$B,0))</f>
        <v>第三方供应商稽查</v>
      </c>
      <c r="M728" s="328" t="s">
        <v>1723</v>
      </c>
      <c r="N728" s="328" t="str">
        <f>INDEX(二三级标准!$M:$M,MATCH(服务费底表!$M728,二三级标准!$L:$L,0))</f>
        <v>第三方供应商稽查差旅</v>
      </c>
      <c r="O728" s="328"/>
      <c r="P728" s="327">
        <f>IF(R728=1,INDEX(服务费明细!$E:$E,MATCH(服务费底表!$K728,服务费明细!$B:$B,0)),0)</f>
        <v>0</v>
      </c>
      <c r="Q728" s="328" t="s">
        <v>1178</v>
      </c>
      <c r="R728" s="520">
        <f>IF(AND(IRC稽查YN=1,质量保证YN=1),1,0)</f>
        <v>0</v>
      </c>
      <c r="S728" s="328" t="str">
        <f>INDEX('Rate Card'!$D:$D,MATCH(服务费底表!$T728,'Rate Card'!F:F,0))</f>
        <v>质量保证</v>
      </c>
      <c r="T728" s="328" t="s">
        <v>647</v>
      </c>
      <c r="U728" s="522" t="str">
        <f>INDEX('Rate Card'!$E:$E,MATCH(服务费底表!$T728,'Rate Card'!$F:$F,0))</f>
        <v>临床稽查经理</v>
      </c>
      <c r="V728" s="331">
        <f>INDEX('Rate Card'!$J:$J,MATCH($T728,'Rate Card'!$F:$F,0))</f>
        <v>600</v>
      </c>
      <c r="W728" s="523">
        <f t="shared" si="666"/>
        <v>600</v>
      </c>
      <c r="X728" s="523">
        <f t="shared" si="667"/>
        <v>8</v>
      </c>
      <c r="Y728" s="327" cm="1">
        <f t="array" ref="Y728">_xlfn.IFS(报价场景=服务费底表!$AJ$2,服务费底表!$AJ728,报价场景=服务费底表!$AP$2,服务费底表!$AP728,报价场景=服务费底表!$AK$2,服务费底表!$AK728,报价场景=服务费底表!$AL$2,服务费底表!$AL728,报价场景=服务费底表!$AM$2,服务费底表!$AM728,报价场景=服务费底表!$AN$2,服务费底表!$AN728,报价场景=服务费底表!$AQ$2,服务费底表!$AQ728,报价场景=服务费底表!$AO$2,服务费底表!$AO728)</f>
        <v>8</v>
      </c>
      <c r="Z728" s="327"/>
      <c r="AA728" s="332">
        <f t="shared" si="654"/>
        <v>8</v>
      </c>
      <c r="AB728" s="333">
        <f t="shared" si="646"/>
        <v>0</v>
      </c>
      <c r="AC728" s="328">
        <f t="shared" si="647"/>
        <v>0</v>
      </c>
      <c r="AD728" s="334">
        <f t="shared" si="648"/>
        <v>0</v>
      </c>
      <c r="AE728" s="334">
        <f>$AB728*(1-INDEX(项目参数!$D$5:$D$14,MATCH(服务费底表!$S728,项目参数!$B$5:$B$14,0)))</f>
        <v>0</v>
      </c>
      <c r="AF728" s="334">
        <f>$AD728*INDEX(项目参数!$D$5:$D$14,MATCH(服务费底表!$S728,项目参数!$B$5:$B$14,0))</f>
        <v>0</v>
      </c>
      <c r="AG728" s="334">
        <f t="shared" si="664"/>
        <v>0</v>
      </c>
      <c r="AH728" s="328"/>
      <c r="AI728" s="328" t="s">
        <v>647</v>
      </c>
      <c r="AJ728" s="327">
        <v>8</v>
      </c>
      <c r="AK728" s="327">
        <v>8</v>
      </c>
      <c r="AL728" s="327">
        <v>8</v>
      </c>
      <c r="AM728" s="327">
        <v>8</v>
      </c>
      <c r="AN728" s="327">
        <v>8</v>
      </c>
      <c r="AO728" s="327">
        <v>8</v>
      </c>
      <c r="AP728" s="327">
        <v>8</v>
      </c>
      <c r="AQ728" s="327">
        <f t="shared" si="668"/>
        <v>12</v>
      </c>
      <c r="AR728" s="338"/>
      <c r="AS728" s="328">
        <f t="shared" si="657"/>
        <v>0</v>
      </c>
      <c r="AT728" s="328">
        <f t="shared" si="658"/>
        <v>0</v>
      </c>
      <c r="AU728" s="523">
        <v>8</v>
      </c>
      <c r="AV728" s="328"/>
      <c r="AW728" s="328"/>
      <c r="AX728" s="332">
        <v>8</v>
      </c>
      <c r="AY728" s="328" t="b">
        <f t="shared" si="665"/>
        <v>1</v>
      </c>
      <c r="AZ728" s="328" t="b">
        <f t="shared" si="661"/>
        <v>1</v>
      </c>
    </row>
    <row r="729" ht="27" customHeight="1" spans="1:52">
      <c r="A729" s="326" t="str">
        <f>INDEX('Rate Card'!$A:$A,MATCH(服务费底表!$T729,'Rate Card'!$F:$F,0))</f>
        <v>质量保证</v>
      </c>
      <c r="B729" s="327" t="str">
        <f>INDEX(二三级标准!$G:$G,MATCH(服务费底表!$K729,二三级标准!B:B,0))</f>
        <v>次</v>
      </c>
      <c r="C729" s="327">
        <f>INDEX(服务费明细!$E:$E,MATCH(服务费底表!$K729,服务费明细!$B:$B,0))</f>
        <v>0</v>
      </c>
      <c r="D729" s="327" t="str">
        <f t="shared" si="644"/>
        <v>A167QAS</v>
      </c>
      <c r="E729" s="327" t="str">
        <f t="shared" si="645"/>
        <v>T0548QAS</v>
      </c>
      <c r="F729" s="328"/>
      <c r="G729" s="328" t="s">
        <v>684</v>
      </c>
      <c r="H729" s="326" t="str">
        <f>INDEX('Rate Card'!$B:$B,MATCH(服务费底表!$T729,'Rate Card'!$F:$F,0))</f>
        <v>质量保证</v>
      </c>
      <c r="I729" s="328" t="s">
        <v>929</v>
      </c>
      <c r="J729" s="328" t="str">
        <f>INDEX(二三级标准!$Q:$Q,MATCH(服务费底表!I729,二三级标准!$O:$O,0))</f>
        <v>质量保证</v>
      </c>
      <c r="K729" s="328" t="s">
        <v>441</v>
      </c>
      <c r="L729" s="328" t="str">
        <f>INDEX(二三级标准!C:C,MATCH(服务费底表!K729,二三级标准!$B:$B,0))</f>
        <v>第三方供应商稽查</v>
      </c>
      <c r="M729" s="328" t="s">
        <v>1724</v>
      </c>
      <c r="N729" s="328" t="str">
        <f>INDEX(二三级标准!$M:$M,MATCH(服务费底表!$M729,二三级标准!$L:$L,0))</f>
        <v>第三方供应商现场稽查</v>
      </c>
      <c r="O729" s="328"/>
      <c r="P729" s="327">
        <f>IF(R729=1,INDEX(服务费明细!$E:$E,MATCH(服务费底表!$K729,服务费明细!$B:$B,0)),0)</f>
        <v>0</v>
      </c>
      <c r="Q729" s="328" t="s">
        <v>1178</v>
      </c>
      <c r="R729" s="520">
        <f>IF(AND(IRC稽查YN=1,质量保证YN=1),1,0)</f>
        <v>0</v>
      </c>
      <c r="S729" s="328" t="str">
        <f>INDEX('Rate Card'!$D:$D,MATCH(服务费底表!$T729,'Rate Card'!F:F,0))</f>
        <v>质量保证</v>
      </c>
      <c r="T729" s="328" t="s">
        <v>649</v>
      </c>
      <c r="U729" s="522" t="str">
        <f>INDEX('Rate Card'!$E:$E,MATCH(服务费底表!$T729,'Rate Card'!$F:$F,0))</f>
        <v>临床稽查员</v>
      </c>
      <c r="V729" s="331">
        <f>INDEX('Rate Card'!$J:$J,MATCH($T729,'Rate Card'!$F:$F,0))</f>
        <v>400</v>
      </c>
      <c r="W729" s="523">
        <f t="shared" si="666"/>
        <v>400</v>
      </c>
      <c r="X729" s="523">
        <f t="shared" si="667"/>
        <v>24</v>
      </c>
      <c r="Y729" s="327" cm="1">
        <f t="array" ref="Y729">_xlfn.IFS(报价场景=服务费底表!$AJ$2,服务费底表!$AJ729,报价场景=服务费底表!$AP$2,服务费底表!$AP729,报价场景=服务费底表!$AK$2,服务费底表!$AK729,报价场景=服务费底表!$AL$2,服务费底表!$AL729,报价场景=服务费底表!$AM$2,服务费底表!$AM729,报价场景=服务费底表!$AN$2,服务费底表!$AN729,报价场景=服务费底表!$AQ$2,服务费底表!$AQ729,报价场景=服务费底表!$AO$2,服务费底表!$AO729)</f>
        <v>24</v>
      </c>
      <c r="Z729" s="327"/>
      <c r="AA729" s="332">
        <f t="shared" si="654"/>
        <v>24</v>
      </c>
      <c r="AB729" s="333">
        <f t="shared" si="646"/>
        <v>0</v>
      </c>
      <c r="AC729" s="328">
        <f t="shared" si="647"/>
        <v>0</v>
      </c>
      <c r="AD729" s="334">
        <f t="shared" si="648"/>
        <v>0</v>
      </c>
      <c r="AE729" s="334">
        <f>$AB729*(1-INDEX(项目参数!$D$5:$D$14,MATCH(服务费底表!$S729,项目参数!$B$5:$B$14,0)))</f>
        <v>0</v>
      </c>
      <c r="AF729" s="334">
        <f>$AD729*INDEX(项目参数!$D$5:$D$14,MATCH(服务费底表!$S729,项目参数!$B$5:$B$14,0))</f>
        <v>0</v>
      </c>
      <c r="AG729" s="334">
        <f t="shared" si="664"/>
        <v>0</v>
      </c>
      <c r="AH729" s="328"/>
      <c r="AI729" s="328" t="s">
        <v>649</v>
      </c>
      <c r="AJ729" s="327">
        <v>24</v>
      </c>
      <c r="AK729" s="327">
        <v>24</v>
      </c>
      <c r="AL729" s="327">
        <v>24</v>
      </c>
      <c r="AM729" s="327">
        <v>24</v>
      </c>
      <c r="AN729" s="327">
        <v>24</v>
      </c>
      <c r="AO729" s="327">
        <v>24</v>
      </c>
      <c r="AP729" s="327">
        <v>24</v>
      </c>
      <c r="AQ729" s="327">
        <f t="shared" si="668"/>
        <v>36</v>
      </c>
      <c r="AR729" s="338"/>
      <c r="AS729" s="328">
        <f t="shared" si="657"/>
        <v>0</v>
      </c>
      <c r="AT729" s="328">
        <f t="shared" si="658"/>
        <v>0</v>
      </c>
      <c r="AU729" s="523">
        <v>24</v>
      </c>
      <c r="AV729" s="328"/>
      <c r="AW729" s="328"/>
      <c r="AX729" s="332">
        <v>24</v>
      </c>
      <c r="AY729" s="328" t="b">
        <f t="shared" si="665"/>
        <v>1</v>
      </c>
      <c r="AZ729" s="328" t="b">
        <f t="shared" si="661"/>
        <v>1</v>
      </c>
    </row>
    <row r="730" ht="27" customHeight="1" spans="1:52">
      <c r="A730" s="326" t="str">
        <f>INDEX('Rate Card'!$A:$A,MATCH(服务费底表!$T730,'Rate Card'!$F:$F,0))</f>
        <v>质量保证</v>
      </c>
      <c r="B730" s="327" t="str">
        <f>INDEX(二三级标准!$G:$G,MATCH(服务费底表!$K730,二三级标准!B:B,0))</f>
        <v>次</v>
      </c>
      <c r="C730" s="327">
        <f>INDEX(服务费明细!$E:$E,MATCH(服务费底表!$K730,服务费明细!$B:$B,0))</f>
        <v>0</v>
      </c>
      <c r="D730" s="327" t="str">
        <f t="shared" si="644"/>
        <v>A167QAM</v>
      </c>
      <c r="E730" s="327" t="str">
        <f t="shared" si="645"/>
        <v>T0548QAM</v>
      </c>
      <c r="F730" s="328"/>
      <c r="G730" s="328" t="s">
        <v>684</v>
      </c>
      <c r="H730" s="326" t="str">
        <f>INDEX('Rate Card'!$B:$B,MATCH(服务费底表!$T730,'Rate Card'!$F:$F,0))</f>
        <v>质量保证</v>
      </c>
      <c r="I730" s="328" t="s">
        <v>929</v>
      </c>
      <c r="J730" s="328" t="str">
        <f>INDEX(二三级标准!$Q:$Q,MATCH(服务费底表!I730,二三级标准!$O:$O,0))</f>
        <v>质量保证</v>
      </c>
      <c r="K730" s="328" t="s">
        <v>441</v>
      </c>
      <c r="L730" s="328" t="str">
        <f>INDEX(二三级标准!C:C,MATCH(服务费底表!K730,二三级标准!$B:$B,0))</f>
        <v>第三方供应商稽查</v>
      </c>
      <c r="M730" s="328" t="s">
        <v>1724</v>
      </c>
      <c r="N730" s="328" t="str">
        <f>INDEX(二三级标准!$M:$M,MATCH(服务费底表!$M730,二三级标准!$L:$L,0))</f>
        <v>第三方供应商现场稽查</v>
      </c>
      <c r="O730" s="328"/>
      <c r="P730" s="327">
        <f>IF(R730=1,INDEX(服务费明细!$E:$E,MATCH(服务费底表!$K730,服务费明细!$B:$B,0)),0)</f>
        <v>0</v>
      </c>
      <c r="Q730" s="328" t="s">
        <v>1178</v>
      </c>
      <c r="R730" s="520">
        <f>IF(AND(IRC稽查YN=1,质量保证YN=1),1,0)</f>
        <v>0</v>
      </c>
      <c r="S730" s="328" t="str">
        <f>INDEX('Rate Card'!$D:$D,MATCH(服务费底表!$T730,'Rate Card'!F:F,0))</f>
        <v>质量保证</v>
      </c>
      <c r="T730" s="328" t="s">
        <v>647</v>
      </c>
      <c r="U730" s="522" t="str">
        <f>INDEX('Rate Card'!$E:$E,MATCH(服务费底表!$T730,'Rate Card'!$F:$F,0))</f>
        <v>临床稽查经理</v>
      </c>
      <c r="V730" s="331">
        <f>INDEX('Rate Card'!$J:$J,MATCH($T730,'Rate Card'!$F:$F,0))</f>
        <v>600</v>
      </c>
      <c r="W730" s="523">
        <f t="shared" si="666"/>
        <v>600</v>
      </c>
      <c r="X730" s="523">
        <f t="shared" si="667"/>
        <v>24</v>
      </c>
      <c r="Y730" s="327" cm="1">
        <f t="array" ref="Y730">_xlfn.IFS(报价场景=服务费底表!$AJ$2,服务费底表!$AJ730,报价场景=服务费底表!$AP$2,服务费底表!$AP730,报价场景=服务费底表!$AK$2,服务费底表!$AK730,报价场景=服务费底表!$AL$2,服务费底表!$AL730,报价场景=服务费底表!$AM$2,服务费底表!$AM730,报价场景=服务费底表!$AN$2,服务费底表!$AN730,报价场景=服务费底表!$AQ$2,服务费底表!$AQ730,报价场景=服务费底表!$AO$2,服务费底表!$AO730)</f>
        <v>24</v>
      </c>
      <c r="Z730" s="327"/>
      <c r="AA730" s="332">
        <f t="shared" si="654"/>
        <v>24</v>
      </c>
      <c r="AB730" s="333">
        <f t="shared" si="646"/>
        <v>0</v>
      </c>
      <c r="AC730" s="328">
        <f t="shared" si="647"/>
        <v>0</v>
      </c>
      <c r="AD730" s="334">
        <f t="shared" si="648"/>
        <v>0</v>
      </c>
      <c r="AE730" s="334">
        <f>$AB730*(1-INDEX(项目参数!$D$5:$D$14,MATCH(服务费底表!$S730,项目参数!$B$5:$B$14,0)))</f>
        <v>0</v>
      </c>
      <c r="AF730" s="334">
        <f>$AD730*INDEX(项目参数!$D$5:$D$14,MATCH(服务费底表!$S730,项目参数!$B$5:$B$14,0))</f>
        <v>0</v>
      </c>
      <c r="AG730" s="334">
        <f t="shared" ref="AG730:AG747" si="669">AD730-AF730</f>
        <v>0</v>
      </c>
      <c r="AH730" s="328"/>
      <c r="AI730" s="328" t="s">
        <v>647</v>
      </c>
      <c r="AJ730" s="327">
        <v>24</v>
      </c>
      <c r="AK730" s="327">
        <v>24</v>
      </c>
      <c r="AL730" s="327">
        <v>24</v>
      </c>
      <c r="AM730" s="327">
        <v>24</v>
      </c>
      <c r="AN730" s="327">
        <v>24</v>
      </c>
      <c r="AO730" s="327">
        <v>24</v>
      </c>
      <c r="AP730" s="327">
        <v>24</v>
      </c>
      <c r="AQ730" s="327">
        <f t="shared" si="668"/>
        <v>36</v>
      </c>
      <c r="AR730" s="338"/>
      <c r="AS730" s="328">
        <f t="shared" si="657"/>
        <v>0</v>
      </c>
      <c r="AT730" s="328">
        <f t="shared" si="658"/>
        <v>0</v>
      </c>
      <c r="AU730" s="523">
        <v>24</v>
      </c>
      <c r="AV730" s="328"/>
      <c r="AW730" s="328"/>
      <c r="AX730" s="332">
        <v>24</v>
      </c>
      <c r="AY730" s="328" t="b">
        <f t="shared" ref="AY730:AY747" si="670">IF(AX730=AJ730,TRUE,FALSE)</f>
        <v>1</v>
      </c>
      <c r="AZ730" s="328" t="b">
        <f t="shared" si="661"/>
        <v>1</v>
      </c>
    </row>
    <row r="731" ht="27" customHeight="1" spans="1:52">
      <c r="A731" s="326" t="str">
        <f>INDEX('Rate Card'!$A:$A,MATCH(服务费底表!$T731,'Rate Card'!$F:$F,0))</f>
        <v>质量保证</v>
      </c>
      <c r="B731" s="327" t="str">
        <f>INDEX(二三级标准!$G:$G,MATCH(服务费底表!$K731,二三级标准!B:B,0))</f>
        <v>次</v>
      </c>
      <c r="C731" s="327">
        <f>INDEX(服务费明细!$E:$E,MATCH(服务费底表!$K731,服务费明细!$B:$B,0))</f>
        <v>0</v>
      </c>
      <c r="D731" s="327" t="str">
        <f t="shared" si="644"/>
        <v>A167QAM</v>
      </c>
      <c r="E731" s="327" t="str">
        <f t="shared" si="645"/>
        <v>T0549QAM</v>
      </c>
      <c r="F731" s="328"/>
      <c r="G731" s="328" t="s">
        <v>684</v>
      </c>
      <c r="H731" s="326" t="str">
        <f>INDEX('Rate Card'!$B:$B,MATCH(服务费底表!$T731,'Rate Card'!$F:$F,0))</f>
        <v>质量保证</v>
      </c>
      <c r="I731" s="328" t="s">
        <v>929</v>
      </c>
      <c r="J731" s="328" t="str">
        <f>INDEX(二三级标准!$Q:$Q,MATCH(服务费底表!I731,二三级标准!$O:$O,0))</f>
        <v>质量保证</v>
      </c>
      <c r="K731" s="328" t="s">
        <v>441</v>
      </c>
      <c r="L731" s="328" t="str">
        <f>INDEX(二三级标准!C:C,MATCH(服务费底表!K731,二三级标准!$B:$B,0))</f>
        <v>第三方供应商稽查</v>
      </c>
      <c r="M731" s="328" t="s">
        <v>1725</v>
      </c>
      <c r="N731" s="328" t="str">
        <f>INDEX(二三级标准!$M:$M,MATCH(服务费底表!$M731,二三级标准!$L:$L,0))</f>
        <v>第三方供应商稽查报告撰写</v>
      </c>
      <c r="O731" s="328"/>
      <c r="P731" s="327">
        <f>IF(R731=1,INDEX(服务费明细!$E:$E,MATCH(服务费底表!$K731,服务费明细!$B:$B,0)),0)</f>
        <v>0</v>
      </c>
      <c r="Q731" s="328" t="s">
        <v>1178</v>
      </c>
      <c r="R731" s="520">
        <f>IF(AND(IRC稽查YN=1,质量保证YN=1),1,0)</f>
        <v>0</v>
      </c>
      <c r="S731" s="328" t="str">
        <f>INDEX('Rate Card'!$D:$D,MATCH(服务费底表!$T731,'Rate Card'!F:F,0))</f>
        <v>质量保证</v>
      </c>
      <c r="T731" s="328" t="s">
        <v>647</v>
      </c>
      <c r="U731" s="522" t="str">
        <f>INDEX('Rate Card'!$E:$E,MATCH(服务费底表!$T731,'Rate Card'!$F:$F,0))</f>
        <v>临床稽查经理</v>
      </c>
      <c r="V731" s="331">
        <f>INDEX('Rate Card'!$J:$J,MATCH($T731,'Rate Card'!$F:$F,0))</f>
        <v>600</v>
      </c>
      <c r="W731" s="523">
        <f t="shared" si="666"/>
        <v>600</v>
      </c>
      <c r="X731" s="523">
        <f t="shared" si="667"/>
        <v>8</v>
      </c>
      <c r="Y731" s="327" cm="1">
        <f t="array" ref="Y731">_xlfn.IFS(报价场景=服务费底表!$AJ$2,服务费底表!$AJ731,报价场景=服务费底表!$AP$2,服务费底表!$AP731,报价场景=服务费底表!$AK$2,服务费底表!$AK731,报价场景=服务费底表!$AL$2,服务费底表!$AL731,报价场景=服务费底表!$AM$2,服务费底表!$AM731,报价场景=服务费底表!$AN$2,服务费底表!$AN731,报价场景=服务费底表!$AQ$2,服务费底表!$AQ731,报价场景=服务费底表!$AO$2,服务费底表!$AO731)</f>
        <v>8</v>
      </c>
      <c r="Z731" s="327"/>
      <c r="AA731" s="332">
        <f t="shared" si="654"/>
        <v>8</v>
      </c>
      <c r="AB731" s="333">
        <f t="shared" si="646"/>
        <v>0</v>
      </c>
      <c r="AC731" s="328">
        <f t="shared" si="647"/>
        <v>0</v>
      </c>
      <c r="AD731" s="334">
        <f t="shared" si="648"/>
        <v>0</v>
      </c>
      <c r="AE731" s="334">
        <f>$AB731*(1-INDEX(项目参数!$D$5:$D$14,MATCH(服务费底表!$S731,项目参数!$B$5:$B$14,0)))</f>
        <v>0</v>
      </c>
      <c r="AF731" s="334">
        <f>$AD731*INDEX(项目参数!$D$5:$D$14,MATCH(服务费底表!$S731,项目参数!$B$5:$B$14,0))</f>
        <v>0</v>
      </c>
      <c r="AG731" s="334">
        <f t="shared" si="669"/>
        <v>0</v>
      </c>
      <c r="AH731" s="328"/>
      <c r="AI731" s="328" t="s">
        <v>647</v>
      </c>
      <c r="AJ731" s="327">
        <v>8</v>
      </c>
      <c r="AK731" s="327">
        <v>8</v>
      </c>
      <c r="AL731" s="327">
        <v>8</v>
      </c>
      <c r="AM731" s="327">
        <v>8</v>
      </c>
      <c r="AN731" s="327">
        <v>8</v>
      </c>
      <c r="AO731" s="327">
        <v>8</v>
      </c>
      <c r="AP731" s="327">
        <v>8</v>
      </c>
      <c r="AQ731" s="327">
        <f t="shared" si="668"/>
        <v>12</v>
      </c>
      <c r="AR731" s="338"/>
      <c r="AS731" s="328">
        <f t="shared" si="657"/>
        <v>0</v>
      </c>
      <c r="AT731" s="328">
        <f t="shared" si="658"/>
        <v>0</v>
      </c>
      <c r="AU731" s="523">
        <v>8</v>
      </c>
      <c r="AV731" s="328"/>
      <c r="AW731" s="328"/>
      <c r="AX731" s="332">
        <v>8</v>
      </c>
      <c r="AY731" s="328" t="b">
        <f t="shared" si="670"/>
        <v>1</v>
      </c>
      <c r="AZ731" s="328" t="b">
        <f t="shared" si="661"/>
        <v>1</v>
      </c>
    </row>
    <row r="732" ht="27" customHeight="1" spans="1:52">
      <c r="A732" s="326" t="str">
        <f>INDEX('Rate Card'!$A:$A,MATCH(服务费底表!$T732,'Rate Card'!$F:$F,0))</f>
        <v>质量保证</v>
      </c>
      <c r="B732" s="327" t="str">
        <f>INDEX(二三级标准!$G:$G,MATCH(服务费底表!$K732,二三级标准!B:B,0))</f>
        <v>次</v>
      </c>
      <c r="C732" s="327">
        <f>INDEX(服务费明细!$E:$E,MATCH(服务费底表!$K732,服务费明细!$B:$B,0))</f>
        <v>0</v>
      </c>
      <c r="D732" s="327" t="str">
        <f t="shared" si="644"/>
        <v>A167QAD</v>
      </c>
      <c r="E732" s="327" t="str">
        <f t="shared" si="645"/>
        <v>T0550QAD</v>
      </c>
      <c r="F732" s="328"/>
      <c r="G732" s="328" t="s">
        <v>684</v>
      </c>
      <c r="H732" s="326" t="str">
        <f>INDEX('Rate Card'!$B:$B,MATCH(服务费底表!$T732,'Rate Card'!$F:$F,0))</f>
        <v>质量保证</v>
      </c>
      <c r="I732" s="328" t="s">
        <v>929</v>
      </c>
      <c r="J732" s="328" t="str">
        <f>INDEX(二三级标准!$Q:$Q,MATCH(服务费底表!I732,二三级标准!$O:$O,0))</f>
        <v>质量保证</v>
      </c>
      <c r="K732" s="328" t="s">
        <v>441</v>
      </c>
      <c r="L732" s="328" t="str">
        <f>INDEX(二三级标准!C:C,MATCH(服务费底表!K732,二三级标准!$B:$B,0))</f>
        <v>第三方供应商稽查</v>
      </c>
      <c r="M732" s="328" t="s">
        <v>1726</v>
      </c>
      <c r="N732" s="328" t="str">
        <f>INDEX(二三级标准!$M:$M,MATCH(服务费底表!$M732,二三级标准!$L:$L,0))</f>
        <v>第三方供应商稽查报告审核</v>
      </c>
      <c r="O732" s="328"/>
      <c r="P732" s="327">
        <f>IF(R732=1,INDEX(服务费明细!$E:$E,MATCH(服务费底表!$K732,服务费明细!$B:$B,0)),0)</f>
        <v>0</v>
      </c>
      <c r="Q732" s="328" t="s">
        <v>1178</v>
      </c>
      <c r="R732" s="520">
        <f>IF(AND(IRC稽查YN=1,质量保证YN=1),1,0)</f>
        <v>0</v>
      </c>
      <c r="S732" s="328" t="str">
        <f>INDEX('Rate Card'!$D:$D,MATCH(服务费底表!$T732,'Rate Card'!F:F,0))</f>
        <v>质量保证</v>
      </c>
      <c r="T732" s="328" t="s">
        <v>645</v>
      </c>
      <c r="U732" s="522" t="str">
        <f>INDEX('Rate Card'!$E:$E,MATCH(服务费底表!$T732,'Rate Card'!$F:$F,0))</f>
        <v>临床稽查总监</v>
      </c>
      <c r="V732" s="331">
        <f>INDEX('Rate Card'!$J:$J,MATCH($T732,'Rate Card'!$F:$F,0))</f>
        <v>1000</v>
      </c>
      <c r="W732" s="523">
        <f t="shared" si="666"/>
        <v>1000</v>
      </c>
      <c r="X732" s="523">
        <f t="shared" si="667"/>
        <v>2</v>
      </c>
      <c r="Y732" s="327" cm="1">
        <f t="array" ref="Y732">_xlfn.IFS(报价场景=服务费底表!$AJ$2,服务费底表!$AJ732,报价场景=服务费底表!$AP$2,服务费底表!$AP732,报价场景=服务费底表!$AK$2,服务费底表!$AK732,报价场景=服务费底表!$AL$2,服务费底表!$AL732,报价场景=服务费底表!$AM$2,服务费底表!$AM732,报价场景=服务费底表!$AN$2,服务费底表!$AN732,报价场景=服务费底表!$AQ$2,服务费底表!$AQ732,报价场景=服务费底表!$AO$2,服务费底表!$AO732)</f>
        <v>2</v>
      </c>
      <c r="Z732" s="327"/>
      <c r="AA732" s="332">
        <f t="shared" si="654"/>
        <v>2</v>
      </c>
      <c r="AB732" s="333">
        <f t="shared" si="646"/>
        <v>0</v>
      </c>
      <c r="AC732" s="328">
        <f t="shared" si="647"/>
        <v>0</v>
      </c>
      <c r="AD732" s="334">
        <f t="shared" si="648"/>
        <v>0</v>
      </c>
      <c r="AE732" s="334">
        <f>$AB732*(1-INDEX(项目参数!$D$5:$D$14,MATCH(服务费底表!$S732,项目参数!$B$5:$B$14,0)))</f>
        <v>0</v>
      </c>
      <c r="AF732" s="334">
        <f>$AD732*INDEX(项目参数!$D$5:$D$14,MATCH(服务费底表!$S732,项目参数!$B$5:$B$14,0))</f>
        <v>0</v>
      </c>
      <c r="AG732" s="334">
        <f t="shared" si="669"/>
        <v>0</v>
      </c>
      <c r="AH732" s="328"/>
      <c r="AI732" s="328" t="s">
        <v>645</v>
      </c>
      <c r="AJ732" s="327">
        <v>2</v>
      </c>
      <c r="AK732" s="327">
        <v>2</v>
      </c>
      <c r="AL732" s="327">
        <v>2</v>
      </c>
      <c r="AM732" s="327">
        <v>2</v>
      </c>
      <c r="AN732" s="327">
        <v>2</v>
      </c>
      <c r="AO732" s="327">
        <v>2</v>
      </c>
      <c r="AP732" s="327">
        <v>2</v>
      </c>
      <c r="AQ732" s="327">
        <f t="shared" si="668"/>
        <v>3</v>
      </c>
      <c r="AR732" s="338"/>
      <c r="AS732" s="328">
        <f t="shared" si="657"/>
        <v>0</v>
      </c>
      <c r="AT732" s="328">
        <f t="shared" si="658"/>
        <v>0</v>
      </c>
      <c r="AU732" s="523">
        <v>2</v>
      </c>
      <c r="AV732" s="328"/>
      <c r="AW732" s="328"/>
      <c r="AX732" s="332">
        <v>2</v>
      </c>
      <c r="AY732" s="328" t="b">
        <f t="shared" si="670"/>
        <v>1</v>
      </c>
      <c r="AZ732" s="328" t="b">
        <f t="shared" si="661"/>
        <v>1</v>
      </c>
    </row>
    <row r="733" ht="27" customHeight="1" spans="1:52">
      <c r="A733" s="326" t="str">
        <f>INDEX('Rate Card'!$A:$A,MATCH(服务费底表!$T733,'Rate Card'!$F:$F,0))</f>
        <v>质量保证</v>
      </c>
      <c r="B733" s="327" t="str">
        <f>INDEX(二三级标准!$G:$G,MATCH(服务费底表!$K733,二三级标准!B:B,0))</f>
        <v>次</v>
      </c>
      <c r="C733" s="327">
        <f>INDEX(服务费明细!$E:$E,MATCH(服务费底表!$K733,服务费明细!$B:$B,0))</f>
        <v>0</v>
      </c>
      <c r="D733" s="327" t="str">
        <f t="shared" si="644"/>
        <v>A167QAM</v>
      </c>
      <c r="E733" s="327" t="str">
        <f t="shared" si="645"/>
        <v>T0551QAM</v>
      </c>
      <c r="F733" s="328"/>
      <c r="G733" s="328" t="s">
        <v>684</v>
      </c>
      <c r="H733" s="326" t="str">
        <f>INDEX('Rate Card'!$B:$B,MATCH(服务费底表!$T733,'Rate Card'!$F:$F,0))</f>
        <v>质量保证</v>
      </c>
      <c r="I733" s="328" t="s">
        <v>929</v>
      </c>
      <c r="J733" s="328" t="str">
        <f>INDEX(二三级标准!$Q:$Q,MATCH(服务费底表!I733,二三级标准!$O:$O,0))</f>
        <v>质量保证</v>
      </c>
      <c r="K733" s="328" t="s">
        <v>441</v>
      </c>
      <c r="L733" s="328" t="str">
        <f>INDEX(二三级标准!C:C,MATCH(服务费底表!K733,二三级标准!$B:$B,0))</f>
        <v>第三方供应商稽查</v>
      </c>
      <c r="M733" s="328" t="s">
        <v>1727</v>
      </c>
      <c r="N733" s="328" t="str">
        <f>INDEX(二三级标准!$M:$M,MATCH(服务费底表!$M733,二三级标准!$L:$L,0))</f>
        <v>跟进第三方供应商稽查发现</v>
      </c>
      <c r="O733" s="328"/>
      <c r="P733" s="327">
        <f>IF(R733=1,INDEX(服务费明细!$E:$E,MATCH(服务费底表!$K733,服务费明细!$B:$B,0)),0)</f>
        <v>0</v>
      </c>
      <c r="Q733" s="328" t="s">
        <v>1178</v>
      </c>
      <c r="R733" s="520">
        <f>IF(AND(IRC稽查YN=1,质量保证YN=1),1,0)</f>
        <v>0</v>
      </c>
      <c r="S733" s="328" t="str">
        <f>INDEX('Rate Card'!$D:$D,MATCH(服务费底表!$T733,'Rate Card'!F:F,0))</f>
        <v>质量保证</v>
      </c>
      <c r="T733" s="328" t="s">
        <v>647</v>
      </c>
      <c r="U733" s="522" t="str">
        <f>INDEX('Rate Card'!$E:$E,MATCH(服务费底表!$T733,'Rate Card'!$F:$F,0))</f>
        <v>临床稽查经理</v>
      </c>
      <c r="V733" s="331">
        <f>INDEX('Rate Card'!$J:$J,MATCH($T733,'Rate Card'!$F:$F,0))</f>
        <v>600</v>
      </c>
      <c r="W733" s="523">
        <f t="shared" si="666"/>
        <v>600</v>
      </c>
      <c r="X733" s="523">
        <f t="shared" si="667"/>
        <v>8</v>
      </c>
      <c r="Y733" s="327" cm="1">
        <f t="array" ref="Y733">_xlfn.IFS(报价场景=服务费底表!$AJ$2,服务费底表!$AJ733,报价场景=服务费底表!$AP$2,服务费底表!$AP733,报价场景=服务费底表!$AK$2,服务费底表!$AK733,报价场景=服务费底表!$AL$2,服务费底表!$AL733,报价场景=服务费底表!$AM$2,服务费底表!$AM733,报价场景=服务费底表!$AN$2,服务费底表!$AN733,报价场景=服务费底表!$AQ$2,服务费底表!$AQ733,报价场景=服务费底表!$AO$2,服务费底表!$AO733)</f>
        <v>8</v>
      </c>
      <c r="Z733" s="327"/>
      <c r="AA733" s="332">
        <f t="shared" si="654"/>
        <v>8</v>
      </c>
      <c r="AB733" s="333">
        <f t="shared" si="646"/>
        <v>0</v>
      </c>
      <c r="AC733" s="328">
        <f t="shared" si="647"/>
        <v>0</v>
      </c>
      <c r="AD733" s="334">
        <f t="shared" si="648"/>
        <v>0</v>
      </c>
      <c r="AE733" s="334">
        <f>$AB733*(1-INDEX(项目参数!$D$5:$D$14,MATCH(服务费底表!$S733,项目参数!$B$5:$B$14,0)))</f>
        <v>0</v>
      </c>
      <c r="AF733" s="334">
        <f>$AD733*INDEX(项目参数!$D$5:$D$14,MATCH(服务费底表!$S733,项目参数!$B$5:$B$14,0))</f>
        <v>0</v>
      </c>
      <c r="AG733" s="334">
        <f t="shared" si="669"/>
        <v>0</v>
      </c>
      <c r="AH733" s="328"/>
      <c r="AI733" s="328" t="s">
        <v>647</v>
      </c>
      <c r="AJ733" s="327">
        <v>8</v>
      </c>
      <c r="AK733" s="327">
        <v>8</v>
      </c>
      <c r="AL733" s="327">
        <v>8</v>
      </c>
      <c r="AM733" s="327">
        <v>8</v>
      </c>
      <c r="AN733" s="327">
        <v>8</v>
      </c>
      <c r="AO733" s="327">
        <v>8</v>
      </c>
      <c r="AP733" s="327">
        <v>8</v>
      </c>
      <c r="AQ733" s="327">
        <f t="shared" si="668"/>
        <v>12</v>
      </c>
      <c r="AR733" s="338"/>
      <c r="AS733" s="328">
        <f t="shared" si="657"/>
        <v>0</v>
      </c>
      <c r="AT733" s="328">
        <f t="shared" si="658"/>
        <v>0</v>
      </c>
      <c r="AU733" s="523">
        <v>8</v>
      </c>
      <c r="AV733" s="328"/>
      <c r="AW733" s="328"/>
      <c r="AX733" s="332">
        <v>8</v>
      </c>
      <c r="AY733" s="328" t="b">
        <f t="shared" si="670"/>
        <v>1</v>
      </c>
      <c r="AZ733" s="328" t="b">
        <f t="shared" si="661"/>
        <v>1</v>
      </c>
    </row>
    <row r="734" ht="27" customHeight="1" spans="1:52">
      <c r="A734" s="326" t="str">
        <f>INDEX('Rate Card'!$A:$A,MATCH(服务费底表!$T734,'Rate Card'!$F:$F,0))</f>
        <v>质量保证</v>
      </c>
      <c r="B734" s="327" t="str">
        <f>INDEX(二三级标准!$G:$G,MATCH(服务费底表!$K734,二三级标准!B:B,0))</f>
        <v>次</v>
      </c>
      <c r="C734" s="327">
        <f>INDEX(服务费明细!$E:$E,MATCH(服务费底表!$K734,服务费明细!$B:$B,0))</f>
        <v>0</v>
      </c>
      <c r="D734" s="327" t="str">
        <f t="shared" si="644"/>
        <v>A167QAM</v>
      </c>
      <c r="E734" s="327" t="str">
        <f t="shared" si="645"/>
        <v>T0552QAM</v>
      </c>
      <c r="F734" s="328"/>
      <c r="G734" s="328" t="s">
        <v>684</v>
      </c>
      <c r="H734" s="326" t="str">
        <f>INDEX('Rate Card'!$B:$B,MATCH(服务费底表!$T734,'Rate Card'!$F:$F,0))</f>
        <v>质量保证</v>
      </c>
      <c r="I734" s="328" t="s">
        <v>929</v>
      </c>
      <c r="J734" s="328" t="str">
        <f>INDEX(二三级标准!$Q:$Q,MATCH(服务费底表!I734,二三级标准!$O:$O,0))</f>
        <v>质量保证</v>
      </c>
      <c r="K734" s="328" t="s">
        <v>441</v>
      </c>
      <c r="L734" s="328" t="str">
        <f>INDEX(二三级标准!C:C,MATCH(服务费底表!K734,二三级标准!$B:$B,0))</f>
        <v>第三方供应商稽查</v>
      </c>
      <c r="M734" s="328" t="s">
        <v>1728</v>
      </c>
      <c r="N734" s="328" t="str">
        <f>INDEX(二三级标准!$M:$M,MATCH(服务费底表!$M734,二三级标准!$L:$L,0))</f>
        <v>发送第三方供应商稽查证明</v>
      </c>
      <c r="O734" s="328"/>
      <c r="P734" s="327">
        <f>IF(R734=1,INDEX(服务费明细!$E:$E,MATCH(服务费底表!$K734,服务费明细!$B:$B,0)),0)</f>
        <v>0</v>
      </c>
      <c r="Q734" s="328" t="s">
        <v>1178</v>
      </c>
      <c r="R734" s="520">
        <f>IF(AND(IRC稽查YN=1,质量保证YN=1),1,0)</f>
        <v>0</v>
      </c>
      <c r="S734" s="328" t="str">
        <f>INDEX('Rate Card'!$D:$D,MATCH(服务费底表!$T734,'Rate Card'!F:F,0))</f>
        <v>质量保证</v>
      </c>
      <c r="T734" s="328" t="s">
        <v>647</v>
      </c>
      <c r="U734" s="522" t="str">
        <f>INDEX('Rate Card'!$E:$E,MATCH(服务费底表!$T734,'Rate Card'!$F:$F,0))</f>
        <v>临床稽查经理</v>
      </c>
      <c r="V734" s="331">
        <f>INDEX('Rate Card'!$J:$J,MATCH($T734,'Rate Card'!$F:$F,0))</f>
        <v>600</v>
      </c>
      <c r="W734" s="523">
        <f t="shared" si="666"/>
        <v>600</v>
      </c>
      <c r="X734" s="523">
        <f t="shared" si="667"/>
        <v>1</v>
      </c>
      <c r="Y734" s="327" cm="1">
        <f t="array" ref="Y734">_xlfn.IFS(报价场景=服务费底表!$AJ$2,服务费底表!$AJ734,报价场景=服务费底表!$AP$2,服务费底表!$AP734,报价场景=服务费底表!$AK$2,服务费底表!$AK734,报价场景=服务费底表!$AL$2,服务费底表!$AL734,报价场景=服务费底表!$AM$2,服务费底表!$AM734,报价场景=服务费底表!$AN$2,服务费底表!$AN734,报价场景=服务费底表!$AQ$2,服务费底表!$AQ734,报价场景=服务费底表!$AO$2,服务费底表!$AO734)</f>
        <v>1</v>
      </c>
      <c r="Z734" s="327"/>
      <c r="AA734" s="332">
        <f t="shared" si="654"/>
        <v>1</v>
      </c>
      <c r="AB734" s="333">
        <f t="shared" si="646"/>
        <v>0</v>
      </c>
      <c r="AC734" s="328">
        <f t="shared" si="647"/>
        <v>0</v>
      </c>
      <c r="AD734" s="334">
        <f t="shared" si="648"/>
        <v>0</v>
      </c>
      <c r="AE734" s="334">
        <f>$AB734*(1-INDEX(项目参数!$D$5:$D$14,MATCH(服务费底表!$S734,项目参数!$B$5:$B$14,0)))</f>
        <v>0</v>
      </c>
      <c r="AF734" s="334">
        <f>$AD734*INDEX(项目参数!$D$5:$D$14,MATCH(服务费底表!$S734,项目参数!$B$5:$B$14,0))</f>
        <v>0</v>
      </c>
      <c r="AG734" s="334">
        <f t="shared" si="669"/>
        <v>0</v>
      </c>
      <c r="AH734" s="328"/>
      <c r="AI734" s="328" t="s">
        <v>647</v>
      </c>
      <c r="AJ734" s="327">
        <v>1</v>
      </c>
      <c r="AK734" s="327">
        <v>1</v>
      </c>
      <c r="AL734" s="327">
        <v>1</v>
      </c>
      <c r="AM734" s="327">
        <v>1</v>
      </c>
      <c r="AN734" s="327">
        <v>1</v>
      </c>
      <c r="AO734" s="327">
        <v>1</v>
      </c>
      <c r="AP734" s="327">
        <v>1</v>
      </c>
      <c r="AQ734" s="327">
        <f t="shared" si="668"/>
        <v>1.5</v>
      </c>
      <c r="AR734" s="338"/>
      <c r="AS734" s="328">
        <f t="shared" si="657"/>
        <v>0</v>
      </c>
      <c r="AT734" s="328">
        <f t="shared" si="658"/>
        <v>0</v>
      </c>
      <c r="AU734" s="523">
        <v>1</v>
      </c>
      <c r="AV734" s="328"/>
      <c r="AW734" s="328"/>
      <c r="AX734" s="332">
        <v>1</v>
      </c>
      <c r="AY734" s="328" t="b">
        <f t="shared" si="670"/>
        <v>1</v>
      </c>
      <c r="AZ734" s="328" t="b">
        <f t="shared" si="661"/>
        <v>1</v>
      </c>
    </row>
    <row r="735" ht="27" customHeight="1" spans="1:52">
      <c r="A735" s="326" t="str">
        <f>INDEX('Rate Card'!$A:$A,MATCH(服务费底表!$T735,'Rate Card'!$F:$F,0))</f>
        <v>临床运营</v>
      </c>
      <c r="B735" s="327" t="str">
        <f>INDEX(二三级标准!$G:$G,MATCH(服务费底表!$K735,二三级标准!B:B,0))</f>
        <v>次</v>
      </c>
      <c r="C735" s="327">
        <f>INDEX(服务费明细!$E:$E,MATCH(服务费底表!$K735,服务费明细!$B:$B,0))</f>
        <v>0</v>
      </c>
      <c r="D735" s="327" t="str">
        <f t="shared" si="644"/>
        <v>A168CRA</v>
      </c>
      <c r="E735" s="327" t="str">
        <f t="shared" si="645"/>
        <v>T0553CRA</v>
      </c>
      <c r="F735" s="328"/>
      <c r="G735" s="328" t="s">
        <v>684</v>
      </c>
      <c r="H735" s="326" t="str">
        <f>INDEX('Rate Card'!$B:$B,MATCH(服务费底表!$T735,'Rate Card'!$F:$F,0))</f>
        <v>临床运营</v>
      </c>
      <c r="I735" s="328" t="s">
        <v>930</v>
      </c>
      <c r="J735" s="328" t="str">
        <f>INDEX(二三级标准!$Q:$Q,MATCH(服务费底表!I735,二三级标准!$O:$O,0))</f>
        <v>国家局核查支持</v>
      </c>
      <c r="K735" s="328" t="s">
        <v>443</v>
      </c>
      <c r="L735" s="328" t="str">
        <f>INDEX(二三级标准!C:C,MATCH(服务费底表!K735,二三级标准!$B:$B,0))</f>
        <v>核查前现场准备</v>
      </c>
      <c r="M735" s="328" t="s">
        <v>1729</v>
      </c>
      <c r="N735" s="328" t="str">
        <f>INDEX(二三级标准!$M:$M,MATCH(服务费底表!$M735,二三级标准!$L:$L,0))</f>
        <v>核查前现场准备</v>
      </c>
      <c r="O735" s="328"/>
      <c r="P735" s="327">
        <f>IF(R735=1,INDEX(服务费明细!$E:$E,MATCH(服务费底表!$K735,服务费明细!$B:$B,0)),0)</f>
        <v>0</v>
      </c>
      <c r="Q735" s="328" t="s">
        <v>1178</v>
      </c>
      <c r="R735" s="520">
        <f>IF(AND(核查前现场准备YN=1,临床监查YN=1),1,0)</f>
        <v>0</v>
      </c>
      <c r="S735" s="525" t="str">
        <f>INDEX('Rate Card'!$D:$D,MATCH(服务费底表!$T735,'Rate Card'!F:F,0))</f>
        <v>临床监查</v>
      </c>
      <c r="T735" s="328" t="s">
        <v>595</v>
      </c>
      <c r="U735" s="522" t="str">
        <f>INDEX('Rate Card'!$E:$E,MATCH(服务费底表!$T735,'Rate Card'!$F:$F,0))</f>
        <v>临床监查员</v>
      </c>
      <c r="V735" s="331">
        <f>INDEX('Rate Card'!$J:$J,MATCH($T735,'Rate Card'!$F:$F,0))</f>
        <v>340</v>
      </c>
      <c r="W735" s="523">
        <f t="shared" si="666"/>
        <v>340</v>
      </c>
      <c r="X735" s="523">
        <f t="shared" si="667"/>
        <v>22</v>
      </c>
      <c r="Y735" s="327" cm="1">
        <f t="array" ref="Y735">_xlfn.IFS(报价场景=服务费底表!$AJ$2,服务费底表!$AJ735,报价场景=服务费底表!$AP$2,服务费底表!$AP735,报价场景=服务费底表!$AK$2,服务费底表!$AK735,报价场景=服务费底表!$AL$2,服务费底表!$AL735,报价场景=服务费底表!$AM$2,服务费底表!$AM735,报价场景=服务费底表!$AN$2,服务费底表!$AN735,报价场景=服务费底表!$AQ$2,服务费底表!$AQ735,报价场景=服务费底表!$AO$2,服务费底表!$AO735)</f>
        <v>22</v>
      </c>
      <c r="Z735" s="327"/>
      <c r="AA735" s="332">
        <f t="shared" si="654"/>
        <v>22</v>
      </c>
      <c r="AB735" s="333">
        <f t="shared" si="646"/>
        <v>0</v>
      </c>
      <c r="AC735" s="328">
        <f t="shared" si="647"/>
        <v>0</v>
      </c>
      <c r="AD735" s="334">
        <f t="shared" si="648"/>
        <v>0</v>
      </c>
      <c r="AE735" s="334">
        <f>$AB735*(1-INDEX(项目参数!$D$5:$D$14,MATCH(服务费底表!$S735,项目参数!$B$5:$B$14,0)))</f>
        <v>0</v>
      </c>
      <c r="AF735" s="334">
        <f>$AD735*INDEX(项目参数!$D$5:$D$14,MATCH(服务费底表!$S735,项目参数!$B$5:$B$14,0))</f>
        <v>0</v>
      </c>
      <c r="AG735" s="334">
        <f t="shared" si="669"/>
        <v>0</v>
      </c>
      <c r="AH735" s="328"/>
      <c r="AI735" s="328" t="s">
        <v>595</v>
      </c>
      <c r="AJ735" s="327">
        <v>22</v>
      </c>
      <c r="AK735" s="327">
        <f t="shared" ref="AK735:AK746" si="671">AJ735*1.5</f>
        <v>33</v>
      </c>
      <c r="AL735" s="327">
        <f t="shared" ref="AL735:AL746" si="672">AJ735*0.7</f>
        <v>15.4</v>
      </c>
      <c r="AM735" s="327">
        <f t="shared" ref="AM735:AM746" si="673">AJ735*0.7</f>
        <v>15.4</v>
      </c>
      <c r="AN735" s="327">
        <f t="shared" ref="AN735:AN747" si="674">AJ735</f>
        <v>22</v>
      </c>
      <c r="AO735" s="327">
        <f t="shared" ref="AO735:AO746" si="675">AM735*0.7</f>
        <v>10.78</v>
      </c>
      <c r="AP735" s="327">
        <v>22</v>
      </c>
      <c r="AQ735" s="327">
        <f t="shared" si="668"/>
        <v>33</v>
      </c>
      <c r="AR735" s="338"/>
      <c r="AS735" s="328">
        <f t="shared" si="657"/>
        <v>0</v>
      </c>
      <c r="AT735" s="328">
        <f t="shared" si="658"/>
        <v>0</v>
      </c>
      <c r="AU735" s="523">
        <v>22</v>
      </c>
      <c r="AV735" s="328"/>
      <c r="AW735" s="328"/>
      <c r="AX735" s="332">
        <v>22</v>
      </c>
      <c r="AY735" s="328" t="b">
        <f t="shared" si="670"/>
        <v>1</v>
      </c>
      <c r="AZ735" s="328" t="b">
        <f t="shared" si="661"/>
        <v>0</v>
      </c>
    </row>
    <row r="736" ht="27" customHeight="1" spans="1:52">
      <c r="A736" s="326" t="str">
        <f>INDEX('Rate Card'!$A:$A,MATCH(服务费底表!$T736,'Rate Card'!$F:$F,0))</f>
        <v>临床运营</v>
      </c>
      <c r="B736" s="327" t="str">
        <f>INDEX(二三级标准!$G:$G,MATCH(服务费底表!$K736,二三级标准!B:B,0))</f>
        <v>次</v>
      </c>
      <c r="C736" s="327">
        <f>INDEX(服务费明细!$E:$E,MATCH(服务费底表!$K736,服务费明细!$B:$B,0))</f>
        <v>0</v>
      </c>
      <c r="D736" s="327" t="str">
        <f t="shared" si="644"/>
        <v>A168QCM</v>
      </c>
      <c r="E736" s="327" t="str">
        <f t="shared" si="645"/>
        <v>T0553QCM</v>
      </c>
      <c r="F736" s="328"/>
      <c r="G736" s="328" t="s">
        <v>684</v>
      </c>
      <c r="H736" s="326" t="str">
        <f>INDEX('Rate Card'!$B:$B,MATCH(服务费底表!$T736,'Rate Card'!$F:$F,0))</f>
        <v>临床运营</v>
      </c>
      <c r="I736" s="328" t="s">
        <v>930</v>
      </c>
      <c r="J736" s="328" t="str">
        <f>INDEX(二三级标准!$Q:$Q,MATCH(服务费底表!I736,二三级标准!$O:$O,0))</f>
        <v>国家局核查支持</v>
      </c>
      <c r="K736" s="328" t="s">
        <v>443</v>
      </c>
      <c r="L736" s="328" t="str">
        <f>INDEX(二三级标准!C:C,MATCH(服务费底表!K736,二三级标准!$B:$B,0))</f>
        <v>核查前现场准备</v>
      </c>
      <c r="M736" s="328" t="s">
        <v>1729</v>
      </c>
      <c r="N736" s="328" t="str">
        <f>INDEX(二三级标准!$M:$M,MATCH(服务费底表!$M736,二三级标准!$L:$L,0))</f>
        <v>核查前现场准备</v>
      </c>
      <c r="O736" s="328"/>
      <c r="P736" s="327">
        <f>IF(R736=1,INDEX(服务费明细!$E:$E,MATCH(服务费底表!$K736,服务费明细!$B:$B,0)),0)</f>
        <v>0</v>
      </c>
      <c r="Q736" s="328" t="s">
        <v>1178</v>
      </c>
      <c r="R736" s="520">
        <f>IF(AND(核查前现场准备YN=1,临床监查YN=1),1,0)</f>
        <v>0</v>
      </c>
      <c r="S736" s="525" t="str">
        <f>INDEX('Rate Card'!$D:$D,MATCH(服务费底表!$T736,'Rate Card'!F:F,0))</f>
        <v>临床监查</v>
      </c>
      <c r="T736" s="328" t="s">
        <v>603</v>
      </c>
      <c r="U736" s="522" t="str">
        <f>INDEX('Rate Card'!$E:$E,MATCH(服务费底表!$T736,'Rate Card'!$F:$F,0))</f>
        <v>临床质量控制经理</v>
      </c>
      <c r="V736" s="331">
        <f>INDEX('Rate Card'!$J:$J,MATCH($T736,'Rate Card'!$F:$F,0))</f>
        <v>600</v>
      </c>
      <c r="W736" s="523">
        <f t="shared" si="666"/>
        <v>600</v>
      </c>
      <c r="X736" s="523">
        <f t="shared" si="667"/>
        <v>22</v>
      </c>
      <c r="Y736" s="327" cm="1">
        <f t="array" ref="Y736">_xlfn.IFS(报价场景=服务费底表!$AJ$2,服务费底表!$AJ736,报价场景=服务费底表!$AP$2,服务费底表!$AP736,报价场景=服务费底表!$AK$2,服务费底表!$AK736,报价场景=服务费底表!$AL$2,服务费底表!$AL736,报价场景=服务费底表!$AM$2,服务费底表!$AM736,报价场景=服务费底表!$AN$2,服务费底表!$AN736,报价场景=服务费底表!$AQ$2,服务费底表!$AQ736,报价场景=服务费底表!$AO$2,服务费底表!$AO736)</f>
        <v>22</v>
      </c>
      <c r="Z736" s="327"/>
      <c r="AA736" s="332">
        <f t="shared" si="654"/>
        <v>22</v>
      </c>
      <c r="AB736" s="333">
        <f t="shared" si="646"/>
        <v>0</v>
      </c>
      <c r="AC736" s="328">
        <f t="shared" si="647"/>
        <v>0</v>
      </c>
      <c r="AD736" s="334">
        <f t="shared" si="648"/>
        <v>0</v>
      </c>
      <c r="AE736" s="334">
        <f>$AB736*(1-INDEX(项目参数!$D$5:$D$14,MATCH(服务费底表!$S736,项目参数!$B$5:$B$14,0)))</f>
        <v>0</v>
      </c>
      <c r="AF736" s="334">
        <f>$AD736*INDEX(项目参数!$D$5:$D$14,MATCH(服务费底表!$S736,项目参数!$B$5:$B$14,0))</f>
        <v>0</v>
      </c>
      <c r="AG736" s="334">
        <f t="shared" si="669"/>
        <v>0</v>
      </c>
      <c r="AH736" s="328"/>
      <c r="AI736" s="328" t="s">
        <v>603</v>
      </c>
      <c r="AJ736" s="327">
        <v>22</v>
      </c>
      <c r="AK736" s="327">
        <f t="shared" si="671"/>
        <v>33</v>
      </c>
      <c r="AL736" s="327">
        <f t="shared" si="672"/>
        <v>15.4</v>
      </c>
      <c r="AM736" s="327">
        <f t="shared" si="673"/>
        <v>15.4</v>
      </c>
      <c r="AN736" s="327">
        <f t="shared" si="674"/>
        <v>22</v>
      </c>
      <c r="AO736" s="327">
        <f t="shared" si="675"/>
        <v>10.78</v>
      </c>
      <c r="AP736" s="327">
        <v>22</v>
      </c>
      <c r="AQ736" s="327">
        <f t="shared" si="668"/>
        <v>33</v>
      </c>
      <c r="AR736" s="338"/>
      <c r="AS736" s="328">
        <f t="shared" si="657"/>
        <v>0</v>
      </c>
      <c r="AT736" s="328">
        <f t="shared" si="658"/>
        <v>0</v>
      </c>
      <c r="AU736" s="523">
        <v>22</v>
      </c>
      <c r="AV736" s="328"/>
      <c r="AW736" s="328"/>
      <c r="AX736" s="332">
        <v>22</v>
      </c>
      <c r="AY736" s="328" t="b">
        <f t="shared" si="670"/>
        <v>1</v>
      </c>
      <c r="AZ736" s="328" t="b">
        <f t="shared" si="661"/>
        <v>0</v>
      </c>
    </row>
    <row r="737" ht="27" customHeight="1" spans="1:52">
      <c r="A737" s="326" t="str">
        <f>INDEX('Rate Card'!$A:$A,MATCH(服务费底表!$T737,'Rate Card'!$F:$F,0))</f>
        <v>临床运营</v>
      </c>
      <c r="B737" s="327" t="str">
        <f>INDEX(二三级标准!$G:$G,MATCH(服务费底表!$K737,二三级标准!B:B,0))</f>
        <v>次</v>
      </c>
      <c r="C737" s="327">
        <f>INDEX(服务费明细!$E:$E,MATCH(服务费底表!$K737,服务费明细!$B:$B,0))</f>
        <v>0</v>
      </c>
      <c r="D737" s="327" t="str">
        <f t="shared" si="644"/>
        <v>A168PM</v>
      </c>
      <c r="E737" s="327" t="str">
        <f t="shared" si="645"/>
        <v>T0553PM</v>
      </c>
      <c r="F737" s="328"/>
      <c r="G737" s="328" t="s">
        <v>684</v>
      </c>
      <c r="H737" s="326" t="str">
        <f>INDEX('Rate Card'!$B:$B,MATCH(服务费底表!$T737,'Rate Card'!$F:$F,0))</f>
        <v>临床运营</v>
      </c>
      <c r="I737" s="328" t="s">
        <v>930</v>
      </c>
      <c r="J737" s="328" t="str">
        <f>INDEX(二三级标准!$Q:$Q,MATCH(服务费底表!I737,二三级标准!$O:$O,0))</f>
        <v>国家局核查支持</v>
      </c>
      <c r="K737" s="328" t="s">
        <v>443</v>
      </c>
      <c r="L737" s="328" t="str">
        <f>INDEX(二三级标准!C:C,MATCH(服务费底表!K737,二三级标准!$B:$B,0))</f>
        <v>核查前现场准备</v>
      </c>
      <c r="M737" s="328" t="s">
        <v>1729</v>
      </c>
      <c r="N737" s="328" t="str">
        <f>INDEX(二三级标准!$M:$M,MATCH(服务费底表!$M737,二三级标准!$L:$L,0))</f>
        <v>核查前现场准备</v>
      </c>
      <c r="O737" s="328"/>
      <c r="P737" s="327">
        <f>IF(R737=1,INDEX(服务费明细!$E:$E,MATCH(服务费底表!$K737,服务费明细!$B:$B,0)),0)</f>
        <v>0</v>
      </c>
      <c r="Q737" s="328" t="s">
        <v>1178</v>
      </c>
      <c r="R737" s="520">
        <f>IF(AND(核查前现场准备YN=1,项目管理YN=1),1,0)</f>
        <v>0</v>
      </c>
      <c r="S737" s="525" t="str">
        <f>INDEX('Rate Card'!$D:$D,MATCH(服务费底表!$T737,'Rate Card'!F:F,0))</f>
        <v>项目管理</v>
      </c>
      <c r="T737" s="328" t="s">
        <v>599</v>
      </c>
      <c r="U737" s="522" t="str">
        <f>INDEX('Rate Card'!$E:$E,MATCH(服务费底表!$T737,'Rate Card'!$F:$F,0))</f>
        <v>临床项目经理</v>
      </c>
      <c r="V737" s="331">
        <f>INDEX('Rate Card'!$J:$J,MATCH($T737,'Rate Card'!$F:$F,0))</f>
        <v>650</v>
      </c>
      <c r="W737" s="523">
        <f t="shared" si="666"/>
        <v>650</v>
      </c>
      <c r="X737" s="523">
        <f t="shared" si="667"/>
        <v>8</v>
      </c>
      <c r="Y737" s="327" cm="1">
        <f t="array" ref="Y737">_xlfn.IFS(报价场景=服务费底表!$AJ$2,服务费底表!$AJ737,报价场景=服务费底表!$AP$2,服务费底表!$AP737,报价场景=服务费底表!$AK$2,服务费底表!$AK737,报价场景=服务费底表!$AL$2,服务费底表!$AL737,报价场景=服务费底表!$AM$2,服务费底表!$AM737,报价场景=服务费底表!$AN$2,服务费底表!$AN737,报价场景=服务费底表!$AQ$2,服务费底表!$AQ737,报价场景=服务费底表!$AO$2,服务费底表!$AO737)</f>
        <v>8</v>
      </c>
      <c r="Z737" s="327"/>
      <c r="AA737" s="332">
        <f t="shared" si="654"/>
        <v>8</v>
      </c>
      <c r="AB737" s="333">
        <f t="shared" si="646"/>
        <v>0</v>
      </c>
      <c r="AC737" s="328">
        <f t="shared" si="647"/>
        <v>0</v>
      </c>
      <c r="AD737" s="334">
        <f t="shared" si="648"/>
        <v>0</v>
      </c>
      <c r="AE737" s="334">
        <f>$AB737*(1-INDEX(项目参数!$D$5:$D$14,MATCH(服务费底表!$S737,项目参数!$B$5:$B$14,0)))</f>
        <v>0</v>
      </c>
      <c r="AF737" s="334">
        <f>$AD737*INDEX(项目参数!$D$5:$D$14,MATCH(服务费底表!$S737,项目参数!$B$5:$B$14,0))</f>
        <v>0</v>
      </c>
      <c r="AG737" s="334">
        <f t="shared" si="669"/>
        <v>0</v>
      </c>
      <c r="AH737" s="328"/>
      <c r="AI737" s="328" t="s">
        <v>599</v>
      </c>
      <c r="AJ737" s="327">
        <v>8</v>
      </c>
      <c r="AK737" s="327">
        <f t="shared" si="671"/>
        <v>12</v>
      </c>
      <c r="AL737" s="327">
        <f t="shared" si="672"/>
        <v>5.6</v>
      </c>
      <c r="AM737" s="327">
        <f t="shared" si="673"/>
        <v>5.6</v>
      </c>
      <c r="AN737" s="327">
        <f t="shared" si="674"/>
        <v>8</v>
      </c>
      <c r="AO737" s="327">
        <f t="shared" si="675"/>
        <v>3.92</v>
      </c>
      <c r="AP737" s="327">
        <v>8</v>
      </c>
      <c r="AQ737" s="327">
        <f t="shared" si="668"/>
        <v>12</v>
      </c>
      <c r="AR737" s="338"/>
      <c r="AS737" s="328">
        <f t="shared" si="657"/>
        <v>0</v>
      </c>
      <c r="AT737" s="328">
        <f t="shared" si="658"/>
        <v>0</v>
      </c>
      <c r="AU737" s="523">
        <v>8</v>
      </c>
      <c r="AV737" s="328"/>
      <c r="AW737" s="328"/>
      <c r="AX737" s="332">
        <v>8</v>
      </c>
      <c r="AY737" s="328" t="b">
        <f t="shared" si="670"/>
        <v>1</v>
      </c>
      <c r="AZ737" s="328" t="b">
        <f t="shared" si="661"/>
        <v>0</v>
      </c>
    </row>
    <row r="738" ht="27" customHeight="1" spans="1:52">
      <c r="A738" s="326" t="str">
        <f>INDEX('Rate Card'!$A:$A,MATCH(服务费底表!$T738,'Rate Card'!$F:$F,0))</f>
        <v>临床运营</v>
      </c>
      <c r="B738" s="327" t="str">
        <f>INDEX(二三级标准!$G:$G,MATCH(服务费底表!$K738,二三级标准!B:B,0))</f>
        <v>次</v>
      </c>
      <c r="C738" s="327">
        <f>INDEX(服务费明细!$E:$E,MATCH(服务费底表!$K738,服务费明细!$B:$B,0))</f>
        <v>0</v>
      </c>
      <c r="D738" s="327" t="str">
        <f t="shared" si="644"/>
        <v>A169CRA</v>
      </c>
      <c r="E738" s="327" t="str">
        <f t="shared" si="645"/>
        <v>T0554CRA</v>
      </c>
      <c r="F738" s="328"/>
      <c r="G738" s="328" t="s">
        <v>684</v>
      </c>
      <c r="H738" s="326" t="str">
        <f>INDEX('Rate Card'!$B:$B,MATCH(服务费底表!$T738,'Rate Card'!$F:$F,0))</f>
        <v>临床运营</v>
      </c>
      <c r="I738" s="328" t="s">
        <v>930</v>
      </c>
      <c r="J738" s="328" t="str">
        <f>INDEX(二三级标准!$Q:$Q,MATCH(服务费底表!I738,二三级标准!$O:$O,0))</f>
        <v>国家局核查支持</v>
      </c>
      <c r="K738" s="328" t="s">
        <v>445</v>
      </c>
      <c r="L738" s="328" t="str">
        <f>INDEX(二三级标准!C:C,MATCH(服务费底表!K738,二三级标准!$B:$B,0))</f>
        <v>核查前准备-系统填报</v>
      </c>
      <c r="M738" s="328" t="s">
        <v>1730</v>
      </c>
      <c r="N738" s="328" t="str">
        <f>INDEX(二三级标准!$M:$M,MATCH(服务费底表!$M738,二三级标准!$L:$L,0))</f>
        <v>核查前准备-系统填报</v>
      </c>
      <c r="O738" s="328"/>
      <c r="P738" s="327">
        <f>IF(R738=1,INDEX(服务费明细!$E:$E,MATCH(服务费底表!$K738,服务费明细!$B:$B,0)),0)</f>
        <v>0</v>
      </c>
      <c r="Q738" s="328" t="s">
        <v>1178</v>
      </c>
      <c r="R738" s="520">
        <f>IF(AND(核查前现场准备YN=1,临床监查YN=1),1,0)</f>
        <v>0</v>
      </c>
      <c r="S738" s="525" t="str">
        <f>INDEX('Rate Card'!$D:$D,MATCH(服务费底表!$T738,'Rate Card'!F:F,0))</f>
        <v>临床监查</v>
      </c>
      <c r="T738" s="328" t="s">
        <v>595</v>
      </c>
      <c r="U738" s="522" t="str">
        <f>INDEX('Rate Card'!$E:$E,MATCH(服务费底表!$T738,'Rate Card'!$F:$F,0))</f>
        <v>临床监查员</v>
      </c>
      <c r="V738" s="331">
        <f>INDEX('Rate Card'!$J:$J,MATCH($T738,'Rate Card'!$F:$F,0))</f>
        <v>340</v>
      </c>
      <c r="W738" s="523">
        <f t="shared" si="666"/>
        <v>340</v>
      </c>
      <c r="X738" s="523">
        <f t="shared" si="667"/>
        <v>6</v>
      </c>
      <c r="Y738" s="327" cm="1">
        <f t="array" ref="Y738">_xlfn.IFS(报价场景=服务费底表!$AJ$2,服务费底表!$AJ738,报价场景=服务费底表!$AP$2,服务费底表!$AP738,报价场景=服务费底表!$AK$2,服务费底表!$AK738,报价场景=服务费底表!$AL$2,服务费底表!$AL738,报价场景=服务费底表!$AM$2,服务费底表!$AM738,报价场景=服务费底表!$AN$2,服务费底表!$AN738,报价场景=服务费底表!$AQ$2,服务费底表!$AQ738,报价场景=服务费底表!$AO$2,服务费底表!$AO738)</f>
        <v>6</v>
      </c>
      <c r="Z738" s="327"/>
      <c r="AA738" s="332">
        <f t="shared" si="654"/>
        <v>6</v>
      </c>
      <c r="AB738" s="333">
        <f t="shared" si="646"/>
        <v>0</v>
      </c>
      <c r="AC738" s="328">
        <f t="shared" si="647"/>
        <v>0</v>
      </c>
      <c r="AD738" s="334">
        <f t="shared" si="648"/>
        <v>0</v>
      </c>
      <c r="AE738" s="334">
        <f>$AB738*(1-INDEX(项目参数!$D$5:$D$14,MATCH(服务费底表!$S738,项目参数!$B$5:$B$14,0)))</f>
        <v>0</v>
      </c>
      <c r="AF738" s="334">
        <f>$AD738*INDEX(项目参数!$D$5:$D$14,MATCH(服务费底表!$S738,项目参数!$B$5:$B$14,0))</f>
        <v>0</v>
      </c>
      <c r="AG738" s="334">
        <f t="shared" si="669"/>
        <v>0</v>
      </c>
      <c r="AH738" s="328"/>
      <c r="AI738" s="328" t="s">
        <v>595</v>
      </c>
      <c r="AJ738" s="327">
        <v>6</v>
      </c>
      <c r="AK738" s="327">
        <f t="shared" si="671"/>
        <v>9</v>
      </c>
      <c r="AL738" s="327">
        <f t="shared" si="672"/>
        <v>4.2</v>
      </c>
      <c r="AM738" s="327">
        <f t="shared" si="673"/>
        <v>4.2</v>
      </c>
      <c r="AN738" s="327">
        <f t="shared" si="674"/>
        <v>6</v>
      </c>
      <c r="AO738" s="327">
        <f t="shared" si="675"/>
        <v>2.94</v>
      </c>
      <c r="AP738" s="327">
        <v>6</v>
      </c>
      <c r="AQ738" s="327">
        <f t="shared" si="668"/>
        <v>9</v>
      </c>
      <c r="AR738" s="338"/>
      <c r="AS738" s="328">
        <f t="shared" si="657"/>
        <v>0</v>
      </c>
      <c r="AT738" s="328">
        <f t="shared" si="658"/>
        <v>0</v>
      </c>
      <c r="AU738" s="523">
        <v>6</v>
      </c>
      <c r="AV738" s="328"/>
      <c r="AW738" s="328"/>
      <c r="AX738" s="332">
        <v>6</v>
      </c>
      <c r="AY738" s="328" t="b">
        <f t="shared" si="670"/>
        <v>1</v>
      </c>
      <c r="AZ738" s="328" t="b">
        <f t="shared" si="661"/>
        <v>1</v>
      </c>
    </row>
    <row r="739" ht="27" customHeight="1" spans="1:52">
      <c r="A739" s="326" t="str">
        <f>INDEX('Rate Card'!$A:$A,MATCH(服务费底表!$T739,'Rate Card'!$F:$F,0))</f>
        <v>临床运营</v>
      </c>
      <c r="B739" s="327" t="str">
        <f>INDEX(二三级标准!$G:$G,MATCH(服务费底表!$K739,二三级标准!B:B,0))</f>
        <v>次</v>
      </c>
      <c r="C739" s="327">
        <f>INDEX(服务费明细!$E:$E,MATCH(服务费底表!$K739,服务费明细!$B:$B,0))</f>
        <v>0</v>
      </c>
      <c r="D739" s="327" t="str">
        <f t="shared" si="644"/>
        <v>A169QCM</v>
      </c>
      <c r="E739" s="327" t="str">
        <f t="shared" si="645"/>
        <v>T0554QCM</v>
      </c>
      <c r="F739" s="328"/>
      <c r="G739" s="328" t="s">
        <v>684</v>
      </c>
      <c r="H739" s="326" t="str">
        <f>INDEX('Rate Card'!$B:$B,MATCH(服务费底表!$T739,'Rate Card'!$F:$F,0))</f>
        <v>临床运营</v>
      </c>
      <c r="I739" s="328" t="s">
        <v>930</v>
      </c>
      <c r="J739" s="328" t="str">
        <f>INDEX(二三级标准!$Q:$Q,MATCH(服务费底表!I739,二三级标准!$O:$O,0))</f>
        <v>国家局核查支持</v>
      </c>
      <c r="K739" s="328" t="s">
        <v>445</v>
      </c>
      <c r="L739" s="328" t="str">
        <f>INDEX(二三级标准!C:C,MATCH(服务费底表!K739,二三级标准!$B:$B,0))</f>
        <v>核查前准备-系统填报</v>
      </c>
      <c r="M739" s="328" t="s">
        <v>1730</v>
      </c>
      <c r="N739" s="328" t="str">
        <f>INDEX(二三级标准!$M:$M,MATCH(服务费底表!$M739,二三级标准!$L:$L,0))</f>
        <v>核查前准备-系统填报</v>
      </c>
      <c r="O739" s="328"/>
      <c r="P739" s="327">
        <f>IF(R739=1,INDEX(服务费明细!$E:$E,MATCH(服务费底表!$K739,服务费明细!$B:$B,0)),0)</f>
        <v>0</v>
      </c>
      <c r="Q739" s="328" t="s">
        <v>1178</v>
      </c>
      <c r="R739" s="520">
        <f>IF(AND(核查前现场准备YN=1,临床监查YN=1),1,0)</f>
        <v>0</v>
      </c>
      <c r="S739" s="525" t="str">
        <f>INDEX('Rate Card'!$D:$D,MATCH(服务费底表!$T739,'Rate Card'!F:F,0))</f>
        <v>临床监查</v>
      </c>
      <c r="T739" s="328" t="s">
        <v>603</v>
      </c>
      <c r="U739" s="522" t="str">
        <f>INDEX('Rate Card'!$E:$E,MATCH(服务费底表!$T739,'Rate Card'!$F:$F,0))</f>
        <v>临床质量控制经理</v>
      </c>
      <c r="V739" s="331">
        <f>INDEX('Rate Card'!$J:$J,MATCH($T739,'Rate Card'!$F:$F,0))</f>
        <v>600</v>
      </c>
      <c r="W739" s="523">
        <f t="shared" si="666"/>
        <v>600</v>
      </c>
      <c r="X739" s="523">
        <f t="shared" si="667"/>
        <v>4</v>
      </c>
      <c r="Y739" s="327" cm="1">
        <f t="array" ref="Y739">_xlfn.IFS(报价场景=服务费底表!$AJ$2,服务费底表!$AJ739,报价场景=服务费底表!$AP$2,服务费底表!$AP739,报价场景=服务费底表!$AK$2,服务费底表!$AK739,报价场景=服务费底表!$AL$2,服务费底表!$AL739,报价场景=服务费底表!$AM$2,服务费底表!$AM739,报价场景=服务费底表!$AN$2,服务费底表!$AN739,报价场景=服务费底表!$AQ$2,服务费底表!$AQ739,报价场景=服务费底表!$AO$2,服务费底表!$AO739)</f>
        <v>4</v>
      </c>
      <c r="Z739" s="327"/>
      <c r="AA739" s="332">
        <f t="shared" si="654"/>
        <v>4</v>
      </c>
      <c r="AB739" s="333">
        <f t="shared" si="646"/>
        <v>0</v>
      </c>
      <c r="AC739" s="328">
        <f t="shared" si="647"/>
        <v>0</v>
      </c>
      <c r="AD739" s="334">
        <f t="shared" si="648"/>
        <v>0</v>
      </c>
      <c r="AE739" s="334">
        <f>$AB739*(1-INDEX(项目参数!$D$5:$D$14,MATCH(服务费底表!$S739,项目参数!$B$5:$B$14,0)))</f>
        <v>0</v>
      </c>
      <c r="AF739" s="334">
        <f>$AD739*INDEX(项目参数!$D$5:$D$14,MATCH(服务费底表!$S739,项目参数!$B$5:$B$14,0))</f>
        <v>0</v>
      </c>
      <c r="AG739" s="334">
        <f t="shared" si="669"/>
        <v>0</v>
      </c>
      <c r="AH739" s="328"/>
      <c r="AI739" s="328" t="s">
        <v>603</v>
      </c>
      <c r="AJ739" s="327">
        <v>4</v>
      </c>
      <c r="AK739" s="327">
        <f t="shared" si="671"/>
        <v>6</v>
      </c>
      <c r="AL739" s="327">
        <f t="shared" si="672"/>
        <v>2.8</v>
      </c>
      <c r="AM739" s="327">
        <f t="shared" si="673"/>
        <v>2.8</v>
      </c>
      <c r="AN739" s="327">
        <f t="shared" si="674"/>
        <v>4</v>
      </c>
      <c r="AO739" s="327">
        <f t="shared" si="675"/>
        <v>1.96</v>
      </c>
      <c r="AP739" s="327">
        <v>4</v>
      </c>
      <c r="AQ739" s="327">
        <f t="shared" si="668"/>
        <v>6</v>
      </c>
      <c r="AR739" s="338"/>
      <c r="AS739" s="328">
        <f t="shared" si="657"/>
        <v>0</v>
      </c>
      <c r="AT739" s="328">
        <f t="shared" si="658"/>
        <v>0</v>
      </c>
      <c r="AU739" s="523">
        <v>4</v>
      </c>
      <c r="AV739" s="328"/>
      <c r="AW739" s="328"/>
      <c r="AX739" s="332">
        <v>4</v>
      </c>
      <c r="AY739" s="328" t="b">
        <f t="shared" si="670"/>
        <v>1</v>
      </c>
      <c r="AZ739" s="328" t="b">
        <f t="shared" si="661"/>
        <v>1</v>
      </c>
    </row>
    <row r="740" ht="27" customHeight="1" spans="1:52">
      <c r="A740" s="326" t="str">
        <f>INDEX('Rate Card'!$A:$A,MATCH(服务费底表!$T740,'Rate Card'!$F:$F,0))</f>
        <v>临床运营</v>
      </c>
      <c r="B740" s="327" t="str">
        <f>INDEX(二三级标准!$G:$G,MATCH(服务费底表!$K740,二三级标准!B:B,0))</f>
        <v>次</v>
      </c>
      <c r="C740" s="327">
        <f>INDEX(服务费明细!$E:$E,MATCH(服务费底表!$K740,服务费明细!$B:$B,0))</f>
        <v>0</v>
      </c>
      <c r="D740" s="327" t="str">
        <f t="shared" si="644"/>
        <v>A169PM</v>
      </c>
      <c r="E740" s="327" t="str">
        <f t="shared" si="645"/>
        <v>T0554PM</v>
      </c>
      <c r="F740" s="328"/>
      <c r="G740" s="328" t="s">
        <v>684</v>
      </c>
      <c r="H740" s="326" t="str">
        <f>INDEX('Rate Card'!$B:$B,MATCH(服务费底表!$T740,'Rate Card'!$F:$F,0))</f>
        <v>临床运营</v>
      </c>
      <c r="I740" s="328" t="s">
        <v>930</v>
      </c>
      <c r="J740" s="328" t="str">
        <f>INDEX(二三级标准!$Q:$Q,MATCH(服务费底表!I740,二三级标准!$O:$O,0))</f>
        <v>国家局核查支持</v>
      </c>
      <c r="K740" s="328" t="s">
        <v>445</v>
      </c>
      <c r="L740" s="328" t="str">
        <f>INDEX(二三级标准!C:C,MATCH(服务费底表!K740,二三级标准!$B:$B,0))</f>
        <v>核查前准备-系统填报</v>
      </c>
      <c r="M740" s="328" t="s">
        <v>1730</v>
      </c>
      <c r="N740" s="328" t="str">
        <f>INDEX(二三级标准!$M:$M,MATCH(服务费底表!$M740,二三级标准!$L:$L,0))</f>
        <v>核查前准备-系统填报</v>
      </c>
      <c r="O740" s="328"/>
      <c r="P740" s="327">
        <f>IF(R740=1,INDEX(服务费明细!$E:$E,MATCH(服务费底表!$K740,服务费明细!$B:$B,0)),0)</f>
        <v>0</v>
      </c>
      <c r="Q740" s="328" t="s">
        <v>1178</v>
      </c>
      <c r="R740" s="520">
        <f>IF(AND(核查前现场准备YN=1,项目管理YN=1),1,0)</f>
        <v>0</v>
      </c>
      <c r="S740" s="525" t="str">
        <f>INDEX('Rate Card'!$D:$D,MATCH(服务费底表!$T740,'Rate Card'!F:F,0))</f>
        <v>项目管理</v>
      </c>
      <c r="T740" s="328" t="s">
        <v>599</v>
      </c>
      <c r="U740" s="522" t="str">
        <f>INDEX('Rate Card'!$E:$E,MATCH(服务费底表!$T740,'Rate Card'!$F:$F,0))</f>
        <v>临床项目经理</v>
      </c>
      <c r="V740" s="331">
        <f>INDEX('Rate Card'!$J:$J,MATCH($T740,'Rate Card'!$F:$F,0))</f>
        <v>650</v>
      </c>
      <c r="W740" s="523">
        <f t="shared" si="666"/>
        <v>650</v>
      </c>
      <c r="X740" s="523">
        <f t="shared" si="667"/>
        <v>2</v>
      </c>
      <c r="Y740" s="327" cm="1">
        <f t="array" ref="Y740">_xlfn.IFS(报价场景=服务费底表!$AJ$2,服务费底表!$AJ740,报价场景=服务费底表!$AP$2,服务费底表!$AP740,报价场景=服务费底表!$AK$2,服务费底表!$AK740,报价场景=服务费底表!$AL$2,服务费底表!$AL740,报价场景=服务费底表!$AM$2,服务费底表!$AM740,报价场景=服务费底表!$AN$2,服务费底表!$AN740,报价场景=服务费底表!$AQ$2,服务费底表!$AQ740,报价场景=服务费底表!$AO$2,服务费底表!$AO740)</f>
        <v>2</v>
      </c>
      <c r="Z740" s="327"/>
      <c r="AA740" s="332">
        <f t="shared" si="654"/>
        <v>2</v>
      </c>
      <c r="AB740" s="333">
        <f t="shared" si="646"/>
        <v>0</v>
      </c>
      <c r="AC740" s="328">
        <f t="shared" si="647"/>
        <v>0</v>
      </c>
      <c r="AD740" s="334">
        <f t="shared" si="648"/>
        <v>0</v>
      </c>
      <c r="AE740" s="334">
        <f>$AB740*(1-INDEX(项目参数!$D$5:$D$14,MATCH(服务费底表!$S740,项目参数!$B$5:$B$14,0)))</f>
        <v>0</v>
      </c>
      <c r="AF740" s="334">
        <f>$AD740*INDEX(项目参数!$D$5:$D$14,MATCH(服务费底表!$S740,项目参数!$B$5:$B$14,0))</f>
        <v>0</v>
      </c>
      <c r="AG740" s="334">
        <f t="shared" si="669"/>
        <v>0</v>
      </c>
      <c r="AH740" s="328"/>
      <c r="AI740" s="328" t="s">
        <v>599</v>
      </c>
      <c r="AJ740" s="327">
        <v>2</v>
      </c>
      <c r="AK740" s="327">
        <f t="shared" si="671"/>
        <v>3</v>
      </c>
      <c r="AL740" s="327">
        <f t="shared" si="672"/>
        <v>1.4</v>
      </c>
      <c r="AM740" s="327">
        <f t="shared" si="673"/>
        <v>1.4</v>
      </c>
      <c r="AN740" s="327">
        <f t="shared" si="674"/>
        <v>2</v>
      </c>
      <c r="AO740" s="327">
        <f t="shared" si="675"/>
        <v>0.98</v>
      </c>
      <c r="AP740" s="327">
        <v>2</v>
      </c>
      <c r="AQ740" s="327">
        <f t="shared" si="668"/>
        <v>3</v>
      </c>
      <c r="AR740" s="338"/>
      <c r="AS740" s="328">
        <f t="shared" si="657"/>
        <v>0</v>
      </c>
      <c r="AT740" s="328">
        <f t="shared" si="658"/>
        <v>0</v>
      </c>
      <c r="AU740" s="523">
        <v>2</v>
      </c>
      <c r="AV740" s="328"/>
      <c r="AW740" s="328"/>
      <c r="AX740" s="332">
        <v>2</v>
      </c>
      <c r="AY740" s="328" t="b">
        <f t="shared" si="670"/>
        <v>1</v>
      </c>
      <c r="AZ740" s="328" t="b">
        <f t="shared" si="661"/>
        <v>1</v>
      </c>
    </row>
    <row r="741" ht="27" customHeight="1" spans="1:52">
      <c r="A741" s="326" t="str">
        <f>INDEX('Rate Card'!$A:$A,MATCH(服务费底表!$T741,'Rate Card'!$F:$F,0))</f>
        <v>临床运营</v>
      </c>
      <c r="B741" s="327" t="str">
        <f>INDEX(二三级标准!$G:$G,MATCH(服务费底表!$K741,二三级标准!B:B,0))</f>
        <v>次</v>
      </c>
      <c r="C741" s="327">
        <f>INDEX(服务费明细!$E:$E,MATCH(服务费底表!$K741,服务费明细!$B:$B,0))</f>
        <v>0</v>
      </c>
      <c r="D741" s="327" t="str">
        <f t="shared" si="644"/>
        <v>A170CRA</v>
      </c>
      <c r="E741" s="327" t="str">
        <f t="shared" si="645"/>
        <v>T0555CRA</v>
      </c>
      <c r="F741" s="328"/>
      <c r="G741" s="328" t="s">
        <v>684</v>
      </c>
      <c r="H741" s="326" t="str">
        <f>INDEX('Rate Card'!$B:$B,MATCH(服务费底表!$T741,'Rate Card'!$F:$F,0))</f>
        <v>临床运营</v>
      </c>
      <c r="I741" s="328" t="s">
        <v>930</v>
      </c>
      <c r="J741" s="328" t="str">
        <f>INDEX(二三级标准!$Q:$Q,MATCH(服务费底表!I741,二三级标准!$O:$O,0))</f>
        <v>国家局核查支持</v>
      </c>
      <c r="K741" s="328" t="s">
        <v>447</v>
      </c>
      <c r="L741" s="328" t="str">
        <f>INDEX(二三级标准!C:C,MATCH(服务费底表!K741,二三级标准!$B:$B,0))</f>
        <v>现场支持</v>
      </c>
      <c r="M741" s="328" t="s">
        <v>1731</v>
      </c>
      <c r="N741" s="328" t="str">
        <f>INDEX(二三级标准!$M:$M,MATCH(服务费底表!$M741,二三级标准!$L:$L,0))</f>
        <v>核查现场支持</v>
      </c>
      <c r="O741" s="328"/>
      <c r="P741" s="327">
        <f>IF(R741=1,INDEX(服务费明细!$E:$E,MATCH(服务费底表!$K741,服务费明细!$B:$B,0)),0)</f>
        <v>0</v>
      </c>
      <c r="Q741" s="328" t="s">
        <v>1178</v>
      </c>
      <c r="R741" s="520">
        <f>IF(AND(核查前现场准备YN=1,临床监查YN=1),1,0)</f>
        <v>0</v>
      </c>
      <c r="S741" s="525" t="str">
        <f>INDEX('Rate Card'!$D:$D,MATCH(服务费底表!$T741,'Rate Card'!F:F,0))</f>
        <v>临床监查</v>
      </c>
      <c r="T741" s="328" t="s">
        <v>595</v>
      </c>
      <c r="U741" s="522" t="str">
        <f>INDEX('Rate Card'!$E:$E,MATCH(服务费底表!$T741,'Rate Card'!$F:$F,0))</f>
        <v>临床监查员</v>
      </c>
      <c r="V741" s="331">
        <f>INDEX('Rate Card'!$J:$J,MATCH($T741,'Rate Card'!$F:$F,0))</f>
        <v>340</v>
      </c>
      <c r="W741" s="523">
        <f t="shared" si="666"/>
        <v>340</v>
      </c>
      <c r="X741" s="523">
        <f t="shared" si="667"/>
        <v>22</v>
      </c>
      <c r="Y741" s="327" cm="1">
        <f t="array" ref="Y741">_xlfn.IFS(报价场景=服务费底表!$AJ$2,服务费底表!$AJ741,报价场景=服务费底表!$AP$2,服务费底表!$AP741,报价场景=服务费底表!$AK$2,服务费底表!$AK741,报价场景=服务费底表!$AL$2,服务费底表!$AL741,报价场景=服务费底表!$AM$2,服务费底表!$AM741,报价场景=服务费底表!$AN$2,服务费底表!$AN741,报价场景=服务费底表!$AQ$2,服务费底表!$AQ741,报价场景=服务费底表!$AO$2,服务费底表!$AO741)</f>
        <v>22</v>
      </c>
      <c r="Z741" s="327"/>
      <c r="AA741" s="332">
        <f t="shared" si="654"/>
        <v>22</v>
      </c>
      <c r="AB741" s="333">
        <f t="shared" si="646"/>
        <v>0</v>
      </c>
      <c r="AC741" s="328">
        <f t="shared" si="647"/>
        <v>0</v>
      </c>
      <c r="AD741" s="334">
        <f t="shared" si="648"/>
        <v>0</v>
      </c>
      <c r="AE741" s="334">
        <f>$AB741*(1-INDEX(项目参数!$D$5:$D$14,MATCH(服务费底表!$S741,项目参数!$B$5:$B$14,0)))</f>
        <v>0</v>
      </c>
      <c r="AF741" s="334">
        <f>$AD741*INDEX(项目参数!$D$5:$D$14,MATCH(服务费底表!$S741,项目参数!$B$5:$B$14,0))</f>
        <v>0</v>
      </c>
      <c r="AG741" s="334">
        <f t="shared" si="669"/>
        <v>0</v>
      </c>
      <c r="AH741" s="328"/>
      <c r="AI741" s="328" t="s">
        <v>595</v>
      </c>
      <c r="AJ741" s="327">
        <v>22</v>
      </c>
      <c r="AK741" s="327">
        <f t="shared" si="671"/>
        <v>33</v>
      </c>
      <c r="AL741" s="327">
        <f t="shared" si="672"/>
        <v>15.4</v>
      </c>
      <c r="AM741" s="327">
        <f t="shared" si="673"/>
        <v>15.4</v>
      </c>
      <c r="AN741" s="327">
        <f t="shared" si="674"/>
        <v>22</v>
      </c>
      <c r="AO741" s="327">
        <f t="shared" si="675"/>
        <v>10.78</v>
      </c>
      <c r="AP741" s="327">
        <v>22</v>
      </c>
      <c r="AQ741" s="327">
        <f t="shared" si="668"/>
        <v>33</v>
      </c>
      <c r="AR741" s="338"/>
      <c r="AS741" s="328">
        <f t="shared" si="657"/>
        <v>0</v>
      </c>
      <c r="AT741" s="328">
        <f t="shared" si="658"/>
        <v>0</v>
      </c>
      <c r="AU741" s="523">
        <v>22</v>
      </c>
      <c r="AV741" s="328"/>
      <c r="AW741" s="328"/>
      <c r="AX741" s="332">
        <v>22</v>
      </c>
      <c r="AY741" s="328" t="b">
        <f t="shared" si="670"/>
        <v>1</v>
      </c>
      <c r="AZ741" s="328" t="b">
        <f t="shared" si="661"/>
        <v>0</v>
      </c>
    </row>
    <row r="742" ht="27" customHeight="1" spans="1:52">
      <c r="A742" s="326" t="str">
        <f>INDEX('Rate Card'!$A:$A,MATCH(服务费底表!$T742,'Rate Card'!$F:$F,0))</f>
        <v>临床运营</v>
      </c>
      <c r="B742" s="327" t="str">
        <f>INDEX(二三级标准!$G:$G,MATCH(服务费底表!$K742,二三级标准!B:B,0))</f>
        <v>次</v>
      </c>
      <c r="C742" s="327">
        <f>INDEX(服务费明细!$E:$E,MATCH(服务费底表!$K742,服务费明细!$B:$B,0))</f>
        <v>0</v>
      </c>
      <c r="D742" s="327" t="str">
        <f t="shared" si="644"/>
        <v>A170QCM</v>
      </c>
      <c r="E742" s="327" t="str">
        <f t="shared" si="645"/>
        <v>T0555QCM</v>
      </c>
      <c r="F742" s="328"/>
      <c r="G742" s="328" t="s">
        <v>684</v>
      </c>
      <c r="H742" s="326" t="str">
        <f>INDEX('Rate Card'!$B:$B,MATCH(服务费底表!$T742,'Rate Card'!$F:$F,0))</f>
        <v>临床运营</v>
      </c>
      <c r="I742" s="328" t="s">
        <v>930</v>
      </c>
      <c r="J742" s="328" t="str">
        <f>INDEX(二三级标准!$Q:$Q,MATCH(服务费底表!I742,二三级标准!$O:$O,0))</f>
        <v>国家局核查支持</v>
      </c>
      <c r="K742" s="328" t="s">
        <v>447</v>
      </c>
      <c r="L742" s="328" t="str">
        <f>INDEX(二三级标准!C:C,MATCH(服务费底表!K742,二三级标准!$B:$B,0))</f>
        <v>现场支持</v>
      </c>
      <c r="M742" s="328" t="s">
        <v>1731</v>
      </c>
      <c r="N742" s="328" t="str">
        <f>INDEX(二三级标准!$M:$M,MATCH(服务费底表!$M742,二三级标准!$L:$L,0))</f>
        <v>核查现场支持</v>
      </c>
      <c r="O742" s="328"/>
      <c r="P742" s="327">
        <f>IF(R742=1,INDEX(服务费明细!$E:$E,MATCH(服务费底表!$K742,服务费明细!$B:$B,0)),0)</f>
        <v>0</v>
      </c>
      <c r="Q742" s="328" t="s">
        <v>1178</v>
      </c>
      <c r="R742" s="520">
        <f>IF(AND(核查前现场准备YN=1,临床监查YN=1),1,0)</f>
        <v>0</v>
      </c>
      <c r="S742" s="525" t="str">
        <f>INDEX('Rate Card'!$D:$D,MATCH(服务费底表!$T742,'Rate Card'!F:F,0))</f>
        <v>临床监查</v>
      </c>
      <c r="T742" s="328" t="s">
        <v>603</v>
      </c>
      <c r="U742" s="522" t="str">
        <f>INDEX('Rate Card'!$E:$E,MATCH(服务费底表!$T742,'Rate Card'!$F:$F,0))</f>
        <v>临床质量控制经理</v>
      </c>
      <c r="V742" s="331">
        <f>INDEX('Rate Card'!$J:$J,MATCH($T742,'Rate Card'!$F:$F,0))</f>
        <v>600</v>
      </c>
      <c r="W742" s="523">
        <f t="shared" si="666"/>
        <v>600</v>
      </c>
      <c r="X742" s="523">
        <f t="shared" si="667"/>
        <v>22</v>
      </c>
      <c r="Y742" s="327" cm="1">
        <f t="array" ref="Y742">_xlfn.IFS(报价场景=服务费底表!$AJ$2,服务费底表!$AJ742,报价场景=服务费底表!$AP$2,服务费底表!$AP742,报价场景=服务费底表!$AK$2,服务费底表!$AK742,报价场景=服务费底表!$AL$2,服务费底表!$AL742,报价场景=服务费底表!$AM$2,服务费底表!$AM742,报价场景=服务费底表!$AN$2,服务费底表!$AN742,报价场景=服务费底表!$AQ$2,服务费底表!$AQ742,报价场景=服务费底表!$AO$2,服务费底表!$AO742)</f>
        <v>22</v>
      </c>
      <c r="Z742" s="327"/>
      <c r="AA742" s="332">
        <f t="shared" si="654"/>
        <v>22</v>
      </c>
      <c r="AB742" s="333">
        <f t="shared" si="646"/>
        <v>0</v>
      </c>
      <c r="AC742" s="328">
        <f t="shared" si="647"/>
        <v>0</v>
      </c>
      <c r="AD742" s="334">
        <f t="shared" si="648"/>
        <v>0</v>
      </c>
      <c r="AE742" s="334">
        <f>$AB742*(1-INDEX(项目参数!$D$5:$D$14,MATCH(服务费底表!$S742,项目参数!$B$5:$B$14,0)))</f>
        <v>0</v>
      </c>
      <c r="AF742" s="334">
        <f>$AD742*INDEX(项目参数!$D$5:$D$14,MATCH(服务费底表!$S742,项目参数!$B$5:$B$14,0))</f>
        <v>0</v>
      </c>
      <c r="AG742" s="334">
        <f t="shared" si="669"/>
        <v>0</v>
      </c>
      <c r="AH742" s="328"/>
      <c r="AI742" s="328" t="s">
        <v>603</v>
      </c>
      <c r="AJ742" s="327">
        <v>22</v>
      </c>
      <c r="AK742" s="327">
        <f t="shared" si="671"/>
        <v>33</v>
      </c>
      <c r="AL742" s="327">
        <f t="shared" si="672"/>
        <v>15.4</v>
      </c>
      <c r="AM742" s="327">
        <f t="shared" si="673"/>
        <v>15.4</v>
      </c>
      <c r="AN742" s="327">
        <f t="shared" si="674"/>
        <v>22</v>
      </c>
      <c r="AO742" s="327">
        <f t="shared" si="675"/>
        <v>10.78</v>
      </c>
      <c r="AP742" s="327">
        <v>22</v>
      </c>
      <c r="AQ742" s="327">
        <f t="shared" si="668"/>
        <v>33</v>
      </c>
      <c r="AR742" s="338"/>
      <c r="AS742" s="328">
        <f t="shared" si="657"/>
        <v>0</v>
      </c>
      <c r="AT742" s="328">
        <f t="shared" si="658"/>
        <v>0</v>
      </c>
      <c r="AU742" s="523">
        <v>22</v>
      </c>
      <c r="AV742" s="328"/>
      <c r="AW742" s="328"/>
      <c r="AX742" s="332">
        <v>22</v>
      </c>
      <c r="AY742" s="328" t="b">
        <f t="shared" si="670"/>
        <v>1</v>
      </c>
      <c r="AZ742" s="328" t="b">
        <f t="shared" si="661"/>
        <v>0</v>
      </c>
    </row>
    <row r="743" ht="27" customHeight="1" spans="1:52">
      <c r="A743" s="326" t="str">
        <f>INDEX('Rate Card'!$A:$A,MATCH(服务费底表!$T743,'Rate Card'!$F:$F,0))</f>
        <v>临床运营</v>
      </c>
      <c r="B743" s="327" t="str">
        <f>INDEX(二三级标准!$G:$G,MATCH(服务费底表!$K743,二三级标准!B:B,0))</f>
        <v>次</v>
      </c>
      <c r="C743" s="327">
        <f>INDEX(服务费明细!$E:$E,MATCH(服务费底表!$K743,服务费明细!$B:$B,0))</f>
        <v>0</v>
      </c>
      <c r="D743" s="327" t="str">
        <f t="shared" si="644"/>
        <v>A170PM</v>
      </c>
      <c r="E743" s="327" t="str">
        <f t="shared" si="645"/>
        <v>T0555PM</v>
      </c>
      <c r="F743" s="328"/>
      <c r="G743" s="328" t="s">
        <v>684</v>
      </c>
      <c r="H743" s="326" t="str">
        <f>INDEX('Rate Card'!$B:$B,MATCH(服务费底表!$T743,'Rate Card'!$F:$F,0))</f>
        <v>临床运营</v>
      </c>
      <c r="I743" s="328" t="s">
        <v>930</v>
      </c>
      <c r="J743" s="328" t="str">
        <f>INDEX(二三级标准!$Q:$Q,MATCH(服务费底表!I743,二三级标准!$O:$O,0))</f>
        <v>国家局核查支持</v>
      </c>
      <c r="K743" s="328" t="s">
        <v>447</v>
      </c>
      <c r="L743" s="328" t="str">
        <f>INDEX(二三级标准!C:C,MATCH(服务费底表!K743,二三级标准!$B:$B,0))</f>
        <v>现场支持</v>
      </c>
      <c r="M743" s="328" t="s">
        <v>1731</v>
      </c>
      <c r="N743" s="328" t="str">
        <f>INDEX(二三级标准!$M:$M,MATCH(服务费底表!$M743,二三级标准!$L:$L,0))</f>
        <v>核查现场支持</v>
      </c>
      <c r="O743" s="328"/>
      <c r="P743" s="327">
        <f>IF(R743=1,INDEX(服务费明细!$E:$E,MATCH(服务费底表!$K743,服务费明细!$B:$B,0)),0)</f>
        <v>0</v>
      </c>
      <c r="Q743" s="328" t="s">
        <v>1178</v>
      </c>
      <c r="R743" s="520">
        <f>IF(AND(核查前现场准备YN=1,项目管理YN=1),1,0)</f>
        <v>0</v>
      </c>
      <c r="S743" s="525" t="str">
        <f>INDEX('Rate Card'!$D:$D,MATCH(服务费底表!$T743,'Rate Card'!F:F,0))</f>
        <v>项目管理</v>
      </c>
      <c r="T743" s="328" t="s">
        <v>599</v>
      </c>
      <c r="U743" s="522" t="str">
        <f>INDEX('Rate Card'!$E:$E,MATCH(服务费底表!$T743,'Rate Card'!$F:$F,0))</f>
        <v>临床项目经理</v>
      </c>
      <c r="V743" s="331">
        <f>INDEX('Rate Card'!$J:$J,MATCH($T743,'Rate Card'!$F:$F,0))</f>
        <v>650</v>
      </c>
      <c r="W743" s="523">
        <f t="shared" si="666"/>
        <v>650</v>
      </c>
      <c r="X743" s="523">
        <f t="shared" si="667"/>
        <v>22</v>
      </c>
      <c r="Y743" s="327" cm="1">
        <f t="array" ref="Y743">_xlfn.IFS(报价场景=服务费底表!$AJ$2,服务费底表!$AJ743,报价场景=服务费底表!$AP$2,服务费底表!$AP743,报价场景=服务费底表!$AK$2,服务费底表!$AK743,报价场景=服务费底表!$AL$2,服务费底表!$AL743,报价场景=服务费底表!$AM$2,服务费底表!$AM743,报价场景=服务费底表!$AN$2,服务费底表!$AN743,报价场景=服务费底表!$AQ$2,服务费底表!$AQ743,报价场景=服务费底表!$AO$2,服务费底表!$AO743)</f>
        <v>22</v>
      </c>
      <c r="Z743" s="327"/>
      <c r="AA743" s="332">
        <f t="shared" si="654"/>
        <v>22</v>
      </c>
      <c r="AB743" s="333">
        <f t="shared" si="646"/>
        <v>0</v>
      </c>
      <c r="AC743" s="328">
        <f t="shared" si="647"/>
        <v>0</v>
      </c>
      <c r="AD743" s="334">
        <f t="shared" si="648"/>
        <v>0</v>
      </c>
      <c r="AE743" s="334">
        <f>$AB743*(1-INDEX(项目参数!$D$5:$D$14,MATCH(服务费底表!$S743,项目参数!$B$5:$B$14,0)))</f>
        <v>0</v>
      </c>
      <c r="AF743" s="334">
        <f>$AD743*INDEX(项目参数!$D$5:$D$14,MATCH(服务费底表!$S743,项目参数!$B$5:$B$14,0))</f>
        <v>0</v>
      </c>
      <c r="AG743" s="334">
        <f t="shared" si="669"/>
        <v>0</v>
      </c>
      <c r="AH743" s="328"/>
      <c r="AI743" s="328" t="s">
        <v>599</v>
      </c>
      <c r="AJ743" s="327">
        <v>22</v>
      </c>
      <c r="AK743" s="327">
        <f t="shared" si="671"/>
        <v>33</v>
      </c>
      <c r="AL743" s="327">
        <f t="shared" si="672"/>
        <v>15.4</v>
      </c>
      <c r="AM743" s="327">
        <f t="shared" si="673"/>
        <v>15.4</v>
      </c>
      <c r="AN743" s="327">
        <f t="shared" si="674"/>
        <v>22</v>
      </c>
      <c r="AO743" s="327">
        <f t="shared" si="675"/>
        <v>10.78</v>
      </c>
      <c r="AP743" s="327">
        <v>22</v>
      </c>
      <c r="AQ743" s="327">
        <f t="shared" si="668"/>
        <v>33</v>
      </c>
      <c r="AR743" s="338"/>
      <c r="AS743" s="328">
        <f t="shared" si="657"/>
        <v>0</v>
      </c>
      <c r="AT743" s="328">
        <f t="shared" si="658"/>
        <v>0</v>
      </c>
      <c r="AU743" s="523">
        <v>22</v>
      </c>
      <c r="AV743" s="328"/>
      <c r="AW743" s="328"/>
      <c r="AX743" s="332">
        <v>22</v>
      </c>
      <c r="AY743" s="328" t="b">
        <f t="shared" si="670"/>
        <v>1</v>
      </c>
      <c r="AZ743" s="328" t="b">
        <f t="shared" si="661"/>
        <v>0</v>
      </c>
    </row>
    <row r="744" ht="27" customHeight="1" spans="1:52">
      <c r="A744" s="326" t="str">
        <f>INDEX('Rate Card'!$A:$A,MATCH(服务费底表!$T744,'Rate Card'!$F:$F,0))</f>
        <v>医学</v>
      </c>
      <c r="B744" s="327" t="str">
        <f>INDEX(二三级标准!$G:$G,MATCH(服务费底表!$K744,二三级标准!B:B,0))</f>
        <v>次</v>
      </c>
      <c r="C744" s="327">
        <f>INDEX(服务费明细!$E:$E,MATCH(服务费底表!$K744,服务费明细!$B:$B,0))</f>
        <v>0</v>
      </c>
      <c r="D744" s="327" t="str">
        <f t="shared" si="644"/>
        <v>A170MM</v>
      </c>
      <c r="E744" s="327" t="str">
        <f t="shared" si="645"/>
        <v>T0555MM</v>
      </c>
      <c r="F744" s="328"/>
      <c r="G744" s="328" t="s">
        <v>684</v>
      </c>
      <c r="H744" s="326" t="str">
        <f>INDEX('Rate Card'!$B:$B,MATCH(服务费底表!$T744,'Rate Card'!$F:$F,0))</f>
        <v>医学</v>
      </c>
      <c r="I744" s="328" t="s">
        <v>930</v>
      </c>
      <c r="J744" s="328" t="str">
        <f>INDEX(二三级标准!$Q:$Q,MATCH(服务费底表!I744,二三级标准!$O:$O,0))</f>
        <v>国家局核查支持</v>
      </c>
      <c r="K744" s="328" t="s">
        <v>447</v>
      </c>
      <c r="L744" s="328" t="str">
        <f>INDEX(二三级标准!C:C,MATCH(服务费底表!K744,二三级标准!$B:$B,0))</f>
        <v>现场支持</v>
      </c>
      <c r="M744" s="328" t="s">
        <v>1731</v>
      </c>
      <c r="N744" s="328" t="str">
        <f>INDEX(二三级标准!$M:$M,MATCH(服务费底表!$M744,二三级标准!$L:$L,0))</f>
        <v>核查现场支持</v>
      </c>
      <c r="O744" s="328"/>
      <c r="P744" s="327">
        <f>IF(R744=1,INDEX(服务费明细!$E:$E,MATCH(服务费底表!$K744,服务费明细!$B:$B,0)),0)</f>
        <v>0</v>
      </c>
      <c r="Q744" s="328" t="s">
        <v>1178</v>
      </c>
      <c r="R744" s="520">
        <f>IF(AND(核查前现场准备YN=1,医学监查YN=1),1,0)</f>
        <v>0</v>
      </c>
      <c r="S744" s="525" t="s">
        <v>579</v>
      </c>
      <c r="T744" s="328" t="s">
        <v>615</v>
      </c>
      <c r="U744" s="522" t="str">
        <f>INDEX('Rate Card'!$E:$E,MATCH(服务费底表!$T744,'Rate Card'!$F:$F,0))</f>
        <v>医学经理</v>
      </c>
      <c r="V744" s="331">
        <f>INDEX('Rate Card'!$J:$J,MATCH($T744,'Rate Card'!$F:$F,0))</f>
        <v>650</v>
      </c>
      <c r="W744" s="523">
        <f t="shared" si="666"/>
        <v>650</v>
      </c>
      <c r="X744" s="523">
        <f t="shared" si="667"/>
        <v>0</v>
      </c>
      <c r="Y744" s="327" cm="1">
        <f t="array" ref="Y744">_xlfn.IFS(报价场景=服务费底表!$AJ$2,服务费底表!$AJ744,报价场景=服务费底表!$AP$2,服务费底表!$AP744,报价场景=服务费底表!$AK$2,服务费底表!$AK744,报价场景=服务费底表!$AL$2,服务费底表!$AL744,报价场景=服务费底表!$AM$2,服务费底表!$AM744,报价场景=服务费底表!$AN$2,服务费底表!$AN744,报价场景=服务费底表!$AQ$2,服务费底表!$AQ744,报价场景=服务费底表!$AO$2,服务费底表!$AO744)</f>
        <v>0</v>
      </c>
      <c r="Z744" s="327"/>
      <c r="AA744" s="332">
        <f t="shared" si="654"/>
        <v>0</v>
      </c>
      <c r="AB744" s="333">
        <f t="shared" si="646"/>
        <v>0</v>
      </c>
      <c r="AC744" s="328">
        <f t="shared" si="647"/>
        <v>0</v>
      </c>
      <c r="AD744" s="334">
        <f t="shared" si="648"/>
        <v>0</v>
      </c>
      <c r="AE744" s="334">
        <f>$AB744*(1-INDEX(项目参数!$D$5:$D$14,MATCH(服务费底表!$S744,项目参数!$B$5:$B$14,0)))</f>
        <v>0</v>
      </c>
      <c r="AF744" s="334">
        <f>$AD744*INDEX(项目参数!$D$5:$D$14,MATCH(服务费底表!$S744,项目参数!$B$5:$B$14,0))</f>
        <v>0</v>
      </c>
      <c r="AG744" s="334">
        <f t="shared" si="669"/>
        <v>0</v>
      </c>
      <c r="AH744" s="328"/>
      <c r="AI744" s="328" t="s">
        <v>599</v>
      </c>
      <c r="AJ744" s="327">
        <v>0</v>
      </c>
      <c r="AK744" s="327">
        <v>24</v>
      </c>
      <c r="AL744" s="327">
        <v>0</v>
      </c>
      <c r="AM744" s="327">
        <v>24</v>
      </c>
      <c r="AN744" s="327">
        <f t="shared" si="674"/>
        <v>0</v>
      </c>
      <c r="AO744" s="327">
        <v>0</v>
      </c>
      <c r="AP744" s="327">
        <v>0</v>
      </c>
      <c r="AQ744" s="327">
        <f>AK744*$AQ$1</f>
        <v>36</v>
      </c>
      <c r="AR744" s="338"/>
      <c r="AS744" s="328">
        <f t="shared" si="657"/>
        <v>0</v>
      </c>
      <c r="AT744" s="328">
        <f t="shared" si="658"/>
        <v>0</v>
      </c>
      <c r="AU744" s="523">
        <v>22</v>
      </c>
      <c r="AV744" s="328"/>
      <c r="AW744" s="328"/>
      <c r="AX744" s="332">
        <v>22</v>
      </c>
      <c r="AY744" s="328" t="b">
        <f t="shared" si="670"/>
        <v>0</v>
      </c>
      <c r="AZ744" s="328" t="b">
        <f t="shared" si="661"/>
        <v>0</v>
      </c>
    </row>
    <row r="745" ht="27" customHeight="1" spans="1:52">
      <c r="A745" s="326" t="str">
        <f>INDEX('Rate Card'!$A:$A,MATCH(服务费底表!$T745,'Rate Card'!$F:$F,0))</f>
        <v>临床运营</v>
      </c>
      <c r="B745" s="327" t="str">
        <f>INDEX(二三级标准!$G:$G,MATCH(服务费底表!$K745,二三级标准!B:B,0))</f>
        <v>次</v>
      </c>
      <c r="C745" s="327">
        <f>INDEX(服务费明细!$E:$E,MATCH(服务费底表!$K745,服务费明细!$B:$B,0))</f>
        <v>0</v>
      </c>
      <c r="D745" s="327" t="str">
        <f t="shared" si="644"/>
        <v>A171PM</v>
      </c>
      <c r="E745" s="327" t="str">
        <f t="shared" si="645"/>
        <v>T0556PM</v>
      </c>
      <c r="F745" s="328"/>
      <c r="G745" s="328" t="s">
        <v>684</v>
      </c>
      <c r="H745" s="326" t="str">
        <f>INDEX('Rate Card'!$B:$B,MATCH(服务费底表!$T745,'Rate Card'!$F:$F,0))</f>
        <v>临床运营</v>
      </c>
      <c r="I745" s="328" t="s">
        <v>930</v>
      </c>
      <c r="J745" s="328" t="str">
        <f>INDEX(二三级标准!$Q:$Q,MATCH(服务费底表!I745,二三级标准!$O:$O,0))</f>
        <v>国家局核查支持</v>
      </c>
      <c r="K745" s="328" t="s">
        <v>449</v>
      </c>
      <c r="L745" s="328" t="str">
        <f>INDEX(二三级标准!C:C,MATCH(服务费底表!K745,二三级标准!$B:$B,0))</f>
        <v>核查后支持报告回复</v>
      </c>
      <c r="M745" s="328" t="s">
        <v>1732</v>
      </c>
      <c r="N745" s="328" t="str">
        <f>INDEX(二三级标准!$M:$M,MATCH(服务费底表!$M745,二三级标准!$L:$L,0))</f>
        <v>核查后支持报告回复</v>
      </c>
      <c r="O745" s="328"/>
      <c r="P745" s="327">
        <f>IF(R745=1,INDEX(服务费明细!$E:$E,MATCH(服务费底表!$K745,服务费明细!$B:$B,0)),0)</f>
        <v>0</v>
      </c>
      <c r="Q745" s="328" t="s">
        <v>1178</v>
      </c>
      <c r="R745" s="520">
        <f>IF(AND(核查前现场准备YN=1,项目管理YN=1),1,0)</f>
        <v>0</v>
      </c>
      <c r="S745" s="525" t="str">
        <f>INDEX('Rate Card'!$D:$D,MATCH(服务费底表!$T745,'Rate Card'!F:F,0))</f>
        <v>项目管理</v>
      </c>
      <c r="T745" s="328" t="s">
        <v>599</v>
      </c>
      <c r="U745" s="522" t="str">
        <f>INDEX('Rate Card'!$E:$E,MATCH(服务费底表!$T745,'Rate Card'!$F:$F,0))</f>
        <v>临床项目经理</v>
      </c>
      <c r="V745" s="331">
        <f>INDEX('Rate Card'!$J:$J,MATCH($T745,'Rate Card'!$F:$F,0))</f>
        <v>650</v>
      </c>
      <c r="W745" s="523">
        <f t="shared" si="666"/>
        <v>650</v>
      </c>
      <c r="X745" s="523">
        <f t="shared" si="667"/>
        <v>8</v>
      </c>
      <c r="Y745" s="327" cm="1">
        <f t="array" ref="Y745">_xlfn.IFS(报价场景=服务费底表!$AJ$2,服务费底表!$AJ745,报价场景=服务费底表!$AP$2,服务费底表!$AP745,报价场景=服务费底表!$AK$2,服务费底表!$AK745,报价场景=服务费底表!$AL$2,服务费底表!$AL745,报价场景=服务费底表!$AM$2,服务费底表!$AM745,报价场景=服务费底表!$AN$2,服务费底表!$AN745,报价场景=服务费底表!$AQ$2,服务费底表!$AQ745,报价场景=服务费底表!$AO$2,服务费底表!$AO745)</f>
        <v>8</v>
      </c>
      <c r="Z745" s="327"/>
      <c r="AA745" s="332">
        <f t="shared" si="654"/>
        <v>8</v>
      </c>
      <c r="AB745" s="333">
        <f t="shared" si="646"/>
        <v>0</v>
      </c>
      <c r="AC745" s="328">
        <f t="shared" si="647"/>
        <v>0</v>
      </c>
      <c r="AD745" s="334">
        <f t="shared" ref="AD745:AD747" si="676">AC745*V745</f>
        <v>0</v>
      </c>
      <c r="AE745" s="334">
        <f>$AB745*(1-INDEX(项目参数!$D$5:$D$14,MATCH(服务费底表!$S745,项目参数!$B$5:$B$14,0)))</f>
        <v>0</v>
      </c>
      <c r="AF745" s="334">
        <f>$AD745*INDEX(项目参数!$D$5:$D$14,MATCH(服务费底表!$S745,项目参数!$B$5:$B$14,0))</f>
        <v>0</v>
      </c>
      <c r="AG745" s="334">
        <f t="shared" si="669"/>
        <v>0</v>
      </c>
      <c r="AH745" s="328"/>
      <c r="AI745" s="328" t="s">
        <v>599</v>
      </c>
      <c r="AJ745" s="327">
        <v>8</v>
      </c>
      <c r="AK745" s="327">
        <f>AJ745*1.5</f>
        <v>12</v>
      </c>
      <c r="AL745" s="327">
        <f>AJ745*0.7</f>
        <v>5.6</v>
      </c>
      <c r="AM745" s="327">
        <f>AJ745*0.7</f>
        <v>5.6</v>
      </c>
      <c r="AN745" s="327">
        <f t="shared" si="674"/>
        <v>8</v>
      </c>
      <c r="AO745" s="327">
        <f>AM745*0.7</f>
        <v>3.92</v>
      </c>
      <c r="AP745" s="327">
        <v>8</v>
      </c>
      <c r="AQ745" s="327">
        <f>AJ745*$AQ$1</f>
        <v>12</v>
      </c>
      <c r="AR745" s="338"/>
      <c r="AS745" s="328">
        <f t="shared" si="657"/>
        <v>0</v>
      </c>
      <c r="AT745" s="328">
        <f t="shared" si="658"/>
        <v>0</v>
      </c>
      <c r="AU745" s="523">
        <v>8</v>
      </c>
      <c r="AV745" s="328"/>
      <c r="AW745" s="328"/>
      <c r="AX745" s="332">
        <v>8</v>
      </c>
      <c r="AY745" s="328" t="b">
        <f t="shared" si="670"/>
        <v>1</v>
      </c>
      <c r="AZ745" s="328" t="b">
        <f>IF(K745&lt;&gt;K743,IF(AZ743=TRUE,FALSE,TRUE),AZ743)</f>
        <v>1</v>
      </c>
    </row>
    <row r="746" ht="27" customHeight="1" spans="1:52">
      <c r="A746" s="326" t="str">
        <f>INDEX('Rate Card'!$A:$A,MATCH(服务费底表!$T746,'Rate Card'!$F:$F,0))</f>
        <v>临床运营</v>
      </c>
      <c r="B746" s="327" t="str">
        <f>INDEX(二三级标准!$G:$G,MATCH(服务费底表!$K746,二三级标准!B:B,0))</f>
        <v>次</v>
      </c>
      <c r="C746" s="327">
        <f>INDEX(服务费明细!$E:$E,MATCH(服务费底表!$K746,服务费明细!$B:$B,0))</f>
        <v>0</v>
      </c>
      <c r="D746" s="327" t="str">
        <f t="shared" si="644"/>
        <v>A171CRA</v>
      </c>
      <c r="E746" s="327" t="str">
        <f t="shared" si="645"/>
        <v>T0556CRA</v>
      </c>
      <c r="F746" s="328"/>
      <c r="G746" s="328" t="s">
        <v>684</v>
      </c>
      <c r="H746" s="326" t="str">
        <f>INDEX('Rate Card'!$B:$B,MATCH(服务费底表!$T746,'Rate Card'!$F:$F,0))</f>
        <v>临床运营</v>
      </c>
      <c r="I746" s="328" t="s">
        <v>930</v>
      </c>
      <c r="J746" s="328" t="str">
        <f>INDEX(二三级标准!$Q:$Q,MATCH(服务费底表!I746,二三级标准!$O:$O,0))</f>
        <v>国家局核查支持</v>
      </c>
      <c r="K746" s="328" t="s">
        <v>449</v>
      </c>
      <c r="L746" s="328" t="str">
        <f>INDEX(二三级标准!C:C,MATCH(服务费底表!K746,二三级标准!$B:$B,0))</f>
        <v>核查后支持报告回复</v>
      </c>
      <c r="M746" s="328" t="s">
        <v>1732</v>
      </c>
      <c r="N746" s="328" t="str">
        <f>INDEX(二三级标准!$M:$M,MATCH(服务费底表!$M746,二三级标准!$L:$L,0))</f>
        <v>核查后支持报告回复</v>
      </c>
      <c r="O746" s="328"/>
      <c r="P746" s="327">
        <f>IF(R746=1,INDEX(服务费明细!$E:$E,MATCH(服务费底表!$K746,服务费明细!$B:$B,0)),0)</f>
        <v>0</v>
      </c>
      <c r="Q746" s="328" t="s">
        <v>1178</v>
      </c>
      <c r="R746" s="520">
        <f>IF(AND(核查前现场准备YN=1,临床监查YN=1),1,0)</f>
        <v>0</v>
      </c>
      <c r="S746" s="525" t="str">
        <f>INDEX('Rate Card'!$D:$D,MATCH(服务费底表!$T746,'Rate Card'!F:F,0))</f>
        <v>临床监查</v>
      </c>
      <c r="T746" s="328" t="s">
        <v>595</v>
      </c>
      <c r="U746" s="522" t="str">
        <f>INDEX('Rate Card'!$E:$E,MATCH(服务费底表!$T746,'Rate Card'!$F:$F,0))</f>
        <v>临床监查员</v>
      </c>
      <c r="V746" s="331">
        <f>INDEX('Rate Card'!$J:$J,MATCH($T746,'Rate Card'!$F:$F,0))</f>
        <v>340</v>
      </c>
      <c r="W746" s="523">
        <f t="shared" si="666"/>
        <v>340</v>
      </c>
      <c r="X746" s="523">
        <f t="shared" si="667"/>
        <v>10</v>
      </c>
      <c r="Y746" s="327" cm="1">
        <f t="array" ref="Y746">_xlfn.IFS(报价场景=服务费底表!$AJ$2,服务费底表!$AJ746,报价场景=服务费底表!$AP$2,服务费底表!$AP746,报价场景=服务费底表!$AK$2,服务费底表!$AK746,报价场景=服务费底表!$AL$2,服务费底表!$AL746,报价场景=服务费底表!$AM$2,服务费底表!$AM746,报价场景=服务费底表!$AN$2,服务费底表!$AN746,报价场景=服务费底表!$AQ$2,服务费底表!$AQ746,报价场景=服务费底表!$AO$2,服务费底表!$AO746)</f>
        <v>10</v>
      </c>
      <c r="Z746" s="327"/>
      <c r="AA746" s="332">
        <f t="shared" si="654"/>
        <v>10</v>
      </c>
      <c r="AB746" s="333">
        <f t="shared" si="646"/>
        <v>0</v>
      </c>
      <c r="AC746" s="328">
        <f t="shared" si="647"/>
        <v>0</v>
      </c>
      <c r="AD746" s="334">
        <f t="shared" si="676"/>
        <v>0</v>
      </c>
      <c r="AE746" s="334">
        <f>$AB746*(1-INDEX(项目参数!$D$5:$D$14,MATCH(服务费底表!$S746,项目参数!$B$5:$B$14,0)))</f>
        <v>0</v>
      </c>
      <c r="AF746" s="334">
        <f>$AD746*INDEX(项目参数!$D$5:$D$14,MATCH(服务费底表!$S746,项目参数!$B$5:$B$14,0))</f>
        <v>0</v>
      </c>
      <c r="AG746" s="334">
        <f t="shared" si="669"/>
        <v>0</v>
      </c>
      <c r="AH746" s="328"/>
      <c r="AI746" s="328" t="s">
        <v>595</v>
      </c>
      <c r="AJ746" s="327">
        <v>10</v>
      </c>
      <c r="AK746" s="327">
        <f>AJ746*1.5</f>
        <v>15</v>
      </c>
      <c r="AL746" s="327">
        <f>AJ746*0.7</f>
        <v>7</v>
      </c>
      <c r="AM746" s="327">
        <f>AJ746*0.7</f>
        <v>7</v>
      </c>
      <c r="AN746" s="327">
        <f t="shared" si="674"/>
        <v>10</v>
      </c>
      <c r="AO746" s="327">
        <f>AM746*0.7</f>
        <v>4.9</v>
      </c>
      <c r="AP746" s="327">
        <v>10</v>
      </c>
      <c r="AQ746" s="327">
        <f>AJ746*$AQ$1</f>
        <v>15</v>
      </c>
      <c r="AR746" s="338"/>
      <c r="AS746" s="328">
        <f t="shared" si="657"/>
        <v>0</v>
      </c>
      <c r="AT746" s="328">
        <f t="shared" si="658"/>
        <v>0</v>
      </c>
      <c r="AU746" s="523">
        <v>10</v>
      </c>
      <c r="AV746" s="328"/>
      <c r="AW746" s="328"/>
      <c r="AX746" s="332">
        <v>10</v>
      </c>
      <c r="AY746" s="328" t="b">
        <f t="shared" si="670"/>
        <v>1</v>
      </c>
      <c r="AZ746" s="328" t="b">
        <f>IF(K746&lt;&gt;K745,IF(AZ745=TRUE,FALSE,TRUE),AZ745)</f>
        <v>1</v>
      </c>
    </row>
    <row r="747" ht="27" customHeight="1" spans="1:52">
      <c r="A747" s="326" t="str">
        <f>INDEX('Rate Card'!$A:$A,MATCH(服务费底表!$T747,'Rate Card'!$F:$F,0))</f>
        <v>临床运营</v>
      </c>
      <c r="B747" s="327" t="str">
        <f>INDEX(二三级标准!$G:$G,MATCH(服务费底表!$K747,二三级标准!B:B,0))</f>
        <v>次</v>
      </c>
      <c r="C747" s="327">
        <f>INDEX(服务费明细!$E:$E,MATCH(服务费底表!$K747,服务费明细!$B:$B,0))</f>
        <v>0</v>
      </c>
      <c r="D747" s="327" t="str">
        <f t="shared" si="644"/>
        <v>A171CTA</v>
      </c>
      <c r="E747" s="327" t="str">
        <f t="shared" si="645"/>
        <v>T0556CTA</v>
      </c>
      <c r="F747" s="328"/>
      <c r="G747" s="328" t="s">
        <v>684</v>
      </c>
      <c r="H747" s="326" t="str">
        <f>INDEX('Rate Card'!$B:$B,MATCH(服务费底表!$T747,'Rate Card'!$F:$F,0))</f>
        <v>临床运营</v>
      </c>
      <c r="I747" s="328" t="s">
        <v>930</v>
      </c>
      <c r="J747" s="328" t="str">
        <f>INDEX(二三级标准!$Q:$Q,MATCH(服务费底表!I747,二三级标准!$O:$O,0))</f>
        <v>国家局核查支持</v>
      </c>
      <c r="K747" s="328" t="s">
        <v>449</v>
      </c>
      <c r="L747" s="328" t="str">
        <f>INDEX(二三级标准!C:C,MATCH(服务费底表!K747,二三级标准!$B:$B,0))</f>
        <v>核查后支持报告回复</v>
      </c>
      <c r="M747" s="328" t="s">
        <v>1732</v>
      </c>
      <c r="N747" s="328" t="str">
        <f>INDEX(二三级标准!$M:$M,MATCH(服务费底表!$M747,二三级标准!$L:$L,0))</f>
        <v>核查后支持报告回复</v>
      </c>
      <c r="O747" s="328"/>
      <c r="P747" s="327">
        <f>IF(R747=1,INDEX(服务费明细!$E:$E,MATCH(服务费底表!$K747,服务费明细!$B:$B,0)),0)</f>
        <v>0</v>
      </c>
      <c r="Q747" s="328" t="s">
        <v>1178</v>
      </c>
      <c r="R747" s="520">
        <f>IF(AND(核查前现场准备YN=1,临床监查YN=1),1,0)</f>
        <v>0</v>
      </c>
      <c r="S747" s="525" t="str">
        <f>INDEX('Rate Card'!$D:$D,MATCH(服务费底表!$T747,'Rate Card'!F:F,0))</f>
        <v>临床监查</v>
      </c>
      <c r="T747" s="328" t="s">
        <v>597</v>
      </c>
      <c r="U747" s="522" t="str">
        <f>INDEX('Rate Card'!$E:$E,MATCH(服务费底表!$T747,'Rate Card'!$F:$F,0))</f>
        <v>临床试验助理</v>
      </c>
      <c r="V747" s="331">
        <f>INDEX('Rate Card'!$J:$J,MATCH($T747,'Rate Card'!$F:$F,0))</f>
        <v>220</v>
      </c>
      <c r="W747" s="523">
        <f t="shared" si="666"/>
        <v>220</v>
      </c>
      <c r="X747" s="523">
        <f t="shared" si="667"/>
        <v>6</v>
      </c>
      <c r="Y747" s="327" cm="1">
        <f t="array" ref="Y747">_xlfn.IFS(报价场景=服务费底表!$AJ$2,服务费底表!$AJ747,报价场景=服务费底表!$AP$2,服务费底表!$AP747,报价场景=服务费底表!$AK$2,服务费底表!$AK747,报价场景=服务费底表!$AL$2,服务费底表!$AL747,报价场景=服务费底表!$AM$2,服务费底表!$AM747,报价场景=服务费底表!$AN$2,服务费底表!$AN747,报价场景=服务费底表!$AQ$2,服务费底表!$AQ747,报价场景=服务费底表!$AO$2,服务费底表!$AO747)</f>
        <v>6</v>
      </c>
      <c r="Z747" s="327"/>
      <c r="AA747" s="332">
        <f t="shared" si="654"/>
        <v>6</v>
      </c>
      <c r="AB747" s="333">
        <f t="shared" si="646"/>
        <v>0</v>
      </c>
      <c r="AC747" s="328">
        <f t="shared" si="647"/>
        <v>0</v>
      </c>
      <c r="AD747" s="334">
        <f t="shared" si="676"/>
        <v>0</v>
      </c>
      <c r="AE747" s="334">
        <f>$AB747*(1-INDEX(项目参数!$D$5:$D$14,MATCH(服务费底表!$S747,项目参数!$B$5:$B$14,0)))</f>
        <v>0</v>
      </c>
      <c r="AF747" s="334">
        <f>$AD747*INDEX(项目参数!$D$5:$D$14,MATCH(服务费底表!$S747,项目参数!$B$5:$B$14,0))</f>
        <v>0</v>
      </c>
      <c r="AG747" s="334">
        <f t="shared" si="669"/>
        <v>0</v>
      </c>
      <c r="AH747" s="328"/>
      <c r="AI747" s="328" t="s">
        <v>597</v>
      </c>
      <c r="AJ747" s="327">
        <v>6</v>
      </c>
      <c r="AK747" s="327">
        <f>AJ747*1.5</f>
        <v>9</v>
      </c>
      <c r="AL747" s="327">
        <f>AJ747*0.7</f>
        <v>4.2</v>
      </c>
      <c r="AM747" s="327">
        <f>AJ747*0.7</f>
        <v>4.2</v>
      </c>
      <c r="AN747" s="327">
        <f t="shared" si="674"/>
        <v>6</v>
      </c>
      <c r="AO747" s="327">
        <f>AM747*0.7</f>
        <v>2.94</v>
      </c>
      <c r="AP747" s="327">
        <v>6</v>
      </c>
      <c r="AQ747" s="327">
        <f>AJ747*$AQ$1</f>
        <v>9</v>
      </c>
      <c r="AR747" s="338"/>
      <c r="AS747" s="328">
        <f t="shared" si="657"/>
        <v>0</v>
      </c>
      <c r="AT747" s="328">
        <f t="shared" si="658"/>
        <v>0</v>
      </c>
      <c r="AU747" s="523">
        <v>6</v>
      </c>
      <c r="AV747" s="328"/>
      <c r="AW747" s="328"/>
      <c r="AX747" s="332">
        <v>6</v>
      </c>
      <c r="AY747" s="328" t="b">
        <f t="shared" si="670"/>
        <v>1</v>
      </c>
      <c r="AZ747" s="328" t="b">
        <f>IF(K747&lt;&gt;K746,IF(AZ746=TRUE,FALSE,TRUE),AZ746)</f>
        <v>1</v>
      </c>
    </row>
    <row r="748" spans="1:52">
      <c r="A748" s="154"/>
    </row>
  </sheetData>
  <mergeCells count="1">
    <mergeCell ref="O633:O637"/>
  </mergeCells>
  <conditionalFormatting sqref="R21">
    <cfRule type="cellIs" dxfId="77" priority="52" operator="equal">
      <formula>0</formula>
    </cfRule>
  </conditionalFormatting>
  <conditionalFormatting sqref="AK21">
    <cfRule type="expression" dxfId="73" priority="39">
      <formula>$AZ21=TRUE</formula>
    </cfRule>
  </conditionalFormatting>
  <conditionalFormatting sqref="AL21">
    <cfRule type="expression" dxfId="73" priority="38">
      <formula>$AZ21=TRUE</formula>
    </cfRule>
  </conditionalFormatting>
  <conditionalFormatting sqref="AM21">
    <cfRule type="expression" dxfId="73" priority="37">
      <formula>$AZ21=TRUE</formula>
    </cfRule>
  </conditionalFormatting>
  <conditionalFormatting sqref="AN21">
    <cfRule type="expression" dxfId="73" priority="36">
      <formula>$AZ21=TRUE</formula>
    </cfRule>
  </conditionalFormatting>
  <conditionalFormatting sqref="AO21">
    <cfRule type="expression" dxfId="73" priority="35">
      <formula>$AZ21=TRUE</formula>
    </cfRule>
  </conditionalFormatting>
  <conditionalFormatting sqref="R22">
    <cfRule type="expression" dxfId="73" priority="29">
      <formula>$AZ22=TRUE</formula>
    </cfRule>
    <cfRule type="cellIs" dxfId="77" priority="28" operator="equal">
      <formula>0</formula>
    </cfRule>
  </conditionalFormatting>
  <conditionalFormatting sqref="AK22">
    <cfRule type="expression" dxfId="73" priority="34">
      <formula>$AZ22=TRUE</formula>
    </cfRule>
  </conditionalFormatting>
  <conditionalFormatting sqref="AL22">
    <cfRule type="expression" dxfId="73" priority="33">
      <formula>$AZ22=TRUE</formula>
    </cfRule>
  </conditionalFormatting>
  <conditionalFormatting sqref="AM22">
    <cfRule type="expression" dxfId="73" priority="32">
      <formula>$AZ22=TRUE</formula>
    </cfRule>
  </conditionalFormatting>
  <conditionalFormatting sqref="AN22">
    <cfRule type="expression" dxfId="73" priority="31">
      <formula>$AZ22=TRUE</formula>
    </cfRule>
  </conditionalFormatting>
  <conditionalFormatting sqref="AO22">
    <cfRule type="expression" dxfId="73" priority="30">
      <formula>$AZ22=TRUE</formula>
    </cfRule>
  </conditionalFormatting>
  <conditionalFormatting sqref="R33">
    <cfRule type="cellIs" dxfId="77" priority="54" operator="equal">
      <formula>0</formula>
    </cfRule>
  </conditionalFormatting>
  <conditionalFormatting sqref="R45">
    <cfRule type="cellIs" dxfId="77" priority="22" operator="equal">
      <formula>0</formula>
    </cfRule>
  </conditionalFormatting>
  <conditionalFormatting sqref="R55">
    <cfRule type="cellIs" dxfId="77" priority="26" operator="equal">
      <formula>0</formula>
    </cfRule>
  </conditionalFormatting>
  <conditionalFormatting sqref="R56">
    <cfRule type="cellIs" dxfId="77" priority="24" operator="equal">
      <formula>0</formula>
    </cfRule>
  </conditionalFormatting>
  <conditionalFormatting sqref="R57">
    <cfRule type="cellIs" dxfId="77" priority="20" operator="equal">
      <formula>0</formula>
    </cfRule>
  </conditionalFormatting>
  <conditionalFormatting sqref="R80">
    <cfRule type="cellIs" dxfId="77" priority="18" operator="equal">
      <formula>0</formula>
    </cfRule>
  </conditionalFormatting>
  <conditionalFormatting sqref="R104">
    <cfRule type="cellIs" dxfId="77" priority="56" operator="equal">
      <formula>0</formula>
    </cfRule>
  </conditionalFormatting>
  <conditionalFormatting sqref="R294">
    <cfRule type="cellIs" dxfId="77" priority="3" operator="equal">
      <formula>0</formula>
    </cfRule>
  </conditionalFormatting>
  <conditionalFormatting sqref="R302">
    <cfRule type="cellIs" dxfId="77" priority="16" operator="equal">
      <formula>0</formula>
    </cfRule>
  </conditionalFormatting>
  <conditionalFormatting sqref="S302">
    <cfRule type="expression" dxfId="73" priority="15">
      <formula>$AZ302=TRUE</formula>
    </cfRule>
  </conditionalFormatting>
  <conditionalFormatting sqref="M305">
    <cfRule type="expression" dxfId="73" priority="11">
      <formula>$AZ305=TRUE</formula>
    </cfRule>
  </conditionalFormatting>
  <conditionalFormatting sqref="R305">
    <cfRule type="cellIs" dxfId="77" priority="13" operator="equal">
      <formula>0</formula>
    </cfRule>
  </conditionalFormatting>
  <conditionalFormatting sqref="S305">
    <cfRule type="expression" dxfId="73" priority="12">
      <formula>$AZ305=TRUE</formula>
    </cfRule>
  </conditionalFormatting>
  <conditionalFormatting sqref="M307">
    <cfRule type="expression" dxfId="73" priority="6">
      <formula>$AZ307=TRUE</formula>
    </cfRule>
  </conditionalFormatting>
  <conditionalFormatting sqref="M308">
    <cfRule type="expression" dxfId="73" priority="5">
      <formula>$AZ308=TRUE</formula>
    </cfRule>
  </conditionalFormatting>
  <conditionalFormatting sqref="R308">
    <cfRule type="cellIs" dxfId="77" priority="9" operator="equal">
      <formula>0</formula>
    </cfRule>
  </conditionalFormatting>
  <conditionalFormatting sqref="S308">
    <cfRule type="expression" dxfId="73" priority="7">
      <formula>$AZ308=TRUE</formula>
    </cfRule>
  </conditionalFormatting>
  <conditionalFormatting sqref="T308">
    <cfRule type="expression" dxfId="73" priority="8">
      <formula>$AZ308=TRUE</formula>
    </cfRule>
  </conditionalFormatting>
  <conditionalFormatting sqref="R744">
    <cfRule type="cellIs" dxfId="77" priority="1" operator="equal">
      <formula>0</formula>
    </cfRule>
  </conditionalFormatting>
  <conditionalFormatting sqref="R1:R20 R23:R32 R34:R44 R46:R54 R58:R79 R81:R103 R105:R293 R295:R301 R303:R304 R306:R307 R309:R743 R745:R1048576">
    <cfRule type="cellIs" dxfId="77" priority="58" operator="equal">
      <formula>0</formula>
    </cfRule>
  </conditionalFormatting>
  <conditionalFormatting sqref="A3:N3 P3:Y3 AA3:AG3 AI3:AZ3 A4:N20 P4:Y20 AA4:AG20 AI4:AZ20 Y21:Y22 AY21:AZ22 A23:N32 P23:Y32 AA23:AG32 AI23:AZ32 Y33 AY33:AZ33 A34:N44 P34:Y44 AA34:AG44 AI34:AZ44 Y45 AY45:AZ45 A46:N54 P46:Y54 AA46:AG54 AI46:AZ54 Y55:Y57 AY55:AZ57 A58:N79 P58:Y79 AA58:AG79 AI58:AZ79 Y80 AY80:AZ80 A81:N103 P81:Y103 AA81:AG103 AI81:AZ103 Y104 AY104:AZ104 A105:N143 P105:Y143 AA105:AG143 AI105:AZ143 A144:N144 P144:Y144 AA144:AG144 AI144:AZ144 A145:N145 P145:Y145 AA145:AG145 AI145:AZ145 A146:N293 P146:Y293 AA146:AG293 AI146:AZ293 AZ294 A295:N301 P295:Y301 AA295:AG301 AI295:AZ301 Y302 AZ302 A303:N304 P303:Y304 AA303:AG304 AI303:AZ304 Y305 AZ305 A306:N306 P306:Y306 AA306:AG306 AI306:AZ306 A307:L307 N307 P307:Y307 AA307:AG307 AI307:AZ307 Y308 AZ308 A309:N743 P309:Y743 AA309:AG743 AI309:AZ743 AQ744 A745:N747 P745:Y747 AA745:AG747 AI745:AZ747">
    <cfRule type="expression" dxfId="73" priority="59">
      <formula>$AZ3=TRUE</formula>
    </cfRule>
  </conditionalFormatting>
  <conditionalFormatting sqref="A21:N21 P21:X21 AA21:AG21 AI21:AJ21 AP21:AX21 M22">
    <cfRule type="expression" dxfId="73" priority="53">
      <formula>$AZ21=TRUE</formula>
    </cfRule>
  </conditionalFormatting>
  <conditionalFormatting sqref="A22:L22 N22 P22:Q22 S22:X22 AA22:AG22 AI22:AJ22 AP22:AX22">
    <cfRule type="expression" dxfId="73" priority="51">
      <formula>$AZ22=TRUE</formula>
    </cfRule>
  </conditionalFormatting>
  <conditionalFormatting sqref="A33:N33 P33:X33 AA33:AG33 AI33:AX33">
    <cfRule type="expression" dxfId="73" priority="55">
      <formula>$AZ33=TRUE</formula>
    </cfRule>
  </conditionalFormatting>
  <conditionalFormatting sqref="A45:N45 P45:X45 AA45:AG45 AI45:AX45">
    <cfRule type="expression" dxfId="73" priority="23">
      <formula>$AZ45=TRUE</formula>
    </cfRule>
  </conditionalFormatting>
  <conditionalFormatting sqref="A55:N55 P55:X55 AA55:AG55 AI55:AX55">
    <cfRule type="expression" dxfId="73" priority="27">
      <formula>$AZ55=TRUE</formula>
    </cfRule>
  </conditionalFormatting>
  <conditionalFormatting sqref="A56:N56 P56:X56 AA56:AG56 AI56:AX56">
    <cfRule type="expression" dxfId="73" priority="25">
      <formula>$AZ56=TRUE</formula>
    </cfRule>
  </conditionalFormatting>
  <conditionalFormatting sqref="A57:N57 P57:X57 AA57:AG57 AI57:AX57">
    <cfRule type="expression" dxfId="73" priority="21">
      <formula>$AZ57=TRUE</formula>
    </cfRule>
  </conditionalFormatting>
  <conditionalFormatting sqref="A80:N80 P80:X80 AA80:AG80 AI80:AX80">
    <cfRule type="expression" dxfId="73" priority="19">
      <formula>$AZ80=TRUE</formula>
    </cfRule>
  </conditionalFormatting>
  <conditionalFormatting sqref="A104:N104 P104:X104 AA104:AG104 AI104:AX104">
    <cfRule type="expression" dxfId="73" priority="57">
      <formula>$AZ104=TRUE</formula>
    </cfRule>
  </conditionalFormatting>
  <conditionalFormatting sqref="A294:N294 P294:Y294 AA294:AG294 AI294:AY294">
    <cfRule type="expression" dxfId="73" priority="4">
      <formula>$AZ294=TRUE</formula>
    </cfRule>
  </conditionalFormatting>
  <conditionalFormatting sqref="A302:N302 P302:R302 T302:X302 AA302:AG302 AI302:AY302">
    <cfRule type="expression" dxfId="73" priority="17">
      <formula>$AZ302=TRUE</formula>
    </cfRule>
  </conditionalFormatting>
  <conditionalFormatting sqref="A305:L305 N305 P305:R305 T305:X305 AA305:AG305 AI305:AY305">
    <cfRule type="expression" dxfId="73" priority="14">
      <formula>$AZ305=TRUE</formula>
    </cfRule>
  </conditionalFormatting>
  <conditionalFormatting sqref="A308:L308 N308 P308:R308 U308:X308 AA308:AG308 AI308:AY308">
    <cfRule type="expression" dxfId="73" priority="10">
      <formula>$AZ308=TRUE</formula>
    </cfRule>
  </conditionalFormatting>
  <conditionalFormatting sqref="A744:N744 P744:Y744 AA744:AG744 AI744:AP744 AR744:AZ744">
    <cfRule type="expression" dxfId="73" priority="2">
      <formula>$AZ744=TRUE</formula>
    </cfRule>
  </conditionalFormatting>
  <dataValidations count="4">
    <dataValidation type="list" allowBlank="1" showInputMessage="1" showErrorMessage="1" sqref="G3:G747">
      <formula1>"初始合同,CO1,CO2,CO3,CO4,CO5,CO6"</formula1>
    </dataValidation>
    <dataValidation type="list" allowBlank="1" showInputMessage="1" showErrorMessage="1" sqref="R3:R747">
      <formula1>"1,0"</formula1>
    </dataValidation>
    <dataValidation type="list" allowBlank="1" showInputMessage="1" showErrorMessage="1" sqref="S3:S747">
      <formula1>项目参数!$B$5:$B$15</formula1>
    </dataValidation>
    <dataValidation type="list" allowBlank="1" showInputMessage="1" showErrorMessage="1" sqref="AI3:AI747 T3:U747">
      <formula1>'Rate Card'!$F$3:$F$26</formula1>
    </dataValidation>
  </dataValidations>
  <pageMargins left="0.7" right="0.7" top="0.75" bottom="0.75" header="0.3" footer="0.3"/>
  <pageSetup paperSize="9" orientation="portrait" horizontalDpi="1200" verticalDpi="1200"/>
  <headerFooter/>
  <ignoredErrors>
    <ignoredError sqref="S34:S35 S244 R232 R337:R338 AN633:AN636 AL633:AL637 AK633:AK639 AJ633:AJ637 R477:R516 R466:R469 R416:R462 R298:R301 S38 R733:R739 R334:R335 R48 S41:S44 S29:S32 R108 R666 R668 R11 R526:R540 R546 R646 R648 AL222:AL223" formula="1"/>
  </ignoredError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0070C0"/>
    <pageSetUpPr fitToPage="1"/>
  </sheetPr>
  <dimension ref="A1:AC75"/>
  <sheetViews>
    <sheetView view="pageBreakPreview" zoomScaleNormal="100" topLeftCell="A3" workbookViewId="0">
      <selection activeCell="E4" sqref="E4"/>
    </sheetView>
  </sheetViews>
  <sheetFormatPr defaultColWidth="8.88888888888889" defaultRowHeight="15"/>
  <cols>
    <col min="1" max="1" width="10.7777777777778" style="261" customWidth="1"/>
    <col min="2" max="2" width="6" style="261" customWidth="1"/>
    <col min="3" max="3" width="9.66666666666667" style="261" customWidth="1"/>
    <col min="4" max="4" width="24.7777777777778" style="128" customWidth="1"/>
    <col min="5" max="5" width="10.1111111111111" style="262" customWidth="1"/>
    <col min="6" max="6" width="10.3333333333333" style="262" customWidth="1"/>
    <col min="7" max="7" width="11.2222222222222" style="262" customWidth="1"/>
    <col min="8" max="8" width="15.4444444444444" style="419" customWidth="1"/>
    <col min="9" max="9" width="15.7777777777778" style="420" customWidth="1"/>
    <col min="10" max="10" width="47" style="261" customWidth="1"/>
    <col min="11" max="11" width="10.7777777777778" style="261" customWidth="1"/>
    <col min="12" max="12" width="14.4444444444444" style="261" customWidth="1"/>
    <col min="13" max="13" width="9.77777777777778" style="261" customWidth="1"/>
    <col min="14" max="14" width="5.11111111111111" style="261" customWidth="1"/>
    <col min="15" max="15" width="12.5555555555556" style="261" customWidth="1"/>
    <col min="16" max="16" width="8.88888888888889" style="261"/>
    <col min="17" max="17" width="20.6666666666667" style="261" customWidth="1"/>
    <col min="18" max="18" width="17.3333333333333" style="261" customWidth="1"/>
    <col min="19" max="19" width="15.4444444444444" style="261" customWidth="1"/>
    <col min="20" max="20" width="12.8888888888889" style="261" customWidth="1"/>
    <col min="21" max="21" width="20.8888888888889" style="261" customWidth="1"/>
    <col min="22" max="22" width="14.4444444444444" style="261" customWidth="1"/>
    <col min="23" max="23" width="13.3333333333333" style="261" customWidth="1"/>
    <col min="24" max="24" width="15.5555555555556" style="261" customWidth="1"/>
    <col min="25" max="16378" width="8.88888888888889" style="261"/>
  </cols>
  <sheetData>
    <row r="1" ht="23.4" spans="1:22">
      <c r="C1" s="421" t="s">
        <v>1733</v>
      </c>
      <c r="D1" s="350"/>
      <c r="E1" s="351"/>
      <c r="F1" s="351"/>
      <c r="G1" s="351"/>
      <c r="H1" s="422"/>
      <c r="I1" s="422"/>
      <c r="J1" s="423" t="s">
        <v>960</v>
      </c>
    </row>
    <row r="2" spans="1:22">
      <c r="C2" s="361" t="s">
        <v>1734</v>
      </c>
    </row>
    <row r="3" ht="31.2" spans="1:22">
      <c r="A3" s="261" t="s">
        <v>1174</v>
      </c>
      <c r="C3" s="370" t="s">
        <v>907</v>
      </c>
      <c r="D3" s="370" t="s">
        <v>1735</v>
      </c>
      <c r="E3" s="370" t="s">
        <v>1736</v>
      </c>
      <c r="F3" s="370" t="s">
        <v>969</v>
      </c>
      <c r="G3" s="370" t="s">
        <v>970</v>
      </c>
      <c r="H3" s="424" t="s">
        <v>973</v>
      </c>
      <c r="I3" s="424" t="s">
        <v>971</v>
      </c>
      <c r="J3" s="370" t="s">
        <v>747</v>
      </c>
      <c r="L3" s="425" t="s">
        <v>1737</v>
      </c>
      <c r="M3" s="425" t="s">
        <v>1738</v>
      </c>
      <c r="O3" s="426" t="s">
        <v>1739</v>
      </c>
      <c r="P3" s="427"/>
      <c r="R3" s="428" t="s">
        <v>739</v>
      </c>
      <c r="S3" s="428" t="s">
        <v>1740</v>
      </c>
      <c r="T3" s="428" t="s">
        <v>1741</v>
      </c>
      <c r="U3" s="428" t="s">
        <v>1742</v>
      </c>
      <c r="V3" s="428" t="s">
        <v>1743</v>
      </c>
    </row>
    <row r="4" ht="15.6" spans="1:22">
      <c r="C4" s="88" t="s">
        <v>939</v>
      </c>
      <c r="D4" s="88" t="s">
        <v>1744</v>
      </c>
      <c r="E4" s="429">
        <f>IF(AND(EDC="TrialMaster",数据管理YN=1),1,0)</f>
        <v>1</v>
      </c>
      <c r="F4" s="429"/>
      <c r="G4" s="429"/>
      <c r="H4" s="430"/>
      <c r="I4" s="431">
        <f>SUM(I5:I6)</f>
        <v>0</v>
      </c>
      <c r="J4" s="394" t="s">
        <v>1745</v>
      </c>
      <c r="L4" s="432" t="s">
        <v>1746</v>
      </c>
      <c r="M4" s="433">
        <v>2000</v>
      </c>
      <c r="O4" s="425" t="s">
        <v>1747</v>
      </c>
      <c r="P4" s="425" t="s">
        <v>1748</v>
      </c>
      <c r="R4" s="428" t="s">
        <v>1749</v>
      </c>
      <c r="S4" s="434">
        <v>600</v>
      </c>
      <c r="T4" s="434">
        <v>500</v>
      </c>
      <c r="U4" s="434" t="s">
        <v>1750</v>
      </c>
      <c r="V4" s="434" t="s">
        <v>1750</v>
      </c>
    </row>
    <row r="5" ht="15.6" spans="1:22">
      <c r="A5" s="261" t="s">
        <v>1751</v>
      </c>
      <c r="C5" s="89" t="s">
        <v>1751</v>
      </c>
      <c r="D5" s="90" t="s">
        <v>1752</v>
      </c>
      <c r="E5" s="166">
        <f>IF(E4=1,1,0)</f>
        <v>1</v>
      </c>
      <c r="F5" s="166">
        <f>IF(E5=1,ROUND(2+入组月+治疗月+随访月+长随访月+锁库月,0),0)</f>
        <v>16</v>
      </c>
      <c r="G5" s="166" t="s">
        <v>1220</v>
      </c>
      <c r="H5" s="435"/>
      <c r="I5" s="436">
        <f>IF(E5=1,F5*H5,0)</f>
        <v>0</v>
      </c>
      <c r="J5" s="89"/>
      <c r="L5" s="437" t="s">
        <v>1753</v>
      </c>
      <c r="M5" s="438">
        <v>2500</v>
      </c>
      <c r="O5" s="433" t="s">
        <v>1754</v>
      </c>
      <c r="P5" s="438">
        <v>1</v>
      </c>
      <c r="R5" s="428" t="s">
        <v>1755</v>
      </c>
      <c r="S5" s="434">
        <v>550</v>
      </c>
      <c r="T5" s="434">
        <v>450</v>
      </c>
      <c r="U5" s="434" t="s">
        <v>1756</v>
      </c>
      <c r="V5" s="434" t="s">
        <v>1756</v>
      </c>
    </row>
    <row r="6" ht="15.6" spans="1:22">
      <c r="A6" s="261" t="s">
        <v>1757</v>
      </c>
      <c r="C6" s="89" t="s">
        <v>1757</v>
      </c>
      <c r="D6" s="90" t="s">
        <v>1758</v>
      </c>
      <c r="E6" s="439">
        <f>IF(AND(随机化设计="系统随机",E4=1),1,0)</f>
        <v>0</v>
      </c>
      <c r="F6" s="166">
        <f>IF(E6=1,ROUND(2+入组月+治疗月+随访月+长随访月+锁库月,0),0)</f>
        <v>0</v>
      </c>
      <c r="G6" s="166" t="s">
        <v>1220</v>
      </c>
      <c r="H6" s="440"/>
      <c r="I6" s="436">
        <f>IF(E6=1,F6*H6,0)</f>
        <v>0</v>
      </c>
      <c r="J6" s="89"/>
      <c r="L6" s="437" t="s">
        <v>1759</v>
      </c>
      <c r="M6" s="438">
        <v>2500</v>
      </c>
      <c r="O6" s="438" t="s">
        <v>1760</v>
      </c>
      <c r="P6" s="438">
        <v>1.2</v>
      </c>
      <c r="R6" s="428" t="s">
        <v>1761</v>
      </c>
      <c r="S6" s="434">
        <v>500</v>
      </c>
      <c r="T6" s="434">
        <v>400</v>
      </c>
      <c r="U6" s="434" t="s">
        <v>1756</v>
      </c>
      <c r="V6" s="434" t="s">
        <v>1756</v>
      </c>
    </row>
    <row r="7" ht="15.6" spans="1:22">
      <c r="C7" s="88" t="s">
        <v>941</v>
      </c>
      <c r="D7" s="88" t="s">
        <v>664</v>
      </c>
      <c r="E7" s="429">
        <f>IF(SUM(E8:E15)=0,0,1)</f>
        <v>1</v>
      </c>
      <c r="F7" s="376"/>
      <c r="G7" s="376"/>
      <c r="H7" s="441"/>
      <c r="I7" s="442">
        <f>SUM(I8,I12:I15)</f>
        <v>147550</v>
      </c>
      <c r="J7" s="443" t="s">
        <v>946</v>
      </c>
      <c r="L7" s="437" t="s">
        <v>1762</v>
      </c>
      <c r="M7" s="438">
        <v>4000</v>
      </c>
      <c r="O7" s="438" t="s">
        <v>1763</v>
      </c>
      <c r="P7" s="438">
        <v>1.4</v>
      </c>
    </row>
    <row r="8" spans="1:22">
      <c r="A8" s="261" t="s">
        <v>1764</v>
      </c>
      <c r="C8" s="89" t="s">
        <v>1765</v>
      </c>
      <c r="D8" s="90" t="s">
        <v>1766</v>
      </c>
      <c r="E8" s="166">
        <f>IF(OR(E9=1,E10=1,E11=1),1,0)</f>
        <v>1</v>
      </c>
      <c r="F8" s="166">
        <f>IF(E8=1,E9*F9+E10*F10+E11*F11,0)</f>
        <v>82</v>
      </c>
      <c r="G8" s="166" t="s">
        <v>1178</v>
      </c>
      <c r="H8" s="440">
        <f>IFERROR(ROUND(I8/F8,2),0)</f>
        <v>1375</v>
      </c>
      <c r="I8" s="436">
        <f>SUM(I9:I11)</f>
        <v>112750</v>
      </c>
      <c r="J8" s="89"/>
      <c r="L8" s="432"/>
      <c r="M8" s="433"/>
      <c r="O8" s="438" t="s">
        <v>1767</v>
      </c>
      <c r="P8" s="438">
        <v>1.6</v>
      </c>
    </row>
    <row r="9" outlineLevel="1" spans="1:22">
      <c r="B9" s="261" t="s">
        <v>737</v>
      </c>
      <c r="C9" s="89"/>
      <c r="D9" s="92" t="s">
        <v>1768</v>
      </c>
      <c r="E9" s="93">
        <f>IF(临床监查YN=1,1,0)</f>
        <v>1</v>
      </c>
      <c r="F9" s="93">
        <f>SUM(项目时间计划!$E$25:$E$34,项目时间计划!$E$36:$E$40)</f>
        <v>82</v>
      </c>
      <c r="G9" s="93" t="s">
        <v>1178</v>
      </c>
      <c r="H9" s="444">
        <f>IFERROR(I9/F9,0)</f>
        <v>1375</v>
      </c>
      <c r="I9" s="444">
        <f>IF(E9=1,2500*异地差旅比例*F9+250*(1-异地差旅比例)*F9,0)</f>
        <v>112750</v>
      </c>
      <c r="J9" s="93"/>
      <c r="O9" s="433" t="s">
        <v>1769</v>
      </c>
      <c r="P9" s="433">
        <v>2</v>
      </c>
    </row>
    <row r="10" outlineLevel="1" spans="1:22">
      <c r="B10" s="261" t="s">
        <v>737</v>
      </c>
      <c r="C10" s="89"/>
      <c r="D10" s="92" t="s">
        <v>1770</v>
      </c>
      <c r="E10" s="93">
        <f>IF(OR(研究中心稽查YN=1,IRC稽查YN=1),1,0)</f>
        <v>0</v>
      </c>
      <c r="F10" s="93">
        <f>(服务费明细!$E$243+服务费明细!$E$245)</f>
        <v>0</v>
      </c>
      <c r="G10" s="93" t="s">
        <v>1178</v>
      </c>
      <c r="H10" s="444">
        <v>6500</v>
      </c>
      <c r="I10" s="444">
        <f>IF(E10=1,H10*F10,0)</f>
        <v>0</v>
      </c>
      <c r="J10" s="445" t="s">
        <v>1771</v>
      </c>
    </row>
    <row r="11" outlineLevel="1" spans="1:22">
      <c r="B11" s="261" t="s">
        <v>737</v>
      </c>
      <c r="C11" s="89"/>
      <c r="D11" s="92" t="s">
        <v>1772</v>
      </c>
      <c r="E11" s="93">
        <v>0</v>
      </c>
      <c r="F11" s="93">
        <v>2</v>
      </c>
      <c r="G11" s="93" t="s">
        <v>1178</v>
      </c>
      <c r="H11" s="444">
        <v>4000</v>
      </c>
      <c r="I11" s="444">
        <f>IF(E11=1,H11*F11,0)</f>
        <v>0</v>
      </c>
      <c r="J11" s="93"/>
    </row>
    <row r="12" spans="1:22">
      <c r="A12" s="261" t="s">
        <v>1773</v>
      </c>
      <c r="C12" s="89" t="s">
        <v>1774</v>
      </c>
      <c r="D12" s="90" t="s">
        <v>1775</v>
      </c>
      <c r="E12" s="166">
        <f t="shared" ref="E12:E17" si="0">IF(临床监查YN=1,1,0)</f>
        <v>1</v>
      </c>
      <c r="F12" s="166">
        <f>启动中心数</f>
        <v>4</v>
      </c>
      <c r="G12" s="166" t="s">
        <v>1281</v>
      </c>
      <c r="H12" s="440">
        <v>1500</v>
      </c>
      <c r="I12" s="436">
        <f>IF(E12=1,F12*H12,0)</f>
        <v>6000</v>
      </c>
      <c r="J12" s="89" t="s">
        <v>1776</v>
      </c>
    </row>
    <row r="13" ht="30" spans="1:22">
      <c r="A13" s="261" t="s">
        <v>1773</v>
      </c>
      <c r="C13" s="89" t="s">
        <v>1777</v>
      </c>
      <c r="D13" s="90" t="s">
        <v>1778</v>
      </c>
      <c r="E13" s="166">
        <f t="shared" si="0"/>
        <v>1</v>
      </c>
      <c r="F13" s="166">
        <f>入组试验参与者数</f>
        <v>30</v>
      </c>
      <c r="G13" s="166" t="s">
        <v>1262</v>
      </c>
      <c r="H13" s="440">
        <f>IF(试验参与者类型="健康人",150,300)</f>
        <v>300</v>
      </c>
      <c r="I13" s="436">
        <f>IF(E13=1,F13*H13,0)</f>
        <v>9000</v>
      </c>
      <c r="J13" s="90" t="s">
        <v>1779</v>
      </c>
    </row>
    <row r="14" ht="30" spans="1:22">
      <c r="A14" s="261" t="s">
        <v>1780</v>
      </c>
      <c r="C14" s="89" t="s">
        <v>1781</v>
      </c>
      <c r="D14" s="90" t="s">
        <v>1782</v>
      </c>
      <c r="E14" s="166">
        <f t="shared" si="0"/>
        <v>1</v>
      </c>
      <c r="F14" s="166">
        <f>启动中心数</f>
        <v>4</v>
      </c>
      <c r="G14" s="166" t="s">
        <v>1178</v>
      </c>
      <c r="H14" s="440">
        <v>3000</v>
      </c>
      <c r="I14" s="436">
        <f>IF(E14=1,F14*H14,0)</f>
        <v>12000</v>
      </c>
      <c r="J14" s="90" t="s">
        <v>1783</v>
      </c>
    </row>
    <row r="15" ht="30" spans="1:22">
      <c r="C15" s="89" t="s">
        <v>1784</v>
      </c>
      <c r="D15" s="90" t="s">
        <v>1785</v>
      </c>
      <c r="E15" s="166">
        <f t="shared" si="0"/>
        <v>1</v>
      </c>
      <c r="F15" s="166">
        <f>ROUND(首家伦理月+遗传办月+首家合同月+筛选月+入组月+治疗月+随访月+长随访月+锁库月,0)</f>
        <v>17</v>
      </c>
      <c r="G15" s="166" t="s">
        <v>1786</v>
      </c>
      <c r="H15" s="440">
        <f>IFERROR(ROUND(I15/F15,2),0)</f>
        <v>458.82</v>
      </c>
      <c r="I15" s="436">
        <f>SUM(I16:I18)</f>
        <v>7800</v>
      </c>
      <c r="J15" s="90" t="s">
        <v>1787</v>
      </c>
    </row>
    <row r="16" outlineLevel="1" spans="1:22">
      <c r="A16" s="261" t="s">
        <v>1788</v>
      </c>
      <c r="B16" s="261" t="s">
        <v>737</v>
      </c>
      <c r="C16" s="92" t="s">
        <v>1789</v>
      </c>
      <c r="D16" s="92" t="s">
        <v>1790</v>
      </c>
      <c r="E16" s="93">
        <f t="shared" si="0"/>
        <v>1</v>
      </c>
      <c r="F16" s="93">
        <f>(入组月+治疗月)*启动中心数</f>
        <v>52</v>
      </c>
      <c r="G16" s="93" t="s">
        <v>776</v>
      </c>
      <c r="H16" s="444">
        <v>100</v>
      </c>
      <c r="I16" s="444">
        <f>IF(E16=1,F16*H16,0)</f>
        <v>5200</v>
      </c>
      <c r="J16" s="93"/>
    </row>
    <row r="17" outlineLevel="1" spans="1:29">
      <c r="A17" s="261" t="s">
        <v>1791</v>
      </c>
      <c r="B17" s="261" t="s">
        <v>737</v>
      </c>
      <c r="C17" s="92" t="s">
        <v>1792</v>
      </c>
      <c r="D17" s="92" t="s">
        <v>1793</v>
      </c>
      <c r="E17" s="93">
        <f t="shared" si="0"/>
        <v>1</v>
      </c>
      <c r="F17" s="93">
        <f>(入组月+治疗月)*启动中心数</f>
        <v>52</v>
      </c>
      <c r="G17" s="93" t="s">
        <v>776</v>
      </c>
      <c r="H17" s="444">
        <v>50</v>
      </c>
      <c r="I17" s="444">
        <f>IF(E17=1,F17*H17,0)</f>
        <v>2600</v>
      </c>
      <c r="J17" s="445"/>
    </row>
    <row r="18" outlineLevel="1" spans="1:29">
      <c r="A18" s="261" t="s">
        <v>1794</v>
      </c>
      <c r="B18" s="261" t="s">
        <v>737</v>
      </c>
      <c r="C18" s="92" t="s">
        <v>1795</v>
      </c>
      <c r="D18" s="92" t="s">
        <v>1796</v>
      </c>
      <c r="E18" s="93">
        <v>0</v>
      </c>
      <c r="F18" s="93">
        <f>入组月*启动中心数</f>
        <v>24</v>
      </c>
      <c r="G18" s="93" t="s">
        <v>776</v>
      </c>
      <c r="H18" s="444">
        <v>300</v>
      </c>
      <c r="I18" s="444">
        <f>IF(E18=1,F18*H18,0)</f>
        <v>0</v>
      </c>
      <c r="J18" s="93"/>
      <c r="L18" s="261" t="s">
        <v>1797</v>
      </c>
    </row>
    <row r="19" ht="15.6" spans="1:29">
      <c r="A19" s="261" t="s">
        <v>1780</v>
      </c>
      <c r="C19" s="88" t="s">
        <v>942</v>
      </c>
      <c r="D19" s="88" t="s">
        <v>665</v>
      </c>
      <c r="E19" s="429">
        <v>0</v>
      </c>
      <c r="F19" s="376"/>
      <c r="G19" s="376"/>
      <c r="H19" s="446"/>
      <c r="I19" s="447">
        <f>SUM(I20:I25)</f>
        <v>0</v>
      </c>
      <c r="J19" s="443" t="s">
        <v>946</v>
      </c>
      <c r="R19" s="448"/>
      <c r="S19" s="437" t="s">
        <v>1798</v>
      </c>
      <c r="T19" s="437" t="s">
        <v>1799</v>
      </c>
      <c r="U19" s="437" t="s">
        <v>1800</v>
      </c>
      <c r="V19" s="438" t="s">
        <v>1801</v>
      </c>
      <c r="W19" s="437" t="s">
        <v>1802</v>
      </c>
      <c r="X19" s="437" t="s">
        <v>1803</v>
      </c>
      <c r="Y19" s="448"/>
    </row>
    <row r="20" spans="1:29">
      <c r="C20" s="89" t="s">
        <v>1804</v>
      </c>
      <c r="D20" s="90" t="s">
        <v>1805</v>
      </c>
      <c r="E20" s="166">
        <v>0</v>
      </c>
      <c r="F20" s="166">
        <f>IF(E20=1,服务费明细!$E$40,0)</f>
        <v>0</v>
      </c>
      <c r="G20" s="166" t="s">
        <v>1178</v>
      </c>
      <c r="H20" s="440">
        <f>W20*V20+X20</f>
        <v>25000</v>
      </c>
      <c r="I20" s="436">
        <f t="shared" ref="I20:I26" si="1">IF(E20=1,F20*H20,0)</f>
        <v>0</v>
      </c>
      <c r="J20" s="89" t="str">
        <f>方案讨论会形式</f>
        <v>线上</v>
      </c>
      <c r="R20" s="437" t="s">
        <v>1805</v>
      </c>
      <c r="S20" s="437">
        <f>2*2</f>
        <v>4</v>
      </c>
      <c r="T20" s="437">
        <v>2</v>
      </c>
      <c r="U20" s="449">
        <v>4</v>
      </c>
      <c r="V20" s="438">
        <f>SUM(S20:U20)</f>
        <v>10</v>
      </c>
      <c r="W20" s="450">
        <v>1500</v>
      </c>
      <c r="X20" s="450">
        <f>_xlfn.IFS(V20&lt;=10,10000,V20&gt;10,15000)</f>
        <v>10000</v>
      </c>
      <c r="Y20" s="451" t="s">
        <v>1806</v>
      </c>
    </row>
    <row r="21" spans="1:29">
      <c r="C21" s="89" t="s">
        <v>1807</v>
      </c>
      <c r="D21" s="90" t="s">
        <v>1808</v>
      </c>
      <c r="E21" s="166">
        <v>0</v>
      </c>
      <c r="F21" s="166">
        <f>IF(E21=1,服务费明细!$E$138,0)</f>
        <v>0</v>
      </c>
      <c r="G21" s="166" t="s">
        <v>1178</v>
      </c>
      <c r="H21" s="440">
        <v>0</v>
      </c>
      <c r="I21" s="436">
        <f t="shared" si="1"/>
        <v>0</v>
      </c>
      <c r="J21" s="89" t="str">
        <f>服务费明细!$AI$138</f>
        <v>线上数据审核会的召开、组织和管理。</v>
      </c>
      <c r="R21" s="437" t="s">
        <v>1809</v>
      </c>
      <c r="S21" s="437">
        <f>启动中心数*2</f>
        <v>8</v>
      </c>
      <c r="T21" s="437">
        <v>5</v>
      </c>
      <c r="U21" s="449">
        <f>1+1+2+CRA人数</f>
        <v>6</v>
      </c>
      <c r="V21" s="438">
        <f>SUM(S21:U21)</f>
        <v>19</v>
      </c>
      <c r="W21" s="450">
        <v>4500</v>
      </c>
      <c r="X21" s="450">
        <f>_xlfn.IFS(V21&lt;=10,10000,V21&lt;=40,50000,V21&gt;40,100000)</f>
        <v>50000</v>
      </c>
      <c r="Y21" s="451" t="s">
        <v>1810</v>
      </c>
    </row>
    <row r="22" spans="1:29">
      <c r="C22" s="89" t="s">
        <v>1811</v>
      </c>
      <c r="D22" s="90" t="s">
        <v>1809</v>
      </c>
      <c r="E22" s="166">
        <f>IF(AND(召开首次研究者会YN=1,首次IM形式="线下"),1,0)</f>
        <v>0</v>
      </c>
      <c r="F22" s="166">
        <f>IF(E22=1,服务费明细!$E$41,0)</f>
        <v>0</v>
      </c>
      <c r="G22" s="166" t="s">
        <v>1178</v>
      </c>
      <c r="H22" s="440">
        <f>W21*V21+X21</f>
        <v>135500</v>
      </c>
      <c r="I22" s="436">
        <f t="shared" si="1"/>
        <v>0</v>
      </c>
      <c r="J22" s="89" t="str">
        <f>首次IM形式</f>
        <v>线上</v>
      </c>
      <c r="R22" s="437" t="s">
        <v>1812</v>
      </c>
      <c r="S22" s="437">
        <f>启动中心数*2</f>
        <v>8</v>
      </c>
      <c r="T22" s="437">
        <v>5</v>
      </c>
      <c r="U22" s="449">
        <f>1+1+2+CRA人数</f>
        <v>6</v>
      </c>
      <c r="V22" s="438">
        <f>SUM(S22:U22)</f>
        <v>19</v>
      </c>
      <c r="W22" s="450">
        <v>4000</v>
      </c>
      <c r="X22" s="450">
        <f t="shared" ref="X22:X23" si="2">_xlfn.IFS(V22&lt;=10,10000,V22&lt;=40,50000,V22&gt;40,100000)</f>
        <v>50000</v>
      </c>
      <c r="Y22" s="451" t="s">
        <v>1810</v>
      </c>
    </row>
    <row r="23" spans="1:29">
      <c r="C23" s="89" t="s">
        <v>1813</v>
      </c>
      <c r="D23" s="90" t="s">
        <v>1812</v>
      </c>
      <c r="E23" s="166">
        <f>IF(AND(召开中期研究者会YN=1,中期IM形式="线下"),1,0)</f>
        <v>0</v>
      </c>
      <c r="F23" s="166">
        <f>IF(E23=1,服务费明细!$E$44,0)</f>
        <v>0</v>
      </c>
      <c r="G23" s="166" t="s">
        <v>1178</v>
      </c>
      <c r="H23" s="440">
        <f t="shared" ref="H23:H24" si="3">W22*V22+X22</f>
        <v>126000</v>
      </c>
      <c r="I23" s="436">
        <f t="shared" si="1"/>
        <v>0</v>
      </c>
      <c r="J23" s="89" t="str">
        <f>中期IM形式</f>
        <v>线下</v>
      </c>
      <c r="R23" s="437" t="s">
        <v>1814</v>
      </c>
      <c r="S23" s="437">
        <f>启动中心数*2</f>
        <v>8</v>
      </c>
      <c r="T23" s="437">
        <v>5</v>
      </c>
      <c r="U23" s="449">
        <f>1+1+2</f>
        <v>4</v>
      </c>
      <c r="V23" s="438">
        <f>SUM(S23:U23)</f>
        <v>17</v>
      </c>
      <c r="W23" s="450">
        <v>4000</v>
      </c>
      <c r="X23" s="450">
        <f t="shared" si="2"/>
        <v>50000</v>
      </c>
      <c r="Y23" s="451" t="s">
        <v>1815</v>
      </c>
    </row>
    <row r="24" spans="1:29">
      <c r="C24" s="89" t="s">
        <v>1816</v>
      </c>
      <c r="D24" s="90" t="s">
        <v>1814</v>
      </c>
      <c r="E24" s="166">
        <f>IF(AND(召开研究总结会YN=1,总结IM形式="线下"),1,0)</f>
        <v>0</v>
      </c>
      <c r="F24" s="166">
        <f>IF(E24=1,服务费明细!$E$45,0)</f>
        <v>0</v>
      </c>
      <c r="G24" s="166" t="s">
        <v>1178</v>
      </c>
      <c r="H24" s="440">
        <f t="shared" si="3"/>
        <v>118000</v>
      </c>
      <c r="I24" s="436">
        <f t="shared" si="1"/>
        <v>0</v>
      </c>
      <c r="J24" s="89" t="str">
        <f>总结IM形式</f>
        <v>线下</v>
      </c>
      <c r="R24" s="437" t="s">
        <v>1817</v>
      </c>
      <c r="S24" s="437"/>
      <c r="T24" s="437"/>
      <c r="U24" s="449"/>
      <c r="V24" s="437"/>
      <c r="W24" s="437"/>
      <c r="X24" s="437"/>
      <c r="Y24" s="448"/>
    </row>
    <row r="25" spans="1:29">
      <c r="C25" s="89" t="s">
        <v>1818</v>
      </c>
      <c r="D25" s="90" t="s">
        <v>1817</v>
      </c>
      <c r="E25" s="166">
        <v>0</v>
      </c>
      <c r="F25" s="166">
        <f>IF(E25=1,服务费明细!$E$138,0)</f>
        <v>0</v>
      </c>
      <c r="G25" s="166" t="s">
        <v>1178</v>
      </c>
      <c r="H25" s="440">
        <v>0</v>
      </c>
      <c r="I25" s="436">
        <f t="shared" si="1"/>
        <v>0</v>
      </c>
      <c r="J25" s="89" t="str">
        <f>SRC形式</f>
        <v>线上</v>
      </c>
    </row>
    <row r="26" spans="1:29">
      <c r="C26" s="89" t="s">
        <v>1819</v>
      </c>
      <c r="D26" s="90" t="s">
        <v>1820</v>
      </c>
      <c r="E26" s="166">
        <v>0</v>
      </c>
      <c r="F26" s="166">
        <f>IF(E26=1,服务费明细!#REF!,0)</f>
        <v>0</v>
      </c>
      <c r="G26" s="166" t="s">
        <v>1178</v>
      </c>
      <c r="H26" s="440">
        <v>0</v>
      </c>
      <c r="I26" s="436">
        <f t="shared" si="1"/>
        <v>0</v>
      </c>
      <c r="J26" s="89"/>
    </row>
    <row r="27" ht="15.6" spans="1:29">
      <c r="C27" s="88" t="s">
        <v>943</v>
      </c>
      <c r="D27" s="88" t="s">
        <v>666</v>
      </c>
      <c r="E27" s="429">
        <v>0</v>
      </c>
      <c r="F27" s="376"/>
      <c r="G27" s="376"/>
      <c r="H27" s="446"/>
      <c r="I27" s="447">
        <f>SUM(I28:I30,I33:I45)</f>
        <v>0</v>
      </c>
      <c r="J27" s="443" t="s">
        <v>946</v>
      </c>
      <c r="X27" s="426" t="s">
        <v>1821</v>
      </c>
      <c r="Y27" s="427"/>
      <c r="Z27" s="438" t="s">
        <v>1822</v>
      </c>
      <c r="AA27" s="438" t="s">
        <v>1823</v>
      </c>
      <c r="AB27" s="438" t="s">
        <v>1824</v>
      </c>
      <c r="AC27" s="438" t="s">
        <v>1825</v>
      </c>
    </row>
    <row r="28" spans="1:29">
      <c r="A28" s="261" t="s">
        <v>1826</v>
      </c>
      <c r="C28" s="89" t="s">
        <v>1827</v>
      </c>
      <c r="D28" s="90" t="s">
        <v>1828</v>
      </c>
      <c r="E28" s="166">
        <v>0</v>
      </c>
      <c r="F28" s="166">
        <f>IF(E28=1,1,0)</f>
        <v>0</v>
      </c>
      <c r="G28" s="166" t="s">
        <v>1829</v>
      </c>
      <c r="H28" s="440">
        <f>IFERROR(ROUND(I28/F28,0),0)</f>
        <v>0</v>
      </c>
      <c r="I28" s="436"/>
      <c r="J28" s="89"/>
      <c r="R28" s="261" t="s">
        <v>1830</v>
      </c>
      <c r="X28" s="452" t="s">
        <v>1831</v>
      </c>
      <c r="Y28" s="453" t="s">
        <v>1832</v>
      </c>
      <c r="Z28" s="453" t="s">
        <v>1833</v>
      </c>
      <c r="AA28" s="454">
        <v>10000</v>
      </c>
      <c r="AB28" s="454">
        <v>10000</v>
      </c>
      <c r="AC28" s="454">
        <v>10000</v>
      </c>
    </row>
    <row r="29" spans="1:29">
      <c r="A29" s="261" t="s">
        <v>1826</v>
      </c>
      <c r="C29" s="89" t="s">
        <v>1827</v>
      </c>
      <c r="D29" s="90" t="s">
        <v>1834</v>
      </c>
      <c r="E29" s="166">
        <f>IF(AND(SMO日常沟通YN=1,E27=1),1,0)</f>
        <v>0</v>
      </c>
      <c r="F29" s="166">
        <f>IF(E29=1,1,0)</f>
        <v>0</v>
      </c>
      <c r="G29" s="166" t="s">
        <v>1829</v>
      </c>
      <c r="H29" s="440">
        <f>IFERROR(ROUND(I29/F29,0),0)</f>
        <v>0</v>
      </c>
      <c r="I29" s="436"/>
      <c r="J29" s="89" t="s">
        <v>1835</v>
      </c>
      <c r="R29" s="261" t="s">
        <v>1836</v>
      </c>
      <c r="X29" s="437" t="s">
        <v>1837</v>
      </c>
      <c r="Y29" s="438" t="s">
        <v>1838</v>
      </c>
      <c r="Z29" s="438" t="s">
        <v>1833</v>
      </c>
      <c r="AA29" s="455">
        <v>10000</v>
      </c>
      <c r="AB29" s="455">
        <v>15000</v>
      </c>
      <c r="AC29" s="455">
        <v>20000</v>
      </c>
    </row>
    <row r="30" spans="1:29">
      <c r="A30" s="261" t="s">
        <v>1839</v>
      </c>
      <c r="C30" s="89" t="s">
        <v>1840</v>
      </c>
      <c r="D30" s="90" t="s">
        <v>1841</v>
      </c>
      <c r="E30" s="166">
        <f>IF(AND(招募日常沟通YN=1,E27=1),1,0)</f>
        <v>0</v>
      </c>
      <c r="F30" s="166">
        <f>IF(E30=1,1,0)</f>
        <v>0</v>
      </c>
      <c r="G30" s="166" t="s">
        <v>1829</v>
      </c>
      <c r="H30" s="440">
        <f>IFERROR(ROUND(I30/F30,0),0)</f>
        <v>0</v>
      </c>
      <c r="I30" s="436">
        <f>I31+I32</f>
        <v>0</v>
      </c>
      <c r="J30" s="89" t="s">
        <v>1835</v>
      </c>
      <c r="R30" s="261" t="s">
        <v>1842</v>
      </c>
      <c r="X30" s="452" t="s">
        <v>1843</v>
      </c>
      <c r="Y30" s="453" t="s">
        <v>1832</v>
      </c>
      <c r="Z30" s="453" t="s">
        <v>1833</v>
      </c>
      <c r="AA30" s="454">
        <v>60000</v>
      </c>
      <c r="AB30" s="454">
        <v>100000</v>
      </c>
      <c r="AC30" s="454">
        <v>100000</v>
      </c>
    </row>
    <row r="31" outlineLevel="1" spans="1:29">
      <c r="B31" s="261" t="s">
        <v>737</v>
      </c>
      <c r="C31" s="93"/>
      <c r="D31" s="92" t="s">
        <v>1844</v>
      </c>
      <c r="E31" s="93">
        <f>IF(AND(临床监查YN=1,E30=1),1,0)</f>
        <v>0</v>
      </c>
      <c r="F31" s="93"/>
      <c r="G31" s="297" t="s">
        <v>1262</v>
      </c>
      <c r="H31" s="444"/>
      <c r="I31" s="444">
        <f>IF(E31=1,F31*H31,0)</f>
        <v>0</v>
      </c>
      <c r="J31" s="456" t="s">
        <v>1845</v>
      </c>
      <c r="R31" s="261" t="s">
        <v>1846</v>
      </c>
      <c r="X31" s="437" t="s">
        <v>1847</v>
      </c>
      <c r="Y31" s="438" t="s">
        <v>1838</v>
      </c>
      <c r="Z31" s="438" t="s">
        <v>1833</v>
      </c>
      <c r="AA31" s="455">
        <v>10000</v>
      </c>
      <c r="AB31" s="455">
        <v>15000</v>
      </c>
      <c r="AC31" s="455">
        <v>20000</v>
      </c>
    </row>
    <row r="32" outlineLevel="1" spans="1:29">
      <c r="B32" s="261" t="s">
        <v>737</v>
      </c>
      <c r="C32" s="93"/>
      <c r="D32" s="92" t="s">
        <v>1848</v>
      </c>
      <c r="E32" s="93">
        <f>IF(AND(临床监查YN=1,E30=1),1,0)</f>
        <v>0</v>
      </c>
      <c r="F32" s="457">
        <f>入组试验参与者数-F31</f>
        <v>30</v>
      </c>
      <c r="G32" s="297" t="s">
        <v>1262</v>
      </c>
      <c r="H32" s="444"/>
      <c r="I32" s="444">
        <f>IF(E32=1,F32*H32,0)</f>
        <v>0</v>
      </c>
      <c r="J32" s="456"/>
      <c r="R32" s="261" t="s">
        <v>1849</v>
      </c>
      <c r="X32" s="437" t="s">
        <v>1850</v>
      </c>
      <c r="Y32" s="438" t="s">
        <v>1838</v>
      </c>
      <c r="Z32" s="438" t="s">
        <v>1833</v>
      </c>
      <c r="AA32" s="455">
        <v>10000</v>
      </c>
      <c r="AB32" s="455">
        <v>20000</v>
      </c>
      <c r="AC32" s="455">
        <v>30000</v>
      </c>
    </row>
    <row r="33" spans="1:29">
      <c r="A33" s="261" t="s">
        <v>1851</v>
      </c>
      <c r="C33" s="89" t="s">
        <v>1852</v>
      </c>
      <c r="D33" s="90" t="s">
        <v>1853</v>
      </c>
      <c r="E33" s="166">
        <f>IF(AND(IRC日常沟通YN=1,E27=1),1,0)</f>
        <v>0</v>
      </c>
      <c r="F33" s="166">
        <f t="shared" ref="F33:F45" si="4">IF(E33=1,1,0)</f>
        <v>0</v>
      </c>
      <c r="G33" s="166" t="s">
        <v>1829</v>
      </c>
      <c r="H33" s="440">
        <f t="shared" ref="H33:H45" si="5">IFERROR(ROUND(I33/F33,0),0)</f>
        <v>0</v>
      </c>
      <c r="I33" s="436"/>
      <c r="J33" s="89" t="s">
        <v>1835</v>
      </c>
      <c r="L33" s="458"/>
      <c r="M33" s="458"/>
      <c r="N33" s="458"/>
      <c r="R33" s="261" t="s">
        <v>1854</v>
      </c>
      <c r="X33" s="432" t="s">
        <v>1855</v>
      </c>
      <c r="Y33" s="438" t="s">
        <v>1838</v>
      </c>
      <c r="Z33" s="438" t="s">
        <v>1833</v>
      </c>
      <c r="AA33" s="455">
        <v>10000</v>
      </c>
      <c r="AB33" s="455">
        <v>10000</v>
      </c>
      <c r="AC33" s="455">
        <v>10000</v>
      </c>
    </row>
    <row r="34" spans="1:29">
      <c r="A34" s="261" t="s">
        <v>1851</v>
      </c>
      <c r="C34" s="89" t="s">
        <v>1852</v>
      </c>
      <c r="D34" s="90" t="s">
        <v>1856</v>
      </c>
      <c r="E34" s="166">
        <f>IF(AND(IRC日常沟通YN=1,其他费用明细!$E$33=0),1,0)</f>
        <v>0</v>
      </c>
      <c r="F34" s="166">
        <f t="shared" si="4"/>
        <v>0</v>
      </c>
      <c r="G34" s="166" t="s">
        <v>1829</v>
      </c>
      <c r="H34" s="440">
        <f t="shared" si="5"/>
        <v>0</v>
      </c>
      <c r="I34" s="436"/>
      <c r="J34" s="89" t="s">
        <v>1835</v>
      </c>
      <c r="L34" s="458"/>
      <c r="M34" s="458"/>
      <c r="N34" s="458"/>
      <c r="R34" s="261" t="s">
        <v>1854</v>
      </c>
      <c r="X34" s="432" t="s">
        <v>1857</v>
      </c>
      <c r="Y34" s="438" t="s">
        <v>1838</v>
      </c>
      <c r="Z34" s="438" t="s">
        <v>1220</v>
      </c>
      <c r="AA34" s="455">
        <v>5000</v>
      </c>
      <c r="AB34" s="455">
        <v>5000</v>
      </c>
      <c r="AC34" s="455">
        <v>5000</v>
      </c>
    </row>
    <row r="35" spans="1:29">
      <c r="A35" s="261" t="s">
        <v>1858</v>
      </c>
      <c r="C35" s="89" t="s">
        <v>1859</v>
      </c>
      <c r="D35" s="90" t="s">
        <v>1860</v>
      </c>
      <c r="E35" s="166">
        <f>IF(AND(生物分析实验室日常沟通YN=1,E27=1),1,0)</f>
        <v>0</v>
      </c>
      <c r="F35" s="166">
        <f t="shared" si="4"/>
        <v>0</v>
      </c>
      <c r="G35" s="166" t="s">
        <v>1829</v>
      </c>
      <c r="H35" s="440">
        <f t="shared" si="5"/>
        <v>0</v>
      </c>
      <c r="I35" s="436"/>
      <c r="J35" s="459" t="s">
        <v>1861</v>
      </c>
      <c r="L35" s="458"/>
      <c r="M35" s="458"/>
      <c r="N35" s="458"/>
      <c r="R35" s="261" t="s">
        <v>1854</v>
      </c>
      <c r="X35" s="437" t="s">
        <v>1862</v>
      </c>
      <c r="Y35" s="438" t="s">
        <v>1838</v>
      </c>
      <c r="Z35" s="438" t="s">
        <v>1863</v>
      </c>
      <c r="AA35" s="455">
        <v>6000</v>
      </c>
      <c r="AB35" s="455">
        <v>6000</v>
      </c>
      <c r="AC35" s="455">
        <v>6000</v>
      </c>
    </row>
    <row r="36" spans="1:29">
      <c r="A36" s="261" t="s">
        <v>1864</v>
      </c>
      <c r="C36" s="89" t="s">
        <v>1859</v>
      </c>
      <c r="D36" s="90" t="s">
        <v>1865</v>
      </c>
      <c r="E36" s="166">
        <f>IF(AND(生物分析实验室日常沟通YN=1,其他费用明细!$E$35=0,E27=1),1,0)</f>
        <v>0</v>
      </c>
      <c r="F36" s="166">
        <f t="shared" si="4"/>
        <v>0</v>
      </c>
      <c r="G36" s="166" t="s">
        <v>1829</v>
      </c>
      <c r="H36" s="440">
        <f t="shared" si="5"/>
        <v>0</v>
      </c>
      <c r="I36" s="436"/>
      <c r="J36" s="459" t="s">
        <v>1861</v>
      </c>
      <c r="L36" s="458"/>
      <c r="M36" s="458"/>
      <c r="N36" s="458"/>
      <c r="R36" s="261" t="s">
        <v>1854</v>
      </c>
      <c r="X36" s="432" t="s">
        <v>1866</v>
      </c>
      <c r="Y36" s="438" t="s">
        <v>1838</v>
      </c>
      <c r="Z36" s="438" t="s">
        <v>1863</v>
      </c>
      <c r="AA36" s="455">
        <v>6000</v>
      </c>
      <c r="AB36" s="455">
        <v>6000</v>
      </c>
      <c r="AC36" s="455">
        <v>6000</v>
      </c>
    </row>
    <row r="37" spans="1:29">
      <c r="A37" s="261" t="s">
        <v>1867</v>
      </c>
      <c r="C37" s="89" t="s">
        <v>1859</v>
      </c>
      <c r="D37" s="90" t="s">
        <v>1868</v>
      </c>
      <c r="E37" s="166">
        <f>IF(AND(中心实验室日常沟通YN=1,E27=1),1,0)</f>
        <v>0</v>
      </c>
      <c r="F37" s="166">
        <f t="shared" si="4"/>
        <v>0</v>
      </c>
      <c r="G37" s="166" t="s">
        <v>1829</v>
      </c>
      <c r="H37" s="440">
        <f t="shared" si="5"/>
        <v>0</v>
      </c>
      <c r="I37" s="436"/>
      <c r="J37" s="459" t="s">
        <v>1861</v>
      </c>
      <c r="L37" s="458"/>
      <c r="M37" s="458"/>
      <c r="N37" s="458"/>
      <c r="R37" s="261" t="s">
        <v>1854</v>
      </c>
      <c r="X37" s="432" t="s">
        <v>1869</v>
      </c>
      <c r="Y37" s="438" t="s">
        <v>1838</v>
      </c>
      <c r="Z37" s="438" t="s">
        <v>850</v>
      </c>
      <c r="AA37" s="455">
        <v>10000</v>
      </c>
      <c r="AB37" s="455">
        <v>10000</v>
      </c>
      <c r="AC37" s="455">
        <v>10000</v>
      </c>
    </row>
    <row r="38" spans="1:29">
      <c r="A38" s="261" t="s">
        <v>1870</v>
      </c>
      <c r="C38" s="89" t="s">
        <v>1871</v>
      </c>
      <c r="D38" s="90" t="s">
        <v>1752</v>
      </c>
      <c r="E38" s="166">
        <f>IF(AND($E$5=0,数据管理YN=1),1,0)</f>
        <v>0</v>
      </c>
      <c r="F38" s="166">
        <f t="shared" si="4"/>
        <v>0</v>
      </c>
      <c r="G38" s="166" t="s">
        <v>1829</v>
      </c>
      <c r="H38" s="440">
        <f t="shared" si="5"/>
        <v>0</v>
      </c>
      <c r="I38" s="436"/>
      <c r="J38" s="459" t="s">
        <v>1872</v>
      </c>
      <c r="K38" s="460" t="s">
        <v>1873</v>
      </c>
      <c r="R38" s="261" t="s">
        <v>1854</v>
      </c>
      <c r="X38" s="452" t="s">
        <v>1874</v>
      </c>
      <c r="Y38" s="453" t="s">
        <v>1832</v>
      </c>
      <c r="Z38" s="453" t="s">
        <v>1875</v>
      </c>
      <c r="AA38" s="454">
        <v>2000</v>
      </c>
      <c r="AB38" s="454">
        <v>2000</v>
      </c>
      <c r="AC38" s="454">
        <v>2000</v>
      </c>
    </row>
    <row r="39" spans="1:29">
      <c r="A39" s="261" t="s">
        <v>1870</v>
      </c>
      <c r="C39" s="89" t="s">
        <v>1876</v>
      </c>
      <c r="D39" s="90" t="s">
        <v>1877</v>
      </c>
      <c r="E39" s="166">
        <f>IF(AND($E$6=0,数据管理YN=1,E27=1),1,0)</f>
        <v>0</v>
      </c>
      <c r="F39" s="166">
        <f t="shared" si="4"/>
        <v>0</v>
      </c>
      <c r="G39" s="166" t="s">
        <v>1829</v>
      </c>
      <c r="H39" s="440">
        <f t="shared" si="5"/>
        <v>0</v>
      </c>
      <c r="I39" s="436"/>
      <c r="J39" s="459" t="s">
        <v>1872</v>
      </c>
      <c r="K39" s="460"/>
      <c r="R39" s="261" t="s">
        <v>1854</v>
      </c>
      <c r="X39" s="262"/>
      <c r="Y39" s="262"/>
      <c r="Z39" s="262" t="s">
        <v>1878</v>
      </c>
      <c r="AA39" s="262"/>
      <c r="AB39" s="262"/>
      <c r="AC39" s="262"/>
    </row>
    <row r="40" spans="1:29">
      <c r="A40" s="261" t="s">
        <v>1870</v>
      </c>
      <c r="C40" s="89" t="s">
        <v>1879</v>
      </c>
      <c r="D40" s="90" t="s">
        <v>1880</v>
      </c>
      <c r="E40" s="166">
        <f>IF(AND(药物警戒YN=1,E27=1),1,0)</f>
        <v>0</v>
      </c>
      <c r="F40" s="166">
        <f t="shared" si="4"/>
        <v>0</v>
      </c>
      <c r="G40" s="166" t="s">
        <v>1829</v>
      </c>
      <c r="H40" s="440">
        <f t="shared" si="5"/>
        <v>0</v>
      </c>
      <c r="I40" s="436"/>
      <c r="J40" s="459" t="s">
        <v>1881</v>
      </c>
      <c r="K40" s="460"/>
      <c r="R40" s="261" t="s">
        <v>1854</v>
      </c>
      <c r="X40" s="262"/>
      <c r="Y40" s="453" t="s">
        <v>1832</v>
      </c>
      <c r="Z40" s="453">
        <f>1+入组月+治疗月+随访月+长随访月+1</f>
        <v>15</v>
      </c>
      <c r="AA40" s="454">
        <f t="shared" ref="AA40:AC40" si="6">SUMIF($S$28:$S$38,"必选",AA$28:AA$38)+IF($T$40&gt;24,AA$34*($T$40-24),)</f>
        <v>0</v>
      </c>
      <c r="AB40" s="454">
        <f t="shared" si="6"/>
        <v>0</v>
      </c>
      <c r="AC40" s="454">
        <f t="shared" si="6"/>
        <v>0</v>
      </c>
    </row>
    <row r="41" spans="1:29">
      <c r="A41" s="261" t="s">
        <v>1882</v>
      </c>
      <c r="C41" s="89" t="s">
        <v>1883</v>
      </c>
      <c r="D41" s="90" t="s">
        <v>1884</v>
      </c>
      <c r="E41" s="166">
        <f>IF(AND(保险日常沟通YN=1,E27=1),1,0)</f>
        <v>0</v>
      </c>
      <c r="F41" s="166">
        <f t="shared" si="4"/>
        <v>0</v>
      </c>
      <c r="G41" s="166" t="s">
        <v>1829</v>
      </c>
      <c r="H41" s="440">
        <f t="shared" si="5"/>
        <v>0</v>
      </c>
      <c r="I41" s="436"/>
      <c r="J41" s="459" t="s">
        <v>1885</v>
      </c>
      <c r="R41" s="261" t="s">
        <v>1886</v>
      </c>
    </row>
    <row r="42" ht="34" customHeight="1" spans="1:29">
      <c r="A42" s="261" t="s">
        <v>1887</v>
      </c>
      <c r="C42" s="89" t="s">
        <v>1888</v>
      </c>
      <c r="D42" s="90" t="s">
        <v>1889</v>
      </c>
      <c r="E42" s="166">
        <f>IF(AND(物流日常沟通YN=1,E27=1),1,0)</f>
        <v>0</v>
      </c>
      <c r="F42" s="166">
        <f t="shared" ref="F42" si="7">IF(E42=1,1,0)</f>
        <v>0</v>
      </c>
      <c r="G42" s="166" t="s">
        <v>1829</v>
      </c>
      <c r="H42" s="440">
        <f t="shared" si="5"/>
        <v>0</v>
      </c>
      <c r="I42" s="436"/>
      <c r="J42" s="459" t="s">
        <v>1885</v>
      </c>
      <c r="K42" s="347" t="s">
        <v>1890</v>
      </c>
      <c r="L42" s="347"/>
      <c r="M42" s="347"/>
      <c r="R42" s="261" t="s">
        <v>1854</v>
      </c>
    </row>
    <row r="43" spans="1:29">
      <c r="A43" s="261" t="s">
        <v>1891</v>
      </c>
      <c r="C43" s="89" t="s">
        <v>1892</v>
      </c>
      <c r="D43" s="90" t="s">
        <v>1893</v>
      </c>
      <c r="E43" s="166">
        <v>0</v>
      </c>
      <c r="F43" s="166">
        <f t="shared" si="4"/>
        <v>0</v>
      </c>
      <c r="G43" s="166" t="s">
        <v>1894</v>
      </c>
      <c r="H43" s="440">
        <f t="shared" si="5"/>
        <v>0</v>
      </c>
      <c r="I43" s="436">
        <f t="shared" ref="I43:I45" si="8">F43*10000</f>
        <v>0</v>
      </c>
      <c r="J43" s="459" t="s">
        <v>1895</v>
      </c>
    </row>
    <row r="44" ht="15.6" spans="1:29">
      <c r="C44" s="89" t="s">
        <v>1896</v>
      </c>
      <c r="D44" s="90" t="s">
        <v>1897</v>
      </c>
      <c r="E44" s="166">
        <v>0</v>
      </c>
      <c r="F44" s="166">
        <f t="shared" si="4"/>
        <v>0</v>
      </c>
      <c r="G44" s="166" t="s">
        <v>1583</v>
      </c>
      <c r="H44" s="440">
        <f t="shared" si="5"/>
        <v>0</v>
      </c>
      <c r="I44" s="436">
        <f t="shared" si="8"/>
        <v>0</v>
      </c>
      <c r="J44" s="459"/>
      <c r="K44" s="80" t="s">
        <v>1898</v>
      </c>
      <c r="R44" s="461"/>
      <c r="S44" s="462"/>
      <c r="T44" s="463"/>
      <c r="U44" s="464"/>
      <c r="V44" s="465"/>
      <c r="W44" s="466"/>
      <c r="X44" s="262"/>
    </row>
    <row r="45" ht="15.6" spans="1:29">
      <c r="C45" s="89" t="s">
        <v>1899</v>
      </c>
      <c r="D45" s="90" t="s">
        <v>1900</v>
      </c>
      <c r="E45" s="166">
        <v>0</v>
      </c>
      <c r="F45" s="166">
        <f t="shared" si="4"/>
        <v>0</v>
      </c>
      <c r="G45" s="166" t="s">
        <v>1583</v>
      </c>
      <c r="H45" s="440">
        <f t="shared" si="5"/>
        <v>0</v>
      </c>
      <c r="I45" s="436">
        <f t="shared" si="8"/>
        <v>0</v>
      </c>
      <c r="J45" s="459"/>
      <c r="R45" s="461"/>
      <c r="S45" s="462"/>
      <c r="T45" s="463"/>
      <c r="U45" s="464"/>
      <c r="V45" s="465"/>
      <c r="W45" s="466"/>
      <c r="X45" s="262"/>
    </row>
    <row r="46" ht="16.35" spans="1:29">
      <c r="A46" s="261" t="s">
        <v>1901</v>
      </c>
      <c r="C46" s="88" t="s">
        <v>944</v>
      </c>
      <c r="D46" s="88" t="s">
        <v>667</v>
      </c>
      <c r="E46" s="429">
        <v>0</v>
      </c>
      <c r="F46" s="376"/>
      <c r="G46" s="376"/>
      <c r="H46" s="446"/>
      <c r="I46" s="447">
        <f>I47+I48+I52+I56+SUM(I60:I71)</f>
        <v>0</v>
      </c>
      <c r="J46" s="443" t="s">
        <v>946</v>
      </c>
      <c r="K46" s="261">
        <f>(I46-I47)/入组试验参与者数</f>
        <v>0</v>
      </c>
      <c r="R46" s="467" t="s">
        <v>1902</v>
      </c>
      <c r="S46" s="432" t="s">
        <v>1903</v>
      </c>
      <c r="T46" s="468">
        <v>35000</v>
      </c>
      <c r="U46" s="433" t="s">
        <v>1904</v>
      </c>
      <c r="V46" s="465" t="s">
        <v>1905</v>
      </c>
      <c r="W46" s="466"/>
      <c r="X46" s="262"/>
    </row>
    <row r="47" ht="15.75" spans="1:29">
      <c r="B47" s="469"/>
      <c r="C47" s="89" t="s">
        <v>1906</v>
      </c>
      <c r="D47" s="94" t="s">
        <v>1907</v>
      </c>
      <c r="E47" s="166">
        <v>0</v>
      </c>
      <c r="F47" s="166">
        <f>IF(E47=1,1,0)</f>
        <v>0</v>
      </c>
      <c r="G47" s="166" t="s">
        <v>1829</v>
      </c>
      <c r="H47" s="440">
        <f>IFERROR(I47/F47,0)</f>
        <v>0</v>
      </c>
      <c r="I47" s="470">
        <f>IF(E47=1,I52*K47,)</f>
        <v>0</v>
      </c>
      <c r="J47" s="471" t="str">
        <f>"假设研究者劳务费的"&amp;K47</f>
        <v>假设研究者劳务费的10%</v>
      </c>
      <c r="K47" s="832" t="s">
        <v>1908</v>
      </c>
      <c r="R47" s="433"/>
      <c r="S47" s="432" t="s">
        <v>1909</v>
      </c>
      <c r="T47" s="468">
        <v>5000</v>
      </c>
      <c r="U47" s="433" t="s">
        <v>1904</v>
      </c>
      <c r="V47" s="465" t="s">
        <v>1905</v>
      </c>
      <c r="W47" s="466"/>
      <c r="X47" s="262"/>
    </row>
    <row r="48" ht="15.75" spans="1:29">
      <c r="B48" s="262"/>
      <c r="C48" s="89" t="s">
        <v>1910</v>
      </c>
      <c r="D48" s="94" t="s">
        <v>1911</v>
      </c>
      <c r="E48" s="166">
        <f t="shared" ref="E48:E55" si="9">IF($E$46=1,1,0)</f>
        <v>0</v>
      </c>
      <c r="F48" s="166"/>
      <c r="G48" s="166"/>
      <c r="H48" s="440"/>
      <c r="I48" s="436">
        <f>SUM(I49:I51)</f>
        <v>0</v>
      </c>
      <c r="J48" s="89"/>
      <c r="K48" s="262"/>
      <c r="L48" s="261" t="s">
        <v>1912</v>
      </c>
      <c r="R48" s="473"/>
      <c r="S48" s="432" t="s">
        <v>1913</v>
      </c>
      <c r="T48" s="468">
        <v>35000</v>
      </c>
      <c r="U48" s="433" t="s">
        <v>1904</v>
      </c>
      <c r="V48" s="465" t="s">
        <v>1905</v>
      </c>
      <c r="W48" s="466"/>
      <c r="X48" s="262"/>
    </row>
    <row r="49" ht="30.75" spans="2:24">
      <c r="B49" s="469"/>
      <c r="C49" s="89"/>
      <c r="D49" s="95" t="s">
        <v>1914</v>
      </c>
      <c r="E49" s="166">
        <f t="shared" si="9"/>
        <v>0</v>
      </c>
      <c r="F49" s="474">
        <f>IF(E49=1,筛选试验参与者数-入组试验参与者数,0)</f>
        <v>0</v>
      </c>
      <c r="G49" s="474" t="s">
        <v>1262</v>
      </c>
      <c r="H49" s="475">
        <f>$H$50*$K49</f>
        <v>3500</v>
      </c>
      <c r="I49" s="476">
        <f>IF(E49=1,F49*H49,)</f>
        <v>0</v>
      </c>
      <c r="J49" s="477" t="str">
        <f>"假设完成试验参与者费用的"&amp;K49</f>
        <v>假设完成试验参与者费用的10%</v>
      </c>
      <c r="K49" s="832" t="s">
        <v>1908</v>
      </c>
      <c r="R49" s="262"/>
      <c r="S49" s="432" t="s">
        <v>1915</v>
      </c>
      <c r="T49" s="433">
        <f>入组试验参与者数*W49</f>
        <v>0</v>
      </c>
      <c r="U49" s="433" t="s">
        <v>1916</v>
      </c>
      <c r="V49" s="478" t="s">
        <v>1917</v>
      </c>
      <c r="W49" s="479"/>
      <c r="X49" s="451" t="s">
        <v>1918</v>
      </c>
    </row>
    <row r="50" ht="30.75" spans="2:24">
      <c r="B50" s="262"/>
      <c r="C50" s="89"/>
      <c r="D50" s="95" t="s">
        <v>1919</v>
      </c>
      <c r="E50" s="166">
        <f t="shared" si="9"/>
        <v>0</v>
      </c>
      <c r="F50" s="474" cm="1">
        <f t="array" ref="F50">IF(E50=1,完成试验参与者数,0)</f>
        <v>0</v>
      </c>
      <c r="G50" s="474" t="s">
        <v>1262</v>
      </c>
      <c r="H50" s="475">
        <f>$T$48</f>
        <v>35000</v>
      </c>
      <c r="I50" s="476">
        <f>IF(E50=1,F50*H50,)</f>
        <v>0</v>
      </c>
      <c r="J50" s="477"/>
      <c r="K50" s="262"/>
      <c r="R50" s="262"/>
      <c r="S50" s="432" t="s">
        <v>1920</v>
      </c>
      <c r="T50" s="433">
        <f>入组试验参与者数*W50</f>
        <v>0</v>
      </c>
      <c r="U50" s="433" t="s">
        <v>1916</v>
      </c>
      <c r="V50" s="478" t="s">
        <v>1921</v>
      </c>
      <c r="W50" s="479"/>
      <c r="X50" s="451" t="s">
        <v>1918</v>
      </c>
    </row>
    <row r="51" ht="15.75" spans="2:24">
      <c r="B51" s="469"/>
      <c r="C51" s="89"/>
      <c r="D51" s="95" t="s">
        <v>1922</v>
      </c>
      <c r="E51" s="166">
        <f t="shared" si="9"/>
        <v>0</v>
      </c>
      <c r="F51" s="474" cm="1">
        <f t="array" ref="F51">IF(E51=1,入组试验参与者数-完成试验参与者数,0)</f>
        <v>0</v>
      </c>
      <c r="G51" s="474" t="s">
        <v>1262</v>
      </c>
      <c r="H51" s="475">
        <f>$H$50*$K51</f>
        <v>14000</v>
      </c>
      <c r="I51" s="476">
        <f>IF(E51=1,F51*H51,)</f>
        <v>0</v>
      </c>
      <c r="J51" s="477" t="str">
        <f>"假设完成试验参与者费用的"&amp;K51</f>
        <v>假设完成试验参与者费用的40%</v>
      </c>
      <c r="K51" s="832" t="s">
        <v>1923</v>
      </c>
    </row>
    <row r="52" ht="15.75" spans="2:24">
      <c r="B52" s="262"/>
      <c r="C52" s="89" t="s">
        <v>1924</v>
      </c>
      <c r="D52" s="94" t="s">
        <v>1925</v>
      </c>
      <c r="E52" s="166">
        <f t="shared" si="9"/>
        <v>0</v>
      </c>
      <c r="F52" s="166"/>
      <c r="G52" s="166"/>
      <c r="H52" s="440"/>
      <c r="I52" s="436">
        <f>SUM(I53:I55)</f>
        <v>0</v>
      </c>
      <c r="J52" s="480"/>
      <c r="K52" s="262"/>
      <c r="L52" s="261" t="s">
        <v>1926</v>
      </c>
    </row>
    <row r="53" ht="15.75" spans="2:24">
      <c r="B53" s="469"/>
      <c r="C53" s="89"/>
      <c r="D53" s="95" t="s">
        <v>1914</v>
      </c>
      <c r="E53" s="166">
        <f t="shared" si="9"/>
        <v>0</v>
      </c>
      <c r="F53" s="474">
        <f>IF(E53=1,筛选试验参与者数-入组试验参与者数,0)</f>
        <v>0</v>
      </c>
      <c r="G53" s="474" t="s">
        <v>1262</v>
      </c>
      <c r="H53" s="475">
        <f>$H$54*$K53</f>
        <v>3500</v>
      </c>
      <c r="I53" s="476">
        <f>IF(E53=1,F53*H53,)</f>
        <v>0</v>
      </c>
      <c r="J53" s="477" t="str">
        <f>"假设完成试验参与者费用的"&amp;K53</f>
        <v>假设完成试验参与者费用的10%</v>
      </c>
      <c r="K53" s="832" t="s">
        <v>1908</v>
      </c>
    </row>
    <row r="54" ht="15.75" spans="2:24">
      <c r="B54" s="262"/>
      <c r="C54" s="89"/>
      <c r="D54" s="95" t="s">
        <v>1919</v>
      </c>
      <c r="E54" s="166">
        <f t="shared" si="9"/>
        <v>0</v>
      </c>
      <c r="F54" s="474" cm="1">
        <f t="array" ref="F54">IF(E54=1,完成试验参与者数,0)</f>
        <v>0</v>
      </c>
      <c r="G54" s="474" t="s">
        <v>1262</v>
      </c>
      <c r="H54" s="475">
        <f>$T$46</f>
        <v>35000</v>
      </c>
      <c r="I54" s="476">
        <f>IF(E54=1,F54*H54,)</f>
        <v>0</v>
      </c>
      <c r="J54" s="477"/>
      <c r="K54" s="262"/>
    </row>
    <row r="55" ht="15.75" spans="2:24">
      <c r="B55" s="469"/>
      <c r="C55" s="89"/>
      <c r="D55" s="95" t="s">
        <v>1922</v>
      </c>
      <c r="E55" s="166">
        <f t="shared" si="9"/>
        <v>0</v>
      </c>
      <c r="F55" s="474" cm="1">
        <f t="array" ref="F55">IF(E55=1,入组试验参与者数-完成试验参与者数,0)</f>
        <v>0</v>
      </c>
      <c r="G55" s="474" t="s">
        <v>1262</v>
      </c>
      <c r="H55" s="475">
        <f>$H$54*$K55</f>
        <v>14000</v>
      </c>
      <c r="I55" s="476">
        <f>IF(E55=1,F55*H55,)</f>
        <v>0</v>
      </c>
      <c r="J55" s="477" t="str">
        <f>"假设完成试验参与者费用的"&amp;K55</f>
        <v>假设完成试验参与者费用的40%</v>
      </c>
      <c r="K55" s="832" t="s">
        <v>1923</v>
      </c>
    </row>
    <row r="56" ht="15.75" spans="2:24">
      <c r="B56" s="262"/>
      <c r="C56" s="89" t="s">
        <v>1927</v>
      </c>
      <c r="D56" s="94" t="s">
        <v>1928</v>
      </c>
      <c r="E56" s="166">
        <f>IF(AND($E$46=1,试验参与者类型&lt;&gt;"健康人"),1,0)</f>
        <v>0</v>
      </c>
      <c r="F56" s="166"/>
      <c r="G56" s="166"/>
      <c r="H56" s="440"/>
      <c r="I56" s="436">
        <f>SUM(I57:I59)</f>
        <v>0</v>
      </c>
      <c r="J56" s="480"/>
      <c r="K56" s="262"/>
    </row>
    <row r="57" ht="15.75" spans="2:24">
      <c r="B57" s="469"/>
      <c r="C57" s="89"/>
      <c r="D57" s="95" t="s">
        <v>1914</v>
      </c>
      <c r="E57" s="166">
        <f>IF($E$56=1,1,0)</f>
        <v>0</v>
      </c>
      <c r="F57" s="474">
        <f>IF(E57=1,筛选试验参与者数-入组试验参与者数,0)</f>
        <v>0</v>
      </c>
      <c r="G57" s="474" t="s">
        <v>1262</v>
      </c>
      <c r="H57" s="475">
        <f>$H$58*$K57</f>
        <v>500</v>
      </c>
      <c r="I57" s="476">
        <f t="shared" ref="I57:I68" si="10">IF(E57=1,F57*H57,)</f>
        <v>0</v>
      </c>
      <c r="J57" s="477" t="str">
        <f>"假设完成试验参与者费用的"&amp;K57</f>
        <v>假设完成试验参与者费用的10%</v>
      </c>
      <c r="K57" s="832" t="s">
        <v>1908</v>
      </c>
    </row>
    <row r="58" ht="15.75" spans="2:24">
      <c r="B58" s="262"/>
      <c r="C58" s="89"/>
      <c r="D58" s="95" t="s">
        <v>1919</v>
      </c>
      <c r="E58" s="166">
        <f>IF($E$56=1,1,0)</f>
        <v>0</v>
      </c>
      <c r="F58" s="474" cm="1">
        <f t="array" ref="F58">IF(E58=1,完成试验参与者数,0)</f>
        <v>0</v>
      </c>
      <c r="G58" s="474" t="s">
        <v>1262</v>
      </c>
      <c r="H58" s="475">
        <f>$T$47</f>
        <v>5000</v>
      </c>
      <c r="I58" s="476">
        <f t="shared" si="10"/>
        <v>0</v>
      </c>
      <c r="J58" s="477"/>
      <c r="K58" s="262"/>
    </row>
    <row r="59" ht="15.75" spans="2:24">
      <c r="B59" s="469"/>
      <c r="C59" s="89"/>
      <c r="D59" s="95" t="s">
        <v>1922</v>
      </c>
      <c r="E59" s="166">
        <f>IF($E$56=1,1,0)</f>
        <v>0</v>
      </c>
      <c r="F59" s="474" cm="1">
        <f t="array" ref="F59">IF(E59=1,入组试验参与者数-完成试验参与者数,0)</f>
        <v>0</v>
      </c>
      <c r="G59" s="474" t="s">
        <v>1262</v>
      </c>
      <c r="H59" s="475">
        <f>$H$58*$K59</f>
        <v>2000</v>
      </c>
      <c r="I59" s="476">
        <f t="shared" si="10"/>
        <v>0</v>
      </c>
      <c r="J59" s="477" t="str">
        <f>"假设完成试验参与者费用的"&amp;K59</f>
        <v>假设完成试验参与者费用的40%</v>
      </c>
      <c r="K59" s="832" t="s">
        <v>1923</v>
      </c>
    </row>
    <row r="60" ht="15.75" spans="2:24">
      <c r="B60" s="481"/>
      <c r="C60" s="89" t="s">
        <v>1929</v>
      </c>
      <c r="D60" s="94" t="s">
        <v>1930</v>
      </c>
      <c r="E60" s="166">
        <f t="shared" ref="E60:E71" si="11">IF($E$46=1,1,0)</f>
        <v>0</v>
      </c>
      <c r="F60" s="166">
        <f>启动中心数*$K60</f>
        <v>4</v>
      </c>
      <c r="G60" s="166" t="s">
        <v>1178</v>
      </c>
      <c r="H60" s="470">
        <v>6000</v>
      </c>
      <c r="I60" s="470">
        <f t="shared" si="10"/>
        <v>0</v>
      </c>
      <c r="J60" s="471" t="str">
        <f>"假设每中心"&amp;K60&amp;"次，每次"&amp;H60&amp;"元"</f>
        <v>假设每中心1次，每次6000元</v>
      </c>
      <c r="K60" s="482">
        <v>1</v>
      </c>
    </row>
    <row r="61" ht="15.75" spans="2:24">
      <c r="B61" s="481"/>
      <c r="C61" s="89" t="s">
        <v>1931</v>
      </c>
      <c r="D61" s="94" t="s">
        <v>1932</v>
      </c>
      <c r="E61" s="166">
        <f t="shared" si="11"/>
        <v>0</v>
      </c>
      <c r="F61" s="166">
        <f>启动中心数*$K61</f>
        <v>4</v>
      </c>
      <c r="G61" s="166" t="s">
        <v>1178</v>
      </c>
      <c r="H61" s="470">
        <v>3000</v>
      </c>
      <c r="I61" s="470">
        <f t="shared" si="10"/>
        <v>0</v>
      </c>
      <c r="J61" s="471" t="str">
        <f>"假设每中心"&amp;K61&amp;"次，每次"&amp;H61&amp;"元"</f>
        <v>假设每中心1次，每次3000元</v>
      </c>
      <c r="K61" s="482">
        <v>1</v>
      </c>
    </row>
    <row r="62" spans="2:24">
      <c r="B62" s="448"/>
      <c r="C62" s="89" t="s">
        <v>1933</v>
      </c>
      <c r="D62" s="94" t="s">
        <v>1934</v>
      </c>
      <c r="E62" s="166">
        <f t="shared" si="11"/>
        <v>0</v>
      </c>
      <c r="F62" s="166">
        <f>$T$49</f>
        <v>0</v>
      </c>
      <c r="G62" s="166" t="s">
        <v>1178</v>
      </c>
      <c r="H62" s="470">
        <v>200</v>
      </c>
      <c r="I62" s="470">
        <f t="shared" si="10"/>
        <v>0</v>
      </c>
      <c r="J62" s="471" t="str">
        <f>"假设每次"&amp;H62&amp;"元"</f>
        <v>假设每次200元</v>
      </c>
      <c r="K62" s="448"/>
    </row>
    <row r="63" ht="30.75" spans="2:24">
      <c r="B63" s="448"/>
      <c r="C63" s="89" t="s">
        <v>1935</v>
      </c>
      <c r="D63" s="94" t="s">
        <v>1936</v>
      </c>
      <c r="E63" s="166">
        <f t="shared" si="11"/>
        <v>0</v>
      </c>
      <c r="F63" s="166">
        <f>$T$50</f>
        <v>0</v>
      </c>
      <c r="G63" s="166" t="s">
        <v>1178</v>
      </c>
      <c r="H63" s="470">
        <v>200</v>
      </c>
      <c r="I63" s="470">
        <f t="shared" si="10"/>
        <v>0</v>
      </c>
      <c r="J63" s="471" t="str">
        <f>"假设每次"&amp;H63&amp;"元"</f>
        <v>假设每次200元</v>
      </c>
      <c r="K63" s="448"/>
    </row>
    <row r="64" ht="15.75" spans="2:24">
      <c r="B64" s="483"/>
      <c r="C64" s="89" t="s">
        <v>1937</v>
      </c>
      <c r="D64" s="94" t="s">
        <v>1938</v>
      </c>
      <c r="E64" s="166">
        <f t="shared" si="11"/>
        <v>0</v>
      </c>
      <c r="F64" s="166">
        <f>入组试验参与者数*$K64</f>
        <v>150</v>
      </c>
      <c r="G64" s="166" t="s">
        <v>1939</v>
      </c>
      <c r="H64" s="470">
        <v>100</v>
      </c>
      <c r="I64" s="470">
        <f t="shared" si="10"/>
        <v>0</v>
      </c>
      <c r="J64" s="471" t="str">
        <f>"假设每天"&amp;H64&amp;"元，每人"&amp;K64&amp;"天"</f>
        <v>假设每天100元，每人5天</v>
      </c>
      <c r="K64" s="484">
        <v>5</v>
      </c>
    </row>
    <row r="65" ht="30.75" spans="2:11">
      <c r="B65" s="485"/>
      <c r="C65" s="89" t="s">
        <v>1940</v>
      </c>
      <c r="D65" s="94" t="s">
        <v>1941</v>
      </c>
      <c r="E65" s="166">
        <f t="shared" si="11"/>
        <v>0</v>
      </c>
      <c r="F65" s="166">
        <f>ROUND(入组试验参与者数*$K65,0)</f>
        <v>2</v>
      </c>
      <c r="G65" s="166" t="s">
        <v>1262</v>
      </c>
      <c r="H65" s="470">
        <v>5000</v>
      </c>
      <c r="I65" s="470">
        <f t="shared" si="10"/>
        <v>0</v>
      </c>
      <c r="J65" s="471" t="str">
        <f>"假设"&amp;K65&amp;"的患者发生一次，每次"&amp;H65&amp;"元"</f>
        <v>假设5%的患者发生一次，每次5000元</v>
      </c>
      <c r="K65" s="833" t="s">
        <v>1942</v>
      </c>
    </row>
    <row r="66" ht="30.75" spans="2:11">
      <c r="B66" s="485"/>
      <c r="C66" s="89" t="s">
        <v>1943</v>
      </c>
      <c r="D66" s="94" t="s">
        <v>1944</v>
      </c>
      <c r="E66" s="166">
        <f t="shared" si="11"/>
        <v>0</v>
      </c>
      <c r="F66" s="166">
        <f>ROUND(入组试验参与者数*$K66,0)</f>
        <v>2</v>
      </c>
      <c r="G66" s="166" t="s">
        <v>1262</v>
      </c>
      <c r="H66" s="470">
        <v>12000</v>
      </c>
      <c r="I66" s="470">
        <f t="shared" si="10"/>
        <v>0</v>
      </c>
      <c r="J66" s="471" t="str">
        <f>"假设"&amp;K66&amp;"的患者发生一次，每次"&amp;H66&amp;"元"</f>
        <v>假设5%的患者发生一次，每次12000元</v>
      </c>
      <c r="K66" s="833" t="s">
        <v>1942</v>
      </c>
    </row>
    <row r="67" ht="15.75" spans="2:11">
      <c r="B67" s="448"/>
      <c r="C67" s="89" t="s">
        <v>1945</v>
      </c>
      <c r="D67" s="94" t="s">
        <v>1946</v>
      </c>
      <c r="E67" s="166">
        <f t="shared" si="11"/>
        <v>0</v>
      </c>
      <c r="F67" s="166">
        <f>启动中心数*$K67</f>
        <v>4</v>
      </c>
      <c r="G67" s="166" t="s">
        <v>1281</v>
      </c>
      <c r="H67" s="470">
        <v>3000</v>
      </c>
      <c r="I67" s="470">
        <f t="shared" si="10"/>
        <v>0</v>
      </c>
      <c r="J67" s="471" t="str">
        <f>"假设每中心"&amp;K67&amp;"次，每次"&amp;H67&amp;"元"</f>
        <v>假设每中心1次，每次3000元</v>
      </c>
      <c r="K67" s="487">
        <v>1</v>
      </c>
    </row>
    <row r="68" ht="15.75" spans="2:11">
      <c r="B68" s="448"/>
      <c r="C68" s="89" t="s">
        <v>1947</v>
      </c>
      <c r="D68" s="94" t="s">
        <v>1948</v>
      </c>
      <c r="E68" s="166">
        <f t="shared" si="11"/>
        <v>0</v>
      </c>
      <c r="F68" s="166">
        <f>启动中心数*$K68</f>
        <v>20</v>
      </c>
      <c r="G68" s="166" t="s">
        <v>1949</v>
      </c>
      <c r="H68" s="470">
        <v>2000</v>
      </c>
      <c r="I68" s="470">
        <f t="shared" si="10"/>
        <v>0</v>
      </c>
      <c r="J68" s="471" t="str">
        <f>"假设每中心保存"&amp;K68&amp;"年，每年"&amp;H68&amp;"元"</f>
        <v>假设每中心保存5年，每年2000元</v>
      </c>
      <c r="K68" s="487">
        <v>5</v>
      </c>
    </row>
    <row r="69" ht="15.75" spans="2:11">
      <c r="B69" s="485"/>
      <c r="C69" s="89" t="s">
        <v>1950</v>
      </c>
      <c r="D69" s="94" t="s">
        <v>1951</v>
      </c>
      <c r="E69" s="166">
        <f t="shared" si="11"/>
        <v>0</v>
      </c>
      <c r="F69" s="166">
        <f>启动中心数</f>
        <v>4</v>
      </c>
      <c r="G69" s="166" t="s">
        <v>1281</v>
      </c>
      <c r="H69" s="470">
        <f>IFERROR(I69/F69,0)</f>
        <v>0</v>
      </c>
      <c r="I69" s="436">
        <f>IF(E69=1,SUM(I62:I68,I52,I56)*K69,0)</f>
        <v>0</v>
      </c>
      <c r="J69" s="471" t="str">
        <f>"假设以上全部费用的"&amp;K69</f>
        <v>假设以上全部费用的25%</v>
      </c>
      <c r="K69" s="486" t="str">
        <f>IF(试验参与者类型="健康人","15%","25%")</f>
        <v>25%</v>
      </c>
    </row>
    <row r="70" ht="15.75" spans="2:11">
      <c r="B70" s="485"/>
      <c r="C70" s="89" t="s">
        <v>1952</v>
      </c>
      <c r="D70" s="94" t="s">
        <v>1953</v>
      </c>
      <c r="E70" s="166">
        <f t="shared" si="11"/>
        <v>0</v>
      </c>
      <c r="F70" s="166">
        <v>1</v>
      </c>
      <c r="G70" s="166" t="s">
        <v>1829</v>
      </c>
      <c r="H70" s="470">
        <f>IFERROR(I70/F70,0)</f>
        <v>0</v>
      </c>
      <c r="I70" s="436">
        <f>IF(E70=1,SUM(I60:I69,I56,I52,I48,I47)*K70,0)</f>
        <v>0</v>
      </c>
      <c r="J70" s="471" t="str">
        <f>"假设税率为"&amp;K70</f>
        <v>假设税率为6%</v>
      </c>
      <c r="K70" s="833" t="s">
        <v>1954</v>
      </c>
    </row>
    <row r="71" ht="30" spans="2:11">
      <c r="B71" s="262"/>
      <c r="C71" s="89" t="s">
        <v>1955</v>
      </c>
      <c r="D71" s="94" t="s">
        <v>1956</v>
      </c>
      <c r="E71" s="166">
        <v>0</v>
      </c>
      <c r="F71" s="166">
        <f>启动中心数</f>
        <v>4</v>
      </c>
      <c r="G71" s="166" t="s">
        <v>1201</v>
      </c>
      <c r="H71" s="470">
        <f>IF(试验参与者类型="健康人",2000,3000)</f>
        <v>3000</v>
      </c>
      <c r="I71" s="436">
        <f>IF(E71=1,F71*H71,0)</f>
        <v>0</v>
      </c>
      <c r="J71" s="471" t="str">
        <f>"假设每site采购"&amp;H71&amp;"元"</f>
        <v>假设每site采购3000元</v>
      </c>
      <c r="K71" s="262"/>
    </row>
    <row r="72" ht="15.6" spans="2:11">
      <c r="B72" s="262"/>
      <c r="C72" s="488" t="s">
        <v>1143</v>
      </c>
      <c r="D72" s="488"/>
      <c r="E72" s="85"/>
      <c r="F72" s="370"/>
      <c r="G72" s="370"/>
      <c r="H72" s="489"/>
      <c r="I72" s="490">
        <f>ROUND(I46+I27+I19+I7+I4,2)</f>
        <v>147550</v>
      </c>
      <c r="J72" s="401"/>
      <c r="K72" s="262"/>
    </row>
    <row r="73" spans="2:11">
      <c r="B73" s="262"/>
      <c r="C73" s="491" t="s">
        <v>934</v>
      </c>
      <c r="D73" s="492">
        <v>0.066</v>
      </c>
      <c r="E73" s="493"/>
      <c r="F73" s="166"/>
      <c r="G73" s="166"/>
      <c r="H73" s="440"/>
      <c r="I73" s="436">
        <f>I74-I72</f>
        <v>9738.29999999999</v>
      </c>
      <c r="J73" s="89"/>
      <c r="K73" s="262"/>
    </row>
    <row r="74" ht="15.6" spans="2:11">
      <c r="B74" s="262"/>
      <c r="C74" s="85" t="s">
        <v>1144</v>
      </c>
      <c r="D74" s="85"/>
      <c r="E74" s="85"/>
      <c r="F74" s="370"/>
      <c r="G74" s="370"/>
      <c r="H74" s="489"/>
      <c r="I74" s="494">
        <f>ROUND(I72*(1+$D$73),2)</f>
        <v>157288.3</v>
      </c>
      <c r="J74" s="401"/>
      <c r="K74" s="262"/>
    </row>
    <row r="75" spans="2:11">
      <c r="B75" s="262"/>
      <c r="C75" s="495"/>
      <c r="D75" s="496" t="s">
        <v>1957</v>
      </c>
      <c r="E75" s="497"/>
      <c r="F75" s="497"/>
      <c r="G75" s="497"/>
      <c r="H75" s="498"/>
      <c r="I75" s="499"/>
      <c r="J75" s="500"/>
      <c r="K75" s="262"/>
    </row>
  </sheetData>
  <autoFilter xmlns:etc="http://www.wps.cn/officeDocument/2017/etCustomData" ref="A3:Y75" etc:filterBottomFollowUsedRange="0">
    <extLst/>
  </autoFilter>
  <mergeCells count="2">
    <mergeCell ref="K42:L42"/>
    <mergeCell ref="K38:K40"/>
  </mergeCells>
  <conditionalFormatting sqref="J7">
    <cfRule type="cellIs" dxfId="76" priority="7" operator="equal">
      <formula>0</formula>
    </cfRule>
  </conditionalFormatting>
  <conditionalFormatting sqref="F19:J19">
    <cfRule type="cellIs" dxfId="76" priority="8" operator="equal">
      <formula>0</formula>
    </cfRule>
  </conditionalFormatting>
  <conditionalFormatting sqref="F27:J27">
    <cfRule type="cellIs" dxfId="76" priority="11" operator="equal">
      <formula>0</formula>
    </cfRule>
  </conditionalFormatting>
  <conditionalFormatting sqref="E44">
    <cfRule type="cellIs" dxfId="76" priority="3" operator="equal">
      <formula>0</formula>
    </cfRule>
  </conditionalFormatting>
  <conditionalFormatting sqref="E45">
    <cfRule type="cellIs" dxfId="76" priority="2" operator="equal">
      <formula>0</formula>
    </cfRule>
  </conditionalFormatting>
  <conditionalFormatting sqref="F46:I46">
    <cfRule type="cellIs" dxfId="76" priority="9" operator="equal">
      <formula>0</formula>
    </cfRule>
  </conditionalFormatting>
  <conditionalFormatting sqref="J46">
    <cfRule type="cellIs" dxfId="76" priority="1" operator="equal">
      <formula>0</formula>
    </cfRule>
  </conditionalFormatting>
  <conditionalFormatting sqref="F72">
    <cfRule type="cellIs" dxfId="76" priority="5" operator="equal">
      <formula>0</formula>
    </cfRule>
  </conditionalFormatting>
  <conditionalFormatting sqref="F74">
    <cfRule type="cellIs" dxfId="76" priority="4" operator="equal">
      <formula>0</formula>
    </cfRule>
  </conditionalFormatting>
  <conditionalFormatting sqref="E47:E71">
    <cfRule type="cellIs" dxfId="76" priority="6" operator="equal">
      <formula>0</formula>
    </cfRule>
  </conditionalFormatting>
  <conditionalFormatting sqref="E3 E5:E6 E8:E18 E20:E26 E28:E43">
    <cfRule type="cellIs" dxfId="76" priority="14" operator="equal">
      <formula>0</formula>
    </cfRule>
  </conditionalFormatting>
  <dataValidations count="3">
    <dataValidation type="list" allowBlank="1" showInputMessage="1" showErrorMessage="1" sqref="B1:B2 B4:B1048576">
      <formula1>"Hide"</formula1>
    </dataValidation>
    <dataValidation type="list" allowBlank="1" showInputMessage="1" showErrorMessage="1" sqref="E4:E71">
      <formula1>"1,0"</formula1>
    </dataValidation>
    <dataValidation type="list" allowBlank="1" showInputMessage="1" showErrorMessage="1" sqref="Y28:Y38">
      <formula1>"必选,可选"</formula1>
    </dataValidation>
  </dataValidations>
  <pageMargins left="0.708661417322835" right="0.708661417322835" top="0.748031496062992" bottom="0.748031496062992" header="0.31496062992126" footer="0.31496062992126"/>
  <pageSetup paperSize="9" scale="59" fitToHeight="0" orientation="portrait" horizontalDpi="1200" verticalDpi="1200"/>
  <headerFooter>
    <oddFooter>&amp;C&amp;"微软雅黑,常规"&amp;9本文档中的所有内容为上海有临医药科技有限公司的机密和专属所有，未经明确书面许可， 任何组织或个人不得以任何目的、任何形式及任何手段复制或传播本文档部分或全部内容。</oddFooter>
  </headerFooter>
  <colBreaks count="1" manualBreakCount="1">
    <brk id="10" max="68" man="1"/>
  </colBreaks>
  <ignoredErrors>
    <ignoredError sqref="I9:I19" unlockedFormula="1"/>
    <ignoredError sqref="H50 H58 H54" formula="1"/>
  </ignoredError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0070C0"/>
  </sheetPr>
  <dimension ref="B1:AC128"/>
  <sheetViews>
    <sheetView view="pageBreakPreview" zoomScaleNormal="100" topLeftCell="A59" workbookViewId="0">
      <selection activeCell="K72" sqref="K72"/>
    </sheetView>
  </sheetViews>
  <sheetFormatPr defaultColWidth="8.88888888888889" defaultRowHeight="15"/>
  <cols>
    <col min="1" max="2" width="8.88888888888889" style="261"/>
    <col min="3" max="3" width="30.6666666666667" style="128" customWidth="1"/>
    <col min="4" max="5" width="8.88888888888889" style="261"/>
    <col min="6" max="6" width="8.88888888888889" style="261" customWidth="1"/>
    <col min="7" max="7" width="15.3333333333333" style="261" customWidth="1"/>
    <col min="8" max="8" width="14.5555555555556" style="261" customWidth="1"/>
    <col min="9" max="10" width="14.5555555555556" style="261" customWidth="1" outlineLevel="1"/>
    <col min="11" max="11" width="25.3333333333333" style="261" customWidth="1"/>
    <col min="12" max="12" width="8.88888888888889" style="261"/>
    <col min="13" max="13" width="10" style="348" customWidth="1"/>
    <col min="14" max="20" width="8.88888888888889" style="261"/>
    <col min="21" max="21" width="14.1111111111111" style="261" customWidth="1"/>
    <col min="22" max="22" width="8.88888888888889" style="261"/>
    <col min="23" max="23" width="10" style="261"/>
    <col min="24" max="24" width="10.6666666666667" style="261" customWidth="1"/>
    <col min="25" max="16384" width="8.88888888888889" style="261"/>
  </cols>
  <sheetData>
    <row r="1" ht="29.4" customHeight="1" spans="2:29">
      <c r="B1" s="349" t="s">
        <v>1958</v>
      </c>
      <c r="C1" s="350"/>
      <c r="D1" s="351"/>
      <c r="E1" s="351"/>
      <c r="F1" s="351"/>
      <c r="G1" s="352"/>
      <c r="H1" s="353"/>
      <c r="I1" s="353"/>
      <c r="J1" s="352"/>
      <c r="K1" s="354" t="s">
        <v>960</v>
      </c>
      <c r="L1" s="355" t="s">
        <v>961</v>
      </c>
      <c r="M1" s="356"/>
      <c r="N1" s="357"/>
      <c r="O1" s="358" t="s">
        <v>961</v>
      </c>
      <c r="P1" s="359"/>
      <c r="Q1" s="359"/>
      <c r="R1" s="359"/>
      <c r="S1" s="359"/>
      <c r="T1" s="359"/>
      <c r="U1" s="359"/>
      <c r="W1" s="360" t="s">
        <v>962</v>
      </c>
      <c r="X1" s="360"/>
      <c r="Y1" s="360"/>
      <c r="Z1" s="360"/>
      <c r="AA1" s="360"/>
      <c r="AB1" s="360"/>
      <c r="AC1" s="360"/>
    </row>
    <row r="2" ht="22" customHeight="1" spans="2:29">
      <c r="B2" s="361" t="s">
        <v>963</v>
      </c>
      <c r="D2" s="262"/>
      <c r="E2" s="262"/>
      <c r="G2" s="362"/>
      <c r="H2" s="363"/>
      <c r="I2" s="364" t="s">
        <v>966</v>
      </c>
      <c r="J2" s="364" t="s">
        <v>966</v>
      </c>
      <c r="K2" s="365"/>
      <c r="L2" s="366"/>
      <c r="M2" s="367"/>
      <c r="N2" s="317"/>
      <c r="O2" s="368"/>
      <c r="P2" s="368"/>
      <c r="Q2" s="368"/>
      <c r="R2" s="368"/>
      <c r="S2" s="368"/>
      <c r="T2" s="368"/>
      <c r="U2" s="368"/>
      <c r="W2" s="369"/>
      <c r="X2" s="369"/>
      <c r="Y2" s="369"/>
      <c r="Z2" s="369"/>
      <c r="AA2" s="369"/>
      <c r="AB2" s="369"/>
      <c r="AC2" s="369"/>
    </row>
    <row r="3" ht="31.2" spans="2:29">
      <c r="B3" s="370" t="s">
        <v>907</v>
      </c>
      <c r="C3" s="370" t="s">
        <v>968</v>
      </c>
      <c r="D3" s="370" t="s">
        <v>740</v>
      </c>
      <c r="E3" s="370" t="s">
        <v>969</v>
      </c>
      <c r="F3" s="370" t="s">
        <v>970</v>
      </c>
      <c r="G3" s="370" t="s">
        <v>973</v>
      </c>
      <c r="H3" s="370" t="s">
        <v>971</v>
      </c>
      <c r="I3" s="370" t="s">
        <v>974</v>
      </c>
      <c r="J3" s="370" t="s">
        <v>975</v>
      </c>
      <c r="K3" s="370" t="s">
        <v>747</v>
      </c>
      <c r="L3" s="371" t="s">
        <v>976</v>
      </c>
      <c r="M3" s="371" t="s">
        <v>977</v>
      </c>
      <c r="N3" s="372"/>
      <c r="O3" s="373" t="s">
        <v>577</v>
      </c>
      <c r="P3" s="373" t="s">
        <v>581</v>
      </c>
      <c r="Q3" s="373" t="s">
        <v>573</v>
      </c>
      <c r="R3" s="373" t="s">
        <v>634</v>
      </c>
      <c r="S3" s="373" t="s">
        <v>576</v>
      </c>
      <c r="T3" s="373" t="s">
        <v>568</v>
      </c>
      <c r="U3" s="373" t="s">
        <v>569</v>
      </c>
      <c r="V3" s="262"/>
      <c r="W3" s="374" t="s">
        <v>577</v>
      </c>
      <c r="X3" s="374" t="s">
        <v>581</v>
      </c>
      <c r="Y3" s="375" t="s">
        <v>573</v>
      </c>
      <c r="Z3" s="375" t="s">
        <v>634</v>
      </c>
      <c r="AA3" s="374" t="s">
        <v>576</v>
      </c>
      <c r="AB3" s="374" t="s">
        <v>568</v>
      </c>
      <c r="AC3" s="374" t="s">
        <v>569</v>
      </c>
    </row>
    <row r="4" ht="24" customHeight="1" spans="2:29">
      <c r="B4" s="88" t="s">
        <v>1959</v>
      </c>
      <c r="C4" s="88" t="str">
        <f>INDEX(二三级标准!Q:Q,MATCH($B4,二三级标准!$O:$O,0))</f>
        <v>材料审阅与准备</v>
      </c>
      <c r="D4" s="376">
        <v>0</v>
      </c>
      <c r="E4" s="377"/>
      <c r="F4" s="378"/>
      <c r="G4" s="379"/>
      <c r="H4" s="380">
        <f>SUM(H5:H6)</f>
        <v>0</v>
      </c>
      <c r="I4" s="381"/>
      <c r="J4" s="380">
        <f>SUM(J5:J6)</f>
        <v>0</v>
      </c>
      <c r="K4" s="382"/>
      <c r="L4" s="383"/>
      <c r="M4" s="384">
        <f>SUM(M5:M6)</f>
        <v>0</v>
      </c>
      <c r="N4" s="385"/>
      <c r="O4" s="384">
        <f t="shared" ref="O4:U4" si="0">SUM(O5:O6)</f>
        <v>0</v>
      </c>
      <c r="P4" s="384">
        <f t="shared" si="0"/>
        <v>0</v>
      </c>
      <c r="Q4" s="384">
        <f t="shared" si="0"/>
        <v>0</v>
      </c>
      <c r="R4" s="384">
        <f t="shared" si="0"/>
        <v>0</v>
      </c>
      <c r="S4" s="384">
        <f t="shared" si="0"/>
        <v>0</v>
      </c>
      <c r="T4" s="384">
        <f t="shared" si="0"/>
        <v>0</v>
      </c>
      <c r="U4" s="384">
        <f t="shared" si="0"/>
        <v>0</v>
      </c>
      <c r="W4" s="381">
        <f t="shared" ref="W4:AC4" si="1">SUM(W5:W6)</f>
        <v>0</v>
      </c>
      <c r="X4" s="381">
        <f t="shared" si="1"/>
        <v>0</v>
      </c>
      <c r="Y4" s="381">
        <f t="shared" si="1"/>
        <v>0</v>
      </c>
      <c r="Z4" s="381">
        <f t="shared" si="1"/>
        <v>0</v>
      </c>
      <c r="AA4" s="381">
        <f t="shared" si="1"/>
        <v>0</v>
      </c>
      <c r="AB4" s="381">
        <f t="shared" si="1"/>
        <v>0</v>
      </c>
      <c r="AC4" s="381">
        <f t="shared" si="1"/>
        <v>0</v>
      </c>
    </row>
    <row r="5" ht="24" customHeight="1" spans="2:29">
      <c r="B5" s="89" t="s">
        <v>451</v>
      </c>
      <c r="C5" s="90" t="str">
        <f>INDEX(二三级标准!$C:$C,MATCH($B5,二三级标准!$B:$B,0))</f>
        <v>临床前研究材料审阅</v>
      </c>
      <c r="D5" s="166">
        <f>IF($D$4=1,1,0)</f>
        <v>0</v>
      </c>
      <c r="E5" s="166">
        <f>IF($D5=1,1,0)</f>
        <v>0</v>
      </c>
      <c r="F5" s="89" t="str">
        <f>INDEX(二三级标准!$G:$G,MATCH($B5,二三级标准!$B:$B,0))</f>
        <v>次</v>
      </c>
      <c r="G5" s="386">
        <f>IFERROR(SUMIF(注册申报底表!$J:$J,$B5,注册申报底表!$AA:$AA)/E5,0)</f>
        <v>0</v>
      </c>
      <c r="H5" s="386">
        <f>G5*E5</f>
        <v>0</v>
      </c>
      <c r="I5" s="386">
        <f>IFERROR(SUMIF(注册申报底表!$J:$J,$B5,注册申报底表!$AD:$AD)/E5,0)</f>
        <v>0</v>
      </c>
      <c r="J5" s="386">
        <f>I5*E5</f>
        <v>0</v>
      </c>
      <c r="K5" s="89"/>
      <c r="L5" s="387">
        <f>IF(D5=1,M5/E5,0)</f>
        <v>0</v>
      </c>
      <c r="M5" s="387">
        <f>SUMIF(注册申报底表!$J:$J,$B5,注册申报底表!$Z:$Z)</f>
        <v>0</v>
      </c>
      <c r="O5" s="388">
        <f>SUMIFS(注册申报底表!$Z:$Z,注册申报底表!$J:$J,$B5,注册申报底表!$G:$G,O$3)</f>
        <v>0</v>
      </c>
      <c r="P5" s="388">
        <f>SUMIFS(注册申报底表!$Z:$Z,注册申报底表!$J:$J,$B5,注册申报底表!$G:$G,P$3)</f>
        <v>0</v>
      </c>
      <c r="Q5" s="388">
        <f>SUMIFS(注册申报底表!$Z:$Z,注册申报底表!$J:$J,$B5,注册申报底表!$G:$G,Q$3)</f>
        <v>0</v>
      </c>
      <c r="R5" s="388">
        <f>SUMIFS(注册申报底表!$Z:$Z,注册申报底表!$J:$J,$B5,注册申报底表!$G:$G,R$3)</f>
        <v>0</v>
      </c>
      <c r="S5" s="388">
        <f>SUMIFS(注册申报底表!$Z:$Z,注册申报底表!$J:$J,$B5,注册申报底表!$G:$G,S$3)</f>
        <v>0</v>
      </c>
      <c r="T5" s="388">
        <f>SUMIFS(注册申报底表!$Z:$Z,注册申报底表!$J:$J,$B5,注册申报底表!$G:$G,T$3)</f>
        <v>0</v>
      </c>
      <c r="U5" s="388">
        <f>SUMIFS(注册申报底表!$Z:$Z,注册申报底表!$J:$J,$B5,注册申报底表!$G:$G,U$3)</f>
        <v>0</v>
      </c>
      <c r="W5" s="389">
        <f>SUMIFS(注册申报底表!$AA:$AA,注册申报底表!$J:$J,$B5,注册申报底表!$G:$G,W$3)</f>
        <v>0</v>
      </c>
      <c r="X5" s="389">
        <f>SUMIFS(注册申报底表!$AA:$AA,注册申报底表!$J:$J,$B5,注册申报底表!$G:$G,X$3)</f>
        <v>0</v>
      </c>
      <c r="Y5" s="389">
        <f>SUMIFS(注册申报底表!$AA:$AA,注册申报底表!$J:$J,$B5,注册申报底表!$G:$G,Y$3)</f>
        <v>0</v>
      </c>
      <c r="Z5" s="389">
        <f>SUMIFS(注册申报底表!$AA:$AA,注册申报底表!$J:$J,$B5,注册申报底表!$G:$G,Z$3)</f>
        <v>0</v>
      </c>
      <c r="AA5" s="389">
        <f>SUMIFS(注册申报底表!$AA:$AA,注册申报底表!$J:$J,$B5,注册申报底表!$G:$G,AA$3)</f>
        <v>0</v>
      </c>
      <c r="AB5" s="389">
        <f>SUMIFS(注册申报底表!$AA:$AA,注册申报底表!$J:$J,$B5,注册申报底表!$G:$G,AB$3)</f>
        <v>0</v>
      </c>
      <c r="AC5" s="389">
        <f>SUMIFS(注册申报底表!$AA:$AA,注册申报底表!$J:$J,$B5,注册申报底表!$G:$G,AC$3)</f>
        <v>0</v>
      </c>
    </row>
    <row r="6" ht="24" customHeight="1" spans="2:29">
      <c r="B6" s="89" t="s">
        <v>453</v>
      </c>
      <c r="C6" s="90" t="str">
        <f>INDEX(二三级标准!$C:$C,MATCH($B6,二三级标准!$B:$B,0))</f>
        <v>其他材料(相关法规等)</v>
      </c>
      <c r="D6" s="166">
        <f>IF($D$4=1,1,0)</f>
        <v>0</v>
      </c>
      <c r="E6" s="166">
        <f>IF($D6=1,1,0)</f>
        <v>0</v>
      </c>
      <c r="F6" s="89" t="str">
        <f>INDEX(二三级标准!$G:$G,MATCH($B6,二三级标准!$B:$B,0))</f>
        <v>次</v>
      </c>
      <c r="G6" s="386">
        <f>IFERROR(SUMIF(注册申报底表!$J:$J,$B6,注册申报底表!$AA:$AA)/E6,0)</f>
        <v>0</v>
      </c>
      <c r="H6" s="386">
        <f>G6*E6</f>
        <v>0</v>
      </c>
      <c r="I6" s="386">
        <f>IFERROR(SUMIF(注册申报底表!$J:$J,$B6,注册申报底表!$AD:$AD)/E6,0)</f>
        <v>0</v>
      </c>
      <c r="J6" s="386">
        <f>I6*E6</f>
        <v>0</v>
      </c>
      <c r="K6" s="89"/>
      <c r="L6" s="387">
        <f>IF(D6=1,M6/E6,0)</f>
        <v>0</v>
      </c>
      <c r="M6" s="387">
        <f>SUMIF(注册申报底表!$J:$J,$B6,注册申报底表!$Z:$Z)</f>
        <v>0</v>
      </c>
      <c r="O6" s="388">
        <f>SUMIFS(注册申报底表!$Z:$Z,注册申报底表!$J:$J,$B6,注册申报底表!$G:$G,O$3)</f>
        <v>0</v>
      </c>
      <c r="P6" s="388">
        <f>SUMIFS(注册申报底表!$Z:$Z,注册申报底表!$J:$J,$B6,注册申报底表!$G:$G,P$3)</f>
        <v>0</v>
      </c>
      <c r="Q6" s="388">
        <f>SUMIFS(注册申报底表!$Z:$Z,注册申报底表!$J:$J,$B6,注册申报底表!$G:$G,Q$3)</f>
        <v>0</v>
      </c>
      <c r="R6" s="388">
        <f>SUMIFS(注册申报底表!$Z:$Z,注册申报底表!$J:$J,$B6,注册申报底表!$G:$G,R$3)</f>
        <v>0</v>
      </c>
      <c r="S6" s="388">
        <f>SUMIFS(注册申报底表!$Z:$Z,注册申报底表!$J:$J,$B6,注册申报底表!$G:$G,S$3)</f>
        <v>0</v>
      </c>
      <c r="T6" s="388">
        <f>SUMIFS(注册申报底表!$Z:$Z,注册申报底表!$J:$J,$B6,注册申报底表!$G:$G,T$3)</f>
        <v>0</v>
      </c>
      <c r="U6" s="388">
        <f>SUMIFS(注册申报底表!$Z:$Z,注册申报底表!$J:$J,$B6,注册申报底表!$G:$G,U$3)</f>
        <v>0</v>
      </c>
      <c r="W6" s="389">
        <f>SUMIFS(注册申报底表!$AA:$AA,注册申报底表!$J:$J,$B6,注册申报底表!$G:$G,W$3)</f>
        <v>0</v>
      </c>
      <c r="X6" s="389">
        <f>SUMIFS(注册申报底表!$AA:$AA,注册申报底表!$J:$J,$B6,注册申报底表!$G:$G,X$3)</f>
        <v>0</v>
      </c>
      <c r="Y6" s="389">
        <f>SUMIFS(注册申报底表!$AA:$AA,注册申报底表!$J:$J,$B6,注册申报底表!$G:$G,Y$3)</f>
        <v>0</v>
      </c>
      <c r="Z6" s="389">
        <f>SUMIFS(注册申报底表!$AA:$AA,注册申报底表!$J:$J,$B6,注册申报底表!$G:$G,Z$3)</f>
        <v>0</v>
      </c>
      <c r="AA6" s="389">
        <f>SUMIFS(注册申报底表!$AA:$AA,注册申报底表!$J:$J,$B6,注册申报底表!$G:$G,AA$3)</f>
        <v>0</v>
      </c>
      <c r="AB6" s="389">
        <f>SUMIFS(注册申报底表!$AA:$AA,注册申报底表!$J:$J,$B6,注册申报底表!$G:$G,AB$3)</f>
        <v>0</v>
      </c>
      <c r="AC6" s="389">
        <f>SUMIFS(注册申报底表!$AA:$AA,注册申报底表!$J:$J,$B6,注册申报底表!$G:$G,AC$3)</f>
        <v>0</v>
      </c>
    </row>
    <row r="7" ht="31.2" spans="2:29">
      <c r="B7" s="88" t="s">
        <v>1960</v>
      </c>
      <c r="C7" s="88" t="str">
        <f>INDEX(二三级标准!Q:Q,MATCH($B7,二三级标准!$O:$O,0))</f>
        <v>召开会议</v>
      </c>
      <c r="D7" s="376">
        <v>0</v>
      </c>
      <c r="E7" s="377"/>
      <c r="F7" s="378"/>
      <c r="G7" s="379"/>
      <c r="H7" s="380">
        <f>SUM(H8:H9)</f>
        <v>0</v>
      </c>
      <c r="I7" s="390"/>
      <c r="J7" s="380">
        <f>SUM(J8:J9)</f>
        <v>0</v>
      </c>
      <c r="K7" s="391" t="s">
        <v>1961</v>
      </c>
      <c r="L7" s="378"/>
      <c r="M7" s="392">
        <f>SUM(M8:M9)</f>
        <v>0</v>
      </c>
      <c r="N7" s="385"/>
      <c r="O7" s="384">
        <f t="shared" ref="O7:U7" si="2">SUM(O8:O9)</f>
        <v>0</v>
      </c>
      <c r="P7" s="384">
        <f t="shared" si="2"/>
        <v>0</v>
      </c>
      <c r="Q7" s="384">
        <f t="shared" si="2"/>
        <v>0</v>
      </c>
      <c r="R7" s="384">
        <f t="shared" si="2"/>
        <v>0</v>
      </c>
      <c r="S7" s="384">
        <f t="shared" si="2"/>
        <v>0</v>
      </c>
      <c r="T7" s="384">
        <f t="shared" si="2"/>
        <v>0</v>
      </c>
      <c r="U7" s="384">
        <f t="shared" si="2"/>
        <v>0</v>
      </c>
      <c r="W7" s="381">
        <f t="shared" ref="W7:AC7" si="3">SUM(W8:W9)</f>
        <v>0</v>
      </c>
      <c r="X7" s="381">
        <f t="shared" si="3"/>
        <v>0</v>
      </c>
      <c r="Y7" s="381">
        <f t="shared" si="3"/>
        <v>0</v>
      </c>
      <c r="Z7" s="381">
        <f t="shared" si="3"/>
        <v>0</v>
      </c>
      <c r="AA7" s="381">
        <f t="shared" si="3"/>
        <v>0</v>
      </c>
      <c r="AB7" s="381">
        <f t="shared" si="3"/>
        <v>0</v>
      </c>
      <c r="AC7" s="381">
        <f t="shared" si="3"/>
        <v>0</v>
      </c>
    </row>
    <row r="8" ht="37" customHeight="1" spans="2:29">
      <c r="B8" s="89" t="s">
        <v>455</v>
      </c>
      <c r="C8" s="90" t="str">
        <f>INDEX(二三级标准!$C:$C,MATCH($B8,二三级标准!$B:$B,0))</f>
        <v>召开客户电话会议</v>
      </c>
      <c r="D8" s="166">
        <f>IF($D$7=1,1,0)</f>
        <v>0</v>
      </c>
      <c r="E8" s="166">
        <f>IF($D8=1,3,0)</f>
        <v>0</v>
      </c>
      <c r="F8" s="89" t="str">
        <f>INDEX(二三级标准!$G:$G,MATCH($B8,二三级标准!$B:$B,0))</f>
        <v>次</v>
      </c>
      <c r="G8" s="386">
        <f>IFERROR(SUMIF(注册申报底表!$J:$J,$B8,注册申报底表!$AA:$AA)/E8,0)</f>
        <v>0</v>
      </c>
      <c r="H8" s="386">
        <f t="shared" ref="H8:H13" si="4">G8*E8</f>
        <v>0</v>
      </c>
      <c r="I8" s="386">
        <f>IFERROR(SUMIF(注册申报底表!$J:$J,$B8,注册申报底表!$AD:$AD)/E8,0)</f>
        <v>0</v>
      </c>
      <c r="J8" s="386">
        <f t="shared" ref="J8:J13" si="5">I8*E8</f>
        <v>0</v>
      </c>
      <c r="K8" s="90" t="s">
        <v>1962</v>
      </c>
      <c r="L8" s="387">
        <f>IF(D8=1,M8/E8,0)</f>
        <v>0</v>
      </c>
      <c r="M8" s="387">
        <f>SUMIF(注册申报底表!$J:$J,$B8,注册申报底表!$Z:$Z)</f>
        <v>0</v>
      </c>
      <c r="O8" s="388">
        <f>SUMIFS(注册申报底表!$Z:$Z,注册申报底表!$J:$J,$B8,注册申报底表!$G:$G,O$3)</f>
        <v>0</v>
      </c>
      <c r="P8" s="388">
        <f>SUMIFS(注册申报底表!$Z:$Z,注册申报底表!$J:$J,$B8,注册申报底表!$G:$G,P$3)</f>
        <v>0</v>
      </c>
      <c r="Q8" s="388">
        <f>SUMIFS(注册申报底表!$Z:$Z,注册申报底表!$J:$J,$B8,注册申报底表!$G:$G,Q$3)</f>
        <v>0</v>
      </c>
      <c r="R8" s="388">
        <f>SUMIFS(注册申报底表!$Z:$Z,注册申报底表!$J:$J,$B8,注册申报底表!$G:$G,R$3)</f>
        <v>0</v>
      </c>
      <c r="S8" s="388">
        <f>SUMIFS(注册申报底表!$Z:$Z,注册申报底表!$J:$J,$B8,注册申报底表!$G:$G,S$3)</f>
        <v>0</v>
      </c>
      <c r="T8" s="388">
        <f>SUMIFS(注册申报底表!$Z:$Z,注册申报底表!$J:$J,$B8,注册申报底表!$G:$G,T$3)</f>
        <v>0</v>
      </c>
      <c r="U8" s="388">
        <f>SUMIFS(注册申报底表!$Z:$Z,注册申报底表!$J:$J,$B8,注册申报底表!$G:$G,U$3)</f>
        <v>0</v>
      </c>
      <c r="W8" s="389">
        <f>SUMIFS(注册申报底表!$AA:$AA,注册申报底表!$J:$J,$B8,注册申报底表!$G:$G,W$3)</f>
        <v>0</v>
      </c>
      <c r="X8" s="389">
        <f>SUMIFS(注册申报底表!$AA:$AA,注册申报底表!$J:$J,$B8,注册申报底表!$G:$G,X$3)</f>
        <v>0</v>
      </c>
      <c r="Y8" s="389">
        <f>SUMIFS(注册申报底表!$AA:$AA,注册申报底表!$J:$J,$B8,注册申报底表!$G:$G,Y$3)</f>
        <v>0</v>
      </c>
      <c r="Z8" s="389">
        <f>SUMIFS(注册申报底表!$AA:$AA,注册申报底表!$J:$J,$B8,注册申报底表!$G:$G,Z$3)</f>
        <v>0</v>
      </c>
      <c r="AA8" s="389">
        <f>SUMIFS(注册申报底表!$AA:$AA,注册申报底表!$J:$J,$B8,注册申报底表!$G:$G,AA$3)</f>
        <v>0</v>
      </c>
      <c r="AB8" s="389">
        <f>SUMIFS(注册申报底表!$AA:$AA,注册申报底表!$J:$J,$B8,注册申报底表!$G:$G,AB$3)</f>
        <v>0</v>
      </c>
      <c r="AC8" s="389">
        <f>SUMIFS(注册申报底表!$AA:$AA,注册申报底表!$J:$J,$B8,注册申报底表!$G:$G,AC$3)</f>
        <v>0</v>
      </c>
    </row>
    <row r="9" ht="45" spans="2:29">
      <c r="B9" s="89" t="s">
        <v>457</v>
      </c>
      <c r="C9" s="90" t="str">
        <f>INDEX(二三级标准!$C:$C,MATCH($B9,二三级标准!$B:$B,0))</f>
        <v>召开专家电话会议</v>
      </c>
      <c r="D9" s="166">
        <v>0</v>
      </c>
      <c r="E9" s="166">
        <f t="shared" ref="E9:E13" si="6">IF($D9=1,1,0)</f>
        <v>0</v>
      </c>
      <c r="F9" s="89" t="str">
        <f>INDEX(二三级标准!$G:$G,MATCH($B9,二三级标准!$B:$B,0))</f>
        <v>次</v>
      </c>
      <c r="G9" s="386">
        <f>IFERROR(SUMIF(注册申报底表!$J:$J,$B9,注册申报底表!$AA:$AA)/E9,0)</f>
        <v>0</v>
      </c>
      <c r="H9" s="386">
        <f t="shared" si="4"/>
        <v>0</v>
      </c>
      <c r="I9" s="386">
        <f>IFERROR(SUMIF(注册申报底表!$J:$J,$B9,注册申报底表!$AD:$AD)/E9,0)</f>
        <v>0</v>
      </c>
      <c r="J9" s="386">
        <f t="shared" si="5"/>
        <v>0</v>
      </c>
      <c r="K9" s="90" t="s">
        <v>1963</v>
      </c>
      <c r="L9" s="387">
        <f>IF(D9=1,M9/E9,0)</f>
        <v>0</v>
      </c>
      <c r="M9" s="387">
        <f>SUMIF(注册申报底表!$J:$J,$B9,注册申报底表!$Z:$Z)</f>
        <v>0</v>
      </c>
      <c r="O9" s="388">
        <f>SUMIFS(注册申报底表!$Z:$Z,注册申报底表!$J:$J,$B9,注册申报底表!$G:$G,O$3)</f>
        <v>0</v>
      </c>
      <c r="P9" s="388">
        <f>SUMIFS(注册申报底表!$Z:$Z,注册申报底表!$J:$J,$B9,注册申报底表!$G:$G,P$3)</f>
        <v>0</v>
      </c>
      <c r="Q9" s="388">
        <f>SUMIFS(注册申报底表!$Z:$Z,注册申报底表!$J:$J,$B9,注册申报底表!$G:$G,Q$3)</f>
        <v>0</v>
      </c>
      <c r="R9" s="388">
        <f>SUMIFS(注册申报底表!$Z:$Z,注册申报底表!$J:$J,$B9,注册申报底表!$G:$G,R$3)</f>
        <v>0</v>
      </c>
      <c r="S9" s="388">
        <f>SUMIFS(注册申报底表!$Z:$Z,注册申报底表!$J:$J,$B9,注册申报底表!$G:$G,S$3)</f>
        <v>0</v>
      </c>
      <c r="T9" s="388">
        <f>SUMIFS(注册申报底表!$Z:$Z,注册申报底表!$J:$J,$B9,注册申报底表!$G:$G,T$3)</f>
        <v>0</v>
      </c>
      <c r="U9" s="388">
        <f>SUMIFS(注册申报底表!$Z:$Z,注册申报底表!$J:$J,$B9,注册申报底表!$G:$G,U$3)</f>
        <v>0</v>
      </c>
      <c r="W9" s="389">
        <f>SUMIFS(注册申报底表!$AA:$AA,注册申报底表!$J:$J,$B9,注册申报底表!$G:$G,W$3)</f>
        <v>0</v>
      </c>
      <c r="X9" s="389">
        <f>SUMIFS(注册申报底表!$AA:$AA,注册申报底表!$J:$J,$B9,注册申报底表!$G:$G,X$3)</f>
        <v>0</v>
      </c>
      <c r="Y9" s="389">
        <f>SUMIFS(注册申报底表!$AA:$AA,注册申报底表!$J:$J,$B9,注册申报底表!$G:$G,Y$3)</f>
        <v>0</v>
      </c>
      <c r="Z9" s="389">
        <f>SUMIFS(注册申报底表!$AA:$AA,注册申报底表!$J:$J,$B9,注册申报底表!$G:$G,Z$3)</f>
        <v>0</v>
      </c>
      <c r="AA9" s="389">
        <f>SUMIFS(注册申报底表!$AA:$AA,注册申报底表!$J:$J,$B9,注册申报底表!$G:$G,AA$3)</f>
        <v>0</v>
      </c>
      <c r="AB9" s="389">
        <f>SUMIFS(注册申报底表!$AA:$AA,注册申报底表!$J:$J,$B9,注册申报底表!$G:$G,AB$3)</f>
        <v>0</v>
      </c>
      <c r="AC9" s="389">
        <f>SUMIFS(注册申报底表!$AA:$AA,注册申报底表!$J:$J,$B9,注册申报底表!$G:$G,AC$3)</f>
        <v>0</v>
      </c>
    </row>
    <row r="10" ht="24" customHeight="1" spans="2:29">
      <c r="B10" s="88" t="s">
        <v>1964</v>
      </c>
      <c r="C10" s="88" t="str">
        <f>INDEX(二三级标准!Q:Q,MATCH($B10,二三级标准!$O:$O,0))</f>
        <v>临床试验计划制定与方案撰写</v>
      </c>
      <c r="D10" s="376">
        <v>0</v>
      </c>
      <c r="E10" s="377"/>
      <c r="F10" s="378"/>
      <c r="G10" s="379"/>
      <c r="H10" s="380">
        <f>SUM(H11:H13)</f>
        <v>0</v>
      </c>
      <c r="I10" s="390"/>
      <c r="J10" s="380">
        <f>SUM(J11:J13)</f>
        <v>0</v>
      </c>
      <c r="K10" s="378"/>
      <c r="L10" s="378"/>
      <c r="M10" s="392">
        <f>SUM(M11:M12)</f>
        <v>0</v>
      </c>
      <c r="N10" s="385"/>
      <c r="O10" s="392">
        <f t="shared" ref="O10:U10" si="7">SUM(O11:O12)</f>
        <v>0</v>
      </c>
      <c r="P10" s="392">
        <f t="shared" si="7"/>
        <v>0</v>
      </c>
      <c r="Q10" s="392">
        <f t="shared" si="7"/>
        <v>0</v>
      </c>
      <c r="R10" s="392">
        <f t="shared" si="7"/>
        <v>0</v>
      </c>
      <c r="S10" s="392">
        <f t="shared" si="7"/>
        <v>0</v>
      </c>
      <c r="T10" s="392">
        <f t="shared" si="7"/>
        <v>0</v>
      </c>
      <c r="U10" s="392">
        <f t="shared" si="7"/>
        <v>0</v>
      </c>
      <c r="W10" s="381">
        <f t="shared" ref="W10:AC10" si="8">SUM(W11:W12)</f>
        <v>0</v>
      </c>
      <c r="X10" s="381">
        <f t="shared" si="8"/>
        <v>0</v>
      </c>
      <c r="Y10" s="381">
        <f t="shared" si="8"/>
        <v>0</v>
      </c>
      <c r="Z10" s="381">
        <f t="shared" si="8"/>
        <v>0</v>
      </c>
      <c r="AA10" s="381">
        <f t="shared" si="8"/>
        <v>0</v>
      </c>
      <c r="AB10" s="381">
        <f t="shared" si="8"/>
        <v>0</v>
      </c>
      <c r="AC10" s="381">
        <f t="shared" si="8"/>
        <v>0</v>
      </c>
    </row>
    <row r="11" ht="26" customHeight="1" spans="2:29">
      <c r="B11" s="89" t="s">
        <v>459</v>
      </c>
      <c r="C11" s="90" t="str">
        <f>INDEX(二三级标准!$C:$C,MATCH($B11,二三级标准!$B:$B,0))</f>
        <v>临床开发计划制定</v>
      </c>
      <c r="D11" s="166">
        <f t="shared" ref="D11:D13" si="9">IF($D$10=1,1,0)</f>
        <v>0</v>
      </c>
      <c r="E11" s="166">
        <f t="shared" si="6"/>
        <v>0</v>
      </c>
      <c r="F11" s="89" t="str">
        <f>INDEX(二三级标准!$G:$G,MATCH($B11,二三级标准!$B:$B,0))</f>
        <v>份</v>
      </c>
      <c r="G11" s="386">
        <f>IFERROR(SUMIF(注册申报底表!$J:$J,$B11,注册申报底表!$AA:$AA)/E11,0)</f>
        <v>0</v>
      </c>
      <c r="H11" s="386">
        <f t="shared" si="4"/>
        <v>0</v>
      </c>
      <c r="I11" s="386">
        <f>IFERROR(SUMIF(注册申报底表!$J:$J,$B11,注册申报底表!$AD:$AD)/E11,0)</f>
        <v>0</v>
      </c>
      <c r="J11" s="386">
        <f t="shared" si="5"/>
        <v>0</v>
      </c>
      <c r="K11" s="89"/>
      <c r="L11" s="387">
        <f>IF(D11=1,M11/E11,0)</f>
        <v>0</v>
      </c>
      <c r="M11" s="387">
        <f>SUMIF(注册申报底表!$J:$J,$B11,注册申报底表!$Z:$Z)</f>
        <v>0</v>
      </c>
      <c r="O11" s="388">
        <f>SUMIFS(注册申报底表!$Z:$Z,注册申报底表!$J:$J,$B11,注册申报底表!$G:$G,O$3)</f>
        <v>0</v>
      </c>
      <c r="P11" s="388">
        <f>SUMIFS(注册申报底表!$Z:$Z,注册申报底表!$J:$J,$B11,注册申报底表!$G:$G,P$3)</f>
        <v>0</v>
      </c>
      <c r="Q11" s="388">
        <f>SUMIFS(注册申报底表!$Z:$Z,注册申报底表!$J:$J,$B11,注册申报底表!$G:$G,Q$3)</f>
        <v>0</v>
      </c>
      <c r="R11" s="388">
        <f>SUMIFS(注册申报底表!$Z:$Z,注册申报底表!$J:$J,$B11,注册申报底表!$G:$G,R$3)</f>
        <v>0</v>
      </c>
      <c r="S11" s="388">
        <f>SUMIFS(注册申报底表!$Z:$Z,注册申报底表!$J:$J,$B11,注册申报底表!$G:$G,S$3)</f>
        <v>0</v>
      </c>
      <c r="T11" s="388">
        <f>SUMIFS(注册申报底表!$Z:$Z,注册申报底表!$J:$J,$B11,注册申报底表!$G:$G,T$3)</f>
        <v>0</v>
      </c>
      <c r="U11" s="388">
        <f>SUMIFS(注册申报底表!$Z:$Z,注册申报底表!$J:$J,$B11,注册申报底表!$G:$G,U$3)</f>
        <v>0</v>
      </c>
      <c r="W11" s="389">
        <f>SUMIFS(注册申报底表!$AA:$AA,注册申报底表!$J:$J,$B11,注册申报底表!$G:$G,W$3)</f>
        <v>0</v>
      </c>
      <c r="X11" s="389">
        <f>SUMIFS(注册申报底表!$AA:$AA,注册申报底表!$J:$J,$B11,注册申报底表!$G:$G,X$3)</f>
        <v>0</v>
      </c>
      <c r="Y11" s="389">
        <f>SUMIFS(注册申报底表!$AA:$AA,注册申报底表!$J:$J,$B11,注册申报底表!$G:$G,Y$3)</f>
        <v>0</v>
      </c>
      <c r="Z11" s="389">
        <f>SUMIFS(注册申报底表!$AA:$AA,注册申报底表!$J:$J,$B11,注册申报底表!$G:$G,Z$3)</f>
        <v>0</v>
      </c>
      <c r="AA11" s="389">
        <f>SUMIFS(注册申报底表!$AA:$AA,注册申报底表!$J:$J,$B11,注册申报底表!$G:$G,AA$3)</f>
        <v>0</v>
      </c>
      <c r="AB11" s="389">
        <f>SUMIFS(注册申报底表!$AA:$AA,注册申报底表!$J:$J,$B11,注册申报底表!$G:$G,AB$3)</f>
        <v>0</v>
      </c>
      <c r="AC11" s="389">
        <f>SUMIFS(注册申报底表!$AA:$AA,注册申报底表!$J:$J,$B11,注册申报底表!$G:$G,AC$3)</f>
        <v>0</v>
      </c>
    </row>
    <row r="12" ht="30" spans="2:29">
      <c r="B12" s="89" t="s">
        <v>523</v>
      </c>
      <c r="C12" s="90" t="str">
        <f>INDEX(二三级标准!$C:$C,MATCH($B12,二三级标准!$B:$B,0))</f>
        <v>方案撰写/注册阶段</v>
      </c>
      <c r="D12" s="166">
        <f t="shared" si="9"/>
        <v>0</v>
      </c>
      <c r="E12" s="166">
        <f t="shared" si="6"/>
        <v>0</v>
      </c>
      <c r="F12" s="89" t="str">
        <f>INDEX(二三级标准!$G:$G,MATCH($B12,二三级标准!$B:$B,0))</f>
        <v>份</v>
      </c>
      <c r="G12" s="386">
        <f>IFERROR(SUMIF(注册申报底表!$J:$J,$B12,注册申报底表!$AA:$AA)/E12,0)</f>
        <v>0</v>
      </c>
      <c r="H12" s="386">
        <f t="shared" si="4"/>
        <v>0</v>
      </c>
      <c r="I12" s="386">
        <f>IFERROR(SUMIF(注册申报底表!$J:$J,$B12,注册申报底表!$AD:$AD)/E12,0)</f>
        <v>0</v>
      </c>
      <c r="J12" s="386">
        <f t="shared" si="5"/>
        <v>0</v>
      </c>
      <c r="K12" s="393" t="s">
        <v>1965</v>
      </c>
      <c r="L12" s="387">
        <f>IF(D12=1,M12/E12,0)</f>
        <v>0</v>
      </c>
      <c r="M12" s="387">
        <f>SUMIF(注册申报底表!$J:$J,$B12,注册申报底表!$Z:$Z)</f>
        <v>0</v>
      </c>
      <c r="O12" s="388">
        <f>SUMIFS(注册申报底表!$Z:$Z,注册申报底表!$J:$J,$B12,注册申报底表!$G:$G,O$3)</f>
        <v>0</v>
      </c>
      <c r="P12" s="388">
        <f>SUMIFS(注册申报底表!$Z:$Z,注册申报底表!$J:$J,$B12,注册申报底表!$G:$G,P$3)</f>
        <v>0</v>
      </c>
      <c r="Q12" s="388">
        <f>SUMIFS(注册申报底表!$Z:$Z,注册申报底表!$J:$J,$B12,注册申报底表!$G:$G,Q$3)</f>
        <v>0</v>
      </c>
      <c r="R12" s="388">
        <f>SUMIFS(注册申报底表!$Z:$Z,注册申报底表!$J:$J,$B12,注册申报底表!$G:$G,R$3)</f>
        <v>0</v>
      </c>
      <c r="S12" s="388">
        <f>SUMIFS(注册申报底表!$Z:$Z,注册申报底表!$J:$J,$B12,注册申报底表!$G:$G,S$3)</f>
        <v>0</v>
      </c>
      <c r="T12" s="388">
        <f>SUMIFS(注册申报底表!$Z:$Z,注册申报底表!$J:$J,$B12,注册申报底表!$G:$G,T$3)</f>
        <v>0</v>
      </c>
      <c r="U12" s="388">
        <f>SUMIFS(注册申报底表!$Z:$Z,注册申报底表!$J:$J,$B12,注册申报底表!$G:$G,U$3)</f>
        <v>0</v>
      </c>
      <c r="W12" s="389">
        <f>SUMIFS(注册申报底表!$AA:$AA,注册申报底表!$J:$J,$B12,注册申报底表!$G:$G,W$3)</f>
        <v>0</v>
      </c>
      <c r="X12" s="389">
        <f>SUMIFS(注册申报底表!$AA:$AA,注册申报底表!$J:$J,$B12,注册申报底表!$G:$G,X$3)</f>
        <v>0</v>
      </c>
      <c r="Y12" s="389">
        <f>SUMIFS(注册申报底表!$AA:$AA,注册申报底表!$J:$J,$B12,注册申报底表!$G:$G,Y$3)</f>
        <v>0</v>
      </c>
      <c r="Z12" s="389">
        <f>SUMIFS(注册申报底表!$AA:$AA,注册申报底表!$J:$J,$B12,注册申报底表!$G:$G,Z$3)</f>
        <v>0</v>
      </c>
      <c r="AA12" s="389">
        <f>SUMIFS(注册申报底表!$AA:$AA,注册申报底表!$J:$J,$B12,注册申报底表!$G:$G,AA$3)</f>
        <v>0</v>
      </c>
      <c r="AB12" s="389">
        <f>SUMIFS(注册申报底表!$AA:$AA,注册申报底表!$J:$J,$B12,注册申报底表!$G:$G,AB$3)</f>
        <v>0</v>
      </c>
      <c r="AC12" s="389">
        <f>SUMIFS(注册申报底表!$AA:$AA,注册申报底表!$J:$J,$B12,注册申报底表!$G:$G,AC$3)</f>
        <v>0</v>
      </c>
    </row>
    <row r="13" ht="28" customHeight="1" spans="2:29">
      <c r="B13" s="89" t="s">
        <v>1966</v>
      </c>
      <c r="C13" s="90" t="str">
        <f>INDEX(二三级标准!$C:$C,MATCH($B13,二三级标准!$B:$B,0))</f>
        <v>起始剂量及爬坡幅度设定</v>
      </c>
      <c r="D13" s="166">
        <v>0</v>
      </c>
      <c r="E13" s="166">
        <f t="shared" si="6"/>
        <v>0</v>
      </c>
      <c r="F13" s="89" t="str">
        <f>INDEX(二三级标准!$G:$G,MATCH($B13,二三级标准!$B:$B,0))</f>
        <v>份</v>
      </c>
      <c r="G13" s="386">
        <f>IFERROR(SUMIF(注册申报底表!$J:$J,$B13,注册申报底表!$AA:$AA)/E13,0)</f>
        <v>0</v>
      </c>
      <c r="H13" s="386">
        <f t="shared" si="4"/>
        <v>0</v>
      </c>
      <c r="I13" s="386">
        <f>IFERROR(SUMIF(注册申报底表!$J:$J,$B13,注册申报底表!$AD:$AD)/E13,0)</f>
        <v>0</v>
      </c>
      <c r="J13" s="386">
        <f t="shared" si="5"/>
        <v>0</v>
      </c>
      <c r="K13" s="393"/>
      <c r="L13" s="387">
        <f>IF(D13=1,M13/E13,0)</f>
        <v>0</v>
      </c>
      <c r="M13" s="387">
        <f>SUMIF(注册申报底表!$J:$J,$B13,注册申报底表!$Z:$Z)</f>
        <v>0</v>
      </c>
      <c r="O13" s="388">
        <f>SUMIFS(注册申报底表!$Z:$Z,注册申报底表!$J:$J,$B13,注册申报底表!$G:$G,O$3)</f>
        <v>0</v>
      </c>
      <c r="P13" s="388">
        <f>SUMIFS(注册申报底表!$Z:$Z,注册申报底表!$J:$J,$B13,注册申报底表!$G:$G,P$3)</f>
        <v>0</v>
      </c>
      <c r="Q13" s="388">
        <f>SUMIFS(注册申报底表!$Z:$Z,注册申报底表!$J:$J,$B13,注册申报底表!$G:$G,Q$3)</f>
        <v>0</v>
      </c>
      <c r="R13" s="388">
        <f>SUMIFS(注册申报底表!$Z:$Z,注册申报底表!$J:$J,$B13,注册申报底表!$G:$G,R$3)</f>
        <v>0</v>
      </c>
      <c r="S13" s="388">
        <f>SUMIFS(注册申报底表!$Z:$Z,注册申报底表!$J:$J,$B13,注册申报底表!$G:$G,S$3)</f>
        <v>0</v>
      </c>
      <c r="T13" s="388">
        <f>SUMIFS(注册申报底表!$Z:$Z,注册申报底表!$J:$J,$B13,注册申报底表!$G:$G,T$3)</f>
        <v>0</v>
      </c>
      <c r="U13" s="388">
        <f>SUMIFS(注册申报底表!$Z:$Z,注册申报底表!$J:$J,$B13,注册申报底表!$G:$G,U$3)</f>
        <v>0</v>
      </c>
      <c r="W13" s="389">
        <f>SUMIFS(注册申报底表!$AA:$AA,注册申报底表!$J:$J,$B13,注册申报底表!$G:$G,W$3)</f>
        <v>0</v>
      </c>
      <c r="X13" s="389">
        <f>SUMIFS(注册申报底表!$AA:$AA,注册申报底表!$J:$J,$B13,注册申报底表!$G:$G,X$3)</f>
        <v>0</v>
      </c>
      <c r="Y13" s="389">
        <f>SUMIFS(注册申报底表!$AA:$AA,注册申报底表!$J:$J,$B13,注册申报底表!$G:$G,Y$3)</f>
        <v>0</v>
      </c>
      <c r="Z13" s="389">
        <f>SUMIFS(注册申报底表!$AA:$AA,注册申报底表!$J:$J,$B13,注册申报底表!$G:$G,Z$3)</f>
        <v>0</v>
      </c>
      <c r="AA13" s="389">
        <f>SUMIFS(注册申报底表!$AA:$AA,注册申报底表!$J:$J,$B13,注册申报底表!$G:$G,AA$3)</f>
        <v>0</v>
      </c>
      <c r="AB13" s="389">
        <f>SUMIFS(注册申报底表!$AA:$AA,注册申报底表!$J:$J,$B13,注册申报底表!$G:$G,AB$3)</f>
        <v>0</v>
      </c>
      <c r="AC13" s="389">
        <f>SUMIFS(注册申报底表!$AA:$AA,注册申报底表!$J:$J,$B13,注册申报底表!$G:$G,AC$3)</f>
        <v>0</v>
      </c>
    </row>
    <row r="14" ht="28" customHeight="1" spans="2:29">
      <c r="B14" s="88" t="s">
        <v>1967</v>
      </c>
      <c r="C14" s="88" t="str">
        <f>INDEX(二三级标准!Q:Q,MATCH($B14,二三级标准!$O:$O,0))</f>
        <v>临床试验相关资料准备</v>
      </c>
      <c r="D14" s="376">
        <v>0</v>
      </c>
      <c r="E14" s="377"/>
      <c r="F14" s="378"/>
      <c r="G14" s="379"/>
      <c r="H14" s="380">
        <f>SUM(H15:H24)</f>
        <v>0</v>
      </c>
      <c r="I14" s="390"/>
      <c r="J14" s="380">
        <f>SUM(J15:J24)</f>
        <v>0</v>
      </c>
      <c r="K14" s="378"/>
      <c r="L14" s="378"/>
      <c r="M14" s="392">
        <f>SUM(M15:M24)</f>
        <v>0</v>
      </c>
      <c r="N14" s="385"/>
      <c r="O14" s="392">
        <f t="shared" ref="O14:U14" si="10">SUM(O15:O24)</f>
        <v>0</v>
      </c>
      <c r="P14" s="392">
        <f t="shared" si="10"/>
        <v>0</v>
      </c>
      <c r="Q14" s="392">
        <f t="shared" si="10"/>
        <v>0</v>
      </c>
      <c r="R14" s="392">
        <f t="shared" si="10"/>
        <v>0</v>
      </c>
      <c r="S14" s="392">
        <f t="shared" si="10"/>
        <v>0</v>
      </c>
      <c r="T14" s="392">
        <f t="shared" si="10"/>
        <v>0</v>
      </c>
      <c r="U14" s="392">
        <f t="shared" si="10"/>
        <v>0</v>
      </c>
      <c r="W14" s="381">
        <f t="shared" ref="W14:AC14" si="11">SUM(W15:W24)</f>
        <v>0</v>
      </c>
      <c r="X14" s="381">
        <f t="shared" si="11"/>
        <v>0</v>
      </c>
      <c r="Y14" s="381">
        <f t="shared" si="11"/>
        <v>0</v>
      </c>
      <c r="Z14" s="381">
        <f t="shared" si="11"/>
        <v>0</v>
      </c>
      <c r="AA14" s="381">
        <f t="shared" si="11"/>
        <v>0</v>
      </c>
      <c r="AB14" s="381">
        <f t="shared" si="11"/>
        <v>0</v>
      </c>
      <c r="AC14" s="381">
        <f t="shared" si="11"/>
        <v>0</v>
      </c>
    </row>
    <row r="15" ht="23" customHeight="1" spans="2:29">
      <c r="B15" s="89" t="s">
        <v>461</v>
      </c>
      <c r="C15" s="90" t="str">
        <f>INDEX(二三级标准!$C:$C,MATCH($B15,二三级标准!$B:$B,0))</f>
        <v>临床综述撰写2.5</v>
      </c>
      <c r="D15" s="166">
        <f t="shared" ref="D15:D20" si="12">IF($D$14=1,1,0)</f>
        <v>0</v>
      </c>
      <c r="E15" s="166">
        <f>IF($D15=1,1,0)</f>
        <v>0</v>
      </c>
      <c r="F15" s="89" t="str">
        <f>INDEX(二三级标准!$G:$G,MATCH($B15,二三级标准!$B:$B,0))</f>
        <v>份</v>
      </c>
      <c r="G15" s="386">
        <f>IFERROR(SUMIF(注册申报底表!$J:$J,$B15,注册申报底表!$AA:$AA)/E15,0)</f>
        <v>0</v>
      </c>
      <c r="H15" s="386">
        <f>G15*E15</f>
        <v>0</v>
      </c>
      <c r="I15" s="386">
        <f>IFERROR(SUMIF(注册申报底表!$J:$J,$B15,注册申报底表!$AD:$AD)/E15,0)</f>
        <v>0</v>
      </c>
      <c r="J15" s="386">
        <f>I15*E15</f>
        <v>0</v>
      </c>
      <c r="K15" s="89"/>
      <c r="L15" s="387">
        <f>IF(D15=1,M15/E15,0)</f>
        <v>0</v>
      </c>
      <c r="M15" s="387">
        <f>SUMIF(注册申报底表!$J:$J,$B15,注册申报底表!$Z:$Z)</f>
        <v>0</v>
      </c>
      <c r="O15" s="388">
        <f>SUMIFS(注册申报底表!$Z:$Z,注册申报底表!$J:$J,$B15,注册申报底表!$G:$G,O$3)</f>
        <v>0</v>
      </c>
      <c r="P15" s="388">
        <f>SUMIFS(注册申报底表!$Z:$Z,注册申报底表!$J:$J,$B15,注册申报底表!$G:$G,P$3)</f>
        <v>0</v>
      </c>
      <c r="Q15" s="388">
        <f>SUMIFS(注册申报底表!$Z:$Z,注册申报底表!$J:$J,$B15,注册申报底表!$G:$G,Q$3)</f>
        <v>0</v>
      </c>
      <c r="R15" s="388">
        <f>SUMIFS(注册申报底表!$Z:$Z,注册申报底表!$J:$J,$B15,注册申报底表!$G:$G,R$3)</f>
        <v>0</v>
      </c>
      <c r="S15" s="388">
        <f>SUMIFS(注册申报底表!$Z:$Z,注册申报底表!$J:$J,$B15,注册申报底表!$G:$G,S$3)</f>
        <v>0</v>
      </c>
      <c r="T15" s="388">
        <f>SUMIFS(注册申报底表!$Z:$Z,注册申报底表!$J:$J,$B15,注册申报底表!$G:$G,T$3)</f>
        <v>0</v>
      </c>
      <c r="U15" s="388">
        <f>SUMIFS(注册申报底表!$Z:$Z,注册申报底表!$J:$J,$B15,注册申报底表!$G:$G,U$3)</f>
        <v>0</v>
      </c>
      <c r="W15" s="389">
        <f>SUMIFS(注册申报底表!$AA:$AA,注册申报底表!$J:$J,$B15,注册申报底表!$G:$G,W$3)</f>
        <v>0</v>
      </c>
      <c r="X15" s="389">
        <f>SUMIFS(注册申报底表!$AA:$AA,注册申报底表!$J:$J,$B15,注册申报底表!$G:$G,X$3)</f>
        <v>0</v>
      </c>
      <c r="Y15" s="389">
        <f>SUMIFS(注册申报底表!$AA:$AA,注册申报底表!$J:$J,$B15,注册申报底表!$G:$G,Y$3)</f>
        <v>0</v>
      </c>
      <c r="Z15" s="389">
        <f>SUMIFS(注册申报底表!$AA:$AA,注册申报底表!$J:$J,$B15,注册申报底表!$G:$G,Z$3)</f>
        <v>0</v>
      </c>
      <c r="AA15" s="389">
        <f>SUMIFS(注册申报底表!$AA:$AA,注册申报底表!$J:$J,$B15,注册申报底表!$G:$G,AA$3)</f>
        <v>0</v>
      </c>
      <c r="AB15" s="389">
        <f>SUMIFS(注册申报底表!$AA:$AA,注册申报底表!$J:$J,$B15,注册申报底表!$G:$G,AB$3)</f>
        <v>0</v>
      </c>
      <c r="AC15" s="389">
        <f>SUMIFS(注册申报底表!$AA:$AA,注册申报底表!$J:$J,$B15,注册申报底表!$G:$G,AC$3)</f>
        <v>0</v>
      </c>
    </row>
    <row r="16" ht="23" customHeight="1" spans="2:29">
      <c r="B16" s="89" t="s">
        <v>1968</v>
      </c>
      <c r="C16" s="90" t="str">
        <f>INDEX(二三级标准!$C:$C,MATCH($B16,二三级标准!$B:$B,0))</f>
        <v>临床总结撰写2.7</v>
      </c>
      <c r="D16" s="166">
        <f t="shared" si="12"/>
        <v>0</v>
      </c>
      <c r="E16" s="166">
        <f>IF($D16=1,1,0)</f>
        <v>0</v>
      </c>
      <c r="F16" s="89" t="str">
        <f>INDEX(二三级标准!$G:$G,MATCH($B16,二三级标准!$B:$B,0))</f>
        <v>份</v>
      </c>
      <c r="G16" s="386">
        <f>IFERROR(SUMIF(注册申报底表!$J:$J,$B16,注册申报底表!$AA:$AA)/E16,0)</f>
        <v>0</v>
      </c>
      <c r="H16" s="386">
        <f>G16*E16</f>
        <v>0</v>
      </c>
      <c r="I16" s="386">
        <f>IFERROR(SUMIF(注册申报底表!$J:$J,$B16,注册申报底表!$AD:$AD)/E16,0)</f>
        <v>0</v>
      </c>
      <c r="J16" s="386">
        <f>I16*E16</f>
        <v>0</v>
      </c>
      <c r="K16" s="89"/>
      <c r="L16" s="387">
        <f>IF(D16=1,M16/E16,0)</f>
        <v>0</v>
      </c>
      <c r="M16" s="387">
        <f>SUMIF(注册申报底表!$J:$J,$B16,注册申报底表!$Z:$Z)</f>
        <v>0</v>
      </c>
      <c r="O16" s="388">
        <f>SUMIFS(注册申报底表!$Z:$Z,注册申报底表!$J:$J,$B16,注册申报底表!$G:$G,O$3)</f>
        <v>0</v>
      </c>
      <c r="P16" s="388">
        <f>SUMIFS(注册申报底表!$Z:$Z,注册申报底表!$J:$J,$B16,注册申报底表!$G:$G,P$3)</f>
        <v>0</v>
      </c>
      <c r="Q16" s="388">
        <f>SUMIFS(注册申报底表!$Z:$Z,注册申报底表!$J:$J,$B16,注册申报底表!$G:$G,Q$3)</f>
        <v>0</v>
      </c>
      <c r="R16" s="388">
        <f>SUMIFS(注册申报底表!$Z:$Z,注册申报底表!$J:$J,$B16,注册申报底表!$G:$G,R$3)</f>
        <v>0</v>
      </c>
      <c r="S16" s="388">
        <f>SUMIFS(注册申报底表!$Z:$Z,注册申报底表!$J:$J,$B16,注册申报底表!$G:$G,S$3)</f>
        <v>0</v>
      </c>
      <c r="T16" s="388">
        <f>SUMIFS(注册申报底表!$Z:$Z,注册申报底表!$J:$J,$B16,注册申报底表!$G:$G,T$3)</f>
        <v>0</v>
      </c>
      <c r="U16" s="388">
        <f>SUMIFS(注册申报底表!$Z:$Z,注册申报底表!$J:$J,$B16,注册申报底表!$G:$G,U$3)</f>
        <v>0</v>
      </c>
      <c r="W16" s="389">
        <f>SUMIFS(注册申报底表!$AA:$AA,注册申报底表!$J:$J,$B16,注册申报底表!$G:$G,W$3)</f>
        <v>0</v>
      </c>
      <c r="X16" s="389">
        <f>SUMIFS(注册申报底表!$AA:$AA,注册申报底表!$J:$J,$B16,注册申报底表!$G:$G,X$3)</f>
        <v>0</v>
      </c>
      <c r="Y16" s="389">
        <f>SUMIFS(注册申报底表!$AA:$AA,注册申报底表!$J:$J,$B16,注册申报底表!$G:$G,Y$3)</f>
        <v>0</v>
      </c>
      <c r="Z16" s="389">
        <f>SUMIFS(注册申报底表!$AA:$AA,注册申报底表!$J:$J,$B16,注册申报底表!$G:$G,Z$3)</f>
        <v>0</v>
      </c>
      <c r="AA16" s="389">
        <f>SUMIFS(注册申报底表!$AA:$AA,注册申报底表!$J:$J,$B16,注册申报底表!$G:$G,AA$3)</f>
        <v>0</v>
      </c>
      <c r="AB16" s="389">
        <f>SUMIFS(注册申报底表!$AA:$AA,注册申报底表!$J:$J,$B16,注册申报底表!$G:$G,AB$3)</f>
        <v>0</v>
      </c>
      <c r="AC16" s="389">
        <f>SUMIFS(注册申报底表!$AA:$AA,注册申报底表!$J:$J,$B16,注册申报底表!$G:$G,AC$3)</f>
        <v>0</v>
      </c>
    </row>
    <row r="17" ht="23" customHeight="1" spans="2:29">
      <c r="B17" s="89" t="s">
        <v>1969</v>
      </c>
      <c r="C17" s="90" t="str">
        <f>INDEX(二三级标准!$C:$C,MATCH($B17,二三级标准!$B:$B,0))</f>
        <v>临床综述撰写更新/审阅2.5</v>
      </c>
      <c r="D17" s="166">
        <v>0</v>
      </c>
      <c r="E17" s="166">
        <f>IF($D17=1,1,0)</f>
        <v>0</v>
      </c>
      <c r="F17" s="89" t="str">
        <f>INDEX(二三级标准!$G:$G,MATCH($B17,二三级标准!$B:$B,0))</f>
        <v>次</v>
      </c>
      <c r="G17" s="386">
        <f>IFERROR(SUMIF(注册申报底表!$J:$J,$B17,注册申报底表!$AA:$AA)/E17,0)</f>
        <v>0</v>
      </c>
      <c r="H17" s="386">
        <f>G17*E17</f>
        <v>0</v>
      </c>
      <c r="I17" s="386">
        <f>IFERROR(SUMIF(注册申报底表!$J:$J,$B17,注册申报底表!$AD:$AD)/E17,0)</f>
        <v>0</v>
      </c>
      <c r="J17" s="386">
        <f>I17*E17</f>
        <v>0</v>
      </c>
      <c r="K17" s="89"/>
      <c r="L17" s="387">
        <f>IF(D17=1,M17/E17,0)</f>
        <v>0</v>
      </c>
      <c r="M17" s="387">
        <f>SUMIF(注册申报底表!$J:$J,$B17,注册申报底表!$Z:$Z)</f>
        <v>0</v>
      </c>
      <c r="O17" s="388">
        <f>SUMIFS(注册申报底表!$Z:$Z,注册申报底表!$J:$J,$B17,注册申报底表!$G:$G,O$3)</f>
        <v>0</v>
      </c>
      <c r="P17" s="388">
        <f>SUMIFS(注册申报底表!$Z:$Z,注册申报底表!$J:$J,$B17,注册申报底表!$G:$G,P$3)</f>
        <v>0</v>
      </c>
      <c r="Q17" s="388">
        <f>SUMIFS(注册申报底表!$Z:$Z,注册申报底表!$J:$J,$B17,注册申报底表!$G:$G,Q$3)</f>
        <v>0</v>
      </c>
      <c r="R17" s="388">
        <f>SUMIFS(注册申报底表!$Z:$Z,注册申报底表!$J:$J,$B17,注册申报底表!$G:$G,R$3)</f>
        <v>0</v>
      </c>
      <c r="S17" s="388">
        <f>SUMIFS(注册申报底表!$Z:$Z,注册申报底表!$J:$J,$B17,注册申报底表!$G:$G,S$3)</f>
        <v>0</v>
      </c>
      <c r="T17" s="388">
        <f>SUMIFS(注册申报底表!$Z:$Z,注册申报底表!$J:$J,$B17,注册申报底表!$G:$G,T$3)</f>
        <v>0</v>
      </c>
      <c r="U17" s="388">
        <f>SUMIFS(注册申报底表!$Z:$Z,注册申报底表!$J:$J,$B17,注册申报底表!$G:$G,U$3)</f>
        <v>0</v>
      </c>
      <c r="W17" s="389">
        <f>SUMIFS(注册申报底表!$AA:$AA,注册申报底表!$J:$J,$B17,注册申报底表!$G:$G,W$3)</f>
        <v>0</v>
      </c>
      <c r="X17" s="389">
        <f>SUMIFS(注册申报底表!$AA:$AA,注册申报底表!$J:$J,$B17,注册申报底表!$G:$G,X$3)</f>
        <v>0</v>
      </c>
      <c r="Y17" s="389">
        <f>SUMIFS(注册申报底表!$AA:$AA,注册申报底表!$J:$J,$B17,注册申报底表!$G:$G,Y$3)</f>
        <v>0</v>
      </c>
      <c r="Z17" s="389">
        <f>SUMIFS(注册申报底表!$AA:$AA,注册申报底表!$J:$J,$B17,注册申报底表!$G:$G,Z$3)</f>
        <v>0</v>
      </c>
      <c r="AA17" s="389">
        <f>SUMIFS(注册申报底表!$AA:$AA,注册申报底表!$J:$J,$B17,注册申报底表!$G:$G,AA$3)</f>
        <v>0</v>
      </c>
      <c r="AB17" s="389">
        <f>SUMIFS(注册申报底表!$AA:$AA,注册申报底表!$J:$J,$B17,注册申报底表!$G:$G,AB$3)</f>
        <v>0</v>
      </c>
      <c r="AC17" s="389">
        <f>SUMIFS(注册申报底表!$AA:$AA,注册申报底表!$J:$J,$B17,注册申报底表!$G:$G,AC$3)</f>
        <v>0</v>
      </c>
    </row>
    <row r="18" ht="23" customHeight="1" spans="2:29">
      <c r="B18" s="89" t="s">
        <v>1970</v>
      </c>
      <c r="C18" s="90" t="str">
        <f>INDEX(二三级标准!$C:$C,MATCH($B18,二三级标准!$B:$B,0))</f>
        <v>临床总结撰写更新/审阅2.7</v>
      </c>
      <c r="D18" s="166">
        <v>0</v>
      </c>
      <c r="E18" s="166">
        <f>IF($D18=1,1,0)</f>
        <v>0</v>
      </c>
      <c r="F18" s="89" t="str">
        <f>INDEX(二三级标准!$G:$G,MATCH($B18,二三级标准!$B:$B,0))</f>
        <v>次</v>
      </c>
      <c r="G18" s="386">
        <f>IFERROR(SUMIF(注册申报底表!$J:$J,$B18,注册申报底表!$AA:$AA)/E18,0)</f>
        <v>0</v>
      </c>
      <c r="H18" s="386">
        <f>G18*E18</f>
        <v>0</v>
      </c>
      <c r="I18" s="386">
        <f>IFERROR(SUMIF(注册申报底表!$J:$J,$B18,注册申报底表!$AD:$AD)/E18,0)</f>
        <v>0</v>
      </c>
      <c r="J18" s="386">
        <f>I18*E18</f>
        <v>0</v>
      </c>
      <c r="K18" s="89"/>
      <c r="L18" s="387">
        <f>IF(D18=1,M18/E18,0)</f>
        <v>0</v>
      </c>
      <c r="M18" s="387">
        <f>SUMIF(注册申报底表!$J:$J,$B18,注册申报底表!$Z:$Z)</f>
        <v>0</v>
      </c>
      <c r="O18" s="388">
        <f>SUMIFS(注册申报底表!$Z:$Z,注册申报底表!$J:$J,$B18,注册申报底表!$G:$G,O$3)</f>
        <v>0</v>
      </c>
      <c r="P18" s="388">
        <f>SUMIFS(注册申报底表!$Z:$Z,注册申报底表!$J:$J,$B18,注册申报底表!$G:$G,P$3)</f>
        <v>0</v>
      </c>
      <c r="Q18" s="388">
        <f>SUMIFS(注册申报底表!$Z:$Z,注册申报底表!$J:$J,$B18,注册申报底表!$G:$G,Q$3)</f>
        <v>0</v>
      </c>
      <c r="R18" s="388">
        <f>SUMIFS(注册申报底表!$Z:$Z,注册申报底表!$J:$J,$B18,注册申报底表!$G:$G,R$3)</f>
        <v>0</v>
      </c>
      <c r="S18" s="388">
        <f>SUMIFS(注册申报底表!$Z:$Z,注册申报底表!$J:$J,$B18,注册申报底表!$G:$G,S$3)</f>
        <v>0</v>
      </c>
      <c r="T18" s="388">
        <f>SUMIFS(注册申报底表!$Z:$Z,注册申报底表!$J:$J,$B18,注册申报底表!$G:$G,T$3)</f>
        <v>0</v>
      </c>
      <c r="U18" s="388">
        <f>SUMIFS(注册申报底表!$Z:$Z,注册申报底表!$J:$J,$B18,注册申报底表!$G:$G,U$3)</f>
        <v>0</v>
      </c>
      <c r="W18" s="389">
        <f>SUMIFS(注册申报底表!$AA:$AA,注册申报底表!$J:$J,$B18,注册申报底表!$G:$G,W$3)</f>
        <v>0</v>
      </c>
      <c r="X18" s="389">
        <f>SUMIFS(注册申报底表!$AA:$AA,注册申报底表!$J:$J,$B18,注册申报底表!$G:$G,X$3)</f>
        <v>0</v>
      </c>
      <c r="Y18" s="389">
        <f>SUMIFS(注册申报底表!$AA:$AA,注册申报底表!$J:$J,$B18,注册申报底表!$G:$G,Y$3)</f>
        <v>0</v>
      </c>
      <c r="Z18" s="389">
        <f>SUMIFS(注册申报底表!$AA:$AA,注册申报底表!$J:$J,$B18,注册申报底表!$G:$G,Z$3)</f>
        <v>0</v>
      </c>
      <c r="AA18" s="389">
        <f>SUMIFS(注册申报底表!$AA:$AA,注册申报底表!$J:$J,$B18,注册申报底表!$G:$G,AA$3)</f>
        <v>0</v>
      </c>
      <c r="AB18" s="389">
        <f>SUMIFS(注册申报底表!$AA:$AA,注册申报底表!$J:$J,$B18,注册申报底表!$G:$G,AB$3)</f>
        <v>0</v>
      </c>
      <c r="AC18" s="389">
        <f>SUMIFS(注册申报底表!$AA:$AA,注册申报底表!$J:$J,$B18,注册申报底表!$G:$G,AC$3)</f>
        <v>0</v>
      </c>
    </row>
    <row r="19" ht="23" customHeight="1" spans="2:29">
      <c r="B19" s="89" t="s">
        <v>463</v>
      </c>
      <c r="C19" s="90" t="str">
        <f>INDEX(二三级标准!$C:$C,MATCH($B19,二三级标准!$B:$B,0))</f>
        <v>知情同意书样稿撰写1.3.4.2</v>
      </c>
      <c r="D19" s="166">
        <f t="shared" si="12"/>
        <v>0</v>
      </c>
      <c r="E19" s="166">
        <f t="shared" ref="E19:E24" si="13">IF($D19=1,1,0)</f>
        <v>0</v>
      </c>
      <c r="F19" s="89" t="str">
        <f>INDEX(二三级标准!$G:$G,MATCH($B19,二三级标准!$B:$B,0))</f>
        <v>份</v>
      </c>
      <c r="G19" s="386">
        <f>IFERROR(SUMIF(注册申报底表!$J:$J,$B19,注册申报底表!$AA:$AA)/E19,0)</f>
        <v>0</v>
      </c>
      <c r="H19" s="386">
        <f t="shared" ref="H19:H24" si="14">G19*E19</f>
        <v>0</v>
      </c>
      <c r="I19" s="386">
        <f>IFERROR(SUMIF(注册申报底表!$J:$J,$B19,注册申报底表!$AD:$AD)/E19,0)</f>
        <v>0</v>
      </c>
      <c r="J19" s="386">
        <f t="shared" ref="J19:J24" si="15">I19*E19</f>
        <v>0</v>
      </c>
      <c r="K19" s="89"/>
      <c r="L19" s="387">
        <f t="shared" ref="L19:L24" si="16">IF(D19=1,M19/E19,0)</f>
        <v>0</v>
      </c>
      <c r="M19" s="387">
        <f>SUMIF(注册申报底表!$J:$J,$B19,注册申报底表!$Z:$Z)</f>
        <v>0</v>
      </c>
      <c r="O19" s="388">
        <f>SUMIFS(注册申报底表!$Z:$Z,注册申报底表!$J:$J,$B19,注册申报底表!$G:$G,O$3)</f>
        <v>0</v>
      </c>
      <c r="P19" s="388">
        <f>SUMIFS(注册申报底表!$Z:$Z,注册申报底表!$J:$J,$B19,注册申报底表!$G:$G,P$3)</f>
        <v>0</v>
      </c>
      <c r="Q19" s="388">
        <f>SUMIFS(注册申报底表!$Z:$Z,注册申报底表!$J:$J,$B19,注册申报底表!$G:$G,Q$3)</f>
        <v>0</v>
      </c>
      <c r="R19" s="388">
        <f>SUMIFS(注册申报底表!$Z:$Z,注册申报底表!$J:$J,$B19,注册申报底表!$G:$G,R$3)</f>
        <v>0</v>
      </c>
      <c r="S19" s="388">
        <f>SUMIFS(注册申报底表!$Z:$Z,注册申报底表!$J:$J,$B19,注册申报底表!$G:$G,S$3)</f>
        <v>0</v>
      </c>
      <c r="T19" s="388">
        <f>SUMIFS(注册申报底表!$Z:$Z,注册申报底表!$J:$J,$B19,注册申报底表!$G:$G,T$3)</f>
        <v>0</v>
      </c>
      <c r="U19" s="388">
        <f>SUMIFS(注册申报底表!$Z:$Z,注册申报底表!$J:$J,$B19,注册申报底表!$G:$G,U$3)</f>
        <v>0</v>
      </c>
      <c r="W19" s="389">
        <f>SUMIFS(注册申报底表!$AA:$AA,注册申报底表!$J:$J,$B19,注册申报底表!$G:$G,W$3)</f>
        <v>0</v>
      </c>
      <c r="X19" s="389">
        <f>SUMIFS(注册申报底表!$AA:$AA,注册申报底表!$J:$J,$B19,注册申报底表!$G:$G,X$3)</f>
        <v>0</v>
      </c>
      <c r="Y19" s="389">
        <f>SUMIFS(注册申报底表!$AA:$AA,注册申报底表!$J:$J,$B19,注册申报底表!$G:$G,Y$3)</f>
        <v>0</v>
      </c>
      <c r="Z19" s="389">
        <f>SUMIFS(注册申报底表!$AA:$AA,注册申报底表!$J:$J,$B19,注册申报底表!$G:$G,Z$3)</f>
        <v>0</v>
      </c>
      <c r="AA19" s="389">
        <f>SUMIFS(注册申报底表!$AA:$AA,注册申报底表!$J:$J,$B19,注册申报底表!$G:$G,AA$3)</f>
        <v>0</v>
      </c>
      <c r="AB19" s="389">
        <f>SUMIFS(注册申报底表!$AA:$AA,注册申报底表!$J:$J,$B19,注册申报底表!$G:$G,AB$3)</f>
        <v>0</v>
      </c>
      <c r="AC19" s="389">
        <f>SUMIFS(注册申报底表!$AA:$AA,注册申报底表!$J:$J,$B19,注册申报底表!$G:$G,AC$3)</f>
        <v>0</v>
      </c>
    </row>
    <row r="20" ht="23" customHeight="1" spans="2:29">
      <c r="B20" s="89" t="s">
        <v>465</v>
      </c>
      <c r="C20" s="90" t="str">
        <f>INDEX(二三级标准!$C:$C,MATCH($B20,二三级标准!$B:$B,0))</f>
        <v>研究者手册撰写1.3.4.3</v>
      </c>
      <c r="D20" s="166">
        <f t="shared" si="12"/>
        <v>0</v>
      </c>
      <c r="E20" s="166">
        <f t="shared" si="13"/>
        <v>0</v>
      </c>
      <c r="F20" s="89" t="str">
        <f>INDEX(二三级标准!$G:$G,MATCH($B20,二三级标准!$B:$B,0))</f>
        <v>份</v>
      </c>
      <c r="G20" s="386">
        <f>IFERROR(SUMIF(注册申报底表!$J:$J,$B20,注册申报底表!$AA:$AA)/E20,0)</f>
        <v>0</v>
      </c>
      <c r="H20" s="386">
        <f t="shared" si="14"/>
        <v>0</v>
      </c>
      <c r="I20" s="386">
        <f>IFERROR(SUMIF(注册申报底表!$J:$J,$B20,注册申报底表!$AD:$AD)/E20,0)</f>
        <v>0</v>
      </c>
      <c r="J20" s="386">
        <f t="shared" si="15"/>
        <v>0</v>
      </c>
      <c r="K20" s="89"/>
      <c r="L20" s="387">
        <f t="shared" si="16"/>
        <v>0</v>
      </c>
      <c r="M20" s="387">
        <f>SUMIF(注册申报底表!$J:$J,$B20,注册申报底表!$Z:$Z)</f>
        <v>0</v>
      </c>
      <c r="O20" s="388">
        <f>SUMIFS(注册申报底表!$Z:$Z,注册申报底表!$J:$J,$B20,注册申报底表!$G:$G,O$3)</f>
        <v>0</v>
      </c>
      <c r="P20" s="388">
        <f>SUMIFS(注册申报底表!$Z:$Z,注册申报底表!$J:$J,$B20,注册申报底表!$G:$G,P$3)</f>
        <v>0</v>
      </c>
      <c r="Q20" s="388">
        <f>SUMIFS(注册申报底表!$Z:$Z,注册申报底表!$J:$J,$B20,注册申报底表!$G:$G,Q$3)</f>
        <v>0</v>
      </c>
      <c r="R20" s="388">
        <f>SUMIFS(注册申报底表!$Z:$Z,注册申报底表!$J:$J,$B20,注册申报底表!$G:$G,R$3)</f>
        <v>0</v>
      </c>
      <c r="S20" s="388">
        <f>SUMIFS(注册申报底表!$Z:$Z,注册申报底表!$J:$J,$B20,注册申报底表!$G:$G,S$3)</f>
        <v>0</v>
      </c>
      <c r="T20" s="388">
        <f>SUMIFS(注册申报底表!$Z:$Z,注册申报底表!$J:$J,$B20,注册申报底表!$G:$G,T$3)</f>
        <v>0</v>
      </c>
      <c r="U20" s="388">
        <f>SUMIFS(注册申报底表!$Z:$Z,注册申报底表!$J:$J,$B20,注册申报底表!$G:$G,U$3)</f>
        <v>0</v>
      </c>
      <c r="W20" s="389">
        <f>SUMIFS(注册申报底表!$AA:$AA,注册申报底表!$J:$J,$B20,注册申报底表!$G:$G,W$3)</f>
        <v>0</v>
      </c>
      <c r="X20" s="389">
        <f>SUMIFS(注册申报底表!$AA:$AA,注册申报底表!$J:$J,$B20,注册申报底表!$G:$G,X$3)</f>
        <v>0</v>
      </c>
      <c r="Y20" s="389">
        <f>SUMIFS(注册申报底表!$AA:$AA,注册申报底表!$J:$J,$B20,注册申报底表!$G:$G,Y$3)</f>
        <v>0</v>
      </c>
      <c r="Z20" s="389">
        <f>SUMIFS(注册申报底表!$AA:$AA,注册申报底表!$J:$J,$B20,注册申报底表!$G:$G,Z$3)</f>
        <v>0</v>
      </c>
      <c r="AA20" s="389">
        <f>SUMIFS(注册申报底表!$AA:$AA,注册申报底表!$J:$J,$B20,注册申报底表!$G:$G,AA$3)</f>
        <v>0</v>
      </c>
      <c r="AB20" s="389">
        <f>SUMIFS(注册申报底表!$AA:$AA,注册申报底表!$J:$J,$B20,注册申报底表!$G:$G,AB$3)</f>
        <v>0</v>
      </c>
      <c r="AC20" s="389">
        <f>SUMIFS(注册申报底表!$AA:$AA,注册申报底表!$J:$J,$B20,注册申报底表!$G:$G,AC$3)</f>
        <v>0</v>
      </c>
    </row>
    <row r="21" ht="23" customHeight="1" spans="2:29">
      <c r="B21" s="89" t="s">
        <v>467</v>
      </c>
      <c r="C21" s="90" t="str">
        <f>INDEX(二三级标准!$C:$C,MATCH($B21,二三级标准!$B:$B,0))</f>
        <v>研究者手册修订1.3.4.3</v>
      </c>
      <c r="D21" s="166">
        <v>0</v>
      </c>
      <c r="E21" s="166">
        <f t="shared" si="13"/>
        <v>0</v>
      </c>
      <c r="F21" s="89" t="str">
        <f>INDEX(二三级标准!$G:$G,MATCH($B21,二三级标准!$B:$B,0))</f>
        <v>份</v>
      </c>
      <c r="G21" s="386">
        <f>IFERROR(SUMIF(注册申报底表!$J:$J,$B21,注册申报底表!$AA:$AA)/E21,0)</f>
        <v>0</v>
      </c>
      <c r="H21" s="386">
        <f t="shared" si="14"/>
        <v>0</v>
      </c>
      <c r="I21" s="386">
        <f>IFERROR(SUMIF(注册申报底表!$J:$J,$B21,注册申报底表!$AD:$AD)/E21,0)</f>
        <v>0</v>
      </c>
      <c r="J21" s="386">
        <f t="shared" si="15"/>
        <v>0</v>
      </c>
      <c r="K21" s="89"/>
      <c r="L21" s="387">
        <f t="shared" si="16"/>
        <v>0</v>
      </c>
      <c r="M21" s="387">
        <f>SUMIF(注册申报底表!$J:$J,$B21,注册申报底表!$Z:$Z)</f>
        <v>0</v>
      </c>
      <c r="O21" s="388">
        <f>SUMIFS(注册申报底表!$Z:$Z,注册申报底表!$J:$J,$B21,注册申报底表!$G:$G,O$3)</f>
        <v>0</v>
      </c>
      <c r="P21" s="388">
        <f>SUMIFS(注册申报底表!$Z:$Z,注册申报底表!$J:$J,$B21,注册申报底表!$G:$G,P$3)</f>
        <v>0</v>
      </c>
      <c r="Q21" s="388">
        <f>SUMIFS(注册申报底表!$Z:$Z,注册申报底表!$J:$J,$B21,注册申报底表!$G:$G,Q$3)</f>
        <v>0</v>
      </c>
      <c r="R21" s="388">
        <f>SUMIFS(注册申报底表!$Z:$Z,注册申报底表!$J:$J,$B21,注册申报底表!$G:$G,R$3)</f>
        <v>0</v>
      </c>
      <c r="S21" s="388">
        <f>SUMIFS(注册申报底表!$Z:$Z,注册申报底表!$J:$J,$B21,注册申报底表!$G:$G,S$3)</f>
        <v>0</v>
      </c>
      <c r="T21" s="388">
        <f>SUMIFS(注册申报底表!$Z:$Z,注册申报底表!$J:$J,$B21,注册申报底表!$G:$G,T$3)</f>
        <v>0</v>
      </c>
      <c r="U21" s="388">
        <f>SUMIFS(注册申报底表!$Z:$Z,注册申报底表!$J:$J,$B21,注册申报底表!$G:$G,U$3)</f>
        <v>0</v>
      </c>
      <c r="W21" s="389">
        <f>SUMIFS(注册申报底表!$AA:$AA,注册申报底表!$J:$J,$B21,注册申报底表!$G:$G,W$3)</f>
        <v>0</v>
      </c>
      <c r="X21" s="389">
        <f>SUMIFS(注册申报底表!$AA:$AA,注册申报底表!$J:$J,$B21,注册申报底表!$G:$G,X$3)</f>
        <v>0</v>
      </c>
      <c r="Y21" s="389">
        <f>SUMIFS(注册申报底表!$AA:$AA,注册申报底表!$J:$J,$B21,注册申报底表!$G:$G,Y$3)</f>
        <v>0</v>
      </c>
      <c r="Z21" s="389">
        <f>SUMIFS(注册申报底表!$AA:$AA,注册申报底表!$J:$J,$B21,注册申报底表!$G:$G,Z$3)</f>
        <v>0</v>
      </c>
      <c r="AA21" s="389">
        <f>SUMIFS(注册申报底表!$AA:$AA,注册申报底表!$J:$J,$B21,注册申报底表!$G:$G,AA$3)</f>
        <v>0</v>
      </c>
      <c r="AB21" s="389">
        <f>SUMIFS(注册申报底表!$AA:$AA,注册申报底表!$J:$J,$B21,注册申报底表!$G:$G,AB$3)</f>
        <v>0</v>
      </c>
      <c r="AC21" s="389">
        <f>SUMIFS(注册申报底表!$AA:$AA,注册申报底表!$J:$J,$B21,注册申报底表!$G:$G,AC$3)</f>
        <v>0</v>
      </c>
    </row>
    <row r="22" ht="23" customHeight="1" spans="2:29">
      <c r="B22" s="89" t="s">
        <v>469</v>
      </c>
      <c r="C22" s="90" t="str">
        <f>INDEX(二三级标准!$C:$C,MATCH($B22,二三级标准!$B:$B,0))</f>
        <v>风险管理计划撰写1.8.3</v>
      </c>
      <c r="D22" s="166">
        <f>IF($D$14=1,1,0)</f>
        <v>0</v>
      </c>
      <c r="E22" s="166">
        <f t="shared" si="13"/>
        <v>0</v>
      </c>
      <c r="F22" s="89" t="str">
        <f>INDEX(二三级标准!$G:$G,MATCH($B22,二三级标准!$B:$B,0))</f>
        <v>份</v>
      </c>
      <c r="G22" s="386">
        <f>IFERROR(SUMIF(注册申报底表!$J:$J,$B22,注册申报底表!$AA:$AA)/E22,0)</f>
        <v>0</v>
      </c>
      <c r="H22" s="386">
        <f t="shared" si="14"/>
        <v>0</v>
      </c>
      <c r="I22" s="386">
        <f>IFERROR(SUMIF(注册申报底表!$J:$J,$B22,注册申报底表!$AD:$AD)/E22,0)</f>
        <v>0</v>
      </c>
      <c r="J22" s="386">
        <f t="shared" si="15"/>
        <v>0</v>
      </c>
      <c r="K22" s="89"/>
      <c r="L22" s="387">
        <f t="shared" si="16"/>
        <v>0</v>
      </c>
      <c r="M22" s="387">
        <f>SUMIF(注册申报底表!$J:$J,$B22,注册申报底表!$Z:$Z)</f>
        <v>0</v>
      </c>
      <c r="O22" s="388">
        <f>SUMIFS(注册申报底表!$Z:$Z,注册申报底表!$J:$J,$B22,注册申报底表!$G:$G,O$3)</f>
        <v>0</v>
      </c>
      <c r="P22" s="388">
        <f>SUMIFS(注册申报底表!$Z:$Z,注册申报底表!$J:$J,$B22,注册申报底表!$G:$G,P$3)</f>
        <v>0</v>
      </c>
      <c r="Q22" s="388">
        <f>SUMIFS(注册申报底表!$Z:$Z,注册申报底表!$J:$J,$B22,注册申报底表!$G:$G,Q$3)</f>
        <v>0</v>
      </c>
      <c r="R22" s="388">
        <f>SUMIFS(注册申报底表!$Z:$Z,注册申报底表!$J:$J,$B22,注册申报底表!$G:$G,R$3)</f>
        <v>0</v>
      </c>
      <c r="S22" s="388">
        <f>SUMIFS(注册申报底表!$Z:$Z,注册申报底表!$J:$J,$B22,注册申报底表!$G:$G,S$3)</f>
        <v>0</v>
      </c>
      <c r="T22" s="388">
        <f>SUMIFS(注册申报底表!$Z:$Z,注册申报底表!$J:$J,$B22,注册申报底表!$G:$G,T$3)</f>
        <v>0</v>
      </c>
      <c r="U22" s="388">
        <f>SUMIFS(注册申报底表!$Z:$Z,注册申报底表!$J:$J,$B22,注册申报底表!$G:$G,U$3)</f>
        <v>0</v>
      </c>
      <c r="W22" s="389">
        <f>SUMIFS(注册申报底表!$AA:$AA,注册申报底表!$J:$J,$B22,注册申报底表!$G:$G,W$3)</f>
        <v>0</v>
      </c>
      <c r="X22" s="389">
        <f>SUMIFS(注册申报底表!$AA:$AA,注册申报底表!$J:$J,$B22,注册申报底表!$G:$G,X$3)</f>
        <v>0</v>
      </c>
      <c r="Y22" s="389">
        <f>SUMIFS(注册申报底表!$AA:$AA,注册申报底表!$J:$J,$B22,注册申报底表!$G:$G,Y$3)</f>
        <v>0</v>
      </c>
      <c r="Z22" s="389">
        <f>SUMIFS(注册申报底表!$AA:$AA,注册申报底表!$J:$J,$B22,注册申报底表!$G:$G,Z$3)</f>
        <v>0</v>
      </c>
      <c r="AA22" s="389">
        <f>SUMIFS(注册申报底表!$AA:$AA,注册申报底表!$J:$J,$B22,注册申报底表!$G:$G,AA$3)</f>
        <v>0</v>
      </c>
      <c r="AB22" s="389">
        <f>SUMIFS(注册申报底表!$AA:$AA,注册申报底表!$J:$J,$B22,注册申报底表!$G:$G,AB$3)</f>
        <v>0</v>
      </c>
      <c r="AC22" s="389">
        <f>SUMIFS(注册申报底表!$AA:$AA,注册申报底表!$J:$J,$B22,注册申报底表!$G:$G,AC$3)</f>
        <v>0</v>
      </c>
    </row>
    <row r="23" ht="23" customHeight="1" spans="2:29">
      <c r="B23" s="89" t="s">
        <v>471</v>
      </c>
      <c r="C23" s="90" t="str">
        <f>INDEX(二三级标准!$C:$C,MATCH($B23,二三级标准!$B:$B,0))</f>
        <v>风险管理计划修订1.8.3</v>
      </c>
      <c r="D23" s="166">
        <v>0</v>
      </c>
      <c r="E23" s="166">
        <f t="shared" si="13"/>
        <v>0</v>
      </c>
      <c r="F23" s="89" t="str">
        <f>INDEX(二三级标准!$G:$G,MATCH($B23,二三级标准!$B:$B,0))</f>
        <v>份</v>
      </c>
      <c r="G23" s="386">
        <f>IFERROR(SUMIF(注册申报底表!$J:$J,$B23,注册申报底表!$AA:$AA)/E23,0)</f>
        <v>0</v>
      </c>
      <c r="H23" s="386">
        <f t="shared" si="14"/>
        <v>0</v>
      </c>
      <c r="I23" s="386">
        <f>IFERROR(SUMIF(注册申报底表!$J:$J,$B23,注册申报底表!$AD:$AD)/E23,0)</f>
        <v>0</v>
      </c>
      <c r="J23" s="386">
        <f t="shared" si="15"/>
        <v>0</v>
      </c>
      <c r="K23" s="89"/>
      <c r="L23" s="387">
        <f t="shared" si="16"/>
        <v>0</v>
      </c>
      <c r="M23" s="387">
        <f>SUMIF(注册申报底表!$J:$J,$B23,注册申报底表!$Z:$Z)</f>
        <v>0</v>
      </c>
      <c r="O23" s="388">
        <f>SUMIFS(注册申报底表!$Z:$Z,注册申报底表!$J:$J,$B23,注册申报底表!$G:$G,O$3)</f>
        <v>0</v>
      </c>
      <c r="P23" s="388">
        <f>SUMIFS(注册申报底表!$Z:$Z,注册申报底表!$J:$J,$B23,注册申报底表!$G:$G,P$3)</f>
        <v>0</v>
      </c>
      <c r="Q23" s="388">
        <f>SUMIFS(注册申报底表!$Z:$Z,注册申报底表!$J:$J,$B23,注册申报底表!$G:$G,Q$3)</f>
        <v>0</v>
      </c>
      <c r="R23" s="388">
        <f>SUMIFS(注册申报底表!$Z:$Z,注册申报底表!$J:$J,$B23,注册申报底表!$G:$G,R$3)</f>
        <v>0</v>
      </c>
      <c r="S23" s="388">
        <f>SUMIFS(注册申报底表!$Z:$Z,注册申报底表!$J:$J,$B23,注册申报底表!$G:$G,S$3)</f>
        <v>0</v>
      </c>
      <c r="T23" s="388">
        <f>SUMIFS(注册申报底表!$Z:$Z,注册申报底表!$J:$J,$B23,注册申报底表!$G:$G,T$3)</f>
        <v>0</v>
      </c>
      <c r="U23" s="388">
        <f>SUMIFS(注册申报底表!$Z:$Z,注册申报底表!$J:$J,$B23,注册申报底表!$G:$G,U$3)</f>
        <v>0</v>
      </c>
      <c r="W23" s="389">
        <f>SUMIFS(注册申报底表!$AA:$AA,注册申报底表!$J:$J,$B23,注册申报底表!$G:$G,W$3)</f>
        <v>0</v>
      </c>
      <c r="X23" s="389">
        <f>SUMIFS(注册申报底表!$AA:$AA,注册申报底表!$J:$J,$B23,注册申报底表!$G:$G,X$3)</f>
        <v>0</v>
      </c>
      <c r="Y23" s="389">
        <f>SUMIFS(注册申报底表!$AA:$AA,注册申报底表!$J:$J,$B23,注册申报底表!$G:$G,Y$3)</f>
        <v>0</v>
      </c>
      <c r="Z23" s="389">
        <f>SUMIFS(注册申报底表!$AA:$AA,注册申报底表!$J:$J,$B23,注册申报底表!$G:$G,Z$3)</f>
        <v>0</v>
      </c>
      <c r="AA23" s="389">
        <f>SUMIFS(注册申报底表!$AA:$AA,注册申报底表!$J:$J,$B23,注册申报底表!$G:$G,AA$3)</f>
        <v>0</v>
      </c>
      <c r="AB23" s="389">
        <f>SUMIFS(注册申报底表!$AA:$AA,注册申报底表!$J:$J,$B23,注册申报底表!$G:$G,AB$3)</f>
        <v>0</v>
      </c>
      <c r="AC23" s="389">
        <f>SUMIFS(注册申报底表!$AA:$AA,注册申报底表!$J:$J,$B23,注册申报底表!$G:$G,AC$3)</f>
        <v>0</v>
      </c>
    </row>
    <row r="24" ht="23" customHeight="1" spans="2:29">
      <c r="B24" s="89" t="s">
        <v>473</v>
      </c>
      <c r="C24" s="90" t="str">
        <f>INDEX(二三级标准!$C:$C,MATCH($B24,二三级标准!$B:$B,0))</f>
        <v>研究药品说明样稿撰写</v>
      </c>
      <c r="D24" s="166">
        <v>0</v>
      </c>
      <c r="E24" s="166">
        <f t="shared" si="13"/>
        <v>0</v>
      </c>
      <c r="F24" s="89" t="str">
        <f>INDEX(二三级标准!$G:$G,MATCH($B24,二三级标准!$B:$B,0))</f>
        <v>份</v>
      </c>
      <c r="G24" s="386">
        <f>IFERROR(SUMIF(注册申报底表!$J:$J,$B24,注册申报底表!$AA:$AA)/E24,0)</f>
        <v>0</v>
      </c>
      <c r="H24" s="386">
        <f t="shared" si="14"/>
        <v>0</v>
      </c>
      <c r="I24" s="386">
        <f>IFERROR(SUMIF(注册申报底表!$J:$J,$B24,注册申报底表!$AD:$AD)/E24,0)</f>
        <v>0</v>
      </c>
      <c r="J24" s="386">
        <f t="shared" si="15"/>
        <v>0</v>
      </c>
      <c r="K24" s="89" t="s">
        <v>1971</v>
      </c>
      <c r="L24" s="387">
        <f t="shared" si="16"/>
        <v>0</v>
      </c>
      <c r="M24" s="387">
        <f>SUMIF(注册申报底表!$J:$J,$B24,注册申报底表!$Z:$Z)</f>
        <v>0</v>
      </c>
      <c r="O24" s="388">
        <f>SUMIFS(注册申报底表!$Z:$Z,注册申报底表!$J:$J,$B24,注册申报底表!$G:$G,O$3)</f>
        <v>0</v>
      </c>
      <c r="P24" s="388">
        <f>SUMIFS(注册申报底表!$Z:$Z,注册申报底表!$J:$J,$B24,注册申报底表!$G:$G,P$3)</f>
        <v>0</v>
      </c>
      <c r="Q24" s="388">
        <f>SUMIFS(注册申报底表!$Z:$Z,注册申报底表!$J:$J,$B24,注册申报底表!$G:$G,Q$3)</f>
        <v>0</v>
      </c>
      <c r="R24" s="388">
        <f>SUMIFS(注册申报底表!$Z:$Z,注册申报底表!$J:$J,$B24,注册申报底表!$G:$G,R$3)</f>
        <v>0</v>
      </c>
      <c r="S24" s="388">
        <f>SUMIFS(注册申报底表!$Z:$Z,注册申报底表!$J:$J,$B24,注册申报底表!$G:$G,S$3)</f>
        <v>0</v>
      </c>
      <c r="T24" s="388">
        <f>SUMIFS(注册申报底表!$Z:$Z,注册申报底表!$J:$J,$B24,注册申报底表!$G:$G,T$3)</f>
        <v>0</v>
      </c>
      <c r="U24" s="388">
        <f>SUMIFS(注册申报底表!$Z:$Z,注册申报底表!$J:$J,$B24,注册申报底表!$G:$G,U$3)</f>
        <v>0</v>
      </c>
      <c r="W24" s="389">
        <f>SUMIFS(注册申报底表!$AA:$AA,注册申报底表!$J:$J,$B24,注册申报底表!$G:$G,W$3)</f>
        <v>0</v>
      </c>
      <c r="X24" s="389">
        <f>SUMIFS(注册申报底表!$AA:$AA,注册申报底表!$J:$J,$B24,注册申报底表!$G:$G,X$3)</f>
        <v>0</v>
      </c>
      <c r="Y24" s="389">
        <f>SUMIFS(注册申报底表!$AA:$AA,注册申报底表!$J:$J,$B24,注册申报底表!$G:$G,Y$3)</f>
        <v>0</v>
      </c>
      <c r="Z24" s="389">
        <f>SUMIFS(注册申报底表!$AA:$AA,注册申报底表!$J:$J,$B24,注册申报底表!$G:$G,Z$3)</f>
        <v>0</v>
      </c>
      <c r="AA24" s="389">
        <f>SUMIFS(注册申报底表!$AA:$AA,注册申报底表!$J:$J,$B24,注册申报底表!$G:$G,AA$3)</f>
        <v>0</v>
      </c>
      <c r="AB24" s="389">
        <f>SUMIFS(注册申报底表!$AA:$AA,注册申报底表!$J:$J,$B24,注册申报底表!$G:$G,AB$3)</f>
        <v>0</v>
      </c>
      <c r="AC24" s="389">
        <f>SUMIFS(注册申报底表!$AA:$AA,注册申报底表!$J:$J,$B24,注册申报底表!$G:$G,AC$3)</f>
        <v>0</v>
      </c>
    </row>
    <row r="25" ht="28" customHeight="1" spans="2:29">
      <c r="B25" s="88" t="s">
        <v>1972</v>
      </c>
      <c r="C25" s="88" t="str">
        <f>INDEX(二三级标准!Q:Q,MATCH($B25,二三级标准!$O:$O,0))</f>
        <v>CDE沟通</v>
      </c>
      <c r="D25" s="376">
        <v>0</v>
      </c>
      <c r="E25" s="377"/>
      <c r="F25" s="378"/>
      <c r="G25" s="379"/>
      <c r="H25" s="380">
        <f>SUM(H26:H31)</f>
        <v>0</v>
      </c>
      <c r="I25" s="390"/>
      <c r="J25" s="380">
        <f>SUM(J26:J31)</f>
        <v>0</v>
      </c>
      <c r="K25" s="378"/>
      <c r="L25" s="378"/>
      <c r="M25" s="392">
        <f>SUM(M26:M31)</f>
        <v>0</v>
      </c>
      <c r="N25" s="385"/>
      <c r="O25" s="392">
        <f t="shared" ref="O25:U25" si="17">SUM(O26:O31)</f>
        <v>0</v>
      </c>
      <c r="P25" s="392">
        <f t="shared" si="17"/>
        <v>0</v>
      </c>
      <c r="Q25" s="392">
        <f t="shared" si="17"/>
        <v>0</v>
      </c>
      <c r="R25" s="392">
        <f t="shared" si="17"/>
        <v>0</v>
      </c>
      <c r="S25" s="392">
        <f t="shared" si="17"/>
        <v>0</v>
      </c>
      <c r="T25" s="392">
        <f t="shared" si="17"/>
        <v>0</v>
      </c>
      <c r="U25" s="392">
        <f t="shared" si="17"/>
        <v>0</v>
      </c>
      <c r="W25" s="381">
        <f t="shared" ref="W25:AC25" si="18">SUM(W26:W31)</f>
        <v>0</v>
      </c>
      <c r="X25" s="381">
        <f t="shared" si="18"/>
        <v>0</v>
      </c>
      <c r="Y25" s="381">
        <f t="shared" si="18"/>
        <v>0</v>
      </c>
      <c r="Z25" s="381">
        <f t="shared" si="18"/>
        <v>0</v>
      </c>
      <c r="AA25" s="381">
        <f t="shared" si="18"/>
        <v>0</v>
      </c>
      <c r="AB25" s="381">
        <f t="shared" si="18"/>
        <v>0</v>
      </c>
      <c r="AC25" s="381">
        <f t="shared" si="18"/>
        <v>0</v>
      </c>
    </row>
    <row r="26" ht="28" customHeight="1" spans="2:29">
      <c r="B26" s="89" t="s">
        <v>475</v>
      </c>
      <c r="C26" s="90" t="str">
        <f>INDEX(二三级标准!$C:$C,MATCH($B26,二三级标准!$B:$B,0))</f>
        <v>沟通问题清单准备</v>
      </c>
      <c r="D26" s="166">
        <f>IF($D$25=1,1,0)</f>
        <v>0</v>
      </c>
      <c r="E26" s="166">
        <f t="shared" ref="E26:E31" si="19">IF($D26=1,1,0)</f>
        <v>0</v>
      </c>
      <c r="F26" s="89" t="str">
        <f>INDEX(二三级标准!$G:$G,MATCH($B26,二三级标准!$B:$B,0))</f>
        <v>份</v>
      </c>
      <c r="G26" s="386">
        <f>IFERROR(SUMIF(注册申报底表!$J:$J,$B26,注册申报底表!$AA:$AA)/E26,0)</f>
        <v>0</v>
      </c>
      <c r="H26" s="386">
        <f t="shared" ref="H26" si="20">G26*E26</f>
        <v>0</v>
      </c>
      <c r="I26" s="386">
        <f>IFERROR(SUMIF(注册申报底表!$J:$J,$B26,注册申报底表!$AD:$AD)/E26,0)</f>
        <v>0</v>
      </c>
      <c r="J26" s="386">
        <f t="shared" ref="J26" si="21">I26*E26</f>
        <v>0</v>
      </c>
      <c r="K26" s="89"/>
      <c r="L26" s="387">
        <f t="shared" ref="L26:L31" si="22">IF(D26=1,M26/E26,0)</f>
        <v>0</v>
      </c>
      <c r="M26" s="387">
        <f>SUMIF(注册申报底表!$J:$J,$B26,注册申报底表!$Z:$Z)</f>
        <v>0</v>
      </c>
      <c r="O26" s="388">
        <f>SUMIFS(注册申报底表!$Z:$Z,注册申报底表!$J:$J,$B26,注册申报底表!$G:$G,O$3)</f>
        <v>0</v>
      </c>
      <c r="P26" s="388">
        <f>SUMIFS(注册申报底表!$Z:$Z,注册申报底表!$J:$J,$B26,注册申报底表!$G:$G,P$3)</f>
        <v>0</v>
      </c>
      <c r="Q26" s="388">
        <f>SUMIFS(注册申报底表!$Z:$Z,注册申报底表!$J:$J,$B26,注册申报底表!$G:$G,Q$3)</f>
        <v>0</v>
      </c>
      <c r="R26" s="388">
        <f>SUMIFS(注册申报底表!$Z:$Z,注册申报底表!$J:$J,$B26,注册申报底表!$G:$G,R$3)</f>
        <v>0</v>
      </c>
      <c r="S26" s="388">
        <f>SUMIFS(注册申报底表!$Z:$Z,注册申报底表!$J:$J,$B26,注册申报底表!$G:$G,S$3)</f>
        <v>0</v>
      </c>
      <c r="T26" s="388">
        <f>SUMIFS(注册申报底表!$Z:$Z,注册申报底表!$J:$J,$B26,注册申报底表!$G:$G,T$3)</f>
        <v>0</v>
      </c>
      <c r="U26" s="388">
        <f>SUMIFS(注册申报底表!$Z:$Z,注册申报底表!$J:$J,$B26,注册申报底表!$G:$G,U$3)</f>
        <v>0</v>
      </c>
      <c r="W26" s="389">
        <f>SUMIFS(注册申报底表!$AA:$AA,注册申报底表!$J:$J,$B26,注册申报底表!$G:$G,W$3)</f>
        <v>0</v>
      </c>
      <c r="X26" s="389">
        <f>SUMIFS(注册申报底表!$AA:$AA,注册申报底表!$J:$J,$B26,注册申报底表!$G:$G,X$3)</f>
        <v>0</v>
      </c>
      <c r="Y26" s="389">
        <f>SUMIFS(注册申报底表!$AA:$AA,注册申报底表!$J:$J,$B26,注册申报底表!$G:$G,Y$3)</f>
        <v>0</v>
      </c>
      <c r="Z26" s="389">
        <f>SUMIFS(注册申报底表!$AA:$AA,注册申报底表!$J:$J,$B26,注册申报底表!$G:$G,Z$3)</f>
        <v>0</v>
      </c>
      <c r="AA26" s="389">
        <f>SUMIFS(注册申报底表!$AA:$AA,注册申报底表!$J:$J,$B26,注册申报底表!$G:$G,AA$3)</f>
        <v>0</v>
      </c>
      <c r="AB26" s="389">
        <f>SUMIFS(注册申报底表!$AA:$AA,注册申报底表!$J:$J,$B26,注册申报底表!$G:$G,AB$3)</f>
        <v>0</v>
      </c>
      <c r="AC26" s="389">
        <f>SUMIFS(注册申报底表!$AA:$AA,注册申报底表!$J:$J,$B26,注册申报底表!$G:$G,AC$3)</f>
        <v>0</v>
      </c>
    </row>
    <row r="27" ht="28" customHeight="1" spans="2:29">
      <c r="B27" s="89" t="s">
        <v>477</v>
      </c>
      <c r="C27" s="90" t="str">
        <f>INDEX(二三级标准!$C:$C,MATCH($B27,二三级标准!$B:$B,0))</f>
        <v>沟通PPT制作</v>
      </c>
      <c r="D27" s="166">
        <f>IF($D$25=1,1,0)</f>
        <v>0</v>
      </c>
      <c r="E27" s="166">
        <f t="shared" si="19"/>
        <v>0</v>
      </c>
      <c r="F27" s="89" t="str">
        <f>INDEX(二三级标准!$G:$G,MATCH($B27,二三级标准!$B:$B,0))</f>
        <v>份</v>
      </c>
      <c r="G27" s="386">
        <f>IFERROR(SUMIF(注册申报底表!$J:$J,$B27,注册申报底表!$AA:$AA)/E27,0)</f>
        <v>0</v>
      </c>
      <c r="H27" s="386">
        <f t="shared" ref="H27:H31" si="23">G27*E27</f>
        <v>0</v>
      </c>
      <c r="I27" s="386">
        <f>IFERROR(SUMIF(注册申报底表!$J:$J,$B27,注册申报底表!$AD:$AD)/E27,0)</f>
        <v>0</v>
      </c>
      <c r="J27" s="386">
        <f t="shared" ref="J27:J31" si="24">I27*E27</f>
        <v>0</v>
      </c>
      <c r="K27" s="89"/>
      <c r="L27" s="387">
        <f t="shared" si="22"/>
        <v>0</v>
      </c>
      <c r="M27" s="387">
        <f>SUMIF(注册申报底表!$J:$J,$B27,注册申报底表!$Z:$Z)</f>
        <v>0</v>
      </c>
      <c r="O27" s="388">
        <f>SUMIFS(注册申报底表!$Z:$Z,注册申报底表!$J:$J,$B27,注册申报底表!$G:$G,O$3)</f>
        <v>0</v>
      </c>
      <c r="P27" s="388">
        <f>SUMIFS(注册申报底表!$Z:$Z,注册申报底表!$J:$J,$B27,注册申报底表!$G:$G,P$3)</f>
        <v>0</v>
      </c>
      <c r="Q27" s="388">
        <f>SUMIFS(注册申报底表!$Z:$Z,注册申报底表!$J:$J,$B27,注册申报底表!$G:$G,Q$3)</f>
        <v>0</v>
      </c>
      <c r="R27" s="388">
        <f>SUMIFS(注册申报底表!$Z:$Z,注册申报底表!$J:$J,$B27,注册申报底表!$G:$G,R$3)</f>
        <v>0</v>
      </c>
      <c r="S27" s="388">
        <f>SUMIFS(注册申报底表!$Z:$Z,注册申报底表!$J:$J,$B27,注册申报底表!$G:$G,S$3)</f>
        <v>0</v>
      </c>
      <c r="T27" s="388">
        <f>SUMIFS(注册申报底表!$Z:$Z,注册申报底表!$J:$J,$B27,注册申报底表!$G:$G,T$3)</f>
        <v>0</v>
      </c>
      <c r="U27" s="388">
        <f>SUMIFS(注册申报底表!$Z:$Z,注册申报底表!$J:$J,$B27,注册申报底表!$G:$G,U$3)</f>
        <v>0</v>
      </c>
      <c r="W27" s="389">
        <f>SUMIFS(注册申报底表!$AA:$AA,注册申报底表!$J:$J,$B27,注册申报底表!$G:$G,W$3)</f>
        <v>0</v>
      </c>
      <c r="X27" s="389">
        <f>SUMIFS(注册申报底表!$AA:$AA,注册申报底表!$J:$J,$B27,注册申报底表!$G:$G,X$3)</f>
        <v>0</v>
      </c>
      <c r="Y27" s="389">
        <f>SUMIFS(注册申报底表!$AA:$AA,注册申报底表!$J:$J,$B27,注册申报底表!$G:$G,Y$3)</f>
        <v>0</v>
      </c>
      <c r="Z27" s="389">
        <f>SUMIFS(注册申报底表!$AA:$AA,注册申报底表!$J:$J,$B27,注册申报底表!$G:$G,Z$3)</f>
        <v>0</v>
      </c>
      <c r="AA27" s="389">
        <f>SUMIFS(注册申报底表!$AA:$AA,注册申报底表!$J:$J,$B27,注册申报底表!$G:$G,AA$3)</f>
        <v>0</v>
      </c>
      <c r="AB27" s="389">
        <f>SUMIFS(注册申报底表!$AA:$AA,注册申报底表!$J:$J,$B27,注册申报底表!$G:$G,AB$3)</f>
        <v>0</v>
      </c>
      <c r="AC27" s="389">
        <f>SUMIFS(注册申报底表!$AA:$AA,注册申报底表!$J:$J,$B27,注册申报底表!$G:$G,AC$3)</f>
        <v>0</v>
      </c>
    </row>
    <row r="28" ht="28" customHeight="1" spans="2:29">
      <c r="B28" s="89" t="s">
        <v>479</v>
      </c>
      <c r="C28" s="90" t="str">
        <f>INDEX(二三级标准!$C:$C,MATCH($B28,二三级标准!$B:$B,0))</f>
        <v>会议前与申办方沟通</v>
      </c>
      <c r="D28" s="166">
        <f>IF($D$25=1,1,0)</f>
        <v>0</v>
      </c>
      <c r="E28" s="166">
        <f t="shared" si="19"/>
        <v>0</v>
      </c>
      <c r="F28" s="89" t="str">
        <f>INDEX(二三级标准!$G:$G,MATCH($B28,二三级标准!$B:$B,0))</f>
        <v>次</v>
      </c>
      <c r="G28" s="386">
        <f>IFERROR(SUMIF(注册申报底表!$J:$J,$B28,注册申报底表!$AA:$AA)/E28,0)</f>
        <v>0</v>
      </c>
      <c r="H28" s="386">
        <f t="shared" si="23"/>
        <v>0</v>
      </c>
      <c r="I28" s="386">
        <f>IFERROR(SUMIF(注册申报底表!$J:$J,$B28,注册申报底表!$AD:$AD)/E28,0)</f>
        <v>0</v>
      </c>
      <c r="J28" s="386">
        <f t="shared" si="24"/>
        <v>0</v>
      </c>
      <c r="K28" s="89"/>
      <c r="L28" s="387">
        <f t="shared" si="22"/>
        <v>0</v>
      </c>
      <c r="M28" s="387">
        <f>SUMIF(注册申报底表!$J:$J,$B28,注册申报底表!$Z:$Z)</f>
        <v>0</v>
      </c>
      <c r="O28" s="388">
        <f>SUMIFS(注册申报底表!$Z:$Z,注册申报底表!$J:$J,$B28,注册申报底表!$G:$G,O$3)</f>
        <v>0</v>
      </c>
      <c r="P28" s="388">
        <f>SUMIFS(注册申报底表!$Z:$Z,注册申报底表!$J:$J,$B28,注册申报底表!$G:$G,P$3)</f>
        <v>0</v>
      </c>
      <c r="Q28" s="388">
        <f>SUMIFS(注册申报底表!$Z:$Z,注册申报底表!$J:$J,$B28,注册申报底表!$G:$G,Q$3)</f>
        <v>0</v>
      </c>
      <c r="R28" s="388">
        <f>SUMIFS(注册申报底表!$Z:$Z,注册申报底表!$J:$J,$B28,注册申报底表!$G:$G,R$3)</f>
        <v>0</v>
      </c>
      <c r="S28" s="388">
        <f>SUMIFS(注册申报底表!$Z:$Z,注册申报底表!$J:$J,$B28,注册申报底表!$G:$G,S$3)</f>
        <v>0</v>
      </c>
      <c r="T28" s="388">
        <f>SUMIFS(注册申报底表!$Z:$Z,注册申报底表!$J:$J,$B28,注册申报底表!$G:$G,T$3)</f>
        <v>0</v>
      </c>
      <c r="U28" s="388">
        <f>SUMIFS(注册申报底表!$Z:$Z,注册申报底表!$J:$J,$B28,注册申报底表!$G:$G,U$3)</f>
        <v>0</v>
      </c>
      <c r="W28" s="389">
        <f>SUMIFS(注册申报底表!$AA:$AA,注册申报底表!$J:$J,$B28,注册申报底表!$G:$G,W$3)</f>
        <v>0</v>
      </c>
      <c r="X28" s="389">
        <f>SUMIFS(注册申报底表!$AA:$AA,注册申报底表!$J:$J,$B28,注册申报底表!$G:$G,X$3)</f>
        <v>0</v>
      </c>
      <c r="Y28" s="389">
        <f>SUMIFS(注册申报底表!$AA:$AA,注册申报底表!$J:$J,$B28,注册申报底表!$G:$G,Y$3)</f>
        <v>0</v>
      </c>
      <c r="Z28" s="389">
        <f>SUMIFS(注册申报底表!$AA:$AA,注册申报底表!$J:$J,$B28,注册申报底表!$G:$G,Z$3)</f>
        <v>0</v>
      </c>
      <c r="AA28" s="389">
        <f>SUMIFS(注册申报底表!$AA:$AA,注册申报底表!$J:$J,$B28,注册申报底表!$G:$G,AA$3)</f>
        <v>0</v>
      </c>
      <c r="AB28" s="389">
        <f>SUMIFS(注册申报底表!$AA:$AA,注册申报底表!$J:$J,$B28,注册申报底表!$G:$G,AB$3)</f>
        <v>0</v>
      </c>
      <c r="AC28" s="389">
        <f>SUMIFS(注册申报底表!$AA:$AA,注册申报底表!$J:$J,$B28,注册申报底表!$G:$G,AC$3)</f>
        <v>0</v>
      </c>
    </row>
    <row r="29" ht="28" customHeight="1" spans="2:29">
      <c r="B29" s="89" t="s">
        <v>481</v>
      </c>
      <c r="C29" s="90" t="str">
        <f>INDEX(二三级标准!$C:$C,MATCH($B29,二三级标准!$B:$B,0))</f>
        <v>参加和CDE的沟通会议</v>
      </c>
      <c r="D29" s="166">
        <v>0</v>
      </c>
      <c r="E29" s="166">
        <f t="shared" si="19"/>
        <v>0</v>
      </c>
      <c r="F29" s="89" t="str">
        <f>INDEX(二三级标准!$G:$G,MATCH($B29,二三级标准!$B:$B,0))</f>
        <v>次</v>
      </c>
      <c r="G29" s="386">
        <f>IFERROR(SUMIF(注册申报底表!$J:$J,$B29,注册申报底表!$AA:$AA)/E29,0)</f>
        <v>0</v>
      </c>
      <c r="H29" s="386">
        <f t="shared" si="23"/>
        <v>0</v>
      </c>
      <c r="I29" s="386">
        <f>IFERROR(SUMIF(注册申报底表!$J:$J,$B29,注册申报底表!$AD:$AD)/E29,0)</f>
        <v>0</v>
      </c>
      <c r="J29" s="386">
        <f t="shared" si="24"/>
        <v>0</v>
      </c>
      <c r="K29" s="89" t="s">
        <v>1971</v>
      </c>
      <c r="L29" s="387">
        <f t="shared" si="22"/>
        <v>0</v>
      </c>
      <c r="M29" s="387">
        <f>SUMIF(注册申报底表!$J:$J,$B29,注册申报底表!$Z:$Z)</f>
        <v>0</v>
      </c>
      <c r="O29" s="388">
        <f>SUMIFS(注册申报底表!$Z:$Z,注册申报底表!$J:$J,$B29,注册申报底表!$G:$G,O$3)</f>
        <v>0</v>
      </c>
      <c r="P29" s="388">
        <f>SUMIFS(注册申报底表!$Z:$Z,注册申报底表!$J:$J,$B29,注册申报底表!$G:$G,P$3)</f>
        <v>0</v>
      </c>
      <c r="Q29" s="388">
        <f>SUMIFS(注册申报底表!$Z:$Z,注册申报底表!$J:$J,$B29,注册申报底表!$G:$G,Q$3)</f>
        <v>0</v>
      </c>
      <c r="R29" s="388">
        <f>SUMIFS(注册申报底表!$Z:$Z,注册申报底表!$J:$J,$B29,注册申报底表!$G:$G,R$3)</f>
        <v>0</v>
      </c>
      <c r="S29" s="388">
        <f>SUMIFS(注册申报底表!$Z:$Z,注册申报底表!$J:$J,$B29,注册申报底表!$G:$G,S$3)</f>
        <v>0</v>
      </c>
      <c r="T29" s="388">
        <f>SUMIFS(注册申报底表!$Z:$Z,注册申报底表!$J:$J,$B29,注册申报底表!$G:$G,T$3)</f>
        <v>0</v>
      </c>
      <c r="U29" s="388">
        <f>SUMIFS(注册申报底表!$Z:$Z,注册申报底表!$J:$J,$B29,注册申报底表!$G:$G,U$3)</f>
        <v>0</v>
      </c>
      <c r="W29" s="389">
        <f>SUMIFS(注册申报底表!$AA:$AA,注册申报底表!$J:$J,$B29,注册申报底表!$G:$G,W$3)</f>
        <v>0</v>
      </c>
      <c r="X29" s="389">
        <f>SUMIFS(注册申报底表!$AA:$AA,注册申报底表!$J:$J,$B29,注册申报底表!$G:$G,X$3)</f>
        <v>0</v>
      </c>
      <c r="Y29" s="389">
        <f>SUMIFS(注册申报底表!$AA:$AA,注册申报底表!$J:$J,$B29,注册申报底表!$G:$G,Y$3)</f>
        <v>0</v>
      </c>
      <c r="Z29" s="389">
        <f>SUMIFS(注册申报底表!$AA:$AA,注册申报底表!$J:$J,$B29,注册申报底表!$G:$G,Z$3)</f>
        <v>0</v>
      </c>
      <c r="AA29" s="389">
        <f>SUMIFS(注册申报底表!$AA:$AA,注册申报底表!$J:$J,$B29,注册申报底表!$G:$G,AA$3)</f>
        <v>0</v>
      </c>
      <c r="AB29" s="389">
        <f>SUMIFS(注册申报底表!$AA:$AA,注册申报底表!$J:$J,$B29,注册申报底表!$G:$G,AB$3)</f>
        <v>0</v>
      </c>
      <c r="AC29" s="389">
        <f>SUMIFS(注册申报底表!$AA:$AA,注册申报底表!$J:$J,$B29,注册申报底表!$G:$G,AC$3)</f>
        <v>0</v>
      </c>
    </row>
    <row r="30" ht="28" customHeight="1" spans="2:29">
      <c r="B30" s="89" t="s">
        <v>483</v>
      </c>
      <c r="C30" s="90" t="str">
        <f>INDEX(二三级标准!$C:$C,MATCH($B30,二三级标准!$B:$B,0))</f>
        <v>医学相关资料的审核</v>
      </c>
      <c r="D30" s="166">
        <f>IF($D$25=1,1,0)</f>
        <v>0</v>
      </c>
      <c r="E30" s="166">
        <f t="shared" si="19"/>
        <v>0</v>
      </c>
      <c r="F30" s="89" t="str">
        <f>INDEX(二三级标准!$G:$G,MATCH($B30,二三级标准!$B:$B,0))</f>
        <v>次</v>
      </c>
      <c r="G30" s="386">
        <f>IFERROR(SUMIF(注册申报底表!$J:$J,$B30,注册申报底表!$AA:$AA)/E30,0)</f>
        <v>0</v>
      </c>
      <c r="H30" s="386">
        <f t="shared" si="23"/>
        <v>0</v>
      </c>
      <c r="I30" s="386">
        <f>IFERROR(SUMIF(注册申报底表!$J:$J,$B30,注册申报底表!$AD:$AD)/E30,0)</f>
        <v>0</v>
      </c>
      <c r="J30" s="386">
        <f t="shared" si="24"/>
        <v>0</v>
      </c>
      <c r="K30" s="89"/>
      <c r="L30" s="387">
        <f t="shared" si="22"/>
        <v>0</v>
      </c>
      <c r="M30" s="387">
        <f>SUMIF(注册申报底表!$J:$J,$B30,注册申报底表!$Z:$Z)</f>
        <v>0</v>
      </c>
      <c r="O30" s="388">
        <f>SUMIFS(注册申报底表!$Z:$Z,注册申报底表!$J:$J,$B30,注册申报底表!$G:$G,O$3)</f>
        <v>0</v>
      </c>
      <c r="P30" s="388">
        <f>SUMIFS(注册申报底表!$Z:$Z,注册申报底表!$J:$J,$B30,注册申报底表!$G:$G,P$3)</f>
        <v>0</v>
      </c>
      <c r="Q30" s="388">
        <f>SUMIFS(注册申报底表!$Z:$Z,注册申报底表!$J:$J,$B30,注册申报底表!$G:$G,Q$3)</f>
        <v>0</v>
      </c>
      <c r="R30" s="388">
        <f>SUMIFS(注册申报底表!$Z:$Z,注册申报底表!$J:$J,$B30,注册申报底表!$G:$G,R$3)</f>
        <v>0</v>
      </c>
      <c r="S30" s="388">
        <f>SUMIFS(注册申报底表!$Z:$Z,注册申报底表!$J:$J,$B30,注册申报底表!$G:$G,S$3)</f>
        <v>0</v>
      </c>
      <c r="T30" s="388">
        <f>SUMIFS(注册申报底表!$Z:$Z,注册申报底表!$J:$J,$B30,注册申报底表!$G:$G,T$3)</f>
        <v>0</v>
      </c>
      <c r="U30" s="388">
        <f>SUMIFS(注册申报底表!$Z:$Z,注册申报底表!$J:$J,$B30,注册申报底表!$G:$G,U$3)</f>
        <v>0</v>
      </c>
      <c r="W30" s="389">
        <f>SUMIFS(注册申报底表!$AA:$AA,注册申报底表!$J:$J,$B30,注册申报底表!$G:$G,W$3)</f>
        <v>0</v>
      </c>
      <c r="X30" s="389">
        <f>SUMIFS(注册申报底表!$AA:$AA,注册申报底表!$J:$J,$B30,注册申报底表!$G:$G,X$3)</f>
        <v>0</v>
      </c>
      <c r="Y30" s="389">
        <f>SUMIFS(注册申报底表!$AA:$AA,注册申报底表!$J:$J,$B30,注册申报底表!$G:$G,Y$3)</f>
        <v>0</v>
      </c>
      <c r="Z30" s="389">
        <f>SUMIFS(注册申报底表!$AA:$AA,注册申报底表!$J:$J,$B30,注册申报底表!$G:$G,Z$3)</f>
        <v>0</v>
      </c>
      <c r="AA30" s="389">
        <f>SUMIFS(注册申报底表!$AA:$AA,注册申报底表!$J:$J,$B30,注册申报底表!$G:$G,AA$3)</f>
        <v>0</v>
      </c>
      <c r="AB30" s="389">
        <f>SUMIFS(注册申报底表!$AA:$AA,注册申报底表!$J:$J,$B30,注册申报底表!$G:$G,AB$3)</f>
        <v>0</v>
      </c>
      <c r="AC30" s="389">
        <f>SUMIFS(注册申报底表!$AA:$AA,注册申报底表!$J:$J,$B30,注册申报底表!$G:$G,AC$3)</f>
        <v>0</v>
      </c>
    </row>
    <row r="31" ht="28" customHeight="1" spans="2:29">
      <c r="B31" s="89" t="s">
        <v>485</v>
      </c>
      <c r="C31" s="90" t="str">
        <f>INDEX(二三级标准!$C:$C,MATCH($B31,二三级标准!$B:$B,0))</f>
        <v>PreIND附件1+附件2撰写</v>
      </c>
      <c r="D31" s="166">
        <v>0</v>
      </c>
      <c r="E31" s="166">
        <f t="shared" si="19"/>
        <v>0</v>
      </c>
      <c r="F31" s="89" t="str">
        <f>INDEX(二三级标准!$G:$G,MATCH($B31,二三级标准!$B:$B,0))</f>
        <v>份</v>
      </c>
      <c r="G31" s="386">
        <f>IFERROR(SUMIF(注册申报底表!$J:$J,$B31,注册申报底表!$AA:$AA)/E31,0)</f>
        <v>0</v>
      </c>
      <c r="H31" s="386">
        <f t="shared" si="23"/>
        <v>0</v>
      </c>
      <c r="I31" s="386">
        <f>IFERROR(SUMIF(注册申报底表!$J:$J,$B31,注册申报底表!$AD:$AD)/E31,0)</f>
        <v>0</v>
      </c>
      <c r="J31" s="386">
        <f t="shared" si="24"/>
        <v>0</v>
      </c>
      <c r="K31" s="89" t="s">
        <v>1971</v>
      </c>
      <c r="L31" s="387">
        <f t="shared" si="22"/>
        <v>0</v>
      </c>
      <c r="M31" s="387">
        <f>SUMIF(注册申报底表!$J:$J,$B31,注册申报底表!$Z:$Z)</f>
        <v>0</v>
      </c>
      <c r="O31" s="388">
        <f>SUMIFS(注册申报底表!$Z:$Z,注册申报底表!$J:$J,$B31,注册申报底表!$G:$G,O$3)</f>
        <v>0</v>
      </c>
      <c r="P31" s="388">
        <f>SUMIFS(注册申报底表!$Z:$Z,注册申报底表!$J:$J,$B31,注册申报底表!$G:$G,P$3)</f>
        <v>0</v>
      </c>
      <c r="Q31" s="388">
        <f>SUMIFS(注册申报底表!$Z:$Z,注册申报底表!$J:$J,$B31,注册申报底表!$G:$G,Q$3)</f>
        <v>0</v>
      </c>
      <c r="R31" s="388">
        <f>SUMIFS(注册申报底表!$Z:$Z,注册申报底表!$J:$J,$B31,注册申报底表!$G:$G,R$3)</f>
        <v>0</v>
      </c>
      <c r="S31" s="388">
        <f>SUMIFS(注册申报底表!$Z:$Z,注册申报底表!$J:$J,$B31,注册申报底表!$G:$G,S$3)</f>
        <v>0</v>
      </c>
      <c r="T31" s="388">
        <f>SUMIFS(注册申报底表!$Z:$Z,注册申报底表!$J:$J,$B31,注册申报底表!$G:$G,T$3)</f>
        <v>0</v>
      </c>
      <c r="U31" s="388">
        <f>SUMIFS(注册申报底表!$Z:$Z,注册申报底表!$J:$J,$B31,注册申报底表!$G:$G,U$3)</f>
        <v>0</v>
      </c>
      <c r="W31" s="389">
        <f>SUMIFS(注册申报底表!$AA:$AA,注册申报底表!$J:$J,$B31,注册申报底表!$G:$G,W$3)</f>
        <v>0</v>
      </c>
      <c r="X31" s="389">
        <f>SUMIFS(注册申报底表!$AA:$AA,注册申报底表!$J:$J,$B31,注册申报底表!$G:$G,X$3)</f>
        <v>0</v>
      </c>
      <c r="Y31" s="389">
        <f>SUMIFS(注册申报底表!$AA:$AA,注册申报底表!$J:$J,$B31,注册申报底表!$G:$G,Y$3)</f>
        <v>0</v>
      </c>
      <c r="Z31" s="389">
        <f>SUMIFS(注册申报底表!$AA:$AA,注册申报底表!$J:$J,$B31,注册申报底表!$G:$G,Z$3)</f>
        <v>0</v>
      </c>
      <c r="AA31" s="389">
        <f>SUMIFS(注册申报底表!$AA:$AA,注册申报底表!$J:$J,$B31,注册申报底表!$G:$G,AA$3)</f>
        <v>0</v>
      </c>
      <c r="AB31" s="389">
        <f>SUMIFS(注册申报底表!$AA:$AA,注册申报底表!$J:$J,$B31,注册申报底表!$G:$G,AB$3)</f>
        <v>0</v>
      </c>
      <c r="AC31" s="389">
        <f>SUMIFS(注册申报底表!$AA:$AA,注册申报底表!$J:$J,$B31,注册申报底表!$G:$G,AC$3)</f>
        <v>0</v>
      </c>
    </row>
    <row r="32" ht="28" customHeight="1" spans="2:29">
      <c r="B32" s="88" t="s">
        <v>1973</v>
      </c>
      <c r="C32" s="88" t="str">
        <f>INDEX(二三级标准!Q:Q,MATCH($B32,二三级标准!$O:$O,0))</f>
        <v>差距分析</v>
      </c>
      <c r="D32" s="376">
        <v>0</v>
      </c>
      <c r="E32" s="377"/>
      <c r="F32" s="378"/>
      <c r="G32" s="379"/>
      <c r="H32" s="380">
        <f>H33</f>
        <v>0</v>
      </c>
      <c r="I32" s="390"/>
      <c r="J32" s="380">
        <f>J33</f>
        <v>0</v>
      </c>
      <c r="K32" s="378"/>
      <c r="L32" s="378"/>
      <c r="M32" s="392">
        <f>M33</f>
        <v>0</v>
      </c>
      <c r="N32" s="385"/>
      <c r="O32" s="392">
        <f>O33</f>
        <v>0</v>
      </c>
      <c r="P32" s="392">
        <f t="shared" ref="P32:U32" si="25">P33</f>
        <v>0</v>
      </c>
      <c r="Q32" s="392">
        <f t="shared" si="25"/>
        <v>0</v>
      </c>
      <c r="R32" s="392">
        <f t="shared" si="25"/>
        <v>0</v>
      </c>
      <c r="S32" s="392">
        <f t="shared" si="25"/>
        <v>0</v>
      </c>
      <c r="T32" s="392">
        <f t="shared" si="25"/>
        <v>0</v>
      </c>
      <c r="U32" s="392">
        <f t="shared" si="25"/>
        <v>0</v>
      </c>
      <c r="W32" s="381">
        <f>W33</f>
        <v>0</v>
      </c>
      <c r="X32" s="381">
        <f t="shared" ref="X32:AC32" si="26">X33</f>
        <v>0</v>
      </c>
      <c r="Y32" s="381">
        <f t="shared" si="26"/>
        <v>0</v>
      </c>
      <c r="Z32" s="381">
        <f t="shared" si="26"/>
        <v>0</v>
      </c>
      <c r="AA32" s="381">
        <f t="shared" si="26"/>
        <v>0</v>
      </c>
      <c r="AB32" s="381">
        <f t="shared" si="26"/>
        <v>0</v>
      </c>
      <c r="AC32" s="381">
        <f t="shared" si="26"/>
        <v>0</v>
      </c>
    </row>
    <row r="33" ht="28" customHeight="1" spans="2:29">
      <c r="B33" s="89" t="s">
        <v>487</v>
      </c>
      <c r="C33" s="90" t="str">
        <f>INDEX(二三级标准!$C:$C,MATCH($B33,二三级标准!$B:$B,0))</f>
        <v>现有药品研发数据&amp;进度评估</v>
      </c>
      <c r="D33" s="166">
        <f>IF($D$32=1,1,0)</f>
        <v>0</v>
      </c>
      <c r="E33" s="166">
        <f>IF($D33=1,1,0)</f>
        <v>0</v>
      </c>
      <c r="F33" s="89" t="str">
        <f>INDEX(二三级标准!$G:$G,MATCH($B33,二三级标准!$B:$B,0))</f>
        <v>次</v>
      </c>
      <c r="G33" s="386">
        <f>IFERROR(SUMIF(注册申报底表!$J:$J,$B33,注册申报底表!$AA:$AA)/E33,0)</f>
        <v>0</v>
      </c>
      <c r="H33" s="386">
        <f t="shared" ref="H33" si="27">G33*E33</f>
        <v>0</v>
      </c>
      <c r="I33" s="386">
        <f>IFERROR(SUMIF(注册申报底表!$J:$J,$B33,注册申报底表!$AD:$AD)/E33,0)</f>
        <v>0</v>
      </c>
      <c r="J33" s="386">
        <f t="shared" ref="J33" si="28">I33*E33</f>
        <v>0</v>
      </c>
      <c r="K33" s="89"/>
      <c r="L33" s="387">
        <f>IF(D33=1,M33/E33,0)</f>
        <v>0</v>
      </c>
      <c r="M33" s="387">
        <f>SUMIF(注册申报底表!$J:$J,$B33,注册申报底表!$Z:$Z)</f>
        <v>0</v>
      </c>
      <c r="O33" s="388">
        <f>SUMIFS(注册申报底表!$Z:$Z,注册申报底表!$J:$J,$B33,注册申报底表!$G:$G,O$3)</f>
        <v>0</v>
      </c>
      <c r="P33" s="388">
        <f>SUMIFS(注册申报底表!$Z:$Z,注册申报底表!$J:$J,$B33,注册申报底表!$G:$G,P$3)</f>
        <v>0</v>
      </c>
      <c r="Q33" s="388">
        <f>SUMIFS(注册申报底表!$Z:$Z,注册申报底表!$J:$J,$B33,注册申报底表!$G:$G,Q$3)</f>
        <v>0</v>
      </c>
      <c r="R33" s="388">
        <f>SUMIFS(注册申报底表!$Z:$Z,注册申报底表!$J:$J,$B33,注册申报底表!$G:$G,R$3)</f>
        <v>0</v>
      </c>
      <c r="S33" s="388">
        <f>SUMIFS(注册申报底表!$Z:$Z,注册申报底表!$J:$J,$B33,注册申报底表!$G:$G,S$3)</f>
        <v>0</v>
      </c>
      <c r="T33" s="388">
        <f>SUMIFS(注册申报底表!$Z:$Z,注册申报底表!$J:$J,$B33,注册申报底表!$G:$G,T$3)</f>
        <v>0</v>
      </c>
      <c r="U33" s="388">
        <f>SUMIFS(注册申报底表!$Z:$Z,注册申报底表!$J:$J,$B33,注册申报底表!$G:$G,U$3)</f>
        <v>0</v>
      </c>
      <c r="W33" s="389">
        <f>SUMIFS(注册申报底表!$AA:$AA,注册申报底表!$J:$J,$B33,注册申报底表!$G:$G,W$3)</f>
        <v>0</v>
      </c>
      <c r="X33" s="389">
        <f>SUMIFS(注册申报底表!$AA:$AA,注册申报底表!$J:$J,$B33,注册申报底表!$G:$G,X$3)</f>
        <v>0</v>
      </c>
      <c r="Y33" s="389">
        <f>SUMIFS(注册申报底表!$AA:$AA,注册申报底表!$J:$J,$B33,注册申报底表!$G:$G,Y$3)</f>
        <v>0</v>
      </c>
      <c r="Z33" s="389">
        <f>SUMIFS(注册申报底表!$AA:$AA,注册申报底表!$J:$J,$B33,注册申报底表!$G:$G,Z$3)</f>
        <v>0</v>
      </c>
      <c r="AA33" s="389">
        <f>SUMIFS(注册申报底表!$AA:$AA,注册申报底表!$J:$J,$B33,注册申报底表!$G:$G,AA$3)</f>
        <v>0</v>
      </c>
      <c r="AB33" s="389">
        <f>SUMIFS(注册申报底表!$AA:$AA,注册申报底表!$J:$J,$B33,注册申报底表!$G:$G,AB$3)</f>
        <v>0</v>
      </c>
      <c r="AC33" s="389">
        <f>SUMIFS(注册申报底表!$AA:$AA,注册申报底表!$J:$J,$B33,注册申报底表!$G:$G,AC$3)</f>
        <v>0</v>
      </c>
    </row>
    <row r="34" ht="28" customHeight="1" spans="2:29">
      <c r="B34" s="88" t="s">
        <v>1974</v>
      </c>
      <c r="C34" s="88" t="str">
        <f>INDEX(二三级标准!Q:Q,MATCH($B34,二三级标准!$O:$O,0))</f>
        <v>申报计划制定</v>
      </c>
      <c r="D34" s="376">
        <v>0</v>
      </c>
      <c r="E34" s="377"/>
      <c r="F34" s="378"/>
      <c r="G34" s="379"/>
      <c r="H34" s="380">
        <f>H35</f>
        <v>0</v>
      </c>
      <c r="I34" s="390"/>
      <c r="J34" s="380">
        <f>J35</f>
        <v>0</v>
      </c>
      <c r="K34" s="378"/>
      <c r="L34" s="378"/>
      <c r="M34" s="392">
        <f>M35</f>
        <v>0</v>
      </c>
      <c r="N34" s="385"/>
      <c r="O34" s="392">
        <f>O35</f>
        <v>0</v>
      </c>
      <c r="P34" s="392">
        <f t="shared" ref="P34:U34" si="29">P35</f>
        <v>0</v>
      </c>
      <c r="Q34" s="392">
        <f t="shared" si="29"/>
        <v>0</v>
      </c>
      <c r="R34" s="392">
        <f t="shared" si="29"/>
        <v>0</v>
      </c>
      <c r="S34" s="392">
        <f t="shared" si="29"/>
        <v>0</v>
      </c>
      <c r="T34" s="392">
        <f t="shared" si="29"/>
        <v>0</v>
      </c>
      <c r="U34" s="392">
        <f t="shared" si="29"/>
        <v>0</v>
      </c>
      <c r="W34" s="381">
        <f>W35</f>
        <v>0</v>
      </c>
      <c r="X34" s="381">
        <f t="shared" ref="X34:AC34" si="30">X35</f>
        <v>0</v>
      </c>
      <c r="Y34" s="381">
        <f t="shared" si="30"/>
        <v>0</v>
      </c>
      <c r="Z34" s="381">
        <f t="shared" si="30"/>
        <v>0</v>
      </c>
      <c r="AA34" s="381">
        <f t="shared" si="30"/>
        <v>0</v>
      </c>
      <c r="AB34" s="381">
        <f t="shared" si="30"/>
        <v>0</v>
      </c>
      <c r="AC34" s="381">
        <f t="shared" si="30"/>
        <v>0</v>
      </c>
    </row>
    <row r="35" ht="28" customHeight="1" spans="2:29">
      <c r="B35" s="89" t="s">
        <v>489</v>
      </c>
      <c r="C35" s="90" t="str">
        <f>INDEX(二三级标准!$C:$C,MATCH($B35,二三级标准!$B:$B,0))</f>
        <v>申报计划书制定</v>
      </c>
      <c r="D35" s="166">
        <f>IF($D$34=1,1,0)</f>
        <v>0</v>
      </c>
      <c r="E35" s="166">
        <f>IF($D35=1,1,0)</f>
        <v>0</v>
      </c>
      <c r="F35" s="89" t="str">
        <f>INDEX(二三级标准!$G:$G,MATCH($B35,二三级标准!$B:$B,0))</f>
        <v>份</v>
      </c>
      <c r="G35" s="386">
        <f>IFERROR(SUMIF(注册申报底表!$J:$J,$B35,注册申报底表!$AA:$AA)/E35,0)</f>
        <v>0</v>
      </c>
      <c r="H35" s="386">
        <f t="shared" ref="H35" si="31">G35*E35</f>
        <v>0</v>
      </c>
      <c r="I35" s="386">
        <f>IFERROR(SUMIF(注册申报底表!$J:$J,$B35,注册申报底表!$AD:$AD)/E35,0)</f>
        <v>0</v>
      </c>
      <c r="J35" s="386">
        <f t="shared" ref="J35" si="32">I35*E35</f>
        <v>0</v>
      </c>
      <c r="K35" s="89"/>
      <c r="L35" s="387">
        <f>IF(D35=1,M35/E35,0)</f>
        <v>0</v>
      </c>
      <c r="M35" s="387">
        <f>SUMIF(注册申报底表!$J:$J,$B35,注册申报底表!$Z:$Z)</f>
        <v>0</v>
      </c>
      <c r="O35" s="388">
        <f>SUMIFS(注册申报底表!$Z:$Z,注册申报底表!$J:$J,$B35,注册申报底表!$G:$G,O$3)</f>
        <v>0</v>
      </c>
      <c r="P35" s="388">
        <f>SUMIFS(注册申报底表!$Z:$Z,注册申报底表!$J:$J,$B35,注册申报底表!$G:$G,P$3)</f>
        <v>0</v>
      </c>
      <c r="Q35" s="388">
        <f>SUMIFS(注册申报底表!$Z:$Z,注册申报底表!$J:$J,$B35,注册申报底表!$G:$G,Q$3)</f>
        <v>0</v>
      </c>
      <c r="R35" s="388">
        <f>SUMIFS(注册申报底表!$Z:$Z,注册申报底表!$J:$J,$B35,注册申报底表!$G:$G,R$3)</f>
        <v>0</v>
      </c>
      <c r="S35" s="388">
        <f>SUMIFS(注册申报底表!$Z:$Z,注册申报底表!$J:$J,$B35,注册申报底表!$G:$G,S$3)</f>
        <v>0</v>
      </c>
      <c r="T35" s="388">
        <f>SUMIFS(注册申报底表!$Z:$Z,注册申报底表!$J:$J,$B35,注册申报底表!$G:$G,T$3)</f>
        <v>0</v>
      </c>
      <c r="U35" s="388">
        <f>SUMIFS(注册申报底表!$Z:$Z,注册申报底表!$J:$J,$B35,注册申报底表!$G:$G,U$3)</f>
        <v>0</v>
      </c>
      <c r="W35" s="389">
        <f>SUMIFS(注册申报底表!$AA:$AA,注册申报底表!$J:$J,$B35,注册申报底表!$G:$G,W$3)</f>
        <v>0</v>
      </c>
      <c r="X35" s="389">
        <f>SUMIFS(注册申报底表!$AA:$AA,注册申报底表!$J:$J,$B35,注册申报底表!$G:$G,X$3)</f>
        <v>0</v>
      </c>
      <c r="Y35" s="389">
        <f>SUMIFS(注册申报底表!$AA:$AA,注册申报底表!$J:$J,$B35,注册申报底表!$G:$G,Y$3)</f>
        <v>0</v>
      </c>
      <c r="Z35" s="389">
        <f>SUMIFS(注册申报底表!$AA:$AA,注册申报底表!$J:$J,$B35,注册申报底表!$G:$G,Z$3)</f>
        <v>0</v>
      </c>
      <c r="AA35" s="389">
        <f>SUMIFS(注册申报底表!$AA:$AA,注册申报底表!$J:$J,$B35,注册申报底表!$G:$G,AA$3)</f>
        <v>0</v>
      </c>
      <c r="AB35" s="389">
        <f>SUMIFS(注册申报底表!$AA:$AA,注册申报底表!$J:$J,$B35,注册申报底表!$G:$G,AB$3)</f>
        <v>0</v>
      </c>
      <c r="AC35" s="389">
        <f>SUMIFS(注册申报底表!$AA:$AA,注册申报底表!$J:$J,$B35,注册申报底表!$G:$G,AC$3)</f>
        <v>0</v>
      </c>
    </row>
    <row r="36" ht="21" customHeight="1" spans="2:29">
      <c r="B36" s="88" t="s">
        <v>1975</v>
      </c>
      <c r="C36" s="88" t="str">
        <f>INDEX(二三级标准!Q:Q,MATCH($B36,二三级标准!$O:$O,0))</f>
        <v>申报材料(CTD)撰写和审核</v>
      </c>
      <c r="D36" s="376">
        <v>0</v>
      </c>
      <c r="E36" s="377"/>
      <c r="F36" s="378"/>
      <c r="G36" s="379"/>
      <c r="H36" s="380">
        <f>SUM(H37:H43)</f>
        <v>0</v>
      </c>
      <c r="I36" s="390"/>
      <c r="J36" s="380">
        <f>SUM(J37:J43)</f>
        <v>0</v>
      </c>
      <c r="K36" s="378"/>
      <c r="L36" s="378"/>
      <c r="M36" s="392">
        <f>SUM(M37:M43)</f>
        <v>0</v>
      </c>
      <c r="N36" s="385"/>
      <c r="O36" s="392">
        <f>SUM(O37:O43)</f>
        <v>0</v>
      </c>
      <c r="P36" s="392">
        <f t="shared" ref="P36:U36" si="33">SUM(P37:P43)</f>
        <v>0</v>
      </c>
      <c r="Q36" s="392">
        <f t="shared" si="33"/>
        <v>0</v>
      </c>
      <c r="R36" s="392">
        <f t="shared" si="33"/>
        <v>0</v>
      </c>
      <c r="S36" s="392">
        <f t="shared" si="33"/>
        <v>0</v>
      </c>
      <c r="T36" s="392">
        <f t="shared" si="33"/>
        <v>0</v>
      </c>
      <c r="U36" s="392">
        <f t="shared" si="33"/>
        <v>0</v>
      </c>
      <c r="W36" s="381">
        <f>SUM(W37:W43)</f>
        <v>0</v>
      </c>
      <c r="X36" s="381">
        <f t="shared" ref="X36:AC36" si="34">SUM(X37:X43)</f>
        <v>0</v>
      </c>
      <c r="Y36" s="381">
        <f t="shared" si="34"/>
        <v>0</v>
      </c>
      <c r="Z36" s="381">
        <f t="shared" si="34"/>
        <v>0</v>
      </c>
      <c r="AA36" s="381">
        <f t="shared" si="34"/>
        <v>0</v>
      </c>
      <c r="AB36" s="381">
        <f t="shared" si="34"/>
        <v>0</v>
      </c>
      <c r="AC36" s="381">
        <f t="shared" si="34"/>
        <v>0</v>
      </c>
    </row>
    <row r="37" ht="21" customHeight="1" spans="2:29">
      <c r="B37" s="89" t="s">
        <v>519</v>
      </c>
      <c r="C37" s="90" t="str">
        <f>INDEX(二三级标准!$C:$C,MATCH($B37,二三级标准!$B:$B,0))</f>
        <v>非临床综述撰写M2.4</v>
      </c>
      <c r="D37" s="166">
        <f t="shared" ref="D37:D43" si="35">IF($D$36=1,1,0)</f>
        <v>0</v>
      </c>
      <c r="E37" s="166">
        <f t="shared" ref="E37:E43" si="36">IF($D37=1,1,0)</f>
        <v>0</v>
      </c>
      <c r="F37" s="89" t="str">
        <f>INDEX(二三级标准!$G:$G,MATCH($B37,二三级标准!$B:$B,0))</f>
        <v>次</v>
      </c>
      <c r="G37" s="386">
        <f>IFERROR(SUMIF(注册申报底表!$J:$J,$B37,注册申报底表!$AA:$AA)/E37,0)</f>
        <v>0</v>
      </c>
      <c r="H37" s="386">
        <f t="shared" ref="H37" si="37">G37*E37</f>
        <v>0</v>
      </c>
      <c r="I37" s="386">
        <f>IFERROR(SUMIF(注册申报底表!$J:$J,$B37,注册申报底表!$AD:$AD)/E37,0)</f>
        <v>0</v>
      </c>
      <c r="J37" s="386">
        <f t="shared" ref="J37" si="38">I37*E37</f>
        <v>0</v>
      </c>
      <c r="K37" s="89"/>
      <c r="L37" s="387">
        <f t="shared" ref="L37:L43" si="39">IF(D37=1,M37/E37,0)</f>
        <v>0</v>
      </c>
      <c r="M37" s="387">
        <f>SUMIF(注册申报底表!$J:$J,$B37,注册申报底表!$Z:$Z)</f>
        <v>0</v>
      </c>
      <c r="O37" s="388">
        <f>SUMIFS(注册申报底表!$Z:$Z,注册申报底表!$J:$J,$B37,注册申报底表!$G:$G,O$3)</f>
        <v>0</v>
      </c>
      <c r="P37" s="388">
        <f>SUMIFS(注册申报底表!$Z:$Z,注册申报底表!$J:$J,$B37,注册申报底表!$G:$G,P$3)</f>
        <v>0</v>
      </c>
      <c r="Q37" s="388">
        <f>SUMIFS(注册申报底表!$Z:$Z,注册申报底表!$J:$J,$B37,注册申报底表!$G:$G,Q$3)</f>
        <v>0</v>
      </c>
      <c r="R37" s="388">
        <f>SUMIFS(注册申报底表!$Z:$Z,注册申报底表!$J:$J,$B37,注册申报底表!$G:$G,R$3)</f>
        <v>0</v>
      </c>
      <c r="S37" s="388">
        <f>SUMIFS(注册申报底表!$Z:$Z,注册申报底表!$J:$J,$B37,注册申报底表!$G:$G,S$3)</f>
        <v>0</v>
      </c>
      <c r="T37" s="388">
        <f>SUMIFS(注册申报底表!$Z:$Z,注册申报底表!$J:$J,$B37,注册申报底表!$G:$G,T$3)</f>
        <v>0</v>
      </c>
      <c r="U37" s="388">
        <f>SUMIFS(注册申报底表!$Z:$Z,注册申报底表!$J:$J,$B37,注册申报底表!$G:$G,U$3)</f>
        <v>0</v>
      </c>
      <c r="W37" s="389">
        <f>SUMIFS(注册申报底表!$AA:$AA,注册申报底表!$J:$J,$B37,注册申报底表!$G:$G,W$3)</f>
        <v>0</v>
      </c>
      <c r="X37" s="389">
        <f>SUMIFS(注册申报底表!$AA:$AA,注册申报底表!$J:$J,$B37,注册申报底表!$G:$G,X$3)</f>
        <v>0</v>
      </c>
      <c r="Y37" s="389">
        <f>SUMIFS(注册申报底表!$AA:$AA,注册申报底表!$J:$J,$B37,注册申报底表!$G:$G,Y$3)</f>
        <v>0</v>
      </c>
      <c r="Z37" s="389">
        <f>SUMIFS(注册申报底表!$AA:$AA,注册申报底表!$J:$J,$B37,注册申报底表!$G:$G,Z$3)</f>
        <v>0</v>
      </c>
      <c r="AA37" s="389">
        <f>SUMIFS(注册申报底表!$AA:$AA,注册申报底表!$J:$J,$B37,注册申报底表!$G:$G,AA$3)</f>
        <v>0</v>
      </c>
      <c r="AB37" s="389">
        <f>SUMIFS(注册申报底表!$AA:$AA,注册申报底表!$J:$J,$B37,注册申报底表!$G:$G,AB$3)</f>
        <v>0</v>
      </c>
      <c r="AC37" s="389">
        <f>SUMIFS(注册申报底表!$AA:$AA,注册申报底表!$J:$J,$B37,注册申报底表!$G:$G,AC$3)</f>
        <v>0</v>
      </c>
    </row>
    <row r="38" ht="21" customHeight="1" spans="2:29">
      <c r="B38" s="89" t="s">
        <v>521</v>
      </c>
      <c r="C38" s="90" t="str">
        <f>INDEX(二三级标准!$C:$C,MATCH($B38,二三级标准!$B:$B,0))</f>
        <v>非临床总结撰写M2.6</v>
      </c>
      <c r="D38" s="166">
        <f t="shared" si="35"/>
        <v>0</v>
      </c>
      <c r="E38" s="166">
        <f t="shared" si="36"/>
        <v>0</v>
      </c>
      <c r="F38" s="89" t="str">
        <f>INDEX(二三级标准!$G:$G,MATCH($B38,二三级标准!$B:$B,0))</f>
        <v>次</v>
      </c>
      <c r="G38" s="386">
        <f>IFERROR(SUMIF(注册申报底表!$J:$J,$B38,注册申报底表!$AA:$AA)/E38,0)</f>
        <v>0</v>
      </c>
      <c r="H38" s="386">
        <f t="shared" ref="H38:H43" si="40">G38*E38</f>
        <v>0</v>
      </c>
      <c r="I38" s="386">
        <f>IFERROR(SUMIF(注册申报底表!$J:$J,$B38,注册申报底表!$AD:$AD)/E38,0)</f>
        <v>0</v>
      </c>
      <c r="J38" s="386">
        <f t="shared" ref="J38:J43" si="41">I38*E38</f>
        <v>0</v>
      </c>
      <c r="K38" s="89"/>
      <c r="L38" s="387">
        <f t="shared" si="39"/>
        <v>0</v>
      </c>
      <c r="M38" s="387">
        <f>SUMIF(注册申报底表!$J:$J,$B38,注册申报底表!$Z:$Z)</f>
        <v>0</v>
      </c>
      <c r="O38" s="388">
        <f>SUMIFS(注册申报底表!$Z:$Z,注册申报底表!$J:$J,$B38,注册申报底表!$G:$G,O$3)</f>
        <v>0</v>
      </c>
      <c r="P38" s="388">
        <f>SUMIFS(注册申报底表!$Z:$Z,注册申报底表!$J:$J,$B38,注册申报底表!$G:$G,P$3)</f>
        <v>0</v>
      </c>
      <c r="Q38" s="388">
        <f>SUMIFS(注册申报底表!$Z:$Z,注册申报底表!$J:$J,$B38,注册申报底表!$G:$G,Q$3)</f>
        <v>0</v>
      </c>
      <c r="R38" s="388">
        <f>SUMIFS(注册申报底表!$Z:$Z,注册申报底表!$J:$J,$B38,注册申报底表!$G:$G,R$3)</f>
        <v>0</v>
      </c>
      <c r="S38" s="388">
        <f>SUMIFS(注册申报底表!$Z:$Z,注册申报底表!$J:$J,$B38,注册申报底表!$G:$G,S$3)</f>
        <v>0</v>
      </c>
      <c r="T38" s="388">
        <f>SUMIFS(注册申报底表!$Z:$Z,注册申报底表!$J:$J,$B38,注册申报底表!$G:$G,T$3)</f>
        <v>0</v>
      </c>
      <c r="U38" s="388">
        <f>SUMIFS(注册申报底表!$Z:$Z,注册申报底表!$J:$J,$B38,注册申报底表!$G:$G,U$3)</f>
        <v>0</v>
      </c>
      <c r="W38" s="389">
        <f>SUMIFS(注册申报底表!$AA:$AA,注册申报底表!$J:$J,$B38,注册申报底表!$G:$G,W$3)</f>
        <v>0</v>
      </c>
      <c r="X38" s="389">
        <f>SUMIFS(注册申报底表!$AA:$AA,注册申报底表!$J:$J,$B38,注册申报底表!$G:$G,X$3)</f>
        <v>0</v>
      </c>
      <c r="Y38" s="389">
        <f>SUMIFS(注册申报底表!$AA:$AA,注册申报底表!$J:$J,$B38,注册申报底表!$G:$G,Y$3)</f>
        <v>0</v>
      </c>
      <c r="Z38" s="389">
        <f>SUMIFS(注册申报底表!$AA:$AA,注册申报底表!$J:$J,$B38,注册申报底表!$G:$G,Z$3)</f>
        <v>0</v>
      </c>
      <c r="AA38" s="389">
        <f>SUMIFS(注册申报底表!$AA:$AA,注册申报底表!$J:$J,$B38,注册申报底表!$G:$G,AA$3)</f>
        <v>0</v>
      </c>
      <c r="AB38" s="389">
        <f>SUMIFS(注册申报底表!$AA:$AA,注册申报底表!$J:$J,$B38,注册申报底表!$G:$G,AB$3)</f>
        <v>0</v>
      </c>
      <c r="AC38" s="389">
        <f>SUMIFS(注册申报底表!$AA:$AA,注册申报底表!$J:$J,$B38,注册申报底表!$G:$G,AC$3)</f>
        <v>0</v>
      </c>
    </row>
    <row r="39" ht="21" customHeight="1" spans="2:29">
      <c r="B39" s="89" t="s">
        <v>491</v>
      </c>
      <c r="C39" s="90" t="str">
        <f>INDEX(二三级标准!$C:$C,MATCH($B39,二三级标准!$B:$B,0))</f>
        <v>CTD文件M1审核</v>
      </c>
      <c r="D39" s="166">
        <f t="shared" si="35"/>
        <v>0</v>
      </c>
      <c r="E39" s="166">
        <f t="shared" si="36"/>
        <v>0</v>
      </c>
      <c r="F39" s="89" t="str">
        <f>INDEX(二三级标准!$G:$G,MATCH($B39,二三级标准!$B:$B,0))</f>
        <v>次</v>
      </c>
      <c r="G39" s="386">
        <f>IFERROR(SUMIF(注册申报底表!$J:$J,$B39,注册申报底表!$AA:$AA)/E39,0)</f>
        <v>0</v>
      </c>
      <c r="H39" s="386">
        <f t="shared" si="40"/>
        <v>0</v>
      </c>
      <c r="I39" s="386">
        <f>IFERROR(SUMIF(注册申报底表!$J:$J,$B39,注册申报底表!$AD:$AD)/E39,0)</f>
        <v>0</v>
      </c>
      <c r="J39" s="386">
        <f t="shared" si="41"/>
        <v>0</v>
      </c>
      <c r="K39" s="89"/>
      <c r="L39" s="387">
        <f t="shared" si="39"/>
        <v>0</v>
      </c>
      <c r="M39" s="387">
        <f>SUMIF(注册申报底表!$J:$J,$B39,注册申报底表!$Z:$Z)</f>
        <v>0</v>
      </c>
      <c r="O39" s="388">
        <f>SUMIFS(注册申报底表!$Z:$Z,注册申报底表!$J:$J,$B39,注册申报底表!$G:$G,O$3)</f>
        <v>0</v>
      </c>
      <c r="P39" s="388">
        <f>SUMIFS(注册申报底表!$Z:$Z,注册申报底表!$J:$J,$B39,注册申报底表!$G:$G,P$3)</f>
        <v>0</v>
      </c>
      <c r="Q39" s="388">
        <f>SUMIFS(注册申报底表!$Z:$Z,注册申报底表!$J:$J,$B39,注册申报底表!$G:$G,Q$3)</f>
        <v>0</v>
      </c>
      <c r="R39" s="388">
        <f>SUMIFS(注册申报底表!$Z:$Z,注册申报底表!$J:$J,$B39,注册申报底表!$G:$G,R$3)</f>
        <v>0</v>
      </c>
      <c r="S39" s="388">
        <f>SUMIFS(注册申报底表!$Z:$Z,注册申报底表!$J:$J,$B39,注册申报底表!$G:$G,S$3)</f>
        <v>0</v>
      </c>
      <c r="T39" s="388">
        <f>SUMIFS(注册申报底表!$Z:$Z,注册申报底表!$J:$J,$B39,注册申报底表!$G:$G,T$3)</f>
        <v>0</v>
      </c>
      <c r="U39" s="388">
        <f>SUMIFS(注册申报底表!$Z:$Z,注册申报底表!$J:$J,$B39,注册申报底表!$G:$G,U$3)</f>
        <v>0</v>
      </c>
      <c r="W39" s="389">
        <f>SUMIFS(注册申报底表!$AA:$AA,注册申报底表!$J:$J,$B39,注册申报底表!$G:$G,W$3)</f>
        <v>0</v>
      </c>
      <c r="X39" s="389">
        <f>SUMIFS(注册申报底表!$AA:$AA,注册申报底表!$J:$J,$B39,注册申报底表!$G:$G,X$3)</f>
        <v>0</v>
      </c>
      <c r="Y39" s="389">
        <f>SUMIFS(注册申报底表!$AA:$AA,注册申报底表!$J:$J,$B39,注册申报底表!$G:$G,Y$3)</f>
        <v>0</v>
      </c>
      <c r="Z39" s="389">
        <f>SUMIFS(注册申报底表!$AA:$AA,注册申报底表!$J:$J,$B39,注册申报底表!$G:$G,Z$3)</f>
        <v>0</v>
      </c>
      <c r="AA39" s="389">
        <f>SUMIFS(注册申报底表!$AA:$AA,注册申报底表!$J:$J,$B39,注册申报底表!$G:$G,AA$3)</f>
        <v>0</v>
      </c>
      <c r="AB39" s="389">
        <f>SUMIFS(注册申报底表!$AA:$AA,注册申报底表!$J:$J,$B39,注册申报底表!$G:$G,AB$3)</f>
        <v>0</v>
      </c>
      <c r="AC39" s="389">
        <f>SUMIFS(注册申报底表!$AA:$AA,注册申报底表!$J:$J,$B39,注册申报底表!$G:$G,AC$3)</f>
        <v>0</v>
      </c>
    </row>
    <row r="40" ht="21" customHeight="1" spans="2:29">
      <c r="B40" s="89" t="s">
        <v>493</v>
      </c>
      <c r="C40" s="90" t="str">
        <f>INDEX(二三级标准!$C:$C,MATCH($B40,二三级标准!$B:$B,0))</f>
        <v>CTD文件M2审核</v>
      </c>
      <c r="D40" s="166">
        <f t="shared" si="35"/>
        <v>0</v>
      </c>
      <c r="E40" s="166">
        <f t="shared" si="36"/>
        <v>0</v>
      </c>
      <c r="F40" s="89" t="str">
        <f>INDEX(二三级标准!$G:$G,MATCH($B40,二三级标准!$B:$B,0))</f>
        <v>次</v>
      </c>
      <c r="G40" s="386">
        <f>IFERROR(SUMIF(注册申报底表!$J:$J,$B40,注册申报底表!$AA:$AA)/E40,0)</f>
        <v>0</v>
      </c>
      <c r="H40" s="386">
        <f t="shared" si="40"/>
        <v>0</v>
      </c>
      <c r="I40" s="386">
        <f>IFERROR(SUMIF(注册申报底表!$J:$J,$B40,注册申报底表!$AD:$AD)/E40,0)</f>
        <v>0</v>
      </c>
      <c r="J40" s="386">
        <f t="shared" si="41"/>
        <v>0</v>
      </c>
      <c r="K40" s="89"/>
      <c r="L40" s="387">
        <f t="shared" si="39"/>
        <v>0</v>
      </c>
      <c r="M40" s="387">
        <f>SUMIF(注册申报底表!$J:$J,$B40,注册申报底表!$Z:$Z)</f>
        <v>0</v>
      </c>
      <c r="O40" s="388">
        <f>SUMIFS(注册申报底表!$Z:$Z,注册申报底表!$J:$J,$B40,注册申报底表!$G:$G,O$3)</f>
        <v>0</v>
      </c>
      <c r="P40" s="388">
        <f>SUMIFS(注册申报底表!$Z:$Z,注册申报底表!$J:$J,$B40,注册申报底表!$G:$G,P$3)</f>
        <v>0</v>
      </c>
      <c r="Q40" s="388">
        <f>SUMIFS(注册申报底表!$Z:$Z,注册申报底表!$J:$J,$B40,注册申报底表!$G:$G,Q$3)</f>
        <v>0</v>
      </c>
      <c r="R40" s="388">
        <f>SUMIFS(注册申报底表!$Z:$Z,注册申报底表!$J:$J,$B40,注册申报底表!$G:$G,R$3)</f>
        <v>0</v>
      </c>
      <c r="S40" s="388">
        <f>SUMIFS(注册申报底表!$Z:$Z,注册申报底表!$J:$J,$B40,注册申报底表!$G:$G,S$3)</f>
        <v>0</v>
      </c>
      <c r="T40" s="388">
        <f>SUMIFS(注册申报底表!$Z:$Z,注册申报底表!$J:$J,$B40,注册申报底表!$G:$G,T$3)</f>
        <v>0</v>
      </c>
      <c r="U40" s="388">
        <f>SUMIFS(注册申报底表!$Z:$Z,注册申报底表!$J:$J,$B40,注册申报底表!$G:$G,U$3)</f>
        <v>0</v>
      </c>
      <c r="W40" s="389">
        <f>SUMIFS(注册申报底表!$AA:$AA,注册申报底表!$J:$J,$B40,注册申报底表!$G:$G,W$3)</f>
        <v>0</v>
      </c>
      <c r="X40" s="389">
        <f>SUMIFS(注册申报底表!$AA:$AA,注册申报底表!$J:$J,$B40,注册申报底表!$G:$G,X$3)</f>
        <v>0</v>
      </c>
      <c r="Y40" s="389">
        <f>SUMIFS(注册申报底表!$AA:$AA,注册申报底表!$J:$J,$B40,注册申报底表!$G:$G,Y$3)</f>
        <v>0</v>
      </c>
      <c r="Z40" s="389">
        <f>SUMIFS(注册申报底表!$AA:$AA,注册申报底表!$J:$J,$B40,注册申报底表!$G:$G,Z$3)</f>
        <v>0</v>
      </c>
      <c r="AA40" s="389">
        <f>SUMIFS(注册申报底表!$AA:$AA,注册申报底表!$J:$J,$B40,注册申报底表!$G:$G,AA$3)</f>
        <v>0</v>
      </c>
      <c r="AB40" s="389">
        <f>SUMIFS(注册申报底表!$AA:$AA,注册申报底表!$J:$J,$B40,注册申报底表!$G:$G,AB$3)</f>
        <v>0</v>
      </c>
      <c r="AC40" s="389">
        <f>SUMIFS(注册申报底表!$AA:$AA,注册申报底表!$J:$J,$B40,注册申报底表!$G:$G,AC$3)</f>
        <v>0</v>
      </c>
    </row>
    <row r="41" ht="21" customHeight="1" spans="2:29">
      <c r="B41" s="89" t="s">
        <v>495</v>
      </c>
      <c r="C41" s="90" t="str">
        <f>INDEX(二三级标准!$C:$C,MATCH($B41,二三级标准!$B:$B,0))</f>
        <v>CTD文件M3审核</v>
      </c>
      <c r="D41" s="166">
        <f t="shared" si="35"/>
        <v>0</v>
      </c>
      <c r="E41" s="166">
        <f t="shared" si="36"/>
        <v>0</v>
      </c>
      <c r="F41" s="89" t="str">
        <f>INDEX(二三级标准!$G:$G,MATCH($B41,二三级标准!$B:$B,0))</f>
        <v>次</v>
      </c>
      <c r="G41" s="386">
        <f>IFERROR(SUMIF(注册申报底表!$J:$J,$B41,注册申报底表!$AA:$AA)/E41,0)</f>
        <v>0</v>
      </c>
      <c r="H41" s="386">
        <f t="shared" si="40"/>
        <v>0</v>
      </c>
      <c r="I41" s="386">
        <f>IFERROR(SUMIF(注册申报底表!$J:$J,$B41,注册申报底表!$AD:$AD)/E41,0)</f>
        <v>0</v>
      </c>
      <c r="J41" s="386">
        <f t="shared" si="41"/>
        <v>0</v>
      </c>
      <c r="K41" s="89"/>
      <c r="L41" s="387">
        <f t="shared" si="39"/>
        <v>0</v>
      </c>
      <c r="M41" s="387">
        <f>SUMIF(注册申报底表!$J:$J,$B41,注册申报底表!$Z:$Z)</f>
        <v>0</v>
      </c>
      <c r="O41" s="388">
        <f>SUMIFS(注册申报底表!$Z:$Z,注册申报底表!$J:$J,$B41,注册申报底表!$G:$G,O$3)</f>
        <v>0</v>
      </c>
      <c r="P41" s="388">
        <f>SUMIFS(注册申报底表!$Z:$Z,注册申报底表!$J:$J,$B41,注册申报底表!$G:$G,P$3)</f>
        <v>0</v>
      </c>
      <c r="Q41" s="388">
        <f>SUMIFS(注册申报底表!$Z:$Z,注册申报底表!$J:$J,$B41,注册申报底表!$G:$G,Q$3)</f>
        <v>0</v>
      </c>
      <c r="R41" s="388">
        <f>SUMIFS(注册申报底表!$Z:$Z,注册申报底表!$J:$J,$B41,注册申报底表!$G:$G,R$3)</f>
        <v>0</v>
      </c>
      <c r="S41" s="388">
        <f>SUMIFS(注册申报底表!$Z:$Z,注册申报底表!$J:$J,$B41,注册申报底表!$G:$G,S$3)</f>
        <v>0</v>
      </c>
      <c r="T41" s="388">
        <f>SUMIFS(注册申报底表!$Z:$Z,注册申报底表!$J:$J,$B41,注册申报底表!$G:$G,T$3)</f>
        <v>0</v>
      </c>
      <c r="U41" s="388">
        <f>SUMIFS(注册申报底表!$Z:$Z,注册申报底表!$J:$J,$B41,注册申报底表!$G:$G,U$3)</f>
        <v>0</v>
      </c>
      <c r="W41" s="389">
        <f>SUMIFS(注册申报底表!$AA:$AA,注册申报底表!$J:$J,$B41,注册申报底表!$G:$G,W$3)</f>
        <v>0</v>
      </c>
      <c r="X41" s="389">
        <f>SUMIFS(注册申报底表!$AA:$AA,注册申报底表!$J:$J,$B41,注册申报底表!$G:$G,X$3)</f>
        <v>0</v>
      </c>
      <c r="Y41" s="389">
        <f>SUMIFS(注册申报底表!$AA:$AA,注册申报底表!$J:$J,$B41,注册申报底表!$G:$G,Y$3)</f>
        <v>0</v>
      </c>
      <c r="Z41" s="389">
        <f>SUMIFS(注册申报底表!$AA:$AA,注册申报底表!$J:$J,$B41,注册申报底表!$G:$G,Z$3)</f>
        <v>0</v>
      </c>
      <c r="AA41" s="389">
        <f>SUMIFS(注册申报底表!$AA:$AA,注册申报底表!$J:$J,$B41,注册申报底表!$G:$G,AA$3)</f>
        <v>0</v>
      </c>
      <c r="AB41" s="389">
        <f>SUMIFS(注册申报底表!$AA:$AA,注册申报底表!$J:$J,$B41,注册申报底表!$G:$G,AB$3)</f>
        <v>0</v>
      </c>
      <c r="AC41" s="389">
        <f>SUMIFS(注册申报底表!$AA:$AA,注册申报底表!$J:$J,$B41,注册申报底表!$G:$G,AC$3)</f>
        <v>0</v>
      </c>
    </row>
    <row r="42" ht="21" customHeight="1" spans="2:29">
      <c r="B42" s="89" t="s">
        <v>497</v>
      </c>
      <c r="C42" s="90" t="str">
        <f>INDEX(二三级标准!$C:$C,MATCH($B42,二三级标准!$B:$B,0))</f>
        <v>CTD文件M4审核</v>
      </c>
      <c r="D42" s="166">
        <f t="shared" si="35"/>
        <v>0</v>
      </c>
      <c r="E42" s="166">
        <f t="shared" si="36"/>
        <v>0</v>
      </c>
      <c r="F42" s="89" t="str">
        <f>INDEX(二三级标准!$G:$G,MATCH($B42,二三级标准!$B:$B,0))</f>
        <v>次</v>
      </c>
      <c r="G42" s="386">
        <f>IFERROR(SUMIF(注册申报底表!$J:$J,$B42,注册申报底表!$AA:$AA)/E42,0)</f>
        <v>0</v>
      </c>
      <c r="H42" s="386">
        <f t="shared" si="40"/>
        <v>0</v>
      </c>
      <c r="I42" s="386">
        <f>IFERROR(SUMIF(注册申报底表!$J:$J,$B42,注册申报底表!$AD:$AD)/E42,0)</f>
        <v>0</v>
      </c>
      <c r="J42" s="386">
        <f t="shared" si="41"/>
        <v>0</v>
      </c>
      <c r="K42" s="89"/>
      <c r="L42" s="387">
        <f t="shared" si="39"/>
        <v>0</v>
      </c>
      <c r="M42" s="387">
        <f>SUMIF(注册申报底表!$J:$J,$B42,注册申报底表!$Z:$Z)</f>
        <v>0</v>
      </c>
      <c r="O42" s="388">
        <f>SUMIFS(注册申报底表!$Z:$Z,注册申报底表!$J:$J,$B42,注册申报底表!$G:$G,O$3)</f>
        <v>0</v>
      </c>
      <c r="P42" s="388">
        <f>SUMIFS(注册申报底表!$Z:$Z,注册申报底表!$J:$J,$B42,注册申报底表!$G:$G,P$3)</f>
        <v>0</v>
      </c>
      <c r="Q42" s="388">
        <f>SUMIFS(注册申报底表!$Z:$Z,注册申报底表!$J:$J,$B42,注册申报底表!$G:$G,Q$3)</f>
        <v>0</v>
      </c>
      <c r="R42" s="388">
        <f>SUMIFS(注册申报底表!$Z:$Z,注册申报底表!$J:$J,$B42,注册申报底表!$G:$G,R$3)</f>
        <v>0</v>
      </c>
      <c r="S42" s="388">
        <f>SUMIFS(注册申报底表!$Z:$Z,注册申报底表!$J:$J,$B42,注册申报底表!$G:$G,S$3)</f>
        <v>0</v>
      </c>
      <c r="T42" s="388">
        <f>SUMIFS(注册申报底表!$Z:$Z,注册申报底表!$J:$J,$B42,注册申报底表!$G:$G,T$3)</f>
        <v>0</v>
      </c>
      <c r="U42" s="388">
        <f>SUMIFS(注册申报底表!$Z:$Z,注册申报底表!$J:$J,$B42,注册申报底表!$G:$G,U$3)</f>
        <v>0</v>
      </c>
      <c r="W42" s="389">
        <f>SUMIFS(注册申报底表!$AA:$AA,注册申报底表!$J:$J,$B42,注册申报底表!$G:$G,W$3)</f>
        <v>0</v>
      </c>
      <c r="X42" s="389">
        <f>SUMIFS(注册申报底表!$AA:$AA,注册申报底表!$J:$J,$B42,注册申报底表!$G:$G,X$3)</f>
        <v>0</v>
      </c>
      <c r="Y42" s="389">
        <f>SUMIFS(注册申报底表!$AA:$AA,注册申报底表!$J:$J,$B42,注册申报底表!$G:$G,Y$3)</f>
        <v>0</v>
      </c>
      <c r="Z42" s="389">
        <f>SUMIFS(注册申报底表!$AA:$AA,注册申报底表!$J:$J,$B42,注册申报底表!$G:$G,Z$3)</f>
        <v>0</v>
      </c>
      <c r="AA42" s="389">
        <f>SUMIFS(注册申报底表!$AA:$AA,注册申报底表!$J:$J,$B42,注册申报底表!$G:$G,AA$3)</f>
        <v>0</v>
      </c>
      <c r="AB42" s="389">
        <f>SUMIFS(注册申报底表!$AA:$AA,注册申报底表!$J:$J,$B42,注册申报底表!$G:$G,AB$3)</f>
        <v>0</v>
      </c>
      <c r="AC42" s="389">
        <f>SUMIFS(注册申报底表!$AA:$AA,注册申报底表!$J:$J,$B42,注册申报底表!$G:$G,AC$3)</f>
        <v>0</v>
      </c>
    </row>
    <row r="43" ht="21" customHeight="1" spans="2:29">
      <c r="B43" s="89" t="s">
        <v>1976</v>
      </c>
      <c r="C43" s="90" t="str">
        <f>INDEX(二三级标准!$C:$C,MATCH($B43,二三级标准!$B:$B,0))</f>
        <v>CTD文件M5审核</v>
      </c>
      <c r="D43" s="166">
        <f t="shared" si="35"/>
        <v>0</v>
      </c>
      <c r="E43" s="166">
        <f t="shared" si="36"/>
        <v>0</v>
      </c>
      <c r="F43" s="89" t="str">
        <f>INDEX(二三级标准!$G:$G,MATCH($B43,二三级标准!$B:$B,0))</f>
        <v>次</v>
      </c>
      <c r="G43" s="386">
        <f>IFERROR(SUMIF(注册申报底表!$J:$J,$B43,注册申报底表!$AA:$AA)/E43,0)</f>
        <v>0</v>
      </c>
      <c r="H43" s="386">
        <f t="shared" si="40"/>
        <v>0</v>
      </c>
      <c r="I43" s="386">
        <f>IFERROR(SUMIF(注册申报底表!$J:$J,$B43,注册申报底表!$AD:$AD)/E43,0)</f>
        <v>0</v>
      </c>
      <c r="J43" s="386">
        <f t="shared" si="41"/>
        <v>0</v>
      </c>
      <c r="K43" s="89"/>
      <c r="L43" s="387">
        <f t="shared" si="39"/>
        <v>0</v>
      </c>
      <c r="M43" s="387">
        <f>SUMIF(注册申报底表!$J:$J,$B43,注册申报底表!$Z:$Z)</f>
        <v>0</v>
      </c>
      <c r="O43" s="388">
        <f>SUMIFS(注册申报底表!$Z:$Z,注册申报底表!$J:$J,$B43,注册申报底表!$G:$G,O$3)</f>
        <v>0</v>
      </c>
      <c r="P43" s="388">
        <f>SUMIFS(注册申报底表!$Z:$Z,注册申报底表!$J:$J,$B43,注册申报底表!$G:$G,P$3)</f>
        <v>0</v>
      </c>
      <c r="Q43" s="388">
        <f>SUMIFS(注册申报底表!$Z:$Z,注册申报底表!$J:$J,$B43,注册申报底表!$G:$G,Q$3)</f>
        <v>0</v>
      </c>
      <c r="R43" s="388">
        <f>SUMIFS(注册申报底表!$Z:$Z,注册申报底表!$J:$J,$B43,注册申报底表!$G:$G,R$3)</f>
        <v>0</v>
      </c>
      <c r="S43" s="388">
        <f>SUMIFS(注册申报底表!$Z:$Z,注册申报底表!$J:$J,$B43,注册申报底表!$G:$G,S$3)</f>
        <v>0</v>
      </c>
      <c r="T43" s="388">
        <f>SUMIFS(注册申报底表!$Z:$Z,注册申报底表!$J:$J,$B43,注册申报底表!$G:$G,T$3)</f>
        <v>0</v>
      </c>
      <c r="U43" s="388">
        <f>SUMIFS(注册申报底表!$Z:$Z,注册申报底表!$J:$J,$B43,注册申报底表!$G:$G,U$3)</f>
        <v>0</v>
      </c>
      <c r="W43" s="389">
        <f>SUMIFS(注册申报底表!$AA:$AA,注册申报底表!$J:$J,$B43,注册申报底表!$G:$G,W$3)</f>
        <v>0</v>
      </c>
      <c r="X43" s="389">
        <f>SUMIFS(注册申报底表!$AA:$AA,注册申报底表!$J:$J,$B43,注册申报底表!$G:$G,X$3)</f>
        <v>0</v>
      </c>
      <c r="Y43" s="389">
        <f>SUMIFS(注册申报底表!$AA:$AA,注册申报底表!$J:$J,$B43,注册申报底表!$G:$G,Y$3)</f>
        <v>0</v>
      </c>
      <c r="Z43" s="389">
        <f>SUMIFS(注册申报底表!$AA:$AA,注册申报底表!$J:$J,$B43,注册申报底表!$G:$G,Z$3)</f>
        <v>0</v>
      </c>
      <c r="AA43" s="389">
        <f>SUMIFS(注册申报底表!$AA:$AA,注册申报底表!$J:$J,$B43,注册申报底表!$G:$G,AA$3)</f>
        <v>0</v>
      </c>
      <c r="AB43" s="389">
        <f>SUMIFS(注册申报底表!$AA:$AA,注册申报底表!$J:$J,$B43,注册申报底表!$G:$G,AB$3)</f>
        <v>0</v>
      </c>
      <c r="AC43" s="389">
        <f>SUMIFS(注册申报底表!$AA:$AA,注册申报底表!$J:$J,$B43,注册申报底表!$G:$G,AC$3)</f>
        <v>0</v>
      </c>
    </row>
    <row r="44" ht="21" customHeight="1" spans="2:29">
      <c r="B44" s="88" t="s">
        <v>1977</v>
      </c>
      <c r="C44" s="88" t="str">
        <f>INDEX(二三级标准!Q:Q,MATCH($B44,二三级标准!$O:$O,0))</f>
        <v>pre-IND申请</v>
      </c>
      <c r="D44" s="376">
        <v>0</v>
      </c>
      <c r="E44" s="377"/>
      <c r="F44" s="378"/>
      <c r="G44" s="379"/>
      <c r="H44" s="380">
        <f>SUM(H45:H47)</f>
        <v>0</v>
      </c>
      <c r="I44" s="390"/>
      <c r="J44" s="380">
        <f>SUM(J45:J47)</f>
        <v>0</v>
      </c>
      <c r="K44" s="378"/>
      <c r="L44" s="378"/>
      <c r="M44" s="392">
        <f>SUM(M45:M47)</f>
        <v>0</v>
      </c>
      <c r="N44" s="385"/>
      <c r="O44" s="392">
        <f t="shared" ref="O44:U44" si="42">SUM(O45:O47)</f>
        <v>0</v>
      </c>
      <c r="P44" s="392">
        <f t="shared" si="42"/>
        <v>0</v>
      </c>
      <c r="Q44" s="392">
        <f t="shared" si="42"/>
        <v>0</v>
      </c>
      <c r="R44" s="392">
        <f t="shared" si="42"/>
        <v>0</v>
      </c>
      <c r="S44" s="392">
        <f t="shared" si="42"/>
        <v>0</v>
      </c>
      <c r="T44" s="392">
        <f t="shared" si="42"/>
        <v>0</v>
      </c>
      <c r="U44" s="392">
        <f t="shared" si="42"/>
        <v>0</v>
      </c>
      <c r="W44" s="381">
        <f t="shared" ref="W44:AC44" si="43">SUM(W45:W47)</f>
        <v>0</v>
      </c>
      <c r="X44" s="381">
        <f t="shared" si="43"/>
        <v>0</v>
      </c>
      <c r="Y44" s="381">
        <f t="shared" si="43"/>
        <v>0</v>
      </c>
      <c r="Z44" s="381">
        <f t="shared" si="43"/>
        <v>0</v>
      </c>
      <c r="AA44" s="381">
        <f t="shared" si="43"/>
        <v>0</v>
      </c>
      <c r="AB44" s="381">
        <f t="shared" si="43"/>
        <v>0</v>
      </c>
      <c r="AC44" s="381">
        <f t="shared" si="43"/>
        <v>0</v>
      </c>
    </row>
    <row r="45" ht="21" customHeight="1" spans="2:29">
      <c r="B45" s="89" t="s">
        <v>499</v>
      </c>
      <c r="C45" s="90" t="str">
        <f>INDEX(二三级标准!$C:$C,MATCH($B45,二三级标准!$B:$B,0))</f>
        <v>pre-IND申请材料撰写</v>
      </c>
      <c r="D45" s="166">
        <f>IF($D$44=1,1,0)</f>
        <v>0</v>
      </c>
      <c r="E45" s="166">
        <f>IF($D45=1,1,0)</f>
        <v>0</v>
      </c>
      <c r="F45" s="89" t="str">
        <f>INDEX(二三级标准!$G:$G,MATCH($B45,二三级标准!$B:$B,0))</f>
        <v>次</v>
      </c>
      <c r="G45" s="386">
        <f>IFERROR(SUMIF(注册申报底表!$J:$J,$B45,注册申报底表!$AA:$AA)/E45,0)</f>
        <v>0</v>
      </c>
      <c r="H45" s="386">
        <f>G45*E45</f>
        <v>0</v>
      </c>
      <c r="I45" s="386">
        <f>IFERROR(SUMIF(注册申报底表!$J:$J,$B45,注册申报底表!$AD:$AD)/E45,0)</f>
        <v>0</v>
      </c>
      <c r="J45" s="386">
        <f t="shared" ref="J45" si="44">I45*E45</f>
        <v>0</v>
      </c>
      <c r="K45" s="89"/>
      <c r="L45" s="387">
        <f>IF(D45=1,M45/E45,0)</f>
        <v>0</v>
      </c>
      <c r="M45" s="387">
        <f>SUMIF(注册申报底表!$J:$J,$B45,注册申报底表!$Z:$Z)</f>
        <v>0</v>
      </c>
      <c r="O45" s="388">
        <f>SUMIFS(注册申报底表!$Z:$Z,注册申报底表!$J:$J,$B45,注册申报底表!$G:$G,O$3)</f>
        <v>0</v>
      </c>
      <c r="P45" s="388">
        <f>SUMIFS(注册申报底表!$Z:$Z,注册申报底表!$J:$J,$B45,注册申报底表!$G:$G,P$3)</f>
        <v>0</v>
      </c>
      <c r="Q45" s="388">
        <f>SUMIFS(注册申报底表!$Z:$Z,注册申报底表!$J:$J,$B45,注册申报底表!$G:$G,Q$3)</f>
        <v>0</v>
      </c>
      <c r="R45" s="388">
        <f>SUMIFS(注册申报底表!$Z:$Z,注册申报底表!$J:$J,$B45,注册申报底表!$G:$G,R$3)</f>
        <v>0</v>
      </c>
      <c r="S45" s="388">
        <f>SUMIFS(注册申报底表!$Z:$Z,注册申报底表!$J:$J,$B45,注册申报底表!$G:$G,S$3)</f>
        <v>0</v>
      </c>
      <c r="T45" s="388">
        <f>SUMIFS(注册申报底表!$Z:$Z,注册申报底表!$J:$J,$B45,注册申报底表!$G:$G,T$3)</f>
        <v>0</v>
      </c>
      <c r="U45" s="388">
        <f>SUMIFS(注册申报底表!$Z:$Z,注册申报底表!$J:$J,$B45,注册申报底表!$G:$G,U$3)</f>
        <v>0</v>
      </c>
      <c r="W45" s="389">
        <f>SUMIFS(注册申报底表!$AA:$AA,注册申报底表!$J:$J,$B45,注册申报底表!$G:$G,W$3)</f>
        <v>0</v>
      </c>
      <c r="X45" s="389">
        <f>SUMIFS(注册申报底表!$AA:$AA,注册申报底表!$J:$J,$B45,注册申报底表!$G:$G,X$3)</f>
        <v>0</v>
      </c>
      <c r="Y45" s="389">
        <f>SUMIFS(注册申报底表!$AA:$AA,注册申报底表!$J:$J,$B45,注册申报底表!$G:$G,Y$3)</f>
        <v>0</v>
      </c>
      <c r="Z45" s="389">
        <f>SUMIFS(注册申报底表!$AA:$AA,注册申报底表!$J:$J,$B45,注册申报底表!$G:$G,Z$3)</f>
        <v>0</v>
      </c>
      <c r="AA45" s="389">
        <f>SUMIFS(注册申报底表!$AA:$AA,注册申报底表!$J:$J,$B45,注册申报底表!$G:$G,AA$3)</f>
        <v>0</v>
      </c>
      <c r="AB45" s="389">
        <f>SUMIFS(注册申报底表!$AA:$AA,注册申报底表!$J:$J,$B45,注册申报底表!$G:$G,AB$3)</f>
        <v>0</v>
      </c>
      <c r="AC45" s="389">
        <f>SUMIFS(注册申报底表!$AA:$AA,注册申报底表!$J:$J,$B45,注册申报底表!$G:$G,AC$3)</f>
        <v>0</v>
      </c>
    </row>
    <row r="46" ht="21" customHeight="1" spans="2:29">
      <c r="B46" s="89" t="s">
        <v>501</v>
      </c>
      <c r="C46" s="90" t="str">
        <f>INDEX(二三级标准!$C:$C,MATCH($B46,二三级标准!$B:$B,0))</f>
        <v>pre-IND会议前与申办方沟通</v>
      </c>
      <c r="D46" s="166">
        <f>IF($D$44=1,1,0)</f>
        <v>0</v>
      </c>
      <c r="E46" s="166">
        <f>IF($D46=1,1,0)</f>
        <v>0</v>
      </c>
      <c r="F46" s="89" t="str">
        <f>INDEX(二三级标准!$G:$G,MATCH($B46,二三级标准!$B:$B,0))</f>
        <v>次</v>
      </c>
      <c r="G46" s="386">
        <f>IFERROR(SUMIF(注册申报底表!$J:$J,$B46,注册申报底表!$AA:$AA)/E46,0)</f>
        <v>0</v>
      </c>
      <c r="H46" s="386">
        <f t="shared" ref="H46:H47" si="45">G46*E46</f>
        <v>0</v>
      </c>
      <c r="I46" s="386">
        <f>IFERROR(SUMIF(注册申报底表!$J:$J,$B46,注册申报底表!$AD:$AD)/E46,0)</f>
        <v>0</v>
      </c>
      <c r="J46" s="386">
        <f t="shared" ref="J46:J47" si="46">I46*E46</f>
        <v>0</v>
      </c>
      <c r="K46" s="89"/>
      <c r="L46" s="387">
        <f>IF(D46=1,M46/E46,0)</f>
        <v>0</v>
      </c>
      <c r="M46" s="387">
        <f>SUMIF(注册申报底表!$J:$J,$B46,注册申报底表!$Z:$Z)</f>
        <v>0</v>
      </c>
      <c r="O46" s="388">
        <f>SUMIFS(注册申报底表!$Z:$Z,注册申报底表!$J:$J,$B46,注册申报底表!$G:$G,O$3)</f>
        <v>0</v>
      </c>
      <c r="P46" s="388">
        <f>SUMIFS(注册申报底表!$Z:$Z,注册申报底表!$J:$J,$B46,注册申报底表!$G:$G,P$3)</f>
        <v>0</v>
      </c>
      <c r="Q46" s="388">
        <f>SUMIFS(注册申报底表!$Z:$Z,注册申报底表!$J:$J,$B46,注册申报底表!$G:$G,Q$3)</f>
        <v>0</v>
      </c>
      <c r="R46" s="388">
        <f>SUMIFS(注册申报底表!$Z:$Z,注册申报底表!$J:$J,$B46,注册申报底表!$G:$G,R$3)</f>
        <v>0</v>
      </c>
      <c r="S46" s="388">
        <f>SUMIFS(注册申报底表!$Z:$Z,注册申报底表!$J:$J,$B46,注册申报底表!$G:$G,S$3)</f>
        <v>0</v>
      </c>
      <c r="T46" s="388">
        <f>SUMIFS(注册申报底表!$Z:$Z,注册申报底表!$J:$J,$B46,注册申报底表!$G:$G,T$3)</f>
        <v>0</v>
      </c>
      <c r="U46" s="388">
        <f>SUMIFS(注册申报底表!$Z:$Z,注册申报底表!$J:$J,$B46,注册申报底表!$G:$G,U$3)</f>
        <v>0</v>
      </c>
      <c r="W46" s="389">
        <f>SUMIFS(注册申报底表!$AA:$AA,注册申报底表!$J:$J,$B46,注册申报底表!$G:$G,W$3)</f>
        <v>0</v>
      </c>
      <c r="X46" s="389">
        <f>SUMIFS(注册申报底表!$AA:$AA,注册申报底表!$J:$J,$B46,注册申报底表!$G:$G,X$3)</f>
        <v>0</v>
      </c>
      <c r="Y46" s="389">
        <f>SUMIFS(注册申报底表!$AA:$AA,注册申报底表!$J:$J,$B46,注册申报底表!$G:$G,Y$3)</f>
        <v>0</v>
      </c>
      <c r="Z46" s="389">
        <f>SUMIFS(注册申报底表!$AA:$AA,注册申报底表!$J:$J,$B46,注册申报底表!$G:$G,Z$3)</f>
        <v>0</v>
      </c>
      <c r="AA46" s="389">
        <f>SUMIFS(注册申报底表!$AA:$AA,注册申报底表!$J:$J,$B46,注册申报底表!$G:$G,AA$3)</f>
        <v>0</v>
      </c>
      <c r="AB46" s="389">
        <f>SUMIFS(注册申报底表!$AA:$AA,注册申报底表!$J:$J,$B46,注册申报底表!$G:$G,AB$3)</f>
        <v>0</v>
      </c>
      <c r="AC46" s="389">
        <f>SUMIFS(注册申报底表!$AA:$AA,注册申报底表!$J:$J,$B46,注册申报底表!$G:$G,AC$3)</f>
        <v>0</v>
      </c>
    </row>
    <row r="47" ht="21" customHeight="1" spans="2:29">
      <c r="B47" s="89" t="s">
        <v>503</v>
      </c>
      <c r="C47" s="90" t="str">
        <f>INDEX(二三级标准!$C:$C,MATCH($B47,二三级标准!$B:$B,0))</f>
        <v>参加pre-IND会议</v>
      </c>
      <c r="D47" s="166">
        <v>0</v>
      </c>
      <c r="E47" s="166">
        <f>IF($D47=1,1,0)</f>
        <v>0</v>
      </c>
      <c r="F47" s="89" t="str">
        <f>INDEX(二三级标准!$G:$G,MATCH($B47,二三级标准!$B:$B,0))</f>
        <v>次</v>
      </c>
      <c r="G47" s="386">
        <f>IFERROR(SUMIF(注册申报底表!$J:$J,$B47,注册申报底表!$AA:$AA)/E47,0)</f>
        <v>0</v>
      </c>
      <c r="H47" s="386">
        <f t="shared" si="45"/>
        <v>0</v>
      </c>
      <c r="I47" s="386">
        <f>IFERROR(SUMIF(注册申报底表!$J:$J,$B47,注册申报底表!$AD:$AD)/E47,0)</f>
        <v>0</v>
      </c>
      <c r="J47" s="386">
        <f t="shared" si="46"/>
        <v>0</v>
      </c>
      <c r="K47" s="89" t="s">
        <v>1971</v>
      </c>
      <c r="L47" s="387">
        <f>IF(D47=1,M47/E47,0)</f>
        <v>0</v>
      </c>
      <c r="M47" s="387">
        <f>SUMIF(注册申报底表!$J:$J,$B47,注册申报底表!$Z:$Z)</f>
        <v>0</v>
      </c>
      <c r="O47" s="388">
        <f>SUMIFS(注册申报底表!$Z:$Z,注册申报底表!$J:$J,$B47,注册申报底表!$G:$G,O$3)</f>
        <v>0</v>
      </c>
      <c r="P47" s="388">
        <f>SUMIFS(注册申报底表!$Z:$Z,注册申报底表!$J:$J,$B47,注册申报底表!$G:$G,P$3)</f>
        <v>0</v>
      </c>
      <c r="Q47" s="388">
        <f>SUMIFS(注册申报底表!$Z:$Z,注册申报底表!$J:$J,$B47,注册申报底表!$G:$G,Q$3)</f>
        <v>0</v>
      </c>
      <c r="R47" s="388">
        <f>SUMIFS(注册申报底表!$Z:$Z,注册申报底表!$J:$J,$B47,注册申报底表!$G:$G,R$3)</f>
        <v>0</v>
      </c>
      <c r="S47" s="388">
        <f>SUMIFS(注册申报底表!$Z:$Z,注册申报底表!$J:$J,$B47,注册申报底表!$G:$G,S$3)</f>
        <v>0</v>
      </c>
      <c r="T47" s="388">
        <f>SUMIFS(注册申报底表!$Z:$Z,注册申报底表!$J:$J,$B47,注册申报底表!$G:$G,T$3)</f>
        <v>0</v>
      </c>
      <c r="U47" s="388">
        <f>SUMIFS(注册申报底表!$Z:$Z,注册申报底表!$J:$J,$B47,注册申报底表!$G:$G,U$3)</f>
        <v>0</v>
      </c>
      <c r="W47" s="389">
        <f>SUMIFS(注册申报底表!$AA:$AA,注册申报底表!$J:$J,$B47,注册申报底表!$G:$G,W$3)</f>
        <v>0</v>
      </c>
      <c r="X47" s="389">
        <f>SUMIFS(注册申报底表!$AA:$AA,注册申报底表!$J:$J,$B47,注册申报底表!$G:$G,X$3)</f>
        <v>0</v>
      </c>
      <c r="Y47" s="389">
        <f>SUMIFS(注册申报底表!$AA:$AA,注册申报底表!$J:$J,$B47,注册申报底表!$G:$G,Y$3)</f>
        <v>0</v>
      </c>
      <c r="Z47" s="389">
        <f>SUMIFS(注册申报底表!$AA:$AA,注册申报底表!$J:$J,$B47,注册申报底表!$G:$G,Z$3)</f>
        <v>0</v>
      </c>
      <c r="AA47" s="389">
        <f>SUMIFS(注册申报底表!$AA:$AA,注册申报底表!$J:$J,$B47,注册申报底表!$G:$G,AA$3)</f>
        <v>0</v>
      </c>
      <c r="AB47" s="389">
        <f>SUMIFS(注册申报底表!$AA:$AA,注册申报底表!$J:$J,$B47,注册申报底表!$G:$G,AB$3)</f>
        <v>0</v>
      </c>
      <c r="AC47" s="389">
        <f>SUMIFS(注册申报底表!$AA:$AA,注册申报底表!$J:$J,$B47,注册申报底表!$G:$G,AC$3)</f>
        <v>0</v>
      </c>
    </row>
    <row r="48" ht="21" customHeight="1" spans="2:29">
      <c r="B48" s="88" t="s">
        <v>1978</v>
      </c>
      <c r="C48" s="88" t="str">
        <f>INDEX(二三级标准!Q:Q,MATCH($B48,二三级标准!$O:$O,0))</f>
        <v>申报材料审核</v>
      </c>
      <c r="D48" s="376">
        <v>0</v>
      </c>
      <c r="E48" s="377"/>
      <c r="F48" s="378"/>
      <c r="G48" s="379"/>
      <c r="H48" s="380">
        <f>SUM(H49:H54)</f>
        <v>0</v>
      </c>
      <c r="I48" s="390"/>
      <c r="J48" s="380">
        <f>SUM(J49:J54)</f>
        <v>0</v>
      </c>
      <c r="K48" s="378"/>
      <c r="L48" s="378"/>
      <c r="M48" s="392">
        <f>SUM(M49:M54)</f>
        <v>0</v>
      </c>
      <c r="N48" s="385"/>
      <c r="O48" s="392">
        <f>SUM(O49:O54)</f>
        <v>0</v>
      </c>
      <c r="P48" s="392">
        <f t="shared" ref="P48:U48" si="47">SUM(P49:P54)</f>
        <v>0</v>
      </c>
      <c r="Q48" s="392">
        <f t="shared" si="47"/>
        <v>0</v>
      </c>
      <c r="R48" s="392">
        <f t="shared" si="47"/>
        <v>0</v>
      </c>
      <c r="S48" s="392">
        <f t="shared" si="47"/>
        <v>0</v>
      </c>
      <c r="T48" s="392">
        <f t="shared" si="47"/>
        <v>0</v>
      </c>
      <c r="U48" s="392">
        <f t="shared" si="47"/>
        <v>0</v>
      </c>
      <c r="W48" s="381">
        <f>SUM(W49:W54)</f>
        <v>0</v>
      </c>
      <c r="X48" s="381">
        <f t="shared" ref="X48:AC48" si="48">SUM(X49:X54)</f>
        <v>0</v>
      </c>
      <c r="Y48" s="381">
        <f t="shared" si="48"/>
        <v>0</v>
      </c>
      <c r="Z48" s="381">
        <f t="shared" si="48"/>
        <v>0</v>
      </c>
      <c r="AA48" s="381">
        <f t="shared" si="48"/>
        <v>0</v>
      </c>
      <c r="AB48" s="381">
        <f t="shared" si="48"/>
        <v>0</v>
      </c>
      <c r="AC48" s="381">
        <f t="shared" si="48"/>
        <v>0</v>
      </c>
    </row>
    <row r="49" s="128" customFormat="1" ht="21" customHeight="1" spans="2:29">
      <c r="B49" s="90" t="s">
        <v>505</v>
      </c>
      <c r="C49" s="90" t="str">
        <f>INDEX(二三级标准!$C:$C,MATCH($B49,二三级标准!$B:$B,0))</f>
        <v>pre-IND问题回复</v>
      </c>
      <c r="D49" s="166">
        <f t="shared" ref="D49:D54" si="49">IF($D$48=1,1,0)</f>
        <v>0</v>
      </c>
      <c r="E49" s="166">
        <f t="shared" ref="E49:E54" si="50">IF($D49=1,1,0)</f>
        <v>0</v>
      </c>
      <c r="F49" s="89" t="str">
        <f>INDEX(二三级标准!$G:$G,MATCH($B49,二三级标准!$B:$B,0))</f>
        <v>次</v>
      </c>
      <c r="G49" s="386">
        <f>IFERROR(SUMIF(注册申报底表!$J:$J,$B49,注册申报底表!$AA:$AA)/E49,0)</f>
        <v>0</v>
      </c>
      <c r="H49" s="386">
        <f t="shared" ref="H49" si="51">G49*E49</f>
        <v>0</v>
      </c>
      <c r="I49" s="386">
        <f>IFERROR(SUMIF(注册申报底表!$J:$J,$B49,注册申报底表!$AD:$AD)/E49,0)</f>
        <v>0</v>
      </c>
      <c r="J49" s="386">
        <f t="shared" ref="J49" si="52">I49*E49</f>
        <v>0</v>
      </c>
      <c r="K49" s="90"/>
      <c r="L49" s="387">
        <f t="shared" ref="L49:L54" si="53">IF(D49=1,M49/E49,0)</f>
        <v>0</v>
      </c>
      <c r="M49" s="387">
        <f>SUMIF(注册申报底表!$J:$J,$B49,注册申报底表!$Z:$Z)</f>
        <v>0</v>
      </c>
      <c r="O49" s="388">
        <f>SUMIFS(注册申报底表!$Z:$Z,注册申报底表!$J:$J,$B49,注册申报底表!$G:$G,O$3)</f>
        <v>0</v>
      </c>
      <c r="P49" s="388">
        <f>SUMIFS(注册申报底表!$Z:$Z,注册申报底表!$J:$J,$B49,注册申报底表!$G:$G,P$3)</f>
        <v>0</v>
      </c>
      <c r="Q49" s="388">
        <f>SUMIFS(注册申报底表!$Z:$Z,注册申报底表!$J:$J,$B49,注册申报底表!$G:$G,Q$3)</f>
        <v>0</v>
      </c>
      <c r="R49" s="388">
        <f>SUMIFS(注册申报底表!$Z:$Z,注册申报底表!$J:$J,$B49,注册申报底表!$G:$G,R$3)</f>
        <v>0</v>
      </c>
      <c r="S49" s="388">
        <f>SUMIFS(注册申报底表!$Z:$Z,注册申报底表!$J:$J,$B49,注册申报底表!$G:$G,S$3)</f>
        <v>0</v>
      </c>
      <c r="T49" s="388">
        <f>SUMIFS(注册申报底表!$Z:$Z,注册申报底表!$J:$J,$B49,注册申报底表!$G:$G,T$3)</f>
        <v>0</v>
      </c>
      <c r="U49" s="388">
        <f>SUMIFS(注册申报底表!$Z:$Z,注册申报底表!$J:$J,$B49,注册申报底表!$G:$G,U$3)</f>
        <v>0</v>
      </c>
      <c r="W49" s="389">
        <f>SUMIFS(注册申报底表!$AA:$AA,注册申报底表!$J:$J,$B49,注册申报底表!$G:$G,W$3)</f>
        <v>0</v>
      </c>
      <c r="X49" s="389">
        <f>SUMIFS(注册申报底表!$AA:$AA,注册申报底表!$J:$J,$B49,注册申报底表!$G:$G,X$3)</f>
        <v>0</v>
      </c>
      <c r="Y49" s="389">
        <f>SUMIFS(注册申报底表!$AA:$AA,注册申报底表!$J:$J,$B49,注册申报底表!$G:$G,Y$3)</f>
        <v>0</v>
      </c>
      <c r="Z49" s="389">
        <f>SUMIFS(注册申报底表!$AA:$AA,注册申报底表!$J:$J,$B49,注册申报底表!$G:$G,Z$3)</f>
        <v>0</v>
      </c>
      <c r="AA49" s="389">
        <f>SUMIFS(注册申报底表!$AA:$AA,注册申报底表!$J:$J,$B49,注册申报底表!$G:$G,AA$3)</f>
        <v>0</v>
      </c>
      <c r="AB49" s="389">
        <f>SUMIFS(注册申报底表!$AA:$AA,注册申报底表!$J:$J,$B49,注册申报底表!$G:$G,AB$3)</f>
        <v>0</v>
      </c>
      <c r="AC49" s="389">
        <f>SUMIFS(注册申报底表!$AA:$AA,注册申报底表!$J:$J,$B49,注册申报底表!$G:$G,AC$3)</f>
        <v>0</v>
      </c>
    </row>
    <row r="50" s="128" customFormat="1" ht="21" customHeight="1" spans="2:29">
      <c r="B50" s="90" t="s">
        <v>507</v>
      </c>
      <c r="C50" s="90" t="str">
        <f>INDEX(二三级标准!$C:$C,MATCH($B50,二三级标准!$B:$B,0))</f>
        <v>CTD文件M1更新后二次审核</v>
      </c>
      <c r="D50" s="166">
        <v>0</v>
      </c>
      <c r="E50" s="166">
        <f t="shared" si="50"/>
        <v>0</v>
      </c>
      <c r="F50" s="89" t="str">
        <f>INDEX(二三级标准!$G:$G,MATCH($B50,二三级标准!$B:$B,0))</f>
        <v>次</v>
      </c>
      <c r="G50" s="386">
        <f>IFERROR(SUMIF(注册申报底表!$J:$J,$B50,注册申报底表!$AA:$AA)/E50,0)</f>
        <v>0</v>
      </c>
      <c r="H50" s="386">
        <f t="shared" ref="H50:H54" si="54">G50*E50</f>
        <v>0</v>
      </c>
      <c r="I50" s="386">
        <f>IFERROR(SUMIF(注册申报底表!$J:$J,$B50,注册申报底表!$AD:$AD)/E50,0)</f>
        <v>0</v>
      </c>
      <c r="J50" s="386">
        <f t="shared" ref="J50:J54" si="55">I50*E50</f>
        <v>0</v>
      </c>
      <c r="K50" s="90"/>
      <c r="L50" s="387">
        <f t="shared" si="53"/>
        <v>0</v>
      </c>
      <c r="M50" s="387">
        <f>SUMIF(注册申报底表!$J:$J,$B50,注册申报底表!$Z:$Z)</f>
        <v>0</v>
      </c>
      <c r="O50" s="388">
        <f>SUMIFS(注册申报底表!$Z:$Z,注册申报底表!$J:$J,$B50,注册申报底表!$G:$G,O$3)</f>
        <v>0</v>
      </c>
      <c r="P50" s="388">
        <f>SUMIFS(注册申报底表!$Z:$Z,注册申报底表!$J:$J,$B50,注册申报底表!$G:$G,P$3)</f>
        <v>0</v>
      </c>
      <c r="Q50" s="388">
        <f>SUMIFS(注册申报底表!$Z:$Z,注册申报底表!$J:$J,$B50,注册申报底表!$G:$G,Q$3)</f>
        <v>0</v>
      </c>
      <c r="R50" s="388">
        <f>SUMIFS(注册申报底表!$Z:$Z,注册申报底表!$J:$J,$B50,注册申报底表!$G:$G,R$3)</f>
        <v>0</v>
      </c>
      <c r="S50" s="388">
        <f>SUMIFS(注册申报底表!$Z:$Z,注册申报底表!$J:$J,$B50,注册申报底表!$G:$G,S$3)</f>
        <v>0</v>
      </c>
      <c r="T50" s="388">
        <f>SUMIFS(注册申报底表!$Z:$Z,注册申报底表!$J:$J,$B50,注册申报底表!$G:$G,T$3)</f>
        <v>0</v>
      </c>
      <c r="U50" s="388">
        <f>SUMIFS(注册申报底表!$Z:$Z,注册申报底表!$J:$J,$B50,注册申报底表!$G:$G,U$3)</f>
        <v>0</v>
      </c>
      <c r="W50" s="389">
        <f>SUMIFS(注册申报底表!$AA:$AA,注册申报底表!$J:$J,$B50,注册申报底表!$G:$G,W$3)</f>
        <v>0</v>
      </c>
      <c r="X50" s="389">
        <f>SUMIFS(注册申报底表!$AA:$AA,注册申报底表!$J:$J,$B50,注册申报底表!$G:$G,X$3)</f>
        <v>0</v>
      </c>
      <c r="Y50" s="389">
        <f>SUMIFS(注册申报底表!$AA:$AA,注册申报底表!$J:$J,$B50,注册申报底表!$G:$G,Y$3)</f>
        <v>0</v>
      </c>
      <c r="Z50" s="389">
        <f>SUMIFS(注册申报底表!$AA:$AA,注册申报底表!$J:$J,$B50,注册申报底表!$G:$G,Z$3)</f>
        <v>0</v>
      </c>
      <c r="AA50" s="389">
        <f>SUMIFS(注册申报底表!$AA:$AA,注册申报底表!$J:$J,$B50,注册申报底表!$G:$G,AA$3)</f>
        <v>0</v>
      </c>
      <c r="AB50" s="389">
        <f>SUMIFS(注册申报底表!$AA:$AA,注册申报底表!$J:$J,$B50,注册申报底表!$G:$G,AB$3)</f>
        <v>0</v>
      </c>
      <c r="AC50" s="389">
        <f>SUMIFS(注册申报底表!$AA:$AA,注册申报底表!$J:$J,$B50,注册申报底表!$G:$G,AC$3)</f>
        <v>0</v>
      </c>
    </row>
    <row r="51" s="128" customFormat="1" ht="21" customHeight="1" spans="2:29">
      <c r="B51" s="90" t="s">
        <v>509</v>
      </c>
      <c r="C51" s="90" t="str">
        <f>INDEX(二三级标准!$C:$C,MATCH($B51,二三级标准!$B:$B,0))</f>
        <v>CTD文件M2更新后二次审核</v>
      </c>
      <c r="D51" s="166">
        <f t="shared" si="49"/>
        <v>0</v>
      </c>
      <c r="E51" s="166">
        <f t="shared" si="50"/>
        <v>0</v>
      </c>
      <c r="F51" s="89" t="str">
        <f>INDEX(二三级标准!$G:$G,MATCH($B51,二三级标准!$B:$B,0))</f>
        <v>次</v>
      </c>
      <c r="G51" s="386">
        <f>IFERROR(SUMIF(注册申报底表!$J:$J,$B51,注册申报底表!$AA:$AA)/E51,0)</f>
        <v>0</v>
      </c>
      <c r="H51" s="386">
        <f t="shared" si="54"/>
        <v>0</v>
      </c>
      <c r="I51" s="386">
        <f>IFERROR(SUMIF(注册申报底表!$J:$J,$B51,注册申报底表!$AD:$AD)/E51,0)</f>
        <v>0</v>
      </c>
      <c r="J51" s="386">
        <f t="shared" si="55"/>
        <v>0</v>
      </c>
      <c r="K51" s="90"/>
      <c r="L51" s="387">
        <f t="shared" si="53"/>
        <v>0</v>
      </c>
      <c r="M51" s="387">
        <f>SUMIF(注册申报底表!$J:$J,$B51,注册申报底表!$Z:$Z)</f>
        <v>0</v>
      </c>
      <c r="O51" s="388">
        <f>SUMIFS(注册申报底表!$Z:$Z,注册申报底表!$J:$J,$B51,注册申报底表!$G:$G,O$3)</f>
        <v>0</v>
      </c>
      <c r="P51" s="388">
        <f>SUMIFS(注册申报底表!$Z:$Z,注册申报底表!$J:$J,$B51,注册申报底表!$G:$G,P$3)</f>
        <v>0</v>
      </c>
      <c r="Q51" s="388">
        <f>SUMIFS(注册申报底表!$Z:$Z,注册申报底表!$J:$J,$B51,注册申报底表!$G:$G,Q$3)</f>
        <v>0</v>
      </c>
      <c r="R51" s="388">
        <f>SUMIFS(注册申报底表!$Z:$Z,注册申报底表!$J:$J,$B51,注册申报底表!$G:$G,R$3)</f>
        <v>0</v>
      </c>
      <c r="S51" s="388">
        <f>SUMIFS(注册申报底表!$Z:$Z,注册申报底表!$J:$J,$B51,注册申报底表!$G:$G,S$3)</f>
        <v>0</v>
      </c>
      <c r="T51" s="388">
        <f>SUMIFS(注册申报底表!$Z:$Z,注册申报底表!$J:$J,$B51,注册申报底表!$G:$G,T$3)</f>
        <v>0</v>
      </c>
      <c r="U51" s="388">
        <f>SUMIFS(注册申报底表!$Z:$Z,注册申报底表!$J:$J,$B51,注册申报底表!$G:$G,U$3)</f>
        <v>0</v>
      </c>
      <c r="W51" s="389">
        <f>SUMIFS(注册申报底表!$AA:$AA,注册申报底表!$J:$J,$B51,注册申报底表!$G:$G,W$3)</f>
        <v>0</v>
      </c>
      <c r="X51" s="389">
        <f>SUMIFS(注册申报底表!$AA:$AA,注册申报底表!$J:$J,$B51,注册申报底表!$G:$G,X$3)</f>
        <v>0</v>
      </c>
      <c r="Y51" s="389">
        <f>SUMIFS(注册申报底表!$AA:$AA,注册申报底表!$J:$J,$B51,注册申报底表!$G:$G,Y$3)</f>
        <v>0</v>
      </c>
      <c r="Z51" s="389">
        <f>SUMIFS(注册申报底表!$AA:$AA,注册申报底表!$J:$J,$B51,注册申报底表!$G:$G,Z$3)</f>
        <v>0</v>
      </c>
      <c r="AA51" s="389">
        <f>SUMIFS(注册申报底表!$AA:$AA,注册申报底表!$J:$J,$B51,注册申报底表!$G:$G,AA$3)</f>
        <v>0</v>
      </c>
      <c r="AB51" s="389">
        <f>SUMIFS(注册申报底表!$AA:$AA,注册申报底表!$J:$J,$B51,注册申报底表!$G:$G,AB$3)</f>
        <v>0</v>
      </c>
      <c r="AC51" s="389">
        <f>SUMIFS(注册申报底表!$AA:$AA,注册申报底表!$J:$J,$B51,注册申报底表!$G:$G,AC$3)</f>
        <v>0</v>
      </c>
    </row>
    <row r="52" s="128" customFormat="1" ht="21" customHeight="1" spans="2:29">
      <c r="B52" s="90" t="s">
        <v>511</v>
      </c>
      <c r="C52" s="90" t="str">
        <f>INDEX(二三级标准!$C:$C,MATCH($B52,二三级标准!$B:$B,0))</f>
        <v>CTD文件M3更新后二次审核</v>
      </c>
      <c r="D52" s="166">
        <f t="shared" si="49"/>
        <v>0</v>
      </c>
      <c r="E52" s="166">
        <f t="shared" si="50"/>
        <v>0</v>
      </c>
      <c r="F52" s="89" t="str">
        <f>INDEX(二三级标准!$G:$G,MATCH($B52,二三级标准!$B:$B,0))</f>
        <v>次</v>
      </c>
      <c r="G52" s="386">
        <f>IFERROR(SUMIF(注册申报底表!$J:$J,$B52,注册申报底表!$AA:$AA)/E52,0)</f>
        <v>0</v>
      </c>
      <c r="H52" s="386">
        <f t="shared" si="54"/>
        <v>0</v>
      </c>
      <c r="I52" s="386">
        <f>IFERROR(SUMIF(注册申报底表!$J:$J,$B52,注册申报底表!$AD:$AD)/E52,0)</f>
        <v>0</v>
      </c>
      <c r="J52" s="386">
        <f t="shared" si="55"/>
        <v>0</v>
      </c>
      <c r="K52" s="90"/>
      <c r="L52" s="387">
        <f t="shared" si="53"/>
        <v>0</v>
      </c>
      <c r="M52" s="387">
        <f>SUMIF(注册申报底表!$J:$J,$B52,注册申报底表!$Z:$Z)</f>
        <v>0</v>
      </c>
      <c r="O52" s="388">
        <f>SUMIFS(注册申报底表!$Z:$Z,注册申报底表!$J:$J,$B52,注册申报底表!$G:$G,O$3)</f>
        <v>0</v>
      </c>
      <c r="P52" s="388">
        <f>SUMIFS(注册申报底表!$Z:$Z,注册申报底表!$J:$J,$B52,注册申报底表!$G:$G,P$3)</f>
        <v>0</v>
      </c>
      <c r="Q52" s="388">
        <f>SUMIFS(注册申报底表!$Z:$Z,注册申报底表!$J:$J,$B52,注册申报底表!$G:$G,Q$3)</f>
        <v>0</v>
      </c>
      <c r="R52" s="388">
        <f>SUMIFS(注册申报底表!$Z:$Z,注册申报底表!$J:$J,$B52,注册申报底表!$G:$G,R$3)</f>
        <v>0</v>
      </c>
      <c r="S52" s="388">
        <f>SUMIFS(注册申报底表!$Z:$Z,注册申报底表!$J:$J,$B52,注册申报底表!$G:$G,S$3)</f>
        <v>0</v>
      </c>
      <c r="T52" s="388">
        <f>SUMIFS(注册申报底表!$Z:$Z,注册申报底表!$J:$J,$B52,注册申报底表!$G:$G,T$3)</f>
        <v>0</v>
      </c>
      <c r="U52" s="388">
        <f>SUMIFS(注册申报底表!$Z:$Z,注册申报底表!$J:$J,$B52,注册申报底表!$G:$G,U$3)</f>
        <v>0</v>
      </c>
      <c r="W52" s="389">
        <f>SUMIFS(注册申报底表!$AA:$AA,注册申报底表!$J:$J,$B52,注册申报底表!$G:$G,W$3)</f>
        <v>0</v>
      </c>
      <c r="X52" s="389">
        <f>SUMIFS(注册申报底表!$AA:$AA,注册申报底表!$J:$J,$B52,注册申报底表!$G:$G,X$3)</f>
        <v>0</v>
      </c>
      <c r="Y52" s="389">
        <f>SUMIFS(注册申报底表!$AA:$AA,注册申报底表!$J:$J,$B52,注册申报底表!$G:$G,Y$3)</f>
        <v>0</v>
      </c>
      <c r="Z52" s="389">
        <f>SUMIFS(注册申报底表!$AA:$AA,注册申报底表!$J:$J,$B52,注册申报底表!$G:$G,Z$3)</f>
        <v>0</v>
      </c>
      <c r="AA52" s="389">
        <f>SUMIFS(注册申报底表!$AA:$AA,注册申报底表!$J:$J,$B52,注册申报底表!$G:$G,AA$3)</f>
        <v>0</v>
      </c>
      <c r="AB52" s="389">
        <f>SUMIFS(注册申报底表!$AA:$AA,注册申报底表!$J:$J,$B52,注册申报底表!$G:$G,AB$3)</f>
        <v>0</v>
      </c>
      <c r="AC52" s="389">
        <f>SUMIFS(注册申报底表!$AA:$AA,注册申报底表!$J:$J,$B52,注册申报底表!$G:$G,AC$3)</f>
        <v>0</v>
      </c>
    </row>
    <row r="53" s="128" customFormat="1" ht="21" customHeight="1" spans="2:29">
      <c r="B53" s="90" t="s">
        <v>513</v>
      </c>
      <c r="C53" s="90" t="str">
        <f>INDEX(二三级标准!$C:$C,MATCH($B53,二三级标准!$B:$B,0))</f>
        <v>CTD文件M4更新后二次审核</v>
      </c>
      <c r="D53" s="166">
        <f t="shared" si="49"/>
        <v>0</v>
      </c>
      <c r="E53" s="166">
        <f t="shared" si="50"/>
        <v>0</v>
      </c>
      <c r="F53" s="89" t="str">
        <f>INDEX(二三级标准!$G:$G,MATCH($B53,二三级标准!$B:$B,0))</f>
        <v>次</v>
      </c>
      <c r="G53" s="386">
        <f>IFERROR(SUMIF(注册申报底表!$J:$J,$B53,注册申报底表!$AA:$AA)/E53,0)</f>
        <v>0</v>
      </c>
      <c r="H53" s="386">
        <f t="shared" si="54"/>
        <v>0</v>
      </c>
      <c r="I53" s="386">
        <f>IFERROR(SUMIF(注册申报底表!$J:$J,$B53,注册申报底表!$AD:$AD)/E53,0)</f>
        <v>0</v>
      </c>
      <c r="J53" s="386">
        <f t="shared" si="55"/>
        <v>0</v>
      </c>
      <c r="K53" s="90"/>
      <c r="L53" s="387">
        <f t="shared" si="53"/>
        <v>0</v>
      </c>
      <c r="M53" s="387">
        <f>SUMIF(注册申报底表!$J:$J,$B53,注册申报底表!$Z:$Z)</f>
        <v>0</v>
      </c>
      <c r="O53" s="388">
        <f>SUMIFS(注册申报底表!$Z:$Z,注册申报底表!$J:$J,$B53,注册申报底表!$G:$G,O$3)</f>
        <v>0</v>
      </c>
      <c r="P53" s="388">
        <f>SUMIFS(注册申报底表!$Z:$Z,注册申报底表!$J:$J,$B53,注册申报底表!$G:$G,P$3)</f>
        <v>0</v>
      </c>
      <c r="Q53" s="388">
        <f>SUMIFS(注册申报底表!$Z:$Z,注册申报底表!$J:$J,$B53,注册申报底表!$G:$G,Q$3)</f>
        <v>0</v>
      </c>
      <c r="R53" s="388">
        <f>SUMIFS(注册申报底表!$Z:$Z,注册申报底表!$J:$J,$B53,注册申报底表!$G:$G,R$3)</f>
        <v>0</v>
      </c>
      <c r="S53" s="388">
        <f>SUMIFS(注册申报底表!$Z:$Z,注册申报底表!$J:$J,$B53,注册申报底表!$G:$G,S$3)</f>
        <v>0</v>
      </c>
      <c r="T53" s="388">
        <f>SUMIFS(注册申报底表!$Z:$Z,注册申报底表!$J:$J,$B53,注册申报底表!$G:$G,T$3)</f>
        <v>0</v>
      </c>
      <c r="U53" s="388">
        <f>SUMIFS(注册申报底表!$Z:$Z,注册申报底表!$J:$J,$B53,注册申报底表!$G:$G,U$3)</f>
        <v>0</v>
      </c>
      <c r="W53" s="389">
        <f>SUMIFS(注册申报底表!$AA:$AA,注册申报底表!$J:$J,$B53,注册申报底表!$G:$G,W$3)</f>
        <v>0</v>
      </c>
      <c r="X53" s="389">
        <f>SUMIFS(注册申报底表!$AA:$AA,注册申报底表!$J:$J,$B53,注册申报底表!$G:$G,X$3)</f>
        <v>0</v>
      </c>
      <c r="Y53" s="389">
        <f>SUMIFS(注册申报底表!$AA:$AA,注册申报底表!$J:$J,$B53,注册申报底表!$G:$G,Y$3)</f>
        <v>0</v>
      </c>
      <c r="Z53" s="389">
        <f>SUMIFS(注册申报底表!$AA:$AA,注册申报底表!$J:$J,$B53,注册申报底表!$G:$G,Z$3)</f>
        <v>0</v>
      </c>
      <c r="AA53" s="389">
        <f>SUMIFS(注册申报底表!$AA:$AA,注册申报底表!$J:$J,$B53,注册申报底表!$G:$G,AA$3)</f>
        <v>0</v>
      </c>
      <c r="AB53" s="389">
        <f>SUMIFS(注册申报底表!$AA:$AA,注册申报底表!$J:$J,$B53,注册申报底表!$G:$G,AB$3)</f>
        <v>0</v>
      </c>
      <c r="AC53" s="389">
        <f>SUMIFS(注册申报底表!$AA:$AA,注册申报底表!$J:$J,$B53,注册申报底表!$G:$G,AC$3)</f>
        <v>0</v>
      </c>
    </row>
    <row r="54" s="128" customFormat="1" ht="21" customHeight="1" spans="2:29">
      <c r="B54" s="90" t="s">
        <v>1979</v>
      </c>
      <c r="C54" s="90" t="str">
        <f>INDEX(二三级标准!$C:$C,MATCH($B54,二三级标准!$B:$B,0))</f>
        <v>CTD文件M5更新后二次审核</v>
      </c>
      <c r="D54" s="166">
        <f t="shared" si="49"/>
        <v>0</v>
      </c>
      <c r="E54" s="166">
        <f t="shared" si="50"/>
        <v>0</v>
      </c>
      <c r="F54" s="89" t="str">
        <f>INDEX(二三级标准!$G:$G,MATCH($B54,二三级标准!$B:$B,0))</f>
        <v>次</v>
      </c>
      <c r="G54" s="386">
        <f>IFERROR(SUMIF(注册申报底表!$J:$J,$B54,注册申报底表!$AA:$AA)/E54,0)</f>
        <v>0</v>
      </c>
      <c r="H54" s="386">
        <f t="shared" si="54"/>
        <v>0</v>
      </c>
      <c r="I54" s="386">
        <f>IFERROR(SUMIF(注册申报底表!$J:$J,$B54,注册申报底表!$AD:$AD)/E54,0)</f>
        <v>0</v>
      </c>
      <c r="J54" s="386">
        <f t="shared" si="55"/>
        <v>0</v>
      </c>
      <c r="K54" s="90"/>
      <c r="L54" s="387">
        <f t="shared" si="53"/>
        <v>0</v>
      </c>
      <c r="M54" s="387">
        <f>SUMIF(注册申报底表!$J:$J,$B54,注册申报底表!$Z:$Z)</f>
        <v>0</v>
      </c>
      <c r="O54" s="388">
        <f>SUMIFS(注册申报底表!$Z:$Z,注册申报底表!$J:$J,$B54,注册申报底表!$G:$G,O$3)</f>
        <v>0</v>
      </c>
      <c r="P54" s="388">
        <f>SUMIFS(注册申报底表!$Z:$Z,注册申报底表!$J:$J,$B54,注册申报底表!$G:$G,P$3)</f>
        <v>0</v>
      </c>
      <c r="Q54" s="388">
        <f>SUMIFS(注册申报底表!$Z:$Z,注册申报底表!$J:$J,$B54,注册申报底表!$G:$G,Q$3)</f>
        <v>0</v>
      </c>
      <c r="R54" s="388">
        <f>SUMIFS(注册申报底表!$Z:$Z,注册申报底表!$J:$J,$B54,注册申报底表!$G:$G,R$3)</f>
        <v>0</v>
      </c>
      <c r="S54" s="388">
        <f>SUMIFS(注册申报底表!$Z:$Z,注册申报底表!$J:$J,$B54,注册申报底表!$G:$G,S$3)</f>
        <v>0</v>
      </c>
      <c r="T54" s="388">
        <f>SUMIFS(注册申报底表!$Z:$Z,注册申报底表!$J:$J,$B54,注册申报底表!$G:$G,T$3)</f>
        <v>0</v>
      </c>
      <c r="U54" s="388">
        <f>SUMIFS(注册申报底表!$Z:$Z,注册申报底表!$J:$J,$B54,注册申报底表!$G:$G,U$3)</f>
        <v>0</v>
      </c>
      <c r="W54" s="389">
        <f>SUMIFS(注册申报底表!$AA:$AA,注册申报底表!$J:$J,$B54,注册申报底表!$G:$G,W$3)</f>
        <v>0</v>
      </c>
      <c r="X54" s="389">
        <f>SUMIFS(注册申报底表!$AA:$AA,注册申报底表!$J:$J,$B54,注册申报底表!$G:$G,X$3)</f>
        <v>0</v>
      </c>
      <c r="Y54" s="389">
        <f>SUMIFS(注册申报底表!$AA:$AA,注册申报底表!$J:$J,$B54,注册申报底表!$G:$G,Y$3)</f>
        <v>0</v>
      </c>
      <c r="Z54" s="389">
        <f>SUMIFS(注册申报底表!$AA:$AA,注册申报底表!$J:$J,$B54,注册申报底表!$G:$G,Z$3)</f>
        <v>0</v>
      </c>
      <c r="AA54" s="389">
        <f>SUMIFS(注册申报底表!$AA:$AA,注册申报底表!$J:$J,$B54,注册申报底表!$G:$G,AA$3)</f>
        <v>0</v>
      </c>
      <c r="AB54" s="389">
        <f>SUMIFS(注册申报底表!$AA:$AA,注册申报底表!$J:$J,$B54,注册申报底表!$G:$G,AB$3)</f>
        <v>0</v>
      </c>
      <c r="AC54" s="389">
        <f>SUMIFS(注册申报底表!$AA:$AA,注册申报底表!$J:$J,$B54,注册申报底表!$G:$G,AC$3)</f>
        <v>0</v>
      </c>
    </row>
    <row r="55" ht="21" customHeight="1" spans="2:29">
      <c r="B55" s="88" t="s">
        <v>1980</v>
      </c>
      <c r="C55" s="88" t="str">
        <f>INDEX(二三级标准!Q:Q,MATCH($B55,二三级标准!$O:$O,0))</f>
        <v>IND递交</v>
      </c>
      <c r="D55" s="376">
        <v>0</v>
      </c>
      <c r="E55" s="377"/>
      <c r="F55" s="378"/>
      <c r="G55" s="379"/>
      <c r="H55" s="380">
        <f>H56</f>
        <v>0</v>
      </c>
      <c r="I55" s="390"/>
      <c r="J55" s="380">
        <f>J56</f>
        <v>0</v>
      </c>
      <c r="K55" s="378"/>
      <c r="L55" s="378"/>
      <c r="M55" s="392">
        <f>M56</f>
        <v>0</v>
      </c>
      <c r="N55" s="385"/>
      <c r="O55" s="392">
        <f>O56</f>
        <v>0</v>
      </c>
      <c r="P55" s="392">
        <f t="shared" ref="P55:U55" si="56">P56</f>
        <v>0</v>
      </c>
      <c r="Q55" s="392">
        <f t="shared" si="56"/>
        <v>0</v>
      </c>
      <c r="R55" s="392">
        <f t="shared" si="56"/>
        <v>0</v>
      </c>
      <c r="S55" s="392">
        <f t="shared" si="56"/>
        <v>0</v>
      </c>
      <c r="T55" s="392">
        <f t="shared" si="56"/>
        <v>0</v>
      </c>
      <c r="U55" s="392">
        <f t="shared" si="56"/>
        <v>0</v>
      </c>
      <c r="W55" s="381">
        <f>W56</f>
        <v>0</v>
      </c>
      <c r="X55" s="381">
        <f t="shared" ref="X55:AC55" si="57">X56</f>
        <v>0</v>
      </c>
      <c r="Y55" s="381">
        <f t="shared" si="57"/>
        <v>0</v>
      </c>
      <c r="Z55" s="381">
        <f t="shared" si="57"/>
        <v>0</v>
      </c>
      <c r="AA55" s="381">
        <f t="shared" si="57"/>
        <v>0</v>
      </c>
      <c r="AB55" s="381">
        <f t="shared" si="57"/>
        <v>0</v>
      </c>
      <c r="AC55" s="381">
        <f t="shared" si="57"/>
        <v>0</v>
      </c>
    </row>
    <row r="56" ht="21" customHeight="1" spans="2:29">
      <c r="B56" s="89" t="s">
        <v>515</v>
      </c>
      <c r="C56" s="90" t="str">
        <f>INDEX(二三级标准!$C:$C,MATCH($B56,二三级标准!$B:$B,0))</f>
        <v>IND递交</v>
      </c>
      <c r="D56" s="166">
        <f>IF($D$55=1,1,0)</f>
        <v>0</v>
      </c>
      <c r="E56" s="166">
        <f t="shared" ref="E56:E73" si="58">IF($D56=1,1,0)</f>
        <v>0</v>
      </c>
      <c r="F56" s="89" t="str">
        <f>INDEX(二三级标准!$G:$G,MATCH($B56,二三级标准!$B:$B,0))</f>
        <v>次</v>
      </c>
      <c r="G56" s="386">
        <f>IFERROR(SUMIF(注册申报底表!$J:$J,$B56,注册申报底表!$AA:$AA)/E56,0)</f>
        <v>0</v>
      </c>
      <c r="H56" s="386">
        <f t="shared" ref="H56" si="59">G56*E56</f>
        <v>0</v>
      </c>
      <c r="I56" s="386">
        <f>IFERROR(SUMIF(注册申报底表!$J:$J,$B56,注册申报底表!$AD:$AD)/E56,0)</f>
        <v>0</v>
      </c>
      <c r="J56" s="386">
        <f t="shared" ref="J56" si="60">I56*E56</f>
        <v>0</v>
      </c>
      <c r="K56" s="89" t="s">
        <v>1981</v>
      </c>
      <c r="L56" s="387">
        <f t="shared" ref="L56:L94" si="61">IF(D56=1,M56/E56,0)</f>
        <v>0</v>
      </c>
      <c r="M56" s="387">
        <f>SUMIF(注册申报底表!$J:$J,$B56,注册申报底表!$Z:$Z)</f>
        <v>0</v>
      </c>
      <c r="O56" s="388">
        <f>SUMIFS(注册申报底表!$Z:$Z,注册申报底表!$J:$J,$B56,注册申报底表!$G:$G,O$3)</f>
        <v>0</v>
      </c>
      <c r="P56" s="388">
        <f>SUMIFS(注册申报底表!$Z:$Z,注册申报底表!$J:$J,$B56,注册申报底表!$G:$G,P$3)</f>
        <v>0</v>
      </c>
      <c r="Q56" s="388">
        <f>SUMIFS(注册申报底表!$Z:$Z,注册申报底表!$J:$J,$B56,注册申报底表!$G:$G,Q$3)</f>
        <v>0</v>
      </c>
      <c r="R56" s="388">
        <f>SUMIFS(注册申报底表!$Z:$Z,注册申报底表!$J:$J,$B56,注册申报底表!$G:$G,R$3)</f>
        <v>0</v>
      </c>
      <c r="S56" s="388">
        <f>SUMIFS(注册申报底表!$Z:$Z,注册申报底表!$J:$J,$B56,注册申报底表!$G:$G,S$3)</f>
        <v>0</v>
      </c>
      <c r="T56" s="388">
        <f>SUMIFS(注册申报底表!$Z:$Z,注册申报底表!$J:$J,$B56,注册申报底表!$G:$G,T$3)</f>
        <v>0</v>
      </c>
      <c r="U56" s="388">
        <f>SUMIFS(注册申报底表!$Z:$Z,注册申报底表!$J:$J,$B56,注册申报底表!$G:$G,U$3)</f>
        <v>0</v>
      </c>
      <c r="W56" s="389">
        <f>SUMIFS(注册申报底表!$AA:$AA,注册申报底表!$J:$J,$B56,注册申报底表!$G:$G,W$3)</f>
        <v>0</v>
      </c>
      <c r="X56" s="389">
        <f>SUMIFS(注册申报底表!$AA:$AA,注册申报底表!$J:$J,$B56,注册申报底表!$G:$G,X$3)</f>
        <v>0</v>
      </c>
      <c r="Y56" s="389">
        <f>SUMIFS(注册申报底表!$AA:$AA,注册申报底表!$J:$J,$B56,注册申报底表!$G:$G,Y$3)</f>
        <v>0</v>
      </c>
      <c r="Z56" s="389">
        <f>SUMIFS(注册申报底表!$AA:$AA,注册申报底表!$J:$J,$B56,注册申报底表!$G:$G,Z$3)</f>
        <v>0</v>
      </c>
      <c r="AA56" s="389">
        <f>SUMIFS(注册申报底表!$AA:$AA,注册申报底表!$J:$J,$B56,注册申报底表!$G:$G,AA$3)</f>
        <v>0</v>
      </c>
      <c r="AB56" s="389">
        <f>SUMIFS(注册申报底表!$AA:$AA,注册申报底表!$J:$J,$B56,注册申报底表!$G:$G,AB$3)</f>
        <v>0</v>
      </c>
      <c r="AC56" s="389">
        <f>SUMIFS(注册申报底表!$AA:$AA,注册申报底表!$J:$J,$B56,注册申报底表!$G:$G,AC$3)</f>
        <v>0</v>
      </c>
    </row>
    <row r="57" ht="21" customHeight="1" spans="2:29">
      <c r="B57" s="88" t="s">
        <v>1982</v>
      </c>
      <c r="C57" s="88" t="str">
        <f>INDEX(二三级标准!Q:Q,MATCH($B57,二三级标准!$O:$O,0))</f>
        <v>IND通知书解析</v>
      </c>
      <c r="D57" s="376">
        <v>0</v>
      </c>
      <c r="E57" s="377"/>
      <c r="F57" s="378"/>
      <c r="G57" s="379"/>
      <c r="H57" s="380">
        <f>H58</f>
        <v>0</v>
      </c>
      <c r="I57" s="390"/>
      <c r="J57" s="380">
        <f>J58</f>
        <v>0</v>
      </c>
      <c r="K57" s="394" t="s">
        <v>1971</v>
      </c>
      <c r="L57" s="378"/>
      <c r="M57" s="392">
        <f>M58</f>
        <v>0</v>
      </c>
      <c r="N57" s="385"/>
      <c r="O57" s="392">
        <f>O58</f>
        <v>0</v>
      </c>
      <c r="P57" s="392">
        <f t="shared" ref="P57:U57" si="62">P58</f>
        <v>0</v>
      </c>
      <c r="Q57" s="392">
        <f t="shared" si="62"/>
        <v>0</v>
      </c>
      <c r="R57" s="392">
        <f t="shared" si="62"/>
        <v>0</v>
      </c>
      <c r="S57" s="392">
        <f t="shared" si="62"/>
        <v>0</v>
      </c>
      <c r="T57" s="392">
        <f t="shared" si="62"/>
        <v>0</v>
      </c>
      <c r="U57" s="392">
        <f t="shared" si="62"/>
        <v>0</v>
      </c>
      <c r="W57" s="381">
        <f>W58</f>
        <v>0</v>
      </c>
      <c r="X57" s="381">
        <f t="shared" ref="X57:AC57" si="63">X58</f>
        <v>0</v>
      </c>
      <c r="Y57" s="381">
        <f t="shared" si="63"/>
        <v>0</v>
      </c>
      <c r="Z57" s="381">
        <f t="shared" si="63"/>
        <v>0</v>
      </c>
      <c r="AA57" s="381">
        <f t="shared" si="63"/>
        <v>0</v>
      </c>
      <c r="AB57" s="381">
        <f t="shared" si="63"/>
        <v>0</v>
      </c>
      <c r="AC57" s="381">
        <f t="shared" si="63"/>
        <v>0</v>
      </c>
    </row>
    <row r="58" ht="21" customHeight="1" spans="2:29">
      <c r="B58" s="89" t="s">
        <v>517</v>
      </c>
      <c r="C58" s="90" t="str">
        <f>INDEX(二三级标准!$C:$C,MATCH($B58,二三级标准!$B:$B,0))</f>
        <v>IND通知书解析</v>
      </c>
      <c r="D58" s="166">
        <f>IF($D$57=1,1,0)</f>
        <v>0</v>
      </c>
      <c r="E58" s="166">
        <f t="shared" si="58"/>
        <v>0</v>
      </c>
      <c r="F58" s="89" t="str">
        <f>INDEX(二三级标准!$G:$G,MATCH($B58,二三级标准!$B:$B,0))</f>
        <v>次</v>
      </c>
      <c r="G58" s="386">
        <f>IFERROR(SUMIF(注册申报底表!$J:$J,$B58,注册申报底表!$AA:$AA)/E58,0)</f>
        <v>0</v>
      </c>
      <c r="H58" s="386">
        <f t="shared" ref="H58" si="64">G58*E58</f>
        <v>0</v>
      </c>
      <c r="I58" s="386">
        <f>IFERROR(SUMIF(注册申报底表!$J:$J,$B58,注册申报底表!$AD:$AD)/E58,0)</f>
        <v>0</v>
      </c>
      <c r="J58" s="386">
        <f t="shared" ref="J58" si="65">I58*E58</f>
        <v>0</v>
      </c>
      <c r="K58" s="89"/>
      <c r="L58" s="387">
        <f t="shared" si="61"/>
        <v>0</v>
      </c>
      <c r="M58" s="387">
        <f>SUMIF(注册申报底表!$J:$J,$B58,注册申报底表!$Z:$Z)</f>
        <v>0</v>
      </c>
      <c r="O58" s="388">
        <f>SUMIFS(注册申报底表!$Z:$Z,注册申报底表!$J:$J,$B58,注册申报底表!$G:$G,O$3)</f>
        <v>0</v>
      </c>
      <c r="P58" s="388">
        <f>SUMIFS(注册申报底表!$Z:$Z,注册申报底表!$J:$J,$B58,注册申报底表!$G:$G,P$3)</f>
        <v>0</v>
      </c>
      <c r="Q58" s="388">
        <f>SUMIFS(注册申报底表!$Z:$Z,注册申报底表!$J:$J,$B58,注册申报底表!$G:$G,Q$3)</f>
        <v>0</v>
      </c>
      <c r="R58" s="388">
        <f>SUMIFS(注册申报底表!$Z:$Z,注册申报底表!$J:$J,$B58,注册申报底表!$G:$G,R$3)</f>
        <v>0</v>
      </c>
      <c r="S58" s="388">
        <f>SUMIFS(注册申报底表!$Z:$Z,注册申报底表!$J:$J,$B58,注册申报底表!$G:$G,S$3)</f>
        <v>0</v>
      </c>
      <c r="T58" s="388">
        <f>SUMIFS(注册申报底表!$Z:$Z,注册申报底表!$J:$J,$B58,注册申报底表!$G:$G,T$3)</f>
        <v>0</v>
      </c>
      <c r="U58" s="388">
        <f>SUMIFS(注册申报底表!$Z:$Z,注册申报底表!$J:$J,$B58,注册申报底表!$G:$G,U$3)</f>
        <v>0</v>
      </c>
      <c r="W58" s="389">
        <f>SUMIFS(注册申报底表!$AA:$AA,注册申报底表!$J:$J,$B58,注册申报底表!$G:$G,W$3)</f>
        <v>0</v>
      </c>
      <c r="X58" s="389">
        <f>SUMIFS(注册申报底表!$AA:$AA,注册申报底表!$J:$J,$B58,注册申报底表!$G:$G,X$3)</f>
        <v>0</v>
      </c>
      <c r="Y58" s="389">
        <f>SUMIFS(注册申报底表!$AA:$AA,注册申报底表!$J:$J,$B58,注册申报底表!$G:$G,Y$3)</f>
        <v>0</v>
      </c>
      <c r="Z58" s="389">
        <f>SUMIFS(注册申报底表!$AA:$AA,注册申报底表!$J:$J,$B58,注册申报底表!$G:$G,Z$3)</f>
        <v>0</v>
      </c>
      <c r="AA58" s="389">
        <f>SUMIFS(注册申报底表!$AA:$AA,注册申报底表!$J:$J,$B58,注册申报底表!$G:$G,AA$3)</f>
        <v>0</v>
      </c>
      <c r="AB58" s="389">
        <f>SUMIFS(注册申报底表!$AA:$AA,注册申报底表!$J:$J,$B58,注册申报底表!$G:$G,AB$3)</f>
        <v>0</v>
      </c>
      <c r="AC58" s="389">
        <f>SUMIFS(注册申报底表!$AA:$AA,注册申报底表!$J:$J,$B58,注册申报底表!$G:$G,AC$3)</f>
        <v>0</v>
      </c>
    </row>
    <row r="59" ht="21" customHeight="1" spans="2:29">
      <c r="B59" s="88" t="s">
        <v>1983</v>
      </c>
      <c r="C59" s="88" t="str">
        <f>INDEX(二三级标准!Q:Q,MATCH($B59,二三级标准!$O:$O,0))</f>
        <v>NDA申报资料准备</v>
      </c>
      <c r="D59" s="376">
        <f>IF(注册事务YN=1,1,0)</f>
        <v>0</v>
      </c>
      <c r="E59" s="377"/>
      <c r="F59" s="378"/>
      <c r="G59" s="379"/>
      <c r="H59" s="380">
        <f t="shared" ref="H59:M59" si="66">SUM(H61:H73,H75:H81,H83:H85,H87:H89,H91:H94)</f>
        <v>0</v>
      </c>
      <c r="I59" s="390"/>
      <c r="J59" s="380">
        <f t="shared" si="66"/>
        <v>0</v>
      </c>
      <c r="K59" s="394"/>
      <c r="L59" s="378"/>
      <c r="M59" s="392">
        <f t="shared" si="66"/>
        <v>0</v>
      </c>
      <c r="N59" s="385"/>
      <c r="O59" s="392">
        <f t="shared" ref="O59:U59" si="67">SUM(O61:O73,O75:O81,O83:O85,O87:O89,O91:O94)</f>
        <v>0</v>
      </c>
      <c r="P59" s="392">
        <f t="shared" si="67"/>
        <v>0</v>
      </c>
      <c r="Q59" s="392">
        <f t="shared" si="67"/>
        <v>0</v>
      </c>
      <c r="R59" s="392">
        <f t="shared" si="67"/>
        <v>0</v>
      </c>
      <c r="S59" s="392">
        <f t="shared" si="67"/>
        <v>0</v>
      </c>
      <c r="T59" s="392">
        <f t="shared" si="67"/>
        <v>0</v>
      </c>
      <c r="U59" s="392">
        <f t="shared" si="67"/>
        <v>0</v>
      </c>
      <c r="W59" s="381">
        <v>0</v>
      </c>
      <c r="X59" s="381">
        <v>0</v>
      </c>
      <c r="Y59" s="381">
        <v>0</v>
      </c>
      <c r="Z59" s="381">
        <v>0</v>
      </c>
      <c r="AA59" s="381">
        <v>0</v>
      </c>
      <c r="AB59" s="381">
        <v>0</v>
      </c>
      <c r="AC59" s="381">
        <v>0</v>
      </c>
    </row>
    <row r="60" ht="21" customHeight="1" spans="2:29">
      <c r="B60" s="395" t="s">
        <v>1984</v>
      </c>
      <c r="C60" s="396"/>
      <c r="D60" s="396"/>
      <c r="E60" s="396"/>
      <c r="F60" s="396"/>
      <c r="G60" s="396"/>
      <c r="H60" s="396"/>
      <c r="I60" s="396"/>
      <c r="J60" s="396"/>
      <c r="K60" s="397"/>
      <c r="L60" s="378"/>
      <c r="M60" s="392"/>
      <c r="N60" s="385"/>
      <c r="O60" s="392"/>
      <c r="P60" s="392"/>
      <c r="Q60" s="392"/>
      <c r="R60" s="392"/>
      <c r="S60" s="392"/>
      <c r="T60" s="392"/>
      <c r="U60" s="392"/>
      <c r="W60" s="381"/>
      <c r="X60" s="381"/>
      <c r="Y60" s="381"/>
      <c r="Z60" s="381"/>
      <c r="AA60" s="381"/>
      <c r="AB60" s="381"/>
      <c r="AC60" s="381"/>
    </row>
    <row r="61" ht="21" customHeight="1" spans="2:29">
      <c r="B61" s="89" t="s">
        <v>1985</v>
      </c>
      <c r="C61" s="90" t="str">
        <f>INDEX(二三级标准!$C:$C,MATCH($B61,二三级标准!$B:$B,0))</f>
        <v>1.0 说明函</v>
      </c>
      <c r="D61" s="166">
        <f t="shared" ref="D61:D66" si="68">IF($D$59=1,1,0)</f>
        <v>0</v>
      </c>
      <c r="E61" s="166">
        <f t="shared" si="58"/>
        <v>0</v>
      </c>
      <c r="F61" s="89" t="s">
        <v>1176</v>
      </c>
      <c r="G61" s="386">
        <f>IFERROR(SUMIF(注册申报底表!$J:$J,$B61,注册申报底表!$AA:$AA)/E61,0)</f>
        <v>0</v>
      </c>
      <c r="H61" s="386">
        <f t="shared" ref="H61:H73" si="69">G61*E61</f>
        <v>0</v>
      </c>
      <c r="I61" s="386">
        <f>IFERROR(SUMIF(注册申报底表!$J:$J,$B61,注册申报底表!$AD:$AD)/E61,0)</f>
        <v>0</v>
      </c>
      <c r="J61" s="386">
        <f t="shared" ref="J61:J73" si="70">I61*E61</f>
        <v>0</v>
      </c>
      <c r="K61" s="89"/>
      <c r="L61" s="387">
        <f t="shared" si="61"/>
        <v>0</v>
      </c>
      <c r="M61" s="387">
        <v>0</v>
      </c>
      <c r="O61" s="388">
        <f>SUMIFS(注册申报底表!$Z:$Z,注册申报底表!$J:$J,$B61,注册申报底表!$G:$G,O$3)</f>
        <v>0</v>
      </c>
      <c r="P61" s="388">
        <f>SUMIFS(注册申报底表!$Z:$Z,注册申报底表!$J:$J,$B61,注册申报底表!$G:$G,P$3)</f>
        <v>0</v>
      </c>
      <c r="Q61" s="388">
        <f>SUMIFS(注册申报底表!$Z:$Z,注册申报底表!$J:$J,$B61,注册申报底表!$G:$G,Q$3)</f>
        <v>0</v>
      </c>
      <c r="R61" s="388">
        <f>SUMIFS(注册申报底表!$Z:$Z,注册申报底表!$J:$J,$B61,注册申报底表!$G:$G,R$3)</f>
        <v>0</v>
      </c>
      <c r="S61" s="388">
        <f>SUMIFS(注册申报底表!$Z:$Z,注册申报底表!$J:$J,$B61,注册申报底表!$G:$G,S$3)</f>
        <v>0</v>
      </c>
      <c r="T61" s="388">
        <f>SUMIFS(注册申报底表!$Z:$Z,注册申报底表!$J:$J,$B61,注册申报底表!$G:$G,T$3)</f>
        <v>0</v>
      </c>
      <c r="U61" s="388">
        <f>SUMIFS(注册申报底表!$Z:$Z,注册申报底表!$J:$J,$B61,注册申报底表!$G:$G,U$3)</f>
        <v>0</v>
      </c>
      <c r="W61" s="389">
        <f>SUMIFS(注册申报底表!$AA:$AA,注册申报底表!$J:$J,$B61,注册申报底表!$G:$G,W$3)</f>
        <v>0</v>
      </c>
      <c r="X61" s="389">
        <f>SUMIFS(注册申报底表!$AA:$AA,注册申报底表!$J:$J,$B61,注册申报底表!$G:$G,X$3)</f>
        <v>0</v>
      </c>
      <c r="Y61" s="389">
        <f>SUMIFS(注册申报底表!$AA:$AA,注册申报底表!$J:$J,$B61,注册申报底表!$G:$G,Y$3)</f>
        <v>0</v>
      </c>
      <c r="Z61" s="389">
        <f>SUMIFS(注册申报底表!$AA:$AA,注册申报底表!$J:$J,$B61,注册申报底表!$G:$G,Z$3)</f>
        <v>0</v>
      </c>
      <c r="AA61" s="389">
        <f>SUMIFS(注册申报底表!$AA:$AA,注册申报底表!$J:$J,$B61,注册申报底表!$G:$G,AA$3)</f>
        <v>0</v>
      </c>
      <c r="AB61" s="389">
        <f>SUMIFS(注册申报底表!$AA:$AA,注册申报底表!$J:$J,$B61,注册申报底表!$G:$G,AB$3)</f>
        <v>0</v>
      </c>
      <c r="AC61" s="389">
        <f>SUMIFS(注册申报底表!$AA:$AA,注册申报底表!$J:$J,$B61,注册申报底表!$G:$G,AC$3)</f>
        <v>0</v>
      </c>
    </row>
    <row r="62" ht="21" customHeight="1" spans="2:29">
      <c r="B62" s="89" t="s">
        <v>1986</v>
      </c>
      <c r="C62" s="90" t="str">
        <f>INDEX(二三级标准!$C:$C,MATCH($B62,二三级标准!$B:$B,0))</f>
        <v>1.1 目录</v>
      </c>
      <c r="D62" s="166">
        <f t="shared" si="68"/>
        <v>0</v>
      </c>
      <c r="E62" s="166">
        <f t="shared" si="58"/>
        <v>0</v>
      </c>
      <c r="F62" s="89" t="s">
        <v>1176</v>
      </c>
      <c r="G62" s="386">
        <f>IFERROR(SUMIF(注册申报底表!$J:$J,$B62,注册申报底表!$AA:$AA)/E62,0)</f>
        <v>0</v>
      </c>
      <c r="H62" s="386">
        <f t="shared" si="69"/>
        <v>0</v>
      </c>
      <c r="I62" s="386">
        <f>IFERROR(SUMIF(注册申报底表!$J:$J,$B62,注册申报底表!$AD:$AD)/E62,0)</f>
        <v>0</v>
      </c>
      <c r="J62" s="386">
        <f t="shared" si="70"/>
        <v>0</v>
      </c>
      <c r="K62" s="89"/>
      <c r="L62" s="387">
        <f t="shared" si="61"/>
        <v>0</v>
      </c>
      <c r="M62" s="387">
        <f>SUMIF(注册申报底表!$J:$J,$B62,注册申报底表!$Z:$Z)</f>
        <v>0</v>
      </c>
      <c r="O62" s="388">
        <f>SUMIFS(注册申报底表!$Z:$Z,注册申报底表!$J:$J,$B62,注册申报底表!$G:$G,O$3)</f>
        <v>0</v>
      </c>
      <c r="P62" s="388">
        <f>SUMIFS(注册申报底表!$Z:$Z,注册申报底表!$J:$J,$B62,注册申报底表!$G:$G,P$3)</f>
        <v>0</v>
      </c>
      <c r="Q62" s="388">
        <f>SUMIFS(注册申报底表!$Z:$Z,注册申报底表!$J:$J,$B62,注册申报底表!$G:$G,Q$3)</f>
        <v>0</v>
      </c>
      <c r="R62" s="388">
        <f>SUMIFS(注册申报底表!$Z:$Z,注册申报底表!$J:$J,$B62,注册申报底表!$G:$G,R$3)</f>
        <v>0</v>
      </c>
      <c r="S62" s="388">
        <f>SUMIFS(注册申报底表!$Z:$Z,注册申报底表!$J:$J,$B62,注册申报底表!$G:$G,S$3)</f>
        <v>0</v>
      </c>
      <c r="T62" s="388">
        <f>SUMIFS(注册申报底表!$Z:$Z,注册申报底表!$J:$J,$B62,注册申报底表!$G:$G,T$3)</f>
        <v>0</v>
      </c>
      <c r="U62" s="388">
        <f>SUMIFS(注册申报底表!$Z:$Z,注册申报底表!$J:$J,$B62,注册申报底表!$G:$G,U$3)</f>
        <v>0</v>
      </c>
      <c r="W62" s="389">
        <f>SUMIFS(注册申报底表!$AA:$AA,注册申报底表!$J:$J,$B62,注册申报底表!$G:$G,W$3)</f>
        <v>0</v>
      </c>
      <c r="X62" s="389">
        <f>SUMIFS(注册申报底表!$AA:$AA,注册申报底表!$J:$J,$B62,注册申报底表!$G:$G,X$3)</f>
        <v>0</v>
      </c>
      <c r="Y62" s="389">
        <f>SUMIFS(注册申报底表!$AA:$AA,注册申报底表!$J:$J,$B62,注册申报底表!$G:$G,Y$3)</f>
        <v>0</v>
      </c>
      <c r="Z62" s="389">
        <f>SUMIFS(注册申报底表!$AA:$AA,注册申报底表!$J:$J,$B62,注册申报底表!$G:$G,Z$3)</f>
        <v>0</v>
      </c>
      <c r="AA62" s="389">
        <f>SUMIFS(注册申报底表!$AA:$AA,注册申报底表!$J:$J,$B62,注册申报底表!$G:$G,AA$3)</f>
        <v>0</v>
      </c>
      <c r="AB62" s="389">
        <f>SUMIFS(注册申报底表!$AA:$AA,注册申报底表!$J:$J,$B62,注册申报底表!$G:$G,AB$3)</f>
        <v>0</v>
      </c>
      <c r="AC62" s="389">
        <f>SUMIFS(注册申报底表!$AA:$AA,注册申报底表!$J:$J,$B62,注册申报底表!$G:$G,AC$3)</f>
        <v>0</v>
      </c>
    </row>
    <row r="63" ht="21" customHeight="1" spans="2:29">
      <c r="B63" s="89" t="s">
        <v>1987</v>
      </c>
      <c r="C63" s="90" t="str">
        <f>INDEX(二三级标准!$C:$C,MATCH($B63,二三级标准!$B:$B,0))</f>
        <v>1.2 申请表</v>
      </c>
      <c r="D63" s="166">
        <f t="shared" si="68"/>
        <v>0</v>
      </c>
      <c r="E63" s="166">
        <f t="shared" si="58"/>
        <v>0</v>
      </c>
      <c r="F63" s="89" t="s">
        <v>1176</v>
      </c>
      <c r="G63" s="386">
        <f>IFERROR(SUMIF(注册申报底表!$J:$J,$B63,注册申报底表!$AA:$AA)/E63,0)</f>
        <v>0</v>
      </c>
      <c r="H63" s="386">
        <f t="shared" si="69"/>
        <v>0</v>
      </c>
      <c r="I63" s="386">
        <f>IFERROR(SUMIF(注册申报底表!$J:$J,$B63,注册申报底表!$AD:$AD)/E63,0)</f>
        <v>0</v>
      </c>
      <c r="J63" s="386">
        <f t="shared" si="70"/>
        <v>0</v>
      </c>
      <c r="K63" s="89"/>
      <c r="L63" s="387">
        <f t="shared" si="61"/>
        <v>0</v>
      </c>
      <c r="M63" s="387">
        <f>SUMIF(注册申报底表!$J:$J,$B63,注册申报底表!$Z:$Z)</f>
        <v>0</v>
      </c>
      <c r="O63" s="388">
        <f>SUMIFS(注册申报底表!$Z:$Z,注册申报底表!$J:$J,$B63,注册申报底表!$G:$G,O$3)</f>
        <v>0</v>
      </c>
      <c r="P63" s="388">
        <f>SUMIFS(注册申报底表!$Z:$Z,注册申报底表!$J:$J,$B63,注册申报底表!$G:$G,P$3)</f>
        <v>0</v>
      </c>
      <c r="Q63" s="388">
        <f>SUMIFS(注册申报底表!$Z:$Z,注册申报底表!$J:$J,$B63,注册申报底表!$G:$G,Q$3)</f>
        <v>0</v>
      </c>
      <c r="R63" s="388">
        <f>SUMIFS(注册申报底表!$Z:$Z,注册申报底表!$J:$J,$B63,注册申报底表!$G:$G,R$3)</f>
        <v>0</v>
      </c>
      <c r="S63" s="388">
        <f>SUMIFS(注册申报底表!$Z:$Z,注册申报底表!$J:$J,$B63,注册申报底表!$G:$G,S$3)</f>
        <v>0</v>
      </c>
      <c r="T63" s="388">
        <f>SUMIFS(注册申报底表!$Z:$Z,注册申报底表!$J:$J,$B63,注册申报底表!$G:$G,T$3)</f>
        <v>0</v>
      </c>
      <c r="U63" s="388">
        <f>SUMIFS(注册申报底表!$Z:$Z,注册申报底表!$J:$J,$B63,注册申报底表!$G:$G,U$3)</f>
        <v>0</v>
      </c>
      <c r="W63" s="389">
        <f>SUMIFS(注册申报底表!$AA:$AA,注册申报底表!$J:$J,$B63,注册申报底表!$G:$G,W$3)</f>
        <v>0</v>
      </c>
      <c r="X63" s="389">
        <f>SUMIFS(注册申报底表!$AA:$AA,注册申报底表!$J:$J,$B63,注册申报底表!$G:$G,X$3)</f>
        <v>0</v>
      </c>
      <c r="Y63" s="389">
        <f>SUMIFS(注册申报底表!$AA:$AA,注册申报底表!$J:$J,$B63,注册申报底表!$G:$G,Y$3)</f>
        <v>0</v>
      </c>
      <c r="Z63" s="389">
        <f>SUMIFS(注册申报底表!$AA:$AA,注册申报底表!$J:$J,$B63,注册申报底表!$G:$G,Z$3)</f>
        <v>0</v>
      </c>
      <c r="AA63" s="389">
        <f>SUMIFS(注册申报底表!$AA:$AA,注册申报底表!$J:$J,$B63,注册申报底表!$G:$G,AA$3)</f>
        <v>0</v>
      </c>
      <c r="AB63" s="389">
        <f>SUMIFS(注册申报底表!$AA:$AA,注册申报底表!$J:$J,$B63,注册申报底表!$G:$G,AB$3)</f>
        <v>0</v>
      </c>
      <c r="AC63" s="389">
        <f>SUMIFS(注册申报底表!$AA:$AA,注册申报底表!$J:$J,$B63,注册申报底表!$G:$G,AC$3)</f>
        <v>0</v>
      </c>
    </row>
    <row r="64" ht="21" customHeight="1" spans="2:29">
      <c r="B64" s="89" t="s">
        <v>1988</v>
      </c>
      <c r="C64" s="90" t="str">
        <f>INDEX(二三级标准!$C:$C,MATCH($B64,二三级标准!$B:$B,0))</f>
        <v>1.3 产品信息相关材料</v>
      </c>
      <c r="D64" s="166">
        <f t="shared" si="68"/>
        <v>0</v>
      </c>
      <c r="E64" s="166">
        <f t="shared" si="58"/>
        <v>0</v>
      </c>
      <c r="F64" s="89" t="s">
        <v>1176</v>
      </c>
      <c r="G64" s="386">
        <f>IFERROR(SUMIF(注册申报底表!$J:$J,$B64,注册申报底表!$AA:$AA)/E64,0)</f>
        <v>0</v>
      </c>
      <c r="H64" s="386">
        <f t="shared" si="69"/>
        <v>0</v>
      </c>
      <c r="I64" s="386">
        <f>IFERROR(SUMIF(注册申报底表!$J:$J,$B64,注册申报底表!$AD:$AD)/E64,0)</f>
        <v>0</v>
      </c>
      <c r="J64" s="386">
        <f t="shared" si="70"/>
        <v>0</v>
      </c>
      <c r="K64" s="89"/>
      <c r="L64" s="387">
        <f t="shared" si="61"/>
        <v>0</v>
      </c>
      <c r="M64" s="387">
        <f>SUMIF(注册申报底表!$J:$J,$B64,注册申报底表!$Z:$Z)</f>
        <v>0</v>
      </c>
      <c r="O64" s="388">
        <f>SUMIFS(注册申报底表!$Z:$Z,注册申报底表!$J:$J,$B64,注册申报底表!$G:$G,O$3)</f>
        <v>0</v>
      </c>
      <c r="P64" s="388">
        <f>SUMIFS(注册申报底表!$Z:$Z,注册申报底表!$J:$J,$B64,注册申报底表!$G:$G,P$3)</f>
        <v>0</v>
      </c>
      <c r="Q64" s="388">
        <f>SUMIFS(注册申报底表!$Z:$Z,注册申报底表!$J:$J,$B64,注册申报底表!$G:$G,Q$3)</f>
        <v>0</v>
      </c>
      <c r="R64" s="388">
        <f>SUMIFS(注册申报底表!$Z:$Z,注册申报底表!$J:$J,$B64,注册申报底表!$G:$G,R$3)</f>
        <v>0</v>
      </c>
      <c r="S64" s="388">
        <f>SUMIFS(注册申报底表!$Z:$Z,注册申报底表!$J:$J,$B64,注册申报底表!$G:$G,S$3)</f>
        <v>0</v>
      </c>
      <c r="T64" s="388">
        <f>SUMIFS(注册申报底表!$Z:$Z,注册申报底表!$J:$J,$B64,注册申报底表!$G:$G,T$3)</f>
        <v>0</v>
      </c>
      <c r="U64" s="388">
        <f>SUMIFS(注册申报底表!$Z:$Z,注册申报底表!$J:$J,$B64,注册申报底表!$G:$G,U$3)</f>
        <v>0</v>
      </c>
      <c r="W64" s="389">
        <f>SUMIFS(注册申报底表!$AA:$AA,注册申报底表!$J:$J,$B64,注册申报底表!$G:$G,W$3)</f>
        <v>0</v>
      </c>
      <c r="X64" s="389">
        <f>SUMIFS(注册申报底表!$AA:$AA,注册申报底表!$J:$J,$B64,注册申报底表!$G:$G,X$3)</f>
        <v>0</v>
      </c>
      <c r="Y64" s="389">
        <f>SUMIFS(注册申报底表!$AA:$AA,注册申报底表!$J:$J,$B64,注册申报底表!$G:$G,Y$3)</f>
        <v>0</v>
      </c>
      <c r="Z64" s="389">
        <f>SUMIFS(注册申报底表!$AA:$AA,注册申报底表!$J:$J,$B64,注册申报底表!$G:$G,Z$3)</f>
        <v>0</v>
      </c>
      <c r="AA64" s="389">
        <f>SUMIFS(注册申报底表!$AA:$AA,注册申报底表!$J:$J,$B64,注册申报底表!$G:$G,AA$3)</f>
        <v>0</v>
      </c>
      <c r="AB64" s="389">
        <f>SUMIFS(注册申报底表!$AA:$AA,注册申报底表!$J:$J,$B64,注册申报底表!$G:$G,AB$3)</f>
        <v>0</v>
      </c>
      <c r="AC64" s="389">
        <f>SUMIFS(注册申报底表!$AA:$AA,注册申报底表!$J:$J,$B64,注册申报底表!$G:$G,AC$3)</f>
        <v>0</v>
      </c>
    </row>
    <row r="65" ht="21" customHeight="1" spans="2:29">
      <c r="B65" s="89" t="s">
        <v>1989</v>
      </c>
      <c r="C65" s="90" t="str">
        <f>INDEX(二三级标准!$C:$C,MATCH($B65,二三级标准!$B:$B,0))</f>
        <v>1.4 申请状态</v>
      </c>
      <c r="D65" s="166">
        <v>0</v>
      </c>
      <c r="E65" s="166">
        <f t="shared" si="58"/>
        <v>0</v>
      </c>
      <c r="F65" s="89" t="s">
        <v>1176</v>
      </c>
      <c r="G65" s="386">
        <f>IFERROR(SUMIF(注册申报底表!$J:$J,$B65,注册申报底表!$AA:$AA)/E65,0)</f>
        <v>0</v>
      </c>
      <c r="H65" s="386">
        <f t="shared" si="69"/>
        <v>0</v>
      </c>
      <c r="I65" s="386">
        <f>IFERROR(SUMIF(注册申报底表!$J:$J,$B65,注册申报底表!$AD:$AD)/E65,0)</f>
        <v>0</v>
      </c>
      <c r="J65" s="386">
        <f t="shared" si="70"/>
        <v>0</v>
      </c>
      <c r="K65" s="89" t="s">
        <v>1838</v>
      </c>
      <c r="L65" s="387">
        <f t="shared" si="61"/>
        <v>0</v>
      </c>
      <c r="M65" s="387">
        <f>SUMIF(注册申报底表!$J:$J,$B65,注册申报底表!$Z:$Z)</f>
        <v>0</v>
      </c>
      <c r="O65" s="388">
        <f>SUMIFS(注册申报底表!$Z:$Z,注册申报底表!$J:$J,$B65,注册申报底表!$G:$G,O$3)</f>
        <v>0</v>
      </c>
      <c r="P65" s="388">
        <f>SUMIFS(注册申报底表!$Z:$Z,注册申报底表!$J:$J,$B65,注册申报底表!$G:$G,P$3)</f>
        <v>0</v>
      </c>
      <c r="Q65" s="388">
        <f>SUMIFS(注册申报底表!$Z:$Z,注册申报底表!$J:$J,$B65,注册申报底表!$G:$G,Q$3)</f>
        <v>0</v>
      </c>
      <c r="R65" s="388">
        <f>SUMIFS(注册申报底表!$Z:$Z,注册申报底表!$J:$J,$B65,注册申报底表!$G:$G,R$3)</f>
        <v>0</v>
      </c>
      <c r="S65" s="388">
        <f>SUMIFS(注册申报底表!$Z:$Z,注册申报底表!$J:$J,$B65,注册申报底表!$G:$G,S$3)</f>
        <v>0</v>
      </c>
      <c r="T65" s="388">
        <f>SUMIFS(注册申报底表!$Z:$Z,注册申报底表!$J:$J,$B65,注册申报底表!$G:$G,T$3)</f>
        <v>0</v>
      </c>
      <c r="U65" s="388">
        <f>SUMIFS(注册申报底表!$Z:$Z,注册申报底表!$J:$J,$B65,注册申报底表!$G:$G,U$3)</f>
        <v>0</v>
      </c>
      <c r="W65" s="389">
        <f>SUMIFS(注册申报底表!$AA:$AA,注册申报底表!$J:$J,$B65,注册申报底表!$G:$G,W$3)</f>
        <v>0</v>
      </c>
      <c r="X65" s="389">
        <f>SUMIFS(注册申报底表!$AA:$AA,注册申报底表!$J:$J,$B65,注册申报底表!$G:$G,X$3)</f>
        <v>0</v>
      </c>
      <c r="Y65" s="389">
        <f>SUMIFS(注册申报底表!$AA:$AA,注册申报底表!$J:$J,$B65,注册申报底表!$G:$G,Y$3)</f>
        <v>0</v>
      </c>
      <c r="Z65" s="389">
        <f>SUMIFS(注册申报底表!$AA:$AA,注册申报底表!$J:$J,$B65,注册申报底表!$G:$G,Z$3)</f>
        <v>0</v>
      </c>
      <c r="AA65" s="389">
        <f>SUMIFS(注册申报底表!$AA:$AA,注册申报底表!$J:$J,$B65,注册申报底表!$G:$G,AA$3)</f>
        <v>0</v>
      </c>
      <c r="AB65" s="389">
        <f>SUMIFS(注册申报底表!$AA:$AA,注册申报底表!$J:$J,$B65,注册申报底表!$G:$G,AB$3)</f>
        <v>0</v>
      </c>
      <c r="AC65" s="389">
        <f>SUMIFS(注册申报底表!$AA:$AA,注册申报底表!$J:$J,$B65,注册申报底表!$G:$G,AC$3)</f>
        <v>0</v>
      </c>
    </row>
    <row r="66" ht="21" customHeight="1" spans="2:29">
      <c r="B66" s="89" t="s">
        <v>1990</v>
      </c>
      <c r="C66" s="90" t="str">
        <f>INDEX(二三级标准!$C:$C,MATCH($B66,二三级标准!$B:$B,0))</f>
        <v>1.5 加快上市注册程序申请</v>
      </c>
      <c r="D66" s="166">
        <f t="shared" si="68"/>
        <v>0</v>
      </c>
      <c r="E66" s="166">
        <f t="shared" si="58"/>
        <v>0</v>
      </c>
      <c r="F66" s="89" t="s">
        <v>1176</v>
      </c>
      <c r="G66" s="386">
        <f>IFERROR(SUMIF(注册申报底表!$J:$J,$B66,注册申报底表!$AA:$AA)/E66,0)</f>
        <v>0</v>
      </c>
      <c r="H66" s="386">
        <f t="shared" si="69"/>
        <v>0</v>
      </c>
      <c r="I66" s="386">
        <f>IFERROR(SUMIF(注册申报底表!$J:$J,$B66,注册申报底表!$AD:$AD)/E66,0)</f>
        <v>0</v>
      </c>
      <c r="J66" s="386">
        <f t="shared" si="70"/>
        <v>0</v>
      </c>
      <c r="K66" s="89"/>
      <c r="L66" s="387">
        <f t="shared" si="61"/>
        <v>0</v>
      </c>
      <c r="M66" s="387">
        <f>SUMIF(注册申报底表!$J:$J,$B66,注册申报底表!$Z:$Z)</f>
        <v>0</v>
      </c>
      <c r="O66" s="388">
        <f>SUMIFS(注册申报底表!$Z:$Z,注册申报底表!$J:$J,$B66,注册申报底表!$G:$G,O$3)</f>
        <v>0</v>
      </c>
      <c r="P66" s="388">
        <f>SUMIFS(注册申报底表!$Z:$Z,注册申报底表!$J:$J,$B66,注册申报底表!$G:$G,P$3)</f>
        <v>0</v>
      </c>
      <c r="Q66" s="388">
        <f>SUMIFS(注册申报底表!$Z:$Z,注册申报底表!$J:$J,$B66,注册申报底表!$G:$G,Q$3)</f>
        <v>0</v>
      </c>
      <c r="R66" s="388">
        <f>SUMIFS(注册申报底表!$Z:$Z,注册申报底表!$J:$J,$B66,注册申报底表!$G:$G,R$3)</f>
        <v>0</v>
      </c>
      <c r="S66" s="388">
        <f>SUMIFS(注册申报底表!$Z:$Z,注册申报底表!$J:$J,$B66,注册申报底表!$G:$G,S$3)</f>
        <v>0</v>
      </c>
      <c r="T66" s="388">
        <f>SUMIFS(注册申报底表!$Z:$Z,注册申报底表!$J:$J,$B66,注册申报底表!$G:$G,T$3)</f>
        <v>0</v>
      </c>
      <c r="U66" s="388">
        <f>SUMIFS(注册申报底表!$Z:$Z,注册申报底表!$J:$J,$B66,注册申报底表!$G:$G,U$3)</f>
        <v>0</v>
      </c>
      <c r="W66" s="389">
        <f>SUMIFS(注册申报底表!$AA:$AA,注册申报底表!$J:$J,$B66,注册申报底表!$G:$G,W$3)</f>
        <v>0</v>
      </c>
      <c r="X66" s="389">
        <f>SUMIFS(注册申报底表!$AA:$AA,注册申报底表!$J:$J,$B66,注册申报底表!$G:$G,X$3)</f>
        <v>0</v>
      </c>
      <c r="Y66" s="389">
        <f>SUMIFS(注册申报底表!$AA:$AA,注册申报底表!$J:$J,$B66,注册申报底表!$G:$G,Y$3)</f>
        <v>0</v>
      </c>
      <c r="Z66" s="389">
        <f>SUMIFS(注册申报底表!$AA:$AA,注册申报底表!$J:$J,$B66,注册申报底表!$G:$G,Z$3)</f>
        <v>0</v>
      </c>
      <c r="AA66" s="389">
        <f>SUMIFS(注册申报底表!$AA:$AA,注册申报底表!$J:$J,$B66,注册申报底表!$G:$G,AA$3)</f>
        <v>0</v>
      </c>
      <c r="AB66" s="389">
        <f>SUMIFS(注册申报底表!$AA:$AA,注册申报底表!$J:$J,$B66,注册申报底表!$G:$G,AB$3)</f>
        <v>0</v>
      </c>
      <c r="AC66" s="389">
        <f>SUMIFS(注册申报底表!$AA:$AA,注册申报底表!$J:$J,$B66,注册申报底表!$G:$G,AC$3)</f>
        <v>0</v>
      </c>
    </row>
    <row r="67" ht="21" customHeight="1" spans="2:29">
      <c r="B67" s="89" t="s">
        <v>1991</v>
      </c>
      <c r="C67" s="90" t="str">
        <f>INDEX(二三级标准!$C:$C,MATCH($B67,二三级标准!$B:$B,0))</f>
        <v>1.6 沟通交流会议</v>
      </c>
      <c r="D67" s="166">
        <v>0</v>
      </c>
      <c r="E67" s="166">
        <f t="shared" si="58"/>
        <v>0</v>
      </c>
      <c r="F67" s="89" t="s">
        <v>1176</v>
      </c>
      <c r="G67" s="386">
        <f>IFERROR(SUMIF(注册申报底表!$J:$J,$B67,注册申报底表!$AA:$AA)/E67,0)</f>
        <v>0</v>
      </c>
      <c r="H67" s="386">
        <f t="shared" si="69"/>
        <v>0</v>
      </c>
      <c r="I67" s="386">
        <f>IFERROR(SUMIF(注册申报底表!$J:$J,$B67,注册申报底表!$AD:$AD)/E67,0)</f>
        <v>0</v>
      </c>
      <c r="J67" s="386">
        <f t="shared" si="70"/>
        <v>0</v>
      </c>
      <c r="K67" s="89" t="s">
        <v>1838</v>
      </c>
      <c r="L67" s="387">
        <f t="shared" si="61"/>
        <v>0</v>
      </c>
      <c r="M67" s="387">
        <f>SUMIF(注册申报底表!$J:$J,$B67,注册申报底表!$Z:$Z)</f>
        <v>0</v>
      </c>
      <c r="O67" s="388">
        <f>SUMIFS(注册申报底表!$Z:$Z,注册申报底表!$J:$J,$B67,注册申报底表!$G:$G,O$3)</f>
        <v>0</v>
      </c>
      <c r="P67" s="388">
        <f>SUMIFS(注册申报底表!$Z:$Z,注册申报底表!$J:$J,$B67,注册申报底表!$G:$G,P$3)</f>
        <v>0</v>
      </c>
      <c r="Q67" s="388">
        <f>SUMIFS(注册申报底表!$Z:$Z,注册申报底表!$J:$J,$B67,注册申报底表!$G:$G,Q$3)</f>
        <v>0</v>
      </c>
      <c r="R67" s="388">
        <f>SUMIFS(注册申报底表!$Z:$Z,注册申报底表!$J:$J,$B67,注册申报底表!$G:$G,R$3)</f>
        <v>0</v>
      </c>
      <c r="S67" s="388">
        <f>SUMIFS(注册申报底表!$Z:$Z,注册申报底表!$J:$J,$B67,注册申报底表!$G:$G,S$3)</f>
        <v>0</v>
      </c>
      <c r="T67" s="388">
        <f>SUMIFS(注册申报底表!$Z:$Z,注册申报底表!$J:$J,$B67,注册申报底表!$G:$G,T$3)</f>
        <v>0</v>
      </c>
      <c r="U67" s="388">
        <f>SUMIFS(注册申报底表!$Z:$Z,注册申报底表!$J:$J,$B67,注册申报底表!$G:$G,U$3)</f>
        <v>0</v>
      </c>
      <c r="W67" s="389">
        <f>SUMIFS(注册申报底表!$AA:$AA,注册申报底表!$J:$J,$B67,注册申报底表!$G:$G,W$3)</f>
        <v>0</v>
      </c>
      <c r="X67" s="389">
        <f>SUMIFS(注册申报底表!$AA:$AA,注册申报底表!$J:$J,$B67,注册申报底表!$G:$G,X$3)</f>
        <v>0</v>
      </c>
      <c r="Y67" s="389">
        <f>SUMIFS(注册申报底表!$AA:$AA,注册申报底表!$J:$J,$B67,注册申报底表!$G:$G,Y$3)</f>
        <v>0</v>
      </c>
      <c r="Z67" s="389">
        <f>SUMIFS(注册申报底表!$AA:$AA,注册申报底表!$J:$J,$B67,注册申报底表!$G:$G,Z$3)</f>
        <v>0</v>
      </c>
      <c r="AA67" s="389">
        <f>SUMIFS(注册申报底表!$AA:$AA,注册申报底表!$J:$J,$B67,注册申报底表!$G:$G,AA$3)</f>
        <v>0</v>
      </c>
      <c r="AB67" s="389">
        <f>SUMIFS(注册申报底表!$AA:$AA,注册申报底表!$J:$J,$B67,注册申报底表!$G:$G,AB$3)</f>
        <v>0</v>
      </c>
      <c r="AC67" s="389">
        <f>SUMIFS(注册申报底表!$AA:$AA,注册申报底表!$J:$J,$B67,注册申报底表!$G:$G,AC$3)</f>
        <v>0</v>
      </c>
    </row>
    <row r="68" ht="21" customHeight="1" spans="2:29">
      <c r="B68" s="89" t="s">
        <v>1992</v>
      </c>
      <c r="C68" s="90" t="str">
        <f>INDEX(二三级标准!$C:$C,MATCH($B68,二三级标准!$B:$B,0))</f>
        <v>1.7 临床试验过程管理信息</v>
      </c>
      <c r="D68" s="166">
        <v>0</v>
      </c>
      <c r="E68" s="166">
        <f t="shared" si="58"/>
        <v>0</v>
      </c>
      <c r="F68" s="89" t="s">
        <v>1176</v>
      </c>
      <c r="G68" s="386">
        <f>IFERROR(SUMIF(注册申报底表!$J:$J,$B68,注册申报底表!$AA:$AA)/E68,0)</f>
        <v>0</v>
      </c>
      <c r="H68" s="386">
        <f t="shared" si="69"/>
        <v>0</v>
      </c>
      <c r="I68" s="386">
        <f>IFERROR(SUMIF(注册申报底表!$J:$J,$B68,注册申报底表!$AD:$AD)/E68,0)</f>
        <v>0</v>
      </c>
      <c r="J68" s="386">
        <f t="shared" si="70"/>
        <v>0</v>
      </c>
      <c r="K68" s="89" t="s">
        <v>1838</v>
      </c>
      <c r="L68" s="387">
        <f t="shared" si="61"/>
        <v>0</v>
      </c>
      <c r="M68" s="387">
        <f>SUMIF(注册申报底表!$J:$J,$B68,注册申报底表!$Z:$Z)</f>
        <v>0</v>
      </c>
      <c r="O68" s="388">
        <f>SUMIFS(注册申报底表!$Z:$Z,注册申报底表!$J:$J,$B68,注册申报底表!$G:$G,O$3)</f>
        <v>0</v>
      </c>
      <c r="P68" s="388">
        <f>SUMIFS(注册申报底表!$Z:$Z,注册申报底表!$J:$J,$B68,注册申报底表!$G:$G,P$3)</f>
        <v>0</v>
      </c>
      <c r="Q68" s="388">
        <f>SUMIFS(注册申报底表!$Z:$Z,注册申报底表!$J:$J,$B68,注册申报底表!$G:$G,Q$3)</f>
        <v>0</v>
      </c>
      <c r="R68" s="388">
        <f>SUMIFS(注册申报底表!$Z:$Z,注册申报底表!$J:$J,$B68,注册申报底表!$G:$G,R$3)</f>
        <v>0</v>
      </c>
      <c r="S68" s="388">
        <f>SUMIFS(注册申报底表!$Z:$Z,注册申报底表!$J:$J,$B68,注册申报底表!$G:$G,S$3)</f>
        <v>0</v>
      </c>
      <c r="T68" s="388">
        <f>SUMIFS(注册申报底表!$Z:$Z,注册申报底表!$J:$J,$B68,注册申报底表!$G:$G,T$3)</f>
        <v>0</v>
      </c>
      <c r="U68" s="388">
        <f>SUMIFS(注册申报底表!$Z:$Z,注册申报底表!$J:$J,$B68,注册申报底表!$G:$G,U$3)</f>
        <v>0</v>
      </c>
      <c r="W68" s="389">
        <f>SUMIFS(注册申报底表!$AA:$AA,注册申报底表!$J:$J,$B68,注册申报底表!$G:$G,W$3)</f>
        <v>0</v>
      </c>
      <c r="X68" s="389">
        <f>SUMIFS(注册申报底表!$AA:$AA,注册申报底表!$J:$J,$B68,注册申报底表!$G:$G,X$3)</f>
        <v>0</v>
      </c>
      <c r="Y68" s="389">
        <f>SUMIFS(注册申报底表!$AA:$AA,注册申报底表!$J:$J,$B68,注册申报底表!$G:$G,Y$3)</f>
        <v>0</v>
      </c>
      <c r="Z68" s="389">
        <f>SUMIFS(注册申报底表!$AA:$AA,注册申报底表!$J:$J,$B68,注册申报底表!$G:$G,Z$3)</f>
        <v>0</v>
      </c>
      <c r="AA68" s="389">
        <f>SUMIFS(注册申报底表!$AA:$AA,注册申报底表!$J:$J,$B68,注册申报底表!$G:$G,AA$3)</f>
        <v>0</v>
      </c>
      <c r="AB68" s="389">
        <f>SUMIFS(注册申报底表!$AA:$AA,注册申报底表!$J:$J,$B68,注册申报底表!$G:$G,AB$3)</f>
        <v>0</v>
      </c>
      <c r="AC68" s="389">
        <f>SUMIFS(注册申报底表!$AA:$AA,注册申报底表!$J:$J,$B68,注册申报底表!$G:$G,AC$3)</f>
        <v>0</v>
      </c>
    </row>
    <row r="69" ht="21" customHeight="1" spans="2:29">
      <c r="B69" s="89" t="s">
        <v>1993</v>
      </c>
      <c r="C69" s="90" t="str">
        <f>INDEX(二三级标准!$C:$C,MATCH($B69,二三级标准!$B:$B,0))</f>
        <v>1.8 药物警戒与风险管理</v>
      </c>
      <c r="D69" s="166">
        <f>IF($D$59=1,1,0)</f>
        <v>0</v>
      </c>
      <c r="E69" s="166">
        <f t="shared" si="58"/>
        <v>0</v>
      </c>
      <c r="F69" s="89" t="s">
        <v>1176</v>
      </c>
      <c r="G69" s="386">
        <f>IFERROR(SUMIF(注册申报底表!$J:$J,$B69,注册申报底表!$AA:$AA)/E69,0)</f>
        <v>0</v>
      </c>
      <c r="H69" s="386">
        <f t="shared" si="69"/>
        <v>0</v>
      </c>
      <c r="I69" s="386">
        <f>IFERROR(SUMIF(注册申报底表!$J:$J,$B69,注册申报底表!$AD:$AD)/E69,0)</f>
        <v>0</v>
      </c>
      <c r="J69" s="386">
        <f t="shared" si="70"/>
        <v>0</v>
      </c>
      <c r="K69" s="89"/>
      <c r="L69" s="387">
        <f t="shared" si="61"/>
        <v>0</v>
      </c>
      <c r="M69" s="387">
        <f>SUMIF(注册申报底表!$J:$J,$B69,注册申报底表!$Z:$Z)</f>
        <v>0</v>
      </c>
      <c r="O69" s="388">
        <f>SUMIFS(注册申报底表!$Z:$Z,注册申报底表!$J:$J,$B69,注册申报底表!$G:$G,O$3)</f>
        <v>0</v>
      </c>
      <c r="P69" s="388">
        <f>SUMIFS(注册申报底表!$Z:$Z,注册申报底表!$J:$J,$B69,注册申报底表!$G:$G,P$3)</f>
        <v>0</v>
      </c>
      <c r="Q69" s="388">
        <f>SUMIFS(注册申报底表!$Z:$Z,注册申报底表!$J:$J,$B69,注册申报底表!$G:$G,Q$3)</f>
        <v>0</v>
      </c>
      <c r="R69" s="388">
        <f>SUMIFS(注册申报底表!$Z:$Z,注册申报底表!$J:$J,$B69,注册申报底表!$G:$G,R$3)</f>
        <v>0</v>
      </c>
      <c r="S69" s="388">
        <f>SUMIFS(注册申报底表!$Z:$Z,注册申报底表!$J:$J,$B69,注册申报底表!$G:$G,S$3)</f>
        <v>0</v>
      </c>
      <c r="T69" s="388">
        <f>SUMIFS(注册申报底表!$Z:$Z,注册申报底表!$J:$J,$B69,注册申报底表!$G:$G,T$3)</f>
        <v>0</v>
      </c>
      <c r="U69" s="388">
        <f>SUMIFS(注册申报底表!$Z:$Z,注册申报底表!$J:$J,$B69,注册申报底表!$G:$G,U$3)</f>
        <v>0</v>
      </c>
      <c r="W69" s="389">
        <f>SUMIFS(注册申报底表!$AA:$AA,注册申报底表!$J:$J,$B69,注册申报底表!$G:$G,W$3)</f>
        <v>0</v>
      </c>
      <c r="X69" s="389">
        <f>SUMIFS(注册申报底表!$AA:$AA,注册申报底表!$J:$J,$B69,注册申报底表!$G:$G,X$3)</f>
        <v>0</v>
      </c>
      <c r="Y69" s="389">
        <f>SUMIFS(注册申报底表!$AA:$AA,注册申报底表!$J:$J,$B69,注册申报底表!$G:$G,Y$3)</f>
        <v>0</v>
      </c>
      <c r="Z69" s="389">
        <f>SUMIFS(注册申报底表!$AA:$AA,注册申报底表!$J:$J,$B69,注册申报底表!$G:$G,Z$3)</f>
        <v>0</v>
      </c>
      <c r="AA69" s="389">
        <f>SUMIFS(注册申报底表!$AA:$AA,注册申报底表!$J:$J,$B69,注册申报底表!$G:$G,AA$3)</f>
        <v>0</v>
      </c>
      <c r="AB69" s="389">
        <f>SUMIFS(注册申报底表!$AA:$AA,注册申报底表!$J:$J,$B69,注册申报底表!$G:$G,AB$3)</f>
        <v>0</v>
      </c>
      <c r="AC69" s="389">
        <f>SUMIFS(注册申报底表!$AA:$AA,注册申报底表!$J:$J,$B69,注册申报底表!$G:$G,AC$3)</f>
        <v>0</v>
      </c>
    </row>
    <row r="70" ht="21" customHeight="1" spans="2:29">
      <c r="B70" s="89" t="s">
        <v>1994</v>
      </c>
      <c r="C70" s="90" t="str">
        <f>INDEX(二三级标准!$C:$C,MATCH($B70,二三级标准!$B:$B,0))</f>
        <v>1.9 上市后研究</v>
      </c>
      <c r="D70" s="166">
        <v>0</v>
      </c>
      <c r="E70" s="166">
        <f t="shared" si="58"/>
        <v>0</v>
      </c>
      <c r="F70" s="89" t="s">
        <v>1176</v>
      </c>
      <c r="G70" s="386">
        <f>IFERROR(SUMIF(注册申报底表!$J:$J,$B70,注册申报底表!$AA:$AA)/E70,0)</f>
        <v>0</v>
      </c>
      <c r="H70" s="386">
        <f t="shared" si="69"/>
        <v>0</v>
      </c>
      <c r="I70" s="386">
        <f>IFERROR(SUMIF(注册申报底表!$J:$J,$B70,注册申报底表!$AD:$AD)/E70,0)</f>
        <v>0</v>
      </c>
      <c r="J70" s="386">
        <f t="shared" si="70"/>
        <v>0</v>
      </c>
      <c r="K70" s="89" t="s">
        <v>1838</v>
      </c>
      <c r="L70" s="387">
        <f t="shared" si="61"/>
        <v>0</v>
      </c>
      <c r="M70" s="387">
        <f>SUMIF(注册申报底表!$J:$J,$B70,注册申报底表!$Z:$Z)</f>
        <v>0</v>
      </c>
      <c r="O70" s="388">
        <f>SUMIFS(注册申报底表!$Z:$Z,注册申报底表!$J:$J,$B70,注册申报底表!$G:$G,O$3)</f>
        <v>0</v>
      </c>
      <c r="P70" s="388">
        <f>SUMIFS(注册申报底表!$Z:$Z,注册申报底表!$J:$J,$B70,注册申报底表!$G:$G,P$3)</f>
        <v>0</v>
      </c>
      <c r="Q70" s="388">
        <f>SUMIFS(注册申报底表!$Z:$Z,注册申报底表!$J:$J,$B70,注册申报底表!$G:$G,Q$3)</f>
        <v>0</v>
      </c>
      <c r="R70" s="388">
        <f>SUMIFS(注册申报底表!$Z:$Z,注册申报底表!$J:$J,$B70,注册申报底表!$G:$G,R$3)</f>
        <v>0</v>
      </c>
      <c r="S70" s="388">
        <f>SUMIFS(注册申报底表!$Z:$Z,注册申报底表!$J:$J,$B70,注册申报底表!$G:$G,S$3)</f>
        <v>0</v>
      </c>
      <c r="T70" s="388">
        <f>SUMIFS(注册申报底表!$Z:$Z,注册申报底表!$J:$J,$B70,注册申报底表!$G:$G,T$3)</f>
        <v>0</v>
      </c>
      <c r="U70" s="388">
        <f>SUMIFS(注册申报底表!$Z:$Z,注册申报底表!$J:$J,$B70,注册申报底表!$G:$G,U$3)</f>
        <v>0</v>
      </c>
      <c r="W70" s="389">
        <f>SUMIFS(注册申报底表!$AA:$AA,注册申报底表!$J:$J,$B70,注册申报底表!$G:$G,W$3)</f>
        <v>0</v>
      </c>
      <c r="X70" s="389">
        <f>SUMIFS(注册申报底表!$AA:$AA,注册申报底表!$J:$J,$B70,注册申报底表!$G:$G,X$3)</f>
        <v>0</v>
      </c>
      <c r="Y70" s="389">
        <f>SUMIFS(注册申报底表!$AA:$AA,注册申报底表!$J:$J,$B70,注册申报底表!$G:$G,Y$3)</f>
        <v>0</v>
      </c>
      <c r="Z70" s="389">
        <f>SUMIFS(注册申报底表!$AA:$AA,注册申报底表!$J:$J,$B70,注册申报底表!$G:$G,Z$3)</f>
        <v>0</v>
      </c>
      <c r="AA70" s="389">
        <f>SUMIFS(注册申报底表!$AA:$AA,注册申报底表!$J:$J,$B70,注册申报底表!$G:$G,AA$3)</f>
        <v>0</v>
      </c>
      <c r="AB70" s="389">
        <f>SUMIFS(注册申报底表!$AA:$AA,注册申报底表!$J:$J,$B70,注册申报底表!$G:$G,AB$3)</f>
        <v>0</v>
      </c>
      <c r="AC70" s="389">
        <f>SUMIFS(注册申报底表!$AA:$AA,注册申报底表!$J:$J,$B70,注册申报底表!$G:$G,AC$3)</f>
        <v>0</v>
      </c>
    </row>
    <row r="71" ht="21" customHeight="1" spans="2:29">
      <c r="B71" s="89" t="s">
        <v>1995</v>
      </c>
      <c r="C71" s="90" t="str">
        <f>INDEX(二三级标准!$C:$C,MATCH($B71,二三级标准!$B:$B,0))</f>
        <v>1.10 上市后变更</v>
      </c>
      <c r="D71" s="166">
        <v>0</v>
      </c>
      <c r="E71" s="166">
        <f t="shared" si="58"/>
        <v>0</v>
      </c>
      <c r="F71" s="89" t="s">
        <v>1176</v>
      </c>
      <c r="G71" s="386">
        <f>IFERROR(SUMIF(注册申报底表!$J:$J,$B71,注册申报底表!$AA:$AA)/E71,0)</f>
        <v>0</v>
      </c>
      <c r="H71" s="386">
        <f t="shared" si="69"/>
        <v>0</v>
      </c>
      <c r="I71" s="386">
        <f>IFERROR(SUMIF(注册申报底表!$J:$J,$B71,注册申报底表!$AD:$AD)/E71,0)</f>
        <v>0</v>
      </c>
      <c r="J71" s="386">
        <f t="shared" si="70"/>
        <v>0</v>
      </c>
      <c r="K71" s="89" t="s">
        <v>1838</v>
      </c>
      <c r="L71" s="387">
        <f t="shared" si="61"/>
        <v>0</v>
      </c>
      <c r="M71" s="387">
        <f>SUMIF(注册申报底表!$J:$J,$B71,注册申报底表!$Z:$Z)</f>
        <v>0</v>
      </c>
      <c r="O71" s="388">
        <f>SUMIFS(注册申报底表!$Z:$Z,注册申报底表!$J:$J,$B71,注册申报底表!$G:$G,O$3)</f>
        <v>0</v>
      </c>
      <c r="P71" s="388">
        <f>SUMIFS(注册申报底表!$Z:$Z,注册申报底表!$J:$J,$B71,注册申报底表!$G:$G,P$3)</f>
        <v>0</v>
      </c>
      <c r="Q71" s="388">
        <f>SUMIFS(注册申报底表!$Z:$Z,注册申报底表!$J:$J,$B71,注册申报底表!$G:$G,Q$3)</f>
        <v>0</v>
      </c>
      <c r="R71" s="388">
        <f>SUMIFS(注册申报底表!$Z:$Z,注册申报底表!$J:$J,$B71,注册申报底表!$G:$G,R$3)</f>
        <v>0</v>
      </c>
      <c r="S71" s="388">
        <f>SUMIFS(注册申报底表!$Z:$Z,注册申报底表!$J:$J,$B71,注册申报底表!$G:$G,S$3)</f>
        <v>0</v>
      </c>
      <c r="T71" s="388">
        <f>SUMIFS(注册申报底表!$Z:$Z,注册申报底表!$J:$J,$B71,注册申报底表!$G:$G,T$3)</f>
        <v>0</v>
      </c>
      <c r="U71" s="388">
        <f>SUMIFS(注册申报底表!$Z:$Z,注册申报底表!$J:$J,$B71,注册申报底表!$G:$G,U$3)</f>
        <v>0</v>
      </c>
      <c r="W71" s="389">
        <f>SUMIFS(注册申报底表!$AA:$AA,注册申报底表!$J:$J,$B71,注册申报底表!$G:$G,W$3)</f>
        <v>0</v>
      </c>
      <c r="X71" s="389">
        <f>SUMIFS(注册申报底表!$AA:$AA,注册申报底表!$J:$J,$B71,注册申报底表!$G:$G,X$3)</f>
        <v>0</v>
      </c>
      <c r="Y71" s="389">
        <f>SUMIFS(注册申报底表!$AA:$AA,注册申报底表!$J:$J,$B71,注册申报底表!$G:$G,Y$3)</f>
        <v>0</v>
      </c>
      <c r="Z71" s="389">
        <f>SUMIFS(注册申报底表!$AA:$AA,注册申报底表!$J:$J,$B71,注册申报底表!$G:$G,Z$3)</f>
        <v>0</v>
      </c>
      <c r="AA71" s="389">
        <f>SUMIFS(注册申报底表!$AA:$AA,注册申报底表!$J:$J,$B71,注册申报底表!$G:$G,AA$3)</f>
        <v>0</v>
      </c>
      <c r="AB71" s="389">
        <f>SUMIFS(注册申报底表!$AA:$AA,注册申报底表!$J:$J,$B71,注册申报底表!$G:$G,AB$3)</f>
        <v>0</v>
      </c>
      <c r="AC71" s="389">
        <f>SUMIFS(注册申报底表!$AA:$AA,注册申报底表!$J:$J,$B71,注册申报底表!$G:$G,AC$3)</f>
        <v>0</v>
      </c>
    </row>
    <row r="72" ht="21" customHeight="1" spans="2:29">
      <c r="B72" s="89" t="s">
        <v>1996</v>
      </c>
      <c r="C72" s="90" t="str">
        <f>INDEX(二三级标准!$C:$C,MATCH($B72,二三级标准!$B:$B,0))</f>
        <v>1.11 申请人/生产企业证明性文件</v>
      </c>
      <c r="D72" s="166">
        <f t="shared" ref="D72:D81" si="71">IF($D$59=1,1,0)</f>
        <v>0</v>
      </c>
      <c r="E72" s="166">
        <f t="shared" si="58"/>
        <v>0</v>
      </c>
      <c r="F72" s="89" t="s">
        <v>1176</v>
      </c>
      <c r="G72" s="386">
        <f>IFERROR(SUMIF(注册申报底表!$J:$J,$B72,注册申报底表!$AA:$AA)/E72,0)</f>
        <v>0</v>
      </c>
      <c r="H72" s="386">
        <f t="shared" si="69"/>
        <v>0</v>
      </c>
      <c r="I72" s="386">
        <f>IFERROR(SUMIF(注册申报底表!$J:$J,$B72,注册申报底表!$AD:$AD)/E72,0)</f>
        <v>0</v>
      </c>
      <c r="J72" s="386">
        <f t="shared" si="70"/>
        <v>0</v>
      </c>
      <c r="K72" s="89"/>
      <c r="L72" s="387">
        <f t="shared" si="61"/>
        <v>0</v>
      </c>
      <c r="M72" s="387">
        <f>SUMIF(注册申报底表!$J:$J,$B72,注册申报底表!$Z:$Z)</f>
        <v>0</v>
      </c>
      <c r="O72" s="388">
        <f>SUMIFS(注册申报底表!$Z:$Z,注册申报底表!$J:$J,$B72,注册申报底表!$G:$G,O$3)</f>
        <v>0</v>
      </c>
      <c r="P72" s="388">
        <f>SUMIFS(注册申报底表!$Z:$Z,注册申报底表!$J:$J,$B72,注册申报底表!$G:$G,P$3)</f>
        <v>0</v>
      </c>
      <c r="Q72" s="388">
        <f>SUMIFS(注册申报底表!$Z:$Z,注册申报底表!$J:$J,$B72,注册申报底表!$G:$G,Q$3)</f>
        <v>0</v>
      </c>
      <c r="R72" s="388">
        <f>SUMIFS(注册申报底表!$Z:$Z,注册申报底表!$J:$J,$B72,注册申报底表!$G:$G,R$3)</f>
        <v>0</v>
      </c>
      <c r="S72" s="388">
        <f>SUMIFS(注册申报底表!$Z:$Z,注册申报底表!$J:$J,$B72,注册申报底表!$G:$G,S$3)</f>
        <v>0</v>
      </c>
      <c r="T72" s="388">
        <f>SUMIFS(注册申报底表!$Z:$Z,注册申报底表!$J:$J,$B72,注册申报底表!$G:$G,T$3)</f>
        <v>0</v>
      </c>
      <c r="U72" s="388">
        <f>SUMIFS(注册申报底表!$Z:$Z,注册申报底表!$J:$J,$B72,注册申报底表!$G:$G,U$3)</f>
        <v>0</v>
      </c>
      <c r="W72" s="389">
        <f>SUMIFS(注册申报底表!$AA:$AA,注册申报底表!$J:$J,$B72,注册申报底表!$G:$G,W$3)</f>
        <v>0</v>
      </c>
      <c r="X72" s="389">
        <f>SUMIFS(注册申报底表!$AA:$AA,注册申报底表!$J:$J,$B72,注册申报底表!$G:$G,X$3)</f>
        <v>0</v>
      </c>
      <c r="Y72" s="389">
        <f>SUMIFS(注册申报底表!$AA:$AA,注册申报底表!$J:$J,$B72,注册申报底表!$G:$G,Y$3)</f>
        <v>0</v>
      </c>
      <c r="Z72" s="389">
        <f>SUMIFS(注册申报底表!$AA:$AA,注册申报底表!$J:$J,$B72,注册申报底表!$G:$G,Z$3)</f>
        <v>0</v>
      </c>
      <c r="AA72" s="389">
        <f>SUMIFS(注册申报底表!$AA:$AA,注册申报底表!$J:$J,$B72,注册申报底表!$G:$G,AA$3)</f>
        <v>0</v>
      </c>
      <c r="AB72" s="389">
        <f>SUMIFS(注册申报底表!$AA:$AA,注册申报底表!$J:$J,$B72,注册申报底表!$G:$G,AB$3)</f>
        <v>0</v>
      </c>
      <c r="AC72" s="389">
        <f>SUMIFS(注册申报底表!$AA:$AA,注册申报底表!$J:$J,$B72,注册申报底表!$G:$G,AC$3)</f>
        <v>0</v>
      </c>
    </row>
    <row r="73" ht="21" customHeight="1" spans="2:29">
      <c r="B73" s="89" t="s">
        <v>1997</v>
      </c>
      <c r="C73" s="90" t="str">
        <f>INDEX(二三级标准!$C:$C,MATCH($B73,二三级标准!$B:$B,0))</f>
        <v>1.12 小微企业证明文件</v>
      </c>
      <c r="D73" s="166">
        <v>0</v>
      </c>
      <c r="E73" s="166">
        <f t="shared" si="58"/>
        <v>0</v>
      </c>
      <c r="F73" s="89" t="s">
        <v>1176</v>
      </c>
      <c r="G73" s="386">
        <f>IFERROR(SUMIF(注册申报底表!$J:$J,$B73,注册申报底表!$AA:$AA)/E73,0)</f>
        <v>0</v>
      </c>
      <c r="H73" s="386">
        <f t="shared" si="69"/>
        <v>0</v>
      </c>
      <c r="I73" s="386">
        <f>IFERROR(SUMIF(注册申报底表!$J:$J,$B73,注册申报底表!$AD:$AD)/E73,0)</f>
        <v>0</v>
      </c>
      <c r="J73" s="386">
        <f t="shared" si="70"/>
        <v>0</v>
      </c>
      <c r="K73" s="89" t="s">
        <v>1838</v>
      </c>
      <c r="L73" s="387">
        <f t="shared" si="61"/>
        <v>0</v>
      </c>
      <c r="M73" s="387">
        <f>SUMIF(注册申报底表!$J:$J,$B73,注册申报底表!$Z:$Z)</f>
        <v>0</v>
      </c>
      <c r="O73" s="388">
        <f>SUMIFS(注册申报底表!$Z:$Z,注册申报底表!$J:$J,$B73,注册申报底表!$G:$G,O$3)</f>
        <v>0</v>
      </c>
      <c r="P73" s="388">
        <f>SUMIFS(注册申报底表!$Z:$Z,注册申报底表!$J:$J,$B73,注册申报底表!$G:$G,P$3)</f>
        <v>0</v>
      </c>
      <c r="Q73" s="388">
        <f>SUMIFS(注册申报底表!$Z:$Z,注册申报底表!$J:$J,$B73,注册申报底表!$G:$G,Q$3)</f>
        <v>0</v>
      </c>
      <c r="R73" s="388">
        <f>SUMIFS(注册申报底表!$Z:$Z,注册申报底表!$J:$J,$B73,注册申报底表!$G:$G,R$3)</f>
        <v>0</v>
      </c>
      <c r="S73" s="388">
        <f>SUMIFS(注册申报底表!$Z:$Z,注册申报底表!$J:$J,$B73,注册申报底表!$G:$G,S$3)</f>
        <v>0</v>
      </c>
      <c r="T73" s="388">
        <f>SUMIFS(注册申报底表!$Z:$Z,注册申报底表!$J:$J,$B73,注册申报底表!$G:$G,T$3)</f>
        <v>0</v>
      </c>
      <c r="U73" s="388">
        <f>SUMIFS(注册申报底表!$Z:$Z,注册申报底表!$J:$J,$B73,注册申报底表!$G:$G,U$3)</f>
        <v>0</v>
      </c>
      <c r="W73" s="389">
        <f>SUMIFS(注册申报底表!$AA:$AA,注册申报底表!$J:$J,$B73,注册申报底表!$G:$G,W$3)</f>
        <v>0</v>
      </c>
      <c r="X73" s="389">
        <f>SUMIFS(注册申报底表!$AA:$AA,注册申报底表!$J:$J,$B73,注册申报底表!$G:$G,X$3)</f>
        <v>0</v>
      </c>
      <c r="Y73" s="389">
        <f>SUMIFS(注册申报底表!$AA:$AA,注册申报底表!$J:$J,$B73,注册申报底表!$G:$G,Y$3)</f>
        <v>0</v>
      </c>
      <c r="Z73" s="389">
        <f>SUMIFS(注册申报底表!$AA:$AA,注册申报底表!$J:$J,$B73,注册申报底表!$G:$G,Z$3)</f>
        <v>0</v>
      </c>
      <c r="AA73" s="389">
        <f>SUMIFS(注册申报底表!$AA:$AA,注册申报底表!$J:$J,$B73,注册申报底表!$G:$G,AA$3)</f>
        <v>0</v>
      </c>
      <c r="AB73" s="389">
        <f>SUMIFS(注册申报底表!$AA:$AA,注册申报底表!$J:$J,$B73,注册申报底表!$G:$G,AB$3)</f>
        <v>0</v>
      </c>
      <c r="AC73" s="389">
        <f>SUMIFS(注册申报底表!$AA:$AA,注册申报底表!$J:$J,$B73,注册申报底表!$G:$G,AC$3)</f>
        <v>0</v>
      </c>
    </row>
    <row r="74" ht="21" customHeight="1" spans="2:29">
      <c r="B74" s="395" t="s">
        <v>1998</v>
      </c>
      <c r="C74" s="396"/>
      <c r="D74" s="396"/>
      <c r="E74" s="396"/>
      <c r="F74" s="396"/>
      <c r="G74" s="396"/>
      <c r="H74" s="396"/>
      <c r="I74" s="396"/>
      <c r="J74" s="396"/>
      <c r="K74" s="397"/>
      <c r="L74" s="387"/>
      <c r="M74" s="387"/>
      <c r="N74" s="385"/>
      <c r="O74" s="388"/>
      <c r="P74" s="388"/>
      <c r="Q74" s="388"/>
      <c r="R74" s="388"/>
      <c r="S74" s="388"/>
      <c r="T74" s="388"/>
      <c r="U74" s="388"/>
      <c r="W74" s="389"/>
      <c r="X74" s="389"/>
      <c r="Y74" s="389"/>
      <c r="Z74" s="389"/>
      <c r="AA74" s="389"/>
      <c r="AB74" s="389"/>
      <c r="AC74" s="389"/>
    </row>
    <row r="75" ht="21" customHeight="1" spans="2:29">
      <c r="B75" s="89" t="s">
        <v>1999</v>
      </c>
      <c r="C75" s="90" t="str">
        <f>INDEX(二三级标准!$C:$C,MATCH($B75,二三级标准!$B:$B,0))</f>
        <v>2.1 模块2目录</v>
      </c>
      <c r="D75" s="166">
        <f t="shared" si="71"/>
        <v>0</v>
      </c>
      <c r="E75" s="166">
        <f t="shared" ref="E75:E81" si="72">IF($D75=1,1,0)</f>
        <v>0</v>
      </c>
      <c r="F75" s="89" t="s">
        <v>1176</v>
      </c>
      <c r="G75" s="386">
        <f>IFERROR(SUMIF(注册申报底表!$J:$J,$B75,注册申报底表!$AA:$AA)/E75,0)</f>
        <v>0</v>
      </c>
      <c r="H75" s="386">
        <f t="shared" ref="H75:H81" si="73">G75*E75</f>
        <v>0</v>
      </c>
      <c r="I75" s="386">
        <f>IFERROR(SUMIF(注册申报底表!$J:$J,$B75,注册申报底表!$AD:$AD)/E75,0)</f>
        <v>0</v>
      </c>
      <c r="J75" s="386">
        <f t="shared" ref="J75:J81" si="74">I75*E75</f>
        <v>0</v>
      </c>
      <c r="K75" s="89"/>
      <c r="L75" s="387">
        <f t="shared" si="61"/>
        <v>0</v>
      </c>
      <c r="M75" s="387">
        <f>SUMIF(注册申报底表!$J:$J,$B75,注册申报底表!$Z:$Z)</f>
        <v>0</v>
      </c>
      <c r="O75" s="388">
        <f>SUMIFS(注册申报底表!$Z:$Z,注册申报底表!$J:$J,$B75,注册申报底表!$G:$G,O$3)</f>
        <v>0</v>
      </c>
      <c r="P75" s="388">
        <f>SUMIFS(注册申报底表!$Z:$Z,注册申报底表!$J:$J,$B75,注册申报底表!$G:$G,P$3)</f>
        <v>0</v>
      </c>
      <c r="Q75" s="388">
        <f>SUMIFS(注册申报底表!$Z:$Z,注册申报底表!$J:$J,$B75,注册申报底表!$G:$G,Q$3)</f>
        <v>0</v>
      </c>
      <c r="R75" s="388">
        <f>SUMIFS(注册申报底表!$Z:$Z,注册申报底表!$J:$J,$B75,注册申报底表!$G:$G,R$3)</f>
        <v>0</v>
      </c>
      <c r="S75" s="388">
        <f>SUMIFS(注册申报底表!$Z:$Z,注册申报底表!$J:$J,$B75,注册申报底表!$G:$G,S$3)</f>
        <v>0</v>
      </c>
      <c r="T75" s="388">
        <f>SUMIFS(注册申报底表!$Z:$Z,注册申报底表!$J:$J,$B75,注册申报底表!$G:$G,T$3)</f>
        <v>0</v>
      </c>
      <c r="U75" s="388">
        <f>SUMIFS(注册申报底表!$Z:$Z,注册申报底表!$J:$J,$B75,注册申报底表!$G:$G,U$3)</f>
        <v>0</v>
      </c>
      <c r="W75" s="389">
        <f>SUMIFS(注册申报底表!$AA:$AA,注册申报底表!$J:$J,$B75,注册申报底表!$G:$G,W$3)</f>
        <v>0</v>
      </c>
      <c r="X75" s="389">
        <f>SUMIFS(注册申报底表!$AA:$AA,注册申报底表!$J:$J,$B75,注册申报底表!$G:$G,X$3)</f>
        <v>0</v>
      </c>
      <c r="Y75" s="389">
        <f>SUMIFS(注册申报底表!$AA:$AA,注册申报底表!$J:$J,$B75,注册申报底表!$G:$G,Y$3)</f>
        <v>0</v>
      </c>
      <c r="Z75" s="389">
        <f>SUMIFS(注册申报底表!$AA:$AA,注册申报底表!$J:$J,$B75,注册申报底表!$G:$G,Z$3)</f>
        <v>0</v>
      </c>
      <c r="AA75" s="389">
        <f>SUMIFS(注册申报底表!$AA:$AA,注册申报底表!$J:$J,$B75,注册申报底表!$G:$G,AA$3)</f>
        <v>0</v>
      </c>
      <c r="AB75" s="389">
        <f>SUMIFS(注册申报底表!$AA:$AA,注册申报底表!$J:$J,$B75,注册申报底表!$G:$G,AB$3)</f>
        <v>0</v>
      </c>
      <c r="AC75" s="389">
        <f>SUMIFS(注册申报底表!$AA:$AA,注册申报底表!$J:$J,$B75,注册申报底表!$G:$G,AC$3)</f>
        <v>0</v>
      </c>
    </row>
    <row r="76" ht="21" customHeight="1" spans="2:29">
      <c r="B76" s="89" t="s">
        <v>2000</v>
      </c>
      <c r="C76" s="90" t="str">
        <f>INDEX(二三级标准!$C:$C,MATCH($B76,二三级标准!$B:$B,0))</f>
        <v>2.2 通用技术文档介绍</v>
      </c>
      <c r="D76" s="166">
        <f t="shared" si="71"/>
        <v>0</v>
      </c>
      <c r="E76" s="166">
        <f t="shared" si="72"/>
        <v>0</v>
      </c>
      <c r="F76" s="89" t="s">
        <v>1176</v>
      </c>
      <c r="G76" s="386">
        <f>IFERROR(SUMIF(注册申报底表!$J:$J,$B76,注册申报底表!$AA:$AA)/E76,0)</f>
        <v>0</v>
      </c>
      <c r="H76" s="386">
        <f t="shared" si="73"/>
        <v>0</v>
      </c>
      <c r="I76" s="386">
        <f>IFERROR(SUMIF(注册申报底表!$J:$J,$B76,注册申报底表!$AD:$AD)/E76,0)</f>
        <v>0</v>
      </c>
      <c r="J76" s="386">
        <f t="shared" si="74"/>
        <v>0</v>
      </c>
      <c r="K76" s="89"/>
      <c r="L76" s="387">
        <f t="shared" si="61"/>
        <v>0</v>
      </c>
      <c r="M76" s="387">
        <f>SUMIF(注册申报底表!$J:$J,$B76,注册申报底表!$Z:$Z)</f>
        <v>0</v>
      </c>
      <c r="O76" s="388">
        <f>SUMIFS(注册申报底表!$Z:$Z,注册申报底表!$J:$J,$B76,注册申报底表!$G:$G,O$3)</f>
        <v>0</v>
      </c>
      <c r="P76" s="388">
        <f>SUMIFS(注册申报底表!$Z:$Z,注册申报底表!$J:$J,$B76,注册申报底表!$G:$G,P$3)</f>
        <v>0</v>
      </c>
      <c r="Q76" s="388">
        <f>SUMIFS(注册申报底表!$Z:$Z,注册申报底表!$J:$J,$B76,注册申报底表!$G:$G,Q$3)</f>
        <v>0</v>
      </c>
      <c r="R76" s="388">
        <f>SUMIFS(注册申报底表!$Z:$Z,注册申报底表!$J:$J,$B76,注册申报底表!$G:$G,R$3)</f>
        <v>0</v>
      </c>
      <c r="S76" s="388">
        <f>SUMIFS(注册申报底表!$Z:$Z,注册申报底表!$J:$J,$B76,注册申报底表!$G:$G,S$3)</f>
        <v>0</v>
      </c>
      <c r="T76" s="388">
        <f>SUMIFS(注册申报底表!$Z:$Z,注册申报底表!$J:$J,$B76,注册申报底表!$G:$G,T$3)</f>
        <v>0</v>
      </c>
      <c r="U76" s="388">
        <f>SUMIFS(注册申报底表!$Z:$Z,注册申报底表!$J:$J,$B76,注册申报底表!$G:$G,U$3)</f>
        <v>0</v>
      </c>
      <c r="W76" s="389">
        <f>SUMIFS(注册申报底表!$AA:$AA,注册申报底表!$J:$J,$B76,注册申报底表!$G:$G,W$3)</f>
        <v>0</v>
      </c>
      <c r="X76" s="389">
        <f>SUMIFS(注册申报底表!$AA:$AA,注册申报底表!$J:$J,$B76,注册申报底表!$G:$G,X$3)</f>
        <v>0</v>
      </c>
      <c r="Y76" s="389">
        <f>SUMIFS(注册申报底表!$AA:$AA,注册申报底表!$J:$J,$B76,注册申报底表!$G:$G,Y$3)</f>
        <v>0</v>
      </c>
      <c r="Z76" s="389">
        <f>SUMIFS(注册申报底表!$AA:$AA,注册申报底表!$J:$J,$B76,注册申报底表!$G:$G,Z$3)</f>
        <v>0</v>
      </c>
      <c r="AA76" s="389">
        <f>SUMIFS(注册申报底表!$AA:$AA,注册申报底表!$J:$J,$B76,注册申报底表!$G:$G,AA$3)</f>
        <v>0</v>
      </c>
      <c r="AB76" s="389">
        <f>SUMIFS(注册申报底表!$AA:$AA,注册申报底表!$J:$J,$B76,注册申报底表!$G:$G,AB$3)</f>
        <v>0</v>
      </c>
      <c r="AC76" s="389">
        <f>SUMIFS(注册申报底表!$AA:$AA,注册申报底表!$J:$J,$B76,注册申报底表!$G:$G,AC$3)</f>
        <v>0</v>
      </c>
    </row>
    <row r="77" ht="21" customHeight="1" spans="2:29">
      <c r="B77" s="89" t="s">
        <v>2001</v>
      </c>
      <c r="C77" s="90" t="str">
        <f>INDEX(二三级标准!$C:$C,MATCH($B77,二三级标准!$B:$B,0))</f>
        <v>2.3 药学综述</v>
      </c>
      <c r="D77" s="166">
        <f t="shared" si="71"/>
        <v>0</v>
      </c>
      <c r="E77" s="166">
        <f t="shared" si="72"/>
        <v>0</v>
      </c>
      <c r="F77" s="89" t="s">
        <v>1176</v>
      </c>
      <c r="G77" s="386">
        <f>IFERROR(SUMIF(注册申报底表!$J:$J,$B77,注册申报底表!$AA:$AA)/E77,0)</f>
        <v>0</v>
      </c>
      <c r="H77" s="386">
        <f t="shared" si="73"/>
        <v>0</v>
      </c>
      <c r="I77" s="386">
        <f>IFERROR(SUMIF(注册申报底表!$J:$J,$B77,注册申报底表!$AD:$AD)/E77,0)</f>
        <v>0</v>
      </c>
      <c r="J77" s="386">
        <f t="shared" si="74"/>
        <v>0</v>
      </c>
      <c r="K77" s="89"/>
      <c r="L77" s="387">
        <f t="shared" si="61"/>
        <v>0</v>
      </c>
      <c r="M77" s="387">
        <f>SUMIF(注册申报底表!$J:$J,$B77,注册申报底表!$Z:$Z)</f>
        <v>0</v>
      </c>
      <c r="O77" s="388">
        <f>SUMIFS(注册申报底表!$Z:$Z,注册申报底表!$J:$J,$B77,注册申报底表!$G:$G,O$3)</f>
        <v>0</v>
      </c>
      <c r="P77" s="388">
        <f>SUMIFS(注册申报底表!$Z:$Z,注册申报底表!$J:$J,$B77,注册申报底表!$G:$G,P$3)</f>
        <v>0</v>
      </c>
      <c r="Q77" s="388">
        <f>SUMIFS(注册申报底表!$Z:$Z,注册申报底表!$J:$J,$B77,注册申报底表!$G:$G,Q$3)</f>
        <v>0</v>
      </c>
      <c r="R77" s="388">
        <f>SUMIFS(注册申报底表!$Z:$Z,注册申报底表!$J:$J,$B77,注册申报底表!$G:$G,R$3)</f>
        <v>0</v>
      </c>
      <c r="S77" s="388">
        <f>SUMIFS(注册申报底表!$Z:$Z,注册申报底表!$J:$J,$B77,注册申报底表!$G:$G,S$3)</f>
        <v>0</v>
      </c>
      <c r="T77" s="388">
        <f>SUMIFS(注册申报底表!$Z:$Z,注册申报底表!$J:$J,$B77,注册申报底表!$G:$G,T$3)</f>
        <v>0</v>
      </c>
      <c r="U77" s="388">
        <f>SUMIFS(注册申报底表!$Z:$Z,注册申报底表!$J:$J,$B77,注册申报底表!$G:$G,U$3)</f>
        <v>0</v>
      </c>
      <c r="W77" s="389">
        <f>SUMIFS(注册申报底表!$AA:$AA,注册申报底表!$J:$J,$B77,注册申报底表!$G:$G,W$3)</f>
        <v>0</v>
      </c>
      <c r="X77" s="389">
        <f>SUMIFS(注册申报底表!$AA:$AA,注册申报底表!$J:$J,$B77,注册申报底表!$G:$G,X$3)</f>
        <v>0</v>
      </c>
      <c r="Y77" s="389">
        <f>SUMIFS(注册申报底表!$AA:$AA,注册申报底表!$J:$J,$B77,注册申报底表!$G:$G,Y$3)</f>
        <v>0</v>
      </c>
      <c r="Z77" s="389">
        <f>SUMIFS(注册申报底表!$AA:$AA,注册申报底表!$J:$J,$B77,注册申报底表!$G:$G,Z$3)</f>
        <v>0</v>
      </c>
      <c r="AA77" s="389">
        <f>SUMIFS(注册申报底表!$AA:$AA,注册申报底表!$J:$J,$B77,注册申报底表!$G:$G,AA$3)</f>
        <v>0</v>
      </c>
      <c r="AB77" s="389">
        <f>SUMIFS(注册申报底表!$AA:$AA,注册申报底表!$J:$J,$B77,注册申报底表!$G:$G,AB$3)</f>
        <v>0</v>
      </c>
      <c r="AC77" s="389">
        <f>SUMIFS(注册申报底表!$AA:$AA,注册申报底表!$J:$J,$B77,注册申报底表!$G:$G,AC$3)</f>
        <v>0</v>
      </c>
    </row>
    <row r="78" ht="21" customHeight="1" spans="2:29">
      <c r="B78" s="89" t="s">
        <v>2002</v>
      </c>
      <c r="C78" s="90" t="str">
        <f>INDEX(二三级标准!$C:$C,MATCH($B78,二三级标准!$B:$B,0))</f>
        <v>2.4 非临床综述</v>
      </c>
      <c r="D78" s="166">
        <f t="shared" si="71"/>
        <v>0</v>
      </c>
      <c r="E78" s="166">
        <f t="shared" si="72"/>
        <v>0</v>
      </c>
      <c r="F78" s="89" t="s">
        <v>1176</v>
      </c>
      <c r="G78" s="386">
        <f>IFERROR(SUMIF(注册申报底表!$J:$J,$B78,注册申报底表!$AA:$AA)/E78,0)</f>
        <v>0</v>
      </c>
      <c r="H78" s="386">
        <f t="shared" si="73"/>
        <v>0</v>
      </c>
      <c r="I78" s="386">
        <f>IFERROR(SUMIF(注册申报底表!$J:$J,$B78,注册申报底表!$AD:$AD)/E78,0)</f>
        <v>0</v>
      </c>
      <c r="J78" s="386">
        <f t="shared" si="74"/>
        <v>0</v>
      </c>
      <c r="K78" s="89"/>
      <c r="L78" s="387">
        <f t="shared" si="61"/>
        <v>0</v>
      </c>
      <c r="M78" s="387">
        <f>SUMIF(注册申报底表!$J:$J,$B78,注册申报底表!$Z:$Z)</f>
        <v>0</v>
      </c>
      <c r="O78" s="388">
        <f>SUMIFS(注册申报底表!$Z:$Z,注册申报底表!$J:$J,$B78,注册申报底表!$G:$G,O$3)</f>
        <v>0</v>
      </c>
      <c r="P78" s="388">
        <f>SUMIFS(注册申报底表!$Z:$Z,注册申报底表!$J:$J,$B78,注册申报底表!$G:$G,P$3)</f>
        <v>0</v>
      </c>
      <c r="Q78" s="388">
        <f>SUMIFS(注册申报底表!$Z:$Z,注册申报底表!$J:$J,$B78,注册申报底表!$G:$G,Q$3)</f>
        <v>0</v>
      </c>
      <c r="R78" s="388">
        <f>SUMIFS(注册申报底表!$Z:$Z,注册申报底表!$J:$J,$B78,注册申报底表!$G:$G,R$3)</f>
        <v>0</v>
      </c>
      <c r="S78" s="388">
        <f>SUMIFS(注册申报底表!$Z:$Z,注册申报底表!$J:$J,$B78,注册申报底表!$G:$G,S$3)</f>
        <v>0</v>
      </c>
      <c r="T78" s="388">
        <f>SUMIFS(注册申报底表!$Z:$Z,注册申报底表!$J:$J,$B78,注册申报底表!$G:$G,T$3)</f>
        <v>0</v>
      </c>
      <c r="U78" s="388">
        <f>SUMIFS(注册申报底表!$Z:$Z,注册申报底表!$J:$J,$B78,注册申报底表!$G:$G,U$3)</f>
        <v>0</v>
      </c>
      <c r="W78" s="389">
        <f>SUMIFS(注册申报底表!$AA:$AA,注册申报底表!$J:$J,$B78,注册申报底表!$G:$G,W$3)</f>
        <v>0</v>
      </c>
      <c r="X78" s="389">
        <f>SUMIFS(注册申报底表!$AA:$AA,注册申报底表!$J:$J,$B78,注册申报底表!$G:$G,X$3)</f>
        <v>0</v>
      </c>
      <c r="Y78" s="389">
        <f>SUMIFS(注册申报底表!$AA:$AA,注册申报底表!$J:$J,$B78,注册申报底表!$G:$G,Y$3)</f>
        <v>0</v>
      </c>
      <c r="Z78" s="389">
        <f>SUMIFS(注册申报底表!$AA:$AA,注册申报底表!$J:$J,$B78,注册申报底表!$G:$G,Z$3)</f>
        <v>0</v>
      </c>
      <c r="AA78" s="389">
        <f>SUMIFS(注册申报底表!$AA:$AA,注册申报底表!$J:$J,$B78,注册申报底表!$G:$G,AA$3)</f>
        <v>0</v>
      </c>
      <c r="AB78" s="389">
        <f>SUMIFS(注册申报底表!$AA:$AA,注册申报底表!$J:$J,$B78,注册申报底表!$G:$G,AB$3)</f>
        <v>0</v>
      </c>
      <c r="AC78" s="389">
        <f>SUMIFS(注册申报底表!$AA:$AA,注册申报底表!$J:$J,$B78,注册申报底表!$G:$G,AC$3)</f>
        <v>0</v>
      </c>
    </row>
    <row r="79" ht="21" customHeight="1" spans="2:29">
      <c r="B79" s="89" t="s">
        <v>2003</v>
      </c>
      <c r="C79" s="90" t="str">
        <f>INDEX(二三级标准!$C:$C,MATCH($B79,二三级标准!$B:$B,0))</f>
        <v>2.5 临床综述（注册部分）</v>
      </c>
      <c r="D79" s="166">
        <f t="shared" si="71"/>
        <v>0</v>
      </c>
      <c r="E79" s="166">
        <f t="shared" si="72"/>
        <v>0</v>
      </c>
      <c r="F79" s="89" t="s">
        <v>1176</v>
      </c>
      <c r="G79" s="386">
        <f>IFERROR(SUMIF(注册申报底表!$J:$J,$B79,注册申报底表!$AA:$AA)/E79,0)</f>
        <v>0</v>
      </c>
      <c r="H79" s="386">
        <f t="shared" si="73"/>
        <v>0</v>
      </c>
      <c r="I79" s="386">
        <f>IFERROR(SUMIF(注册申报底表!$J:$J,$B79,注册申报底表!$AD:$AD)/E79,0)</f>
        <v>0</v>
      </c>
      <c r="J79" s="386">
        <f t="shared" si="74"/>
        <v>0</v>
      </c>
      <c r="K79" s="89"/>
      <c r="L79" s="387">
        <f t="shared" si="61"/>
        <v>0</v>
      </c>
      <c r="M79" s="387">
        <f>SUMIF(注册申报底表!$J:$J,$B79,注册申报底表!$Z:$Z)</f>
        <v>0</v>
      </c>
      <c r="O79" s="388">
        <f>SUMIFS(注册申报底表!$Z:$Z,注册申报底表!$J:$J,$B79,注册申报底表!$G:$G,O$3)</f>
        <v>0</v>
      </c>
      <c r="P79" s="388">
        <f>SUMIFS(注册申报底表!$Z:$Z,注册申报底表!$J:$J,$B79,注册申报底表!$G:$G,P$3)</f>
        <v>0</v>
      </c>
      <c r="Q79" s="388">
        <f>SUMIFS(注册申报底表!$Z:$Z,注册申报底表!$J:$J,$B79,注册申报底表!$G:$G,Q$3)</f>
        <v>0</v>
      </c>
      <c r="R79" s="388">
        <f>SUMIFS(注册申报底表!$Z:$Z,注册申报底表!$J:$J,$B79,注册申报底表!$G:$G,R$3)</f>
        <v>0</v>
      </c>
      <c r="S79" s="388">
        <f>SUMIFS(注册申报底表!$Z:$Z,注册申报底表!$J:$J,$B79,注册申报底表!$G:$G,S$3)</f>
        <v>0</v>
      </c>
      <c r="T79" s="388">
        <f>SUMIFS(注册申报底表!$Z:$Z,注册申报底表!$J:$J,$B79,注册申报底表!$G:$G,T$3)</f>
        <v>0</v>
      </c>
      <c r="U79" s="388">
        <f>SUMIFS(注册申报底表!$Z:$Z,注册申报底表!$J:$J,$B79,注册申报底表!$G:$G,U$3)</f>
        <v>0</v>
      </c>
      <c r="W79" s="389">
        <f>SUMIFS(注册申报底表!$AA:$AA,注册申报底表!$J:$J,$B79,注册申报底表!$G:$G,W$3)</f>
        <v>0</v>
      </c>
      <c r="X79" s="389">
        <f>SUMIFS(注册申报底表!$AA:$AA,注册申报底表!$J:$J,$B79,注册申报底表!$G:$G,X$3)</f>
        <v>0</v>
      </c>
      <c r="Y79" s="389">
        <f>SUMIFS(注册申报底表!$AA:$AA,注册申报底表!$J:$J,$B79,注册申报底表!$G:$G,Y$3)</f>
        <v>0</v>
      </c>
      <c r="Z79" s="389">
        <f>SUMIFS(注册申报底表!$AA:$AA,注册申报底表!$J:$J,$B79,注册申报底表!$G:$G,Z$3)</f>
        <v>0</v>
      </c>
      <c r="AA79" s="389">
        <f>SUMIFS(注册申报底表!$AA:$AA,注册申报底表!$J:$J,$B79,注册申报底表!$G:$G,AA$3)</f>
        <v>0</v>
      </c>
      <c r="AB79" s="389">
        <f>SUMIFS(注册申报底表!$AA:$AA,注册申报底表!$J:$J,$B79,注册申报底表!$G:$G,AB$3)</f>
        <v>0</v>
      </c>
      <c r="AC79" s="389">
        <f>SUMIFS(注册申报底表!$AA:$AA,注册申报底表!$J:$J,$B79,注册申报底表!$G:$G,AC$3)</f>
        <v>0</v>
      </c>
    </row>
    <row r="80" ht="21" customHeight="1" spans="2:29">
      <c r="B80" s="89" t="s">
        <v>2004</v>
      </c>
      <c r="C80" s="90" t="str">
        <f>INDEX(二三级标准!$C:$C,MATCH($B80,二三级标准!$B:$B,0))</f>
        <v>2.6 非临床文字总结和列表总结</v>
      </c>
      <c r="D80" s="166">
        <f t="shared" si="71"/>
        <v>0</v>
      </c>
      <c r="E80" s="166">
        <f t="shared" si="72"/>
        <v>0</v>
      </c>
      <c r="F80" s="89" t="s">
        <v>1176</v>
      </c>
      <c r="G80" s="386">
        <f>IFERROR(SUMIF(注册申报底表!$J:$J,$B80,注册申报底表!$AA:$AA)/E80,0)</f>
        <v>0</v>
      </c>
      <c r="H80" s="386">
        <f t="shared" si="73"/>
        <v>0</v>
      </c>
      <c r="I80" s="386">
        <f>IFERROR(SUMIF(注册申报底表!$J:$J,$B80,注册申报底表!$AD:$AD)/E80,0)</f>
        <v>0</v>
      </c>
      <c r="J80" s="386">
        <f t="shared" si="74"/>
        <v>0</v>
      </c>
      <c r="K80" s="89"/>
      <c r="L80" s="387">
        <f t="shared" si="61"/>
        <v>0</v>
      </c>
      <c r="M80" s="387">
        <f>SUMIF(注册申报底表!$J:$J,$B80,注册申报底表!$Z:$Z)</f>
        <v>0</v>
      </c>
      <c r="O80" s="388">
        <f>SUMIFS(注册申报底表!$Z:$Z,注册申报底表!$J:$J,$B80,注册申报底表!$G:$G,O$3)</f>
        <v>0</v>
      </c>
      <c r="P80" s="388">
        <f>SUMIFS(注册申报底表!$Z:$Z,注册申报底表!$J:$J,$B80,注册申报底表!$G:$G,P$3)</f>
        <v>0</v>
      </c>
      <c r="Q80" s="388">
        <f>SUMIFS(注册申报底表!$Z:$Z,注册申报底表!$J:$J,$B80,注册申报底表!$G:$G,Q$3)</f>
        <v>0</v>
      </c>
      <c r="R80" s="388">
        <f>SUMIFS(注册申报底表!$Z:$Z,注册申报底表!$J:$J,$B80,注册申报底表!$G:$G,R$3)</f>
        <v>0</v>
      </c>
      <c r="S80" s="388">
        <f>SUMIFS(注册申报底表!$Z:$Z,注册申报底表!$J:$J,$B80,注册申报底表!$G:$G,S$3)</f>
        <v>0</v>
      </c>
      <c r="T80" s="388">
        <f>SUMIFS(注册申报底表!$Z:$Z,注册申报底表!$J:$J,$B80,注册申报底表!$G:$G,T$3)</f>
        <v>0</v>
      </c>
      <c r="U80" s="388">
        <f>SUMIFS(注册申报底表!$Z:$Z,注册申报底表!$J:$J,$B80,注册申报底表!$G:$G,U$3)</f>
        <v>0</v>
      </c>
      <c r="W80" s="389">
        <f>SUMIFS(注册申报底表!$AA:$AA,注册申报底表!$J:$J,$B80,注册申报底表!$G:$G,W$3)</f>
        <v>0</v>
      </c>
      <c r="X80" s="389">
        <f>SUMIFS(注册申报底表!$AA:$AA,注册申报底表!$J:$J,$B80,注册申报底表!$G:$G,X$3)</f>
        <v>0</v>
      </c>
      <c r="Y80" s="389">
        <f>SUMIFS(注册申报底表!$AA:$AA,注册申报底表!$J:$J,$B80,注册申报底表!$G:$G,Y$3)</f>
        <v>0</v>
      </c>
      <c r="Z80" s="389">
        <f>SUMIFS(注册申报底表!$AA:$AA,注册申报底表!$J:$J,$B80,注册申报底表!$G:$G,Z$3)</f>
        <v>0</v>
      </c>
      <c r="AA80" s="389">
        <f>SUMIFS(注册申报底表!$AA:$AA,注册申报底表!$J:$J,$B80,注册申报底表!$G:$G,AA$3)</f>
        <v>0</v>
      </c>
      <c r="AB80" s="389">
        <f>SUMIFS(注册申报底表!$AA:$AA,注册申报底表!$J:$J,$B80,注册申报底表!$G:$G,AB$3)</f>
        <v>0</v>
      </c>
      <c r="AC80" s="389">
        <f>SUMIFS(注册申报底表!$AA:$AA,注册申报底表!$J:$J,$B80,注册申报底表!$G:$G,AC$3)</f>
        <v>0</v>
      </c>
    </row>
    <row r="81" ht="21" customHeight="1" spans="2:29">
      <c r="B81" s="89" t="s">
        <v>2005</v>
      </c>
      <c r="C81" s="90" t="str">
        <f>INDEX(二三级标准!$C:$C,MATCH($B81,二三级标准!$B:$B,0))</f>
        <v>2.7 临床研究总结（注册部分）</v>
      </c>
      <c r="D81" s="166">
        <f t="shared" si="71"/>
        <v>0</v>
      </c>
      <c r="E81" s="166">
        <f t="shared" si="72"/>
        <v>0</v>
      </c>
      <c r="F81" s="89" t="s">
        <v>1176</v>
      </c>
      <c r="G81" s="386">
        <f>IFERROR(SUMIF(注册申报底表!$J:$J,$B81,注册申报底表!$AA:$AA)/E81,0)</f>
        <v>0</v>
      </c>
      <c r="H81" s="386">
        <f t="shared" si="73"/>
        <v>0</v>
      </c>
      <c r="I81" s="386">
        <f>IFERROR(SUMIF(注册申报底表!$J:$J,$B81,注册申报底表!$AD:$AD)/E81,0)</f>
        <v>0</v>
      </c>
      <c r="J81" s="386">
        <f t="shared" si="74"/>
        <v>0</v>
      </c>
      <c r="K81" s="89"/>
      <c r="L81" s="387">
        <f t="shared" si="61"/>
        <v>0</v>
      </c>
      <c r="M81" s="387">
        <f>SUMIF(注册申报底表!$J:$J,$B81,注册申报底表!$Z:$Z)</f>
        <v>0</v>
      </c>
      <c r="O81" s="388">
        <f>SUMIFS(注册申报底表!$Z:$Z,注册申报底表!$J:$J,$B81,注册申报底表!$G:$G,O$3)</f>
        <v>0</v>
      </c>
      <c r="P81" s="388">
        <f>SUMIFS(注册申报底表!$Z:$Z,注册申报底表!$J:$J,$B81,注册申报底表!$G:$G,P$3)</f>
        <v>0</v>
      </c>
      <c r="Q81" s="388">
        <f>SUMIFS(注册申报底表!$Z:$Z,注册申报底表!$J:$J,$B81,注册申报底表!$G:$G,Q$3)</f>
        <v>0</v>
      </c>
      <c r="R81" s="388">
        <f>SUMIFS(注册申报底表!$Z:$Z,注册申报底表!$J:$J,$B81,注册申报底表!$G:$G,R$3)</f>
        <v>0</v>
      </c>
      <c r="S81" s="388">
        <f>SUMIFS(注册申报底表!$Z:$Z,注册申报底表!$J:$J,$B81,注册申报底表!$G:$G,S$3)</f>
        <v>0</v>
      </c>
      <c r="T81" s="388">
        <f>SUMIFS(注册申报底表!$Z:$Z,注册申报底表!$J:$J,$B81,注册申报底表!$G:$G,T$3)</f>
        <v>0</v>
      </c>
      <c r="U81" s="388">
        <f>SUMIFS(注册申报底表!$Z:$Z,注册申报底表!$J:$J,$B81,注册申报底表!$G:$G,U$3)</f>
        <v>0</v>
      </c>
      <c r="W81" s="389">
        <f>SUMIFS(注册申报底表!$AA:$AA,注册申报底表!$J:$J,$B81,注册申报底表!$G:$G,W$3)</f>
        <v>0</v>
      </c>
      <c r="X81" s="389">
        <f>SUMIFS(注册申报底表!$AA:$AA,注册申报底表!$J:$J,$B81,注册申报底表!$G:$G,X$3)</f>
        <v>0</v>
      </c>
      <c r="Y81" s="389">
        <f>SUMIFS(注册申报底表!$AA:$AA,注册申报底表!$J:$J,$B81,注册申报底表!$G:$G,Y$3)</f>
        <v>0</v>
      </c>
      <c r="Z81" s="389">
        <f>SUMIFS(注册申报底表!$AA:$AA,注册申报底表!$J:$J,$B81,注册申报底表!$G:$G,Z$3)</f>
        <v>0</v>
      </c>
      <c r="AA81" s="389">
        <f>SUMIFS(注册申报底表!$AA:$AA,注册申报底表!$J:$J,$B81,注册申报底表!$G:$G,AA$3)</f>
        <v>0</v>
      </c>
      <c r="AB81" s="389">
        <f>SUMIFS(注册申报底表!$AA:$AA,注册申报底表!$J:$J,$B81,注册申报底表!$G:$G,AB$3)</f>
        <v>0</v>
      </c>
      <c r="AC81" s="389">
        <f>SUMIFS(注册申报底表!$AA:$AA,注册申报底表!$J:$J,$B81,注册申报底表!$G:$G,AC$3)</f>
        <v>0</v>
      </c>
    </row>
    <row r="82" ht="21" customHeight="1" spans="2:29">
      <c r="B82" s="395" t="s">
        <v>2006</v>
      </c>
      <c r="C82" s="396"/>
      <c r="D82" s="396"/>
      <c r="E82" s="396"/>
      <c r="F82" s="396"/>
      <c r="G82" s="396"/>
      <c r="H82" s="396"/>
      <c r="I82" s="396"/>
      <c r="J82" s="396"/>
      <c r="K82" s="397"/>
      <c r="L82" s="387"/>
      <c r="M82" s="387"/>
      <c r="N82" s="385"/>
      <c r="O82" s="388"/>
      <c r="P82" s="388"/>
      <c r="Q82" s="388"/>
      <c r="R82" s="388"/>
      <c r="S82" s="388"/>
      <c r="T82" s="388"/>
      <c r="U82" s="388"/>
      <c r="W82" s="389"/>
      <c r="X82" s="389"/>
      <c r="Y82" s="389"/>
      <c r="Z82" s="389"/>
      <c r="AA82" s="389"/>
      <c r="AB82" s="389"/>
      <c r="AC82" s="389"/>
    </row>
    <row r="83" ht="21" customHeight="1" spans="2:29">
      <c r="B83" s="89" t="s">
        <v>2007</v>
      </c>
      <c r="C83" s="90" t="str">
        <f>INDEX(二三级标准!$C:$C,MATCH($B83,二三级标准!$B:$B,0))</f>
        <v>3.1 模块3目录</v>
      </c>
      <c r="D83" s="166">
        <f t="shared" ref="D83:D85" si="75">IF($D$59=1,1,0)</f>
        <v>0</v>
      </c>
      <c r="E83" s="166">
        <f t="shared" ref="E83:E85" si="76">IF($D83=1,1,0)</f>
        <v>0</v>
      </c>
      <c r="F83" s="89" t="s">
        <v>1176</v>
      </c>
      <c r="G83" s="386">
        <f>IFERROR(SUMIF(注册申报底表!$J:$J,$B83,注册申报底表!$AA:$AA)/E83,0)</f>
        <v>0</v>
      </c>
      <c r="H83" s="386">
        <f t="shared" ref="H83:H85" si="77">G83*E83</f>
        <v>0</v>
      </c>
      <c r="I83" s="386">
        <f>IFERROR(SUMIF(注册申报底表!$J:$J,$B83,注册申报底表!$AD:$AD)/E83,0)</f>
        <v>0</v>
      </c>
      <c r="J83" s="386">
        <f t="shared" ref="J83:J85" si="78">I83*E83</f>
        <v>0</v>
      </c>
      <c r="K83" s="89"/>
      <c r="L83" s="387">
        <f t="shared" si="61"/>
        <v>0</v>
      </c>
      <c r="M83" s="387">
        <f>SUMIF(注册申报底表!$J:$J,$B83,注册申报底表!$Z:$Z)</f>
        <v>0</v>
      </c>
      <c r="O83" s="388">
        <f>SUMIFS(注册申报底表!$Z:$Z,注册申报底表!$J:$J,$B83,注册申报底表!$G:$G,O$3)</f>
        <v>0</v>
      </c>
      <c r="P83" s="388">
        <f>SUMIFS(注册申报底表!$Z:$Z,注册申报底表!$J:$J,$B83,注册申报底表!$G:$G,P$3)</f>
        <v>0</v>
      </c>
      <c r="Q83" s="388">
        <f>SUMIFS(注册申报底表!$Z:$Z,注册申报底表!$J:$J,$B83,注册申报底表!$G:$G,Q$3)</f>
        <v>0</v>
      </c>
      <c r="R83" s="388">
        <f>SUMIFS(注册申报底表!$Z:$Z,注册申报底表!$J:$J,$B83,注册申报底表!$G:$G,R$3)</f>
        <v>0</v>
      </c>
      <c r="S83" s="388">
        <f>SUMIFS(注册申报底表!$Z:$Z,注册申报底表!$J:$J,$B83,注册申报底表!$G:$G,S$3)</f>
        <v>0</v>
      </c>
      <c r="T83" s="388">
        <f>SUMIFS(注册申报底表!$Z:$Z,注册申报底表!$J:$J,$B83,注册申报底表!$G:$G,T$3)</f>
        <v>0</v>
      </c>
      <c r="U83" s="388">
        <f>SUMIFS(注册申报底表!$Z:$Z,注册申报底表!$J:$J,$B83,注册申报底表!$G:$G,U$3)</f>
        <v>0</v>
      </c>
      <c r="W83" s="389">
        <f>SUMIFS(注册申报底表!$AA:$AA,注册申报底表!$J:$J,$B83,注册申报底表!$G:$G,W$3)</f>
        <v>0</v>
      </c>
      <c r="X83" s="389">
        <f>SUMIFS(注册申报底表!$AA:$AA,注册申报底表!$J:$J,$B83,注册申报底表!$G:$G,X$3)</f>
        <v>0</v>
      </c>
      <c r="Y83" s="389">
        <f>SUMIFS(注册申报底表!$AA:$AA,注册申报底表!$J:$J,$B83,注册申报底表!$G:$G,Y$3)</f>
        <v>0</v>
      </c>
      <c r="Z83" s="389">
        <f>SUMIFS(注册申报底表!$AA:$AA,注册申报底表!$J:$J,$B83,注册申报底表!$G:$G,Z$3)</f>
        <v>0</v>
      </c>
      <c r="AA83" s="389">
        <f>SUMIFS(注册申报底表!$AA:$AA,注册申报底表!$J:$J,$B83,注册申报底表!$G:$G,AA$3)</f>
        <v>0</v>
      </c>
      <c r="AB83" s="389">
        <f>SUMIFS(注册申报底表!$AA:$AA,注册申报底表!$J:$J,$B83,注册申报底表!$G:$G,AB$3)</f>
        <v>0</v>
      </c>
      <c r="AC83" s="389">
        <f>SUMIFS(注册申报底表!$AA:$AA,注册申报底表!$J:$J,$B83,注册申报底表!$G:$G,AC$3)</f>
        <v>0</v>
      </c>
    </row>
    <row r="84" ht="21" customHeight="1" spans="2:29">
      <c r="B84" s="89" t="s">
        <v>2008</v>
      </c>
      <c r="C84" s="90" t="str">
        <f>INDEX(二三级标准!$C:$C,MATCH($B84,二三级标准!$B:$B,0))</f>
        <v>3.2 主体文件（制剂部分）</v>
      </c>
      <c r="D84" s="166">
        <f t="shared" si="75"/>
        <v>0</v>
      </c>
      <c r="E84" s="166">
        <f t="shared" si="76"/>
        <v>0</v>
      </c>
      <c r="F84" s="89" t="s">
        <v>1176</v>
      </c>
      <c r="G84" s="386">
        <f>IFERROR(SUMIF(注册申报底表!$J:$J,$B84,注册申报底表!$AA:$AA)/E84,0)</f>
        <v>0</v>
      </c>
      <c r="H84" s="386">
        <f t="shared" si="77"/>
        <v>0</v>
      </c>
      <c r="I84" s="386">
        <f>IFERROR(SUMIF(注册申报底表!$J:$J,$B84,注册申报底表!$AD:$AD)/E84,0)</f>
        <v>0</v>
      </c>
      <c r="J84" s="386">
        <f t="shared" si="78"/>
        <v>0</v>
      </c>
      <c r="K84" s="89"/>
      <c r="L84" s="387">
        <f t="shared" si="61"/>
        <v>0</v>
      </c>
      <c r="M84" s="387">
        <f>SUMIF(注册申报底表!$J:$J,$B84,注册申报底表!$Z:$Z)</f>
        <v>0</v>
      </c>
      <c r="O84" s="388">
        <f>SUMIFS(注册申报底表!$Z:$Z,注册申报底表!$J:$J,$B84,注册申报底表!$G:$G,O$3)</f>
        <v>0</v>
      </c>
      <c r="P84" s="388">
        <f>SUMIFS(注册申报底表!$Z:$Z,注册申报底表!$J:$J,$B84,注册申报底表!$G:$G,P$3)</f>
        <v>0</v>
      </c>
      <c r="Q84" s="388">
        <f>SUMIFS(注册申报底表!$Z:$Z,注册申报底表!$J:$J,$B84,注册申报底表!$G:$G,Q$3)</f>
        <v>0</v>
      </c>
      <c r="R84" s="388">
        <f>SUMIFS(注册申报底表!$Z:$Z,注册申报底表!$J:$J,$B84,注册申报底表!$G:$G,R$3)</f>
        <v>0</v>
      </c>
      <c r="S84" s="388">
        <f>SUMIFS(注册申报底表!$Z:$Z,注册申报底表!$J:$J,$B84,注册申报底表!$G:$G,S$3)</f>
        <v>0</v>
      </c>
      <c r="T84" s="388">
        <f>SUMIFS(注册申报底表!$Z:$Z,注册申报底表!$J:$J,$B84,注册申报底表!$G:$G,T$3)</f>
        <v>0</v>
      </c>
      <c r="U84" s="388">
        <f>SUMIFS(注册申报底表!$Z:$Z,注册申报底表!$J:$J,$B84,注册申报底表!$G:$G,U$3)</f>
        <v>0</v>
      </c>
      <c r="W84" s="389">
        <f>SUMIFS(注册申报底表!$AA:$AA,注册申报底表!$J:$J,$B84,注册申报底表!$G:$G,W$3)</f>
        <v>0</v>
      </c>
      <c r="X84" s="389">
        <f>SUMIFS(注册申报底表!$AA:$AA,注册申报底表!$J:$J,$B84,注册申报底表!$G:$G,X$3)</f>
        <v>0</v>
      </c>
      <c r="Y84" s="389">
        <f>SUMIFS(注册申报底表!$AA:$AA,注册申报底表!$J:$J,$B84,注册申报底表!$G:$G,Y$3)</f>
        <v>0</v>
      </c>
      <c r="Z84" s="389">
        <f>SUMIFS(注册申报底表!$AA:$AA,注册申报底表!$J:$J,$B84,注册申报底表!$G:$G,Z$3)</f>
        <v>0</v>
      </c>
      <c r="AA84" s="389">
        <f>SUMIFS(注册申报底表!$AA:$AA,注册申报底表!$J:$J,$B84,注册申报底表!$G:$G,AA$3)</f>
        <v>0</v>
      </c>
      <c r="AB84" s="389">
        <f>SUMIFS(注册申报底表!$AA:$AA,注册申报底表!$J:$J,$B84,注册申报底表!$G:$G,AB$3)</f>
        <v>0</v>
      </c>
      <c r="AC84" s="389">
        <f>SUMIFS(注册申报底表!$AA:$AA,注册申报底表!$J:$J,$B84,注册申报底表!$G:$G,AC$3)</f>
        <v>0</v>
      </c>
    </row>
    <row r="85" ht="21" customHeight="1" spans="2:29">
      <c r="B85" s="89" t="s">
        <v>2009</v>
      </c>
      <c r="C85" s="90" t="str">
        <f>INDEX(二三级标准!$C:$C,MATCH($B85,二三级标准!$B:$B,0))</f>
        <v>3.3 参考文献</v>
      </c>
      <c r="D85" s="166">
        <f t="shared" si="75"/>
        <v>0</v>
      </c>
      <c r="E85" s="166">
        <f t="shared" si="76"/>
        <v>0</v>
      </c>
      <c r="F85" s="89" t="s">
        <v>1176</v>
      </c>
      <c r="G85" s="386">
        <f>IFERROR(SUMIF(注册申报底表!$J:$J,$B85,注册申报底表!$AA:$AA)/E85,0)</f>
        <v>0</v>
      </c>
      <c r="H85" s="386">
        <f t="shared" si="77"/>
        <v>0</v>
      </c>
      <c r="I85" s="386">
        <f>IFERROR(SUMIF(注册申报底表!$J:$J,$B85,注册申报底表!$AD:$AD)/E85,0)</f>
        <v>0</v>
      </c>
      <c r="J85" s="386">
        <f t="shared" si="78"/>
        <v>0</v>
      </c>
      <c r="K85" s="89"/>
      <c r="L85" s="387">
        <f t="shared" si="61"/>
        <v>0</v>
      </c>
      <c r="M85" s="387">
        <f>SUMIF(注册申报底表!$J:$J,$B85,注册申报底表!$Z:$Z)</f>
        <v>0</v>
      </c>
      <c r="O85" s="388">
        <f>SUMIFS(注册申报底表!$Z:$Z,注册申报底表!$J:$J,$B85,注册申报底表!$G:$G,O$3)</f>
        <v>0</v>
      </c>
      <c r="P85" s="388">
        <f>SUMIFS(注册申报底表!$Z:$Z,注册申报底表!$J:$J,$B85,注册申报底表!$G:$G,P$3)</f>
        <v>0</v>
      </c>
      <c r="Q85" s="388">
        <f>SUMIFS(注册申报底表!$Z:$Z,注册申报底表!$J:$J,$B85,注册申报底表!$G:$G,Q$3)</f>
        <v>0</v>
      </c>
      <c r="R85" s="388">
        <f>SUMIFS(注册申报底表!$Z:$Z,注册申报底表!$J:$J,$B85,注册申报底表!$G:$G,R$3)</f>
        <v>0</v>
      </c>
      <c r="S85" s="388">
        <f>SUMIFS(注册申报底表!$Z:$Z,注册申报底表!$J:$J,$B85,注册申报底表!$G:$G,S$3)</f>
        <v>0</v>
      </c>
      <c r="T85" s="388">
        <f>SUMIFS(注册申报底表!$Z:$Z,注册申报底表!$J:$J,$B85,注册申报底表!$G:$G,T$3)</f>
        <v>0</v>
      </c>
      <c r="U85" s="388">
        <f>SUMIFS(注册申报底表!$Z:$Z,注册申报底表!$J:$J,$B85,注册申报底表!$G:$G,U$3)</f>
        <v>0</v>
      </c>
      <c r="W85" s="389">
        <f>SUMIFS(注册申报底表!$AA:$AA,注册申报底表!$J:$J,$B85,注册申报底表!$G:$G,W$3)</f>
        <v>0</v>
      </c>
      <c r="X85" s="389">
        <f>SUMIFS(注册申报底表!$AA:$AA,注册申报底表!$J:$J,$B85,注册申报底表!$G:$G,X$3)</f>
        <v>0</v>
      </c>
      <c r="Y85" s="389">
        <f>SUMIFS(注册申报底表!$AA:$AA,注册申报底表!$J:$J,$B85,注册申报底表!$G:$G,Y$3)</f>
        <v>0</v>
      </c>
      <c r="Z85" s="389">
        <f>SUMIFS(注册申报底表!$AA:$AA,注册申报底表!$J:$J,$B85,注册申报底表!$G:$G,Z$3)</f>
        <v>0</v>
      </c>
      <c r="AA85" s="389">
        <f>SUMIFS(注册申报底表!$AA:$AA,注册申报底表!$J:$J,$B85,注册申报底表!$G:$G,AA$3)</f>
        <v>0</v>
      </c>
      <c r="AB85" s="389">
        <f>SUMIFS(注册申报底表!$AA:$AA,注册申报底表!$J:$J,$B85,注册申报底表!$G:$G,AB$3)</f>
        <v>0</v>
      </c>
      <c r="AC85" s="389">
        <f>SUMIFS(注册申报底表!$AA:$AA,注册申报底表!$J:$J,$B85,注册申报底表!$G:$G,AC$3)</f>
        <v>0</v>
      </c>
    </row>
    <row r="86" ht="21" customHeight="1" spans="2:29">
      <c r="B86" s="395" t="s">
        <v>2010</v>
      </c>
      <c r="C86" s="396"/>
      <c r="D86" s="396"/>
      <c r="E86" s="396"/>
      <c r="F86" s="396"/>
      <c r="G86" s="396"/>
      <c r="H86" s="396"/>
      <c r="I86" s="396"/>
      <c r="J86" s="396"/>
      <c r="K86" s="397"/>
      <c r="L86" s="387"/>
      <c r="M86" s="387"/>
      <c r="N86" s="385"/>
      <c r="O86" s="388"/>
      <c r="P86" s="388"/>
      <c r="Q86" s="388"/>
      <c r="R86" s="388"/>
      <c r="S86" s="388"/>
      <c r="T86" s="388"/>
      <c r="U86" s="388"/>
      <c r="W86" s="389"/>
      <c r="X86" s="389"/>
      <c r="Y86" s="389"/>
      <c r="Z86" s="389"/>
      <c r="AA86" s="389"/>
      <c r="AB86" s="389"/>
      <c r="AC86" s="389"/>
    </row>
    <row r="87" ht="21" customHeight="1" spans="2:29">
      <c r="B87" s="89" t="s">
        <v>2011</v>
      </c>
      <c r="C87" s="90" t="str">
        <f>INDEX(二三级标准!$C:$C,MATCH($B87,二三级标准!$B:$B,0))</f>
        <v>4.1 模块4目录</v>
      </c>
      <c r="D87" s="166">
        <f t="shared" ref="D87:D89" si="79">IF($D$59=1,1,0)</f>
        <v>0</v>
      </c>
      <c r="E87" s="166">
        <f t="shared" ref="E87:E89" si="80">IF($D87=1,1,0)</f>
        <v>0</v>
      </c>
      <c r="F87" s="89" t="s">
        <v>1176</v>
      </c>
      <c r="G87" s="386">
        <f>IFERROR(SUMIF(注册申报底表!$J:$J,$B87,注册申报底表!$AA:$AA)/E87,0)</f>
        <v>0</v>
      </c>
      <c r="H87" s="386">
        <f t="shared" ref="H87:H89" si="81">G87*E87</f>
        <v>0</v>
      </c>
      <c r="I87" s="386">
        <f>IFERROR(SUMIF(注册申报底表!$J:$J,$B87,注册申报底表!$AD:$AD)/E87,0)</f>
        <v>0</v>
      </c>
      <c r="J87" s="386">
        <f t="shared" ref="J87:J89" si="82">I87*E87</f>
        <v>0</v>
      </c>
      <c r="K87" s="89"/>
      <c r="L87" s="387">
        <f t="shared" si="61"/>
        <v>0</v>
      </c>
      <c r="M87" s="387">
        <f>SUMIF(注册申报底表!$J:$J,$B87,注册申报底表!$Z:$Z)</f>
        <v>0</v>
      </c>
      <c r="O87" s="388">
        <f>SUMIFS(注册申报底表!$Z:$Z,注册申报底表!$J:$J,$B87,注册申报底表!$G:$G,O$3)</f>
        <v>0</v>
      </c>
      <c r="P87" s="388">
        <f>SUMIFS(注册申报底表!$Z:$Z,注册申报底表!$J:$J,$B87,注册申报底表!$G:$G,P$3)</f>
        <v>0</v>
      </c>
      <c r="Q87" s="388">
        <f>SUMIFS(注册申报底表!$Z:$Z,注册申报底表!$J:$J,$B87,注册申报底表!$G:$G,Q$3)</f>
        <v>0</v>
      </c>
      <c r="R87" s="388">
        <f>SUMIFS(注册申报底表!$Z:$Z,注册申报底表!$J:$J,$B87,注册申报底表!$G:$G,R$3)</f>
        <v>0</v>
      </c>
      <c r="S87" s="388">
        <f>SUMIFS(注册申报底表!$Z:$Z,注册申报底表!$J:$J,$B87,注册申报底表!$G:$G,S$3)</f>
        <v>0</v>
      </c>
      <c r="T87" s="388">
        <f>SUMIFS(注册申报底表!$Z:$Z,注册申报底表!$J:$J,$B87,注册申报底表!$G:$G,T$3)</f>
        <v>0</v>
      </c>
      <c r="U87" s="388">
        <f>SUMIFS(注册申报底表!$Z:$Z,注册申报底表!$J:$J,$B87,注册申报底表!$G:$G,U$3)</f>
        <v>0</v>
      </c>
      <c r="W87" s="389">
        <f>SUMIFS(注册申报底表!$AA:$AA,注册申报底表!$J:$J,$B87,注册申报底表!$G:$G,W$3)</f>
        <v>0</v>
      </c>
      <c r="X87" s="389">
        <f>SUMIFS(注册申报底表!$AA:$AA,注册申报底表!$J:$J,$B87,注册申报底表!$G:$G,X$3)</f>
        <v>0</v>
      </c>
      <c r="Y87" s="389">
        <f>SUMIFS(注册申报底表!$AA:$AA,注册申报底表!$J:$J,$B87,注册申报底表!$G:$G,Y$3)</f>
        <v>0</v>
      </c>
      <c r="Z87" s="389">
        <f>SUMIFS(注册申报底表!$AA:$AA,注册申报底表!$J:$J,$B87,注册申报底表!$G:$G,Z$3)</f>
        <v>0</v>
      </c>
      <c r="AA87" s="389">
        <f>SUMIFS(注册申报底表!$AA:$AA,注册申报底表!$J:$J,$B87,注册申报底表!$G:$G,AA$3)</f>
        <v>0</v>
      </c>
      <c r="AB87" s="389">
        <f>SUMIFS(注册申报底表!$AA:$AA,注册申报底表!$J:$J,$B87,注册申报底表!$G:$G,AB$3)</f>
        <v>0</v>
      </c>
      <c r="AC87" s="389">
        <f>SUMIFS(注册申报底表!$AA:$AA,注册申报底表!$J:$J,$B87,注册申报底表!$G:$G,AC$3)</f>
        <v>0</v>
      </c>
    </row>
    <row r="88" ht="21" customHeight="1" spans="2:29">
      <c r="B88" s="89" t="s">
        <v>2012</v>
      </c>
      <c r="C88" s="90" t="str">
        <f>INDEX(二三级标准!$C:$C,MATCH($B88,二三级标准!$B:$B,0))</f>
        <v>4.2 试验报告</v>
      </c>
      <c r="D88" s="166">
        <f t="shared" si="79"/>
        <v>0</v>
      </c>
      <c r="E88" s="166">
        <f t="shared" si="80"/>
        <v>0</v>
      </c>
      <c r="F88" s="89" t="s">
        <v>1176</v>
      </c>
      <c r="G88" s="386">
        <f>IFERROR(SUMIF(注册申报底表!$J:$J,$B88,注册申报底表!$AA:$AA)/E88,0)</f>
        <v>0</v>
      </c>
      <c r="H88" s="386">
        <f t="shared" si="81"/>
        <v>0</v>
      </c>
      <c r="I88" s="386">
        <f>IFERROR(SUMIF(注册申报底表!$J:$J,$B88,注册申报底表!$AD:$AD)/E88,0)</f>
        <v>0</v>
      </c>
      <c r="J88" s="386">
        <f t="shared" si="82"/>
        <v>0</v>
      </c>
      <c r="K88" s="89"/>
      <c r="L88" s="387">
        <f t="shared" si="61"/>
        <v>0</v>
      </c>
      <c r="M88" s="387">
        <f>SUMIF(注册申报底表!$J:$J,$B88,注册申报底表!$Z:$Z)</f>
        <v>0</v>
      </c>
      <c r="O88" s="388">
        <f>SUMIFS(注册申报底表!$Z:$Z,注册申报底表!$J:$J,$B88,注册申报底表!$G:$G,O$3)</f>
        <v>0</v>
      </c>
      <c r="P88" s="388">
        <f>SUMIFS(注册申报底表!$Z:$Z,注册申报底表!$J:$J,$B88,注册申报底表!$G:$G,P$3)</f>
        <v>0</v>
      </c>
      <c r="Q88" s="388">
        <f>SUMIFS(注册申报底表!$Z:$Z,注册申报底表!$J:$J,$B88,注册申报底表!$G:$G,Q$3)</f>
        <v>0</v>
      </c>
      <c r="R88" s="388">
        <f>SUMIFS(注册申报底表!$Z:$Z,注册申报底表!$J:$J,$B88,注册申报底表!$G:$G,R$3)</f>
        <v>0</v>
      </c>
      <c r="S88" s="388">
        <f>SUMIFS(注册申报底表!$Z:$Z,注册申报底表!$J:$J,$B88,注册申报底表!$G:$G,S$3)</f>
        <v>0</v>
      </c>
      <c r="T88" s="388">
        <f>SUMIFS(注册申报底表!$Z:$Z,注册申报底表!$J:$J,$B88,注册申报底表!$G:$G,T$3)</f>
        <v>0</v>
      </c>
      <c r="U88" s="388">
        <f>SUMIFS(注册申报底表!$Z:$Z,注册申报底表!$J:$J,$B88,注册申报底表!$G:$G,U$3)</f>
        <v>0</v>
      </c>
      <c r="W88" s="389">
        <f>SUMIFS(注册申报底表!$AA:$AA,注册申报底表!$J:$J,$B88,注册申报底表!$G:$G,W$3)</f>
        <v>0</v>
      </c>
      <c r="X88" s="389">
        <f>SUMIFS(注册申报底表!$AA:$AA,注册申报底表!$J:$J,$B88,注册申报底表!$G:$G,X$3)</f>
        <v>0</v>
      </c>
      <c r="Y88" s="389">
        <f>SUMIFS(注册申报底表!$AA:$AA,注册申报底表!$J:$J,$B88,注册申报底表!$G:$G,Y$3)</f>
        <v>0</v>
      </c>
      <c r="Z88" s="389">
        <f>SUMIFS(注册申报底表!$AA:$AA,注册申报底表!$J:$J,$B88,注册申报底表!$G:$G,Z$3)</f>
        <v>0</v>
      </c>
      <c r="AA88" s="389">
        <f>SUMIFS(注册申报底表!$AA:$AA,注册申报底表!$J:$J,$B88,注册申报底表!$G:$G,AA$3)</f>
        <v>0</v>
      </c>
      <c r="AB88" s="389">
        <f>SUMIFS(注册申报底表!$AA:$AA,注册申报底表!$J:$J,$B88,注册申报底表!$G:$G,AB$3)</f>
        <v>0</v>
      </c>
      <c r="AC88" s="389">
        <f>SUMIFS(注册申报底表!$AA:$AA,注册申报底表!$J:$J,$B88,注册申报底表!$G:$G,AC$3)</f>
        <v>0</v>
      </c>
    </row>
    <row r="89" ht="21" customHeight="1" spans="2:29">
      <c r="B89" s="89" t="s">
        <v>2013</v>
      </c>
      <c r="C89" s="90" t="str">
        <f>INDEX(二三级标准!$C:$C,MATCH($B89,二三级标准!$B:$B,0))</f>
        <v>4.3 参考文献</v>
      </c>
      <c r="D89" s="166">
        <f t="shared" si="79"/>
        <v>0</v>
      </c>
      <c r="E89" s="166">
        <f t="shared" si="80"/>
        <v>0</v>
      </c>
      <c r="F89" s="89" t="s">
        <v>1176</v>
      </c>
      <c r="G89" s="386">
        <f>IFERROR(SUMIF(注册申报底表!$J:$J,$B89,注册申报底表!$AA:$AA)/E89,0)</f>
        <v>0</v>
      </c>
      <c r="H89" s="386">
        <f t="shared" si="81"/>
        <v>0</v>
      </c>
      <c r="I89" s="386">
        <f>IFERROR(SUMIF(注册申报底表!$J:$J,$B89,注册申报底表!$AD:$AD)/E89,0)</f>
        <v>0</v>
      </c>
      <c r="J89" s="386">
        <f t="shared" si="82"/>
        <v>0</v>
      </c>
      <c r="K89" s="89"/>
      <c r="L89" s="387">
        <f t="shared" si="61"/>
        <v>0</v>
      </c>
      <c r="M89" s="387">
        <f>SUMIF(注册申报底表!$J:$J,$B89,注册申报底表!$Z:$Z)</f>
        <v>0</v>
      </c>
      <c r="O89" s="388">
        <f>SUMIFS(注册申报底表!$Z:$Z,注册申报底表!$J:$J,$B89,注册申报底表!$G:$G,O$3)</f>
        <v>0</v>
      </c>
      <c r="P89" s="388">
        <f>SUMIFS(注册申报底表!$Z:$Z,注册申报底表!$J:$J,$B89,注册申报底表!$G:$G,P$3)</f>
        <v>0</v>
      </c>
      <c r="Q89" s="388">
        <f>SUMIFS(注册申报底表!$Z:$Z,注册申报底表!$J:$J,$B89,注册申报底表!$G:$G,Q$3)</f>
        <v>0</v>
      </c>
      <c r="R89" s="388">
        <f>SUMIFS(注册申报底表!$Z:$Z,注册申报底表!$J:$J,$B89,注册申报底表!$G:$G,R$3)</f>
        <v>0</v>
      </c>
      <c r="S89" s="388">
        <f>SUMIFS(注册申报底表!$Z:$Z,注册申报底表!$J:$J,$B89,注册申报底表!$G:$G,S$3)</f>
        <v>0</v>
      </c>
      <c r="T89" s="388">
        <f>SUMIFS(注册申报底表!$Z:$Z,注册申报底表!$J:$J,$B89,注册申报底表!$G:$G,T$3)</f>
        <v>0</v>
      </c>
      <c r="U89" s="388">
        <f>SUMIFS(注册申报底表!$Z:$Z,注册申报底表!$J:$J,$B89,注册申报底表!$G:$G,U$3)</f>
        <v>0</v>
      </c>
      <c r="W89" s="389">
        <f>SUMIFS(注册申报底表!$AA:$AA,注册申报底表!$J:$J,$B89,注册申报底表!$G:$G,W$3)</f>
        <v>0</v>
      </c>
      <c r="X89" s="389">
        <f>SUMIFS(注册申报底表!$AA:$AA,注册申报底表!$J:$J,$B89,注册申报底表!$G:$G,X$3)</f>
        <v>0</v>
      </c>
      <c r="Y89" s="389">
        <f>SUMIFS(注册申报底表!$AA:$AA,注册申报底表!$J:$J,$B89,注册申报底表!$G:$G,Y$3)</f>
        <v>0</v>
      </c>
      <c r="Z89" s="389">
        <f>SUMIFS(注册申报底表!$AA:$AA,注册申报底表!$J:$J,$B89,注册申报底表!$G:$G,Z$3)</f>
        <v>0</v>
      </c>
      <c r="AA89" s="389">
        <f>SUMIFS(注册申报底表!$AA:$AA,注册申报底表!$J:$J,$B89,注册申报底表!$G:$G,AA$3)</f>
        <v>0</v>
      </c>
      <c r="AB89" s="389">
        <f>SUMIFS(注册申报底表!$AA:$AA,注册申报底表!$J:$J,$B89,注册申报底表!$G:$G,AB$3)</f>
        <v>0</v>
      </c>
      <c r="AC89" s="389">
        <f>SUMIFS(注册申报底表!$AA:$AA,注册申报底表!$J:$J,$B89,注册申报底表!$G:$G,AC$3)</f>
        <v>0</v>
      </c>
    </row>
    <row r="90" ht="21" customHeight="1" spans="2:29">
      <c r="B90" s="395" t="s">
        <v>2014</v>
      </c>
      <c r="C90" s="396"/>
      <c r="D90" s="396"/>
      <c r="E90" s="396"/>
      <c r="F90" s="396"/>
      <c r="G90" s="396"/>
      <c r="H90" s="396"/>
      <c r="I90" s="396"/>
      <c r="J90" s="396"/>
      <c r="K90" s="397"/>
      <c r="L90" s="387"/>
      <c r="M90" s="387"/>
      <c r="N90" s="385"/>
      <c r="O90" s="388"/>
      <c r="P90" s="388"/>
      <c r="Q90" s="388"/>
      <c r="R90" s="388"/>
      <c r="S90" s="388"/>
      <c r="T90" s="388"/>
      <c r="U90" s="388"/>
      <c r="W90" s="389"/>
      <c r="X90" s="389"/>
      <c r="Y90" s="389"/>
      <c r="Z90" s="389"/>
      <c r="AA90" s="389"/>
      <c r="AB90" s="389"/>
      <c r="AC90" s="389"/>
    </row>
    <row r="91" ht="21" customHeight="1" spans="2:29">
      <c r="B91" s="89" t="s">
        <v>2015</v>
      </c>
      <c r="C91" s="90" t="str">
        <f>INDEX(二三级标准!$C:$C,MATCH($B91,二三级标准!$B:$B,0))</f>
        <v>5.1 模块5目录</v>
      </c>
      <c r="D91" s="166">
        <f t="shared" ref="D91:D94" si="83">IF($D$59=1,1,0)</f>
        <v>0</v>
      </c>
      <c r="E91" s="166">
        <f t="shared" ref="E91:E94" si="84">IF($D91=1,1,0)</f>
        <v>0</v>
      </c>
      <c r="F91" s="89" t="s">
        <v>1176</v>
      </c>
      <c r="G91" s="386">
        <f>IFERROR(SUMIF(注册申报底表!$J:$J,$B91,注册申报底表!$AA:$AA)/E91,0)</f>
        <v>0</v>
      </c>
      <c r="H91" s="386">
        <f t="shared" ref="H91:H94" si="85">G91*E91</f>
        <v>0</v>
      </c>
      <c r="I91" s="386">
        <f>IFERROR(SUMIF(注册申报底表!$J:$J,$B91,注册申报底表!$AD:$AD)/E91,0)</f>
        <v>0</v>
      </c>
      <c r="J91" s="386">
        <f t="shared" ref="J91:J94" si="86">I91*E91</f>
        <v>0</v>
      </c>
      <c r="K91" s="89"/>
      <c r="L91" s="387">
        <f t="shared" si="61"/>
        <v>0</v>
      </c>
      <c r="M91" s="387">
        <f>SUMIF(注册申报底表!$J:$J,$B91,注册申报底表!$Z:$Z)</f>
        <v>0</v>
      </c>
      <c r="O91" s="388">
        <f>SUMIFS(注册申报底表!$Z:$Z,注册申报底表!$J:$J,$B91,注册申报底表!$G:$G,O$3)</f>
        <v>0</v>
      </c>
      <c r="P91" s="388">
        <f>SUMIFS(注册申报底表!$Z:$Z,注册申报底表!$J:$J,$B91,注册申报底表!$G:$G,P$3)</f>
        <v>0</v>
      </c>
      <c r="Q91" s="388">
        <f>SUMIFS(注册申报底表!$Z:$Z,注册申报底表!$J:$J,$B91,注册申报底表!$G:$G,Q$3)</f>
        <v>0</v>
      </c>
      <c r="R91" s="388">
        <f>SUMIFS(注册申报底表!$Z:$Z,注册申报底表!$J:$J,$B91,注册申报底表!$G:$G,R$3)</f>
        <v>0</v>
      </c>
      <c r="S91" s="388">
        <f>SUMIFS(注册申报底表!$Z:$Z,注册申报底表!$J:$J,$B91,注册申报底表!$G:$G,S$3)</f>
        <v>0</v>
      </c>
      <c r="T91" s="388">
        <f>SUMIFS(注册申报底表!$Z:$Z,注册申报底表!$J:$J,$B91,注册申报底表!$G:$G,T$3)</f>
        <v>0</v>
      </c>
      <c r="U91" s="388">
        <f>SUMIFS(注册申报底表!$Z:$Z,注册申报底表!$J:$J,$B91,注册申报底表!$G:$G,U$3)</f>
        <v>0</v>
      </c>
      <c r="W91" s="389">
        <f>SUMIFS(注册申报底表!$AA:$AA,注册申报底表!$J:$J,$B91,注册申报底表!$G:$G,W$3)</f>
        <v>0</v>
      </c>
      <c r="X91" s="389">
        <f>SUMIFS(注册申报底表!$AA:$AA,注册申报底表!$J:$J,$B91,注册申报底表!$G:$G,X$3)</f>
        <v>0</v>
      </c>
      <c r="Y91" s="389">
        <f>SUMIFS(注册申报底表!$AA:$AA,注册申报底表!$J:$J,$B91,注册申报底表!$G:$G,Y$3)</f>
        <v>0</v>
      </c>
      <c r="Z91" s="389">
        <f>SUMIFS(注册申报底表!$AA:$AA,注册申报底表!$J:$J,$B91,注册申报底表!$G:$G,Z$3)</f>
        <v>0</v>
      </c>
      <c r="AA91" s="389">
        <f>SUMIFS(注册申报底表!$AA:$AA,注册申报底表!$J:$J,$B91,注册申报底表!$G:$G,AA$3)</f>
        <v>0</v>
      </c>
      <c r="AB91" s="389">
        <f>SUMIFS(注册申报底表!$AA:$AA,注册申报底表!$J:$J,$B91,注册申报底表!$G:$G,AB$3)</f>
        <v>0</v>
      </c>
      <c r="AC91" s="389">
        <f>SUMIFS(注册申报底表!$AA:$AA,注册申报底表!$J:$J,$B91,注册申报底表!$G:$G,AC$3)</f>
        <v>0</v>
      </c>
    </row>
    <row r="92" ht="21" customHeight="1" spans="2:29">
      <c r="B92" s="89" t="s">
        <v>2016</v>
      </c>
      <c r="C92" s="90" t="str">
        <f>INDEX(二三级标准!$C:$C,MATCH($B92,二三级标准!$B:$B,0))</f>
        <v>5.2 所有临床研究列表</v>
      </c>
      <c r="D92" s="166">
        <f t="shared" si="83"/>
        <v>0</v>
      </c>
      <c r="E92" s="166">
        <f t="shared" si="84"/>
        <v>0</v>
      </c>
      <c r="F92" s="89" t="s">
        <v>1176</v>
      </c>
      <c r="G92" s="386">
        <f>IFERROR(SUMIF(注册申报底表!$J:$J,$B92,注册申报底表!$AA:$AA)/E92,0)</f>
        <v>0</v>
      </c>
      <c r="H92" s="386">
        <f t="shared" si="85"/>
        <v>0</v>
      </c>
      <c r="I92" s="386">
        <f>IFERROR(SUMIF(注册申报底表!$J:$J,$B92,注册申报底表!$AD:$AD)/E92,0)</f>
        <v>0</v>
      </c>
      <c r="J92" s="386">
        <f t="shared" si="86"/>
        <v>0</v>
      </c>
      <c r="K92" s="89"/>
      <c r="L92" s="387">
        <f t="shared" si="61"/>
        <v>0</v>
      </c>
      <c r="M92" s="387">
        <f>SUMIF(注册申报底表!$J:$J,$B92,注册申报底表!$Z:$Z)</f>
        <v>0</v>
      </c>
      <c r="O92" s="388">
        <f>SUMIFS(注册申报底表!$Z:$Z,注册申报底表!$J:$J,$B92,注册申报底表!$G:$G,O$3)</f>
        <v>0</v>
      </c>
      <c r="P92" s="388">
        <f>SUMIFS(注册申报底表!$Z:$Z,注册申报底表!$J:$J,$B92,注册申报底表!$G:$G,P$3)</f>
        <v>0</v>
      </c>
      <c r="Q92" s="388">
        <f>SUMIFS(注册申报底表!$Z:$Z,注册申报底表!$J:$J,$B92,注册申报底表!$G:$G,Q$3)</f>
        <v>0</v>
      </c>
      <c r="R92" s="388">
        <f>SUMIFS(注册申报底表!$Z:$Z,注册申报底表!$J:$J,$B92,注册申报底表!$G:$G,R$3)</f>
        <v>0</v>
      </c>
      <c r="S92" s="388">
        <f>SUMIFS(注册申报底表!$Z:$Z,注册申报底表!$J:$J,$B92,注册申报底表!$G:$G,S$3)</f>
        <v>0</v>
      </c>
      <c r="T92" s="388">
        <f>SUMIFS(注册申报底表!$Z:$Z,注册申报底表!$J:$J,$B92,注册申报底表!$G:$G,T$3)</f>
        <v>0</v>
      </c>
      <c r="U92" s="388">
        <f>SUMIFS(注册申报底表!$Z:$Z,注册申报底表!$J:$J,$B92,注册申报底表!$G:$G,U$3)</f>
        <v>0</v>
      </c>
      <c r="W92" s="389">
        <f>SUMIFS(注册申报底表!$AA:$AA,注册申报底表!$J:$J,$B92,注册申报底表!$G:$G,W$3)</f>
        <v>0</v>
      </c>
      <c r="X92" s="389">
        <f>SUMIFS(注册申报底表!$AA:$AA,注册申报底表!$J:$J,$B92,注册申报底表!$G:$G,X$3)</f>
        <v>0</v>
      </c>
      <c r="Y92" s="389">
        <f>SUMIFS(注册申报底表!$AA:$AA,注册申报底表!$J:$J,$B92,注册申报底表!$G:$G,Y$3)</f>
        <v>0</v>
      </c>
      <c r="Z92" s="389">
        <f>SUMIFS(注册申报底表!$AA:$AA,注册申报底表!$J:$J,$B92,注册申报底表!$G:$G,Z$3)</f>
        <v>0</v>
      </c>
      <c r="AA92" s="389">
        <f>SUMIFS(注册申报底表!$AA:$AA,注册申报底表!$J:$J,$B92,注册申报底表!$G:$G,AA$3)</f>
        <v>0</v>
      </c>
      <c r="AB92" s="389">
        <f>SUMIFS(注册申报底表!$AA:$AA,注册申报底表!$J:$J,$B92,注册申报底表!$G:$G,AB$3)</f>
        <v>0</v>
      </c>
      <c r="AC92" s="389">
        <f>SUMIFS(注册申报底表!$AA:$AA,注册申报底表!$J:$J,$B92,注册申报底表!$G:$G,AC$3)</f>
        <v>0</v>
      </c>
    </row>
    <row r="93" ht="21" customHeight="1" spans="2:29">
      <c r="B93" s="89" t="s">
        <v>2017</v>
      </c>
      <c r="C93" s="90" t="str">
        <f>INDEX(二三级标准!$C:$C,MATCH($B93,二三级标准!$B:$B,0))</f>
        <v>5.3 临床研究报告</v>
      </c>
      <c r="D93" s="166">
        <f t="shared" si="83"/>
        <v>0</v>
      </c>
      <c r="E93" s="166">
        <f t="shared" si="84"/>
        <v>0</v>
      </c>
      <c r="F93" s="89" t="s">
        <v>1176</v>
      </c>
      <c r="G93" s="386">
        <f>IFERROR(SUMIF(注册申报底表!$J:$J,$B93,注册申报底表!$AA:$AA)/E93,0)</f>
        <v>0</v>
      </c>
      <c r="H93" s="386">
        <f t="shared" si="85"/>
        <v>0</v>
      </c>
      <c r="I93" s="386">
        <f>IFERROR(SUMIF(注册申报底表!$J:$J,$B93,注册申报底表!$AD:$AD)/E93,0)</f>
        <v>0</v>
      </c>
      <c r="J93" s="386">
        <f t="shared" si="86"/>
        <v>0</v>
      </c>
      <c r="K93" s="89"/>
      <c r="L93" s="387">
        <f t="shared" si="61"/>
        <v>0</v>
      </c>
      <c r="M93" s="387">
        <f>SUMIF(注册申报底表!$J:$J,$B93,注册申报底表!$Z:$Z)</f>
        <v>0</v>
      </c>
      <c r="O93" s="388">
        <f>SUMIFS(注册申报底表!$Z:$Z,注册申报底表!$J:$J,$B93,注册申报底表!$G:$G,O$3)</f>
        <v>0</v>
      </c>
      <c r="P93" s="388">
        <f>SUMIFS(注册申报底表!$Z:$Z,注册申报底表!$J:$J,$B93,注册申报底表!$G:$G,P$3)</f>
        <v>0</v>
      </c>
      <c r="Q93" s="388">
        <f>SUMIFS(注册申报底表!$Z:$Z,注册申报底表!$J:$J,$B93,注册申报底表!$G:$G,Q$3)</f>
        <v>0</v>
      </c>
      <c r="R93" s="388">
        <f>SUMIFS(注册申报底表!$Z:$Z,注册申报底表!$J:$J,$B93,注册申报底表!$G:$G,R$3)</f>
        <v>0</v>
      </c>
      <c r="S93" s="388">
        <f>SUMIFS(注册申报底表!$Z:$Z,注册申报底表!$J:$J,$B93,注册申报底表!$G:$G,S$3)</f>
        <v>0</v>
      </c>
      <c r="T93" s="388">
        <f>SUMIFS(注册申报底表!$Z:$Z,注册申报底表!$J:$J,$B93,注册申报底表!$G:$G,T$3)</f>
        <v>0</v>
      </c>
      <c r="U93" s="388">
        <f>SUMIFS(注册申报底表!$Z:$Z,注册申报底表!$J:$J,$B93,注册申报底表!$G:$G,U$3)</f>
        <v>0</v>
      </c>
      <c r="W93" s="389">
        <f>SUMIFS(注册申报底表!$AA:$AA,注册申报底表!$J:$J,$B93,注册申报底表!$G:$G,W$3)</f>
        <v>0</v>
      </c>
      <c r="X93" s="389">
        <f>SUMIFS(注册申报底表!$AA:$AA,注册申报底表!$J:$J,$B93,注册申报底表!$G:$G,X$3)</f>
        <v>0</v>
      </c>
      <c r="Y93" s="389">
        <f>SUMIFS(注册申报底表!$AA:$AA,注册申报底表!$J:$J,$B93,注册申报底表!$G:$G,Y$3)</f>
        <v>0</v>
      </c>
      <c r="Z93" s="389">
        <f>SUMIFS(注册申报底表!$AA:$AA,注册申报底表!$J:$J,$B93,注册申报底表!$G:$G,Z$3)</f>
        <v>0</v>
      </c>
      <c r="AA93" s="389">
        <f>SUMIFS(注册申报底表!$AA:$AA,注册申报底表!$J:$J,$B93,注册申报底表!$G:$G,AA$3)</f>
        <v>0</v>
      </c>
      <c r="AB93" s="389">
        <f>SUMIFS(注册申报底表!$AA:$AA,注册申报底表!$J:$J,$B93,注册申报底表!$G:$G,AB$3)</f>
        <v>0</v>
      </c>
      <c r="AC93" s="389">
        <f>SUMIFS(注册申报底表!$AA:$AA,注册申报底表!$J:$J,$B93,注册申报底表!$G:$G,AC$3)</f>
        <v>0</v>
      </c>
    </row>
    <row r="94" ht="21" customHeight="1" spans="2:29">
      <c r="B94" s="89" t="s">
        <v>2018</v>
      </c>
      <c r="C94" s="90" t="str">
        <f>INDEX(二三级标准!$C:$C,MATCH($B94,二三级标准!$B:$B,0))</f>
        <v>5.4 参考文献</v>
      </c>
      <c r="D94" s="166">
        <f t="shared" si="83"/>
        <v>0</v>
      </c>
      <c r="E94" s="166">
        <f t="shared" si="84"/>
        <v>0</v>
      </c>
      <c r="F94" s="89" t="s">
        <v>1176</v>
      </c>
      <c r="G94" s="386">
        <f>IFERROR(SUMIF(注册申报底表!$J:$J,$B94,注册申报底表!$AA:$AA)/E94,0)</f>
        <v>0</v>
      </c>
      <c r="H94" s="386">
        <f t="shared" si="85"/>
        <v>0</v>
      </c>
      <c r="I94" s="386">
        <f>IFERROR(SUMIF(注册申报底表!$J:$J,$B94,注册申报底表!$AD:$AD)/E94,0)</f>
        <v>0</v>
      </c>
      <c r="J94" s="386">
        <f t="shared" si="86"/>
        <v>0</v>
      </c>
      <c r="K94" s="89"/>
      <c r="L94" s="387">
        <f t="shared" si="61"/>
        <v>0</v>
      </c>
      <c r="M94" s="387">
        <f>SUMIF(注册申报底表!$J:$J,$B94,注册申报底表!$Z:$Z)</f>
        <v>0</v>
      </c>
      <c r="O94" s="388">
        <f>SUMIFS(注册申报底表!$Z:$Z,注册申报底表!$J:$J,$B94,注册申报底表!$G:$G,O$3)</f>
        <v>0</v>
      </c>
      <c r="P94" s="388">
        <f>SUMIFS(注册申报底表!$Z:$Z,注册申报底表!$J:$J,$B94,注册申报底表!$G:$G,P$3)</f>
        <v>0</v>
      </c>
      <c r="Q94" s="388">
        <f>SUMIFS(注册申报底表!$Z:$Z,注册申报底表!$J:$J,$B94,注册申报底表!$G:$G,Q$3)</f>
        <v>0</v>
      </c>
      <c r="R94" s="388">
        <f>SUMIFS(注册申报底表!$Z:$Z,注册申报底表!$J:$J,$B94,注册申报底表!$G:$G,R$3)</f>
        <v>0</v>
      </c>
      <c r="S94" s="388">
        <f>SUMIFS(注册申报底表!$Z:$Z,注册申报底表!$J:$J,$B94,注册申报底表!$G:$G,S$3)</f>
        <v>0</v>
      </c>
      <c r="T94" s="388">
        <f>SUMIFS(注册申报底表!$Z:$Z,注册申报底表!$J:$J,$B94,注册申报底表!$G:$G,T$3)</f>
        <v>0</v>
      </c>
      <c r="U94" s="388">
        <f>SUMIFS(注册申报底表!$Z:$Z,注册申报底表!$J:$J,$B94,注册申报底表!$G:$G,U$3)</f>
        <v>0</v>
      </c>
      <c r="W94" s="389">
        <f>SUMIFS(注册申报底表!$AA:$AA,注册申报底表!$J:$J,$B94,注册申报底表!$G:$G,W$3)</f>
        <v>0</v>
      </c>
      <c r="X94" s="389">
        <f>SUMIFS(注册申报底表!$AA:$AA,注册申报底表!$J:$J,$B94,注册申报底表!$G:$G,X$3)</f>
        <v>0</v>
      </c>
      <c r="Y94" s="389">
        <f>SUMIFS(注册申报底表!$AA:$AA,注册申报底表!$J:$J,$B94,注册申报底表!$G:$G,Y$3)</f>
        <v>0</v>
      </c>
      <c r="Z94" s="389">
        <f>SUMIFS(注册申报底表!$AA:$AA,注册申报底表!$J:$J,$B94,注册申报底表!$G:$G,Z$3)</f>
        <v>0</v>
      </c>
      <c r="AA94" s="389">
        <f>SUMIFS(注册申报底表!$AA:$AA,注册申报底表!$J:$J,$B94,注册申报底表!$G:$G,AA$3)</f>
        <v>0</v>
      </c>
      <c r="AB94" s="389">
        <f>SUMIFS(注册申报底表!$AA:$AA,注册申报底表!$J:$J,$B94,注册申报底表!$G:$G,AB$3)</f>
        <v>0</v>
      </c>
      <c r="AC94" s="389">
        <f>SUMIFS(注册申报底表!$AA:$AA,注册申报底表!$J:$J,$B94,注册申报底表!$G:$G,AC$3)</f>
        <v>0</v>
      </c>
    </row>
    <row r="95" ht="21" customHeight="1" spans="2:29">
      <c r="B95" s="88" t="s">
        <v>2019</v>
      </c>
      <c r="C95" s="88" t="str">
        <f>INDEX(二三级标准!Q:Q,MATCH($B95,二三级标准!$O:$O,0))</f>
        <v>项目管理和资料编辑刻盘（NDA)</v>
      </c>
      <c r="D95" s="376">
        <f>IF(注册事务YN=1,1,0)</f>
        <v>0</v>
      </c>
      <c r="E95" s="377"/>
      <c r="F95" s="378"/>
      <c r="G95" s="379"/>
      <c r="H95" s="380">
        <f t="shared" ref="H95:M95" si="87">SUM(H96:H99)</f>
        <v>0</v>
      </c>
      <c r="I95" s="390"/>
      <c r="J95" s="380">
        <f t="shared" si="87"/>
        <v>0</v>
      </c>
      <c r="K95" s="394"/>
      <c r="L95" s="378"/>
      <c r="M95" s="392">
        <f t="shared" si="87"/>
        <v>0</v>
      </c>
      <c r="N95" s="385"/>
      <c r="O95" s="392">
        <f t="shared" ref="O95:U95" si="88">SUM(O96:O99)</f>
        <v>0</v>
      </c>
      <c r="P95" s="392">
        <f t="shared" si="88"/>
        <v>0</v>
      </c>
      <c r="Q95" s="392">
        <f t="shared" si="88"/>
        <v>0</v>
      </c>
      <c r="R95" s="392">
        <f t="shared" si="88"/>
        <v>0</v>
      </c>
      <c r="S95" s="392">
        <f t="shared" si="88"/>
        <v>0</v>
      </c>
      <c r="T95" s="392">
        <f t="shared" si="88"/>
        <v>0</v>
      </c>
      <c r="U95" s="392">
        <f t="shared" si="88"/>
        <v>0</v>
      </c>
      <c r="W95" s="380">
        <v>0</v>
      </c>
      <c r="X95" s="380">
        <v>0</v>
      </c>
      <c r="Y95" s="380">
        <v>0</v>
      </c>
      <c r="Z95" s="380">
        <v>0</v>
      </c>
      <c r="AA95" s="380">
        <v>0</v>
      </c>
      <c r="AB95" s="380">
        <v>0</v>
      </c>
      <c r="AC95" s="380">
        <v>0</v>
      </c>
    </row>
    <row r="96" ht="21" customHeight="1" spans="2:29">
      <c r="B96" s="89" t="s">
        <v>2020</v>
      </c>
      <c r="C96" s="90" t="str">
        <f>INDEX(二三级标准!$C:$C,MATCH($B96,二三级标准!$B:$B,0))</f>
        <v>项目例会（含会议纪要）</v>
      </c>
      <c r="D96" s="166">
        <f t="shared" ref="D96:D99" si="89">IF($D$95=1,1,0)</f>
        <v>0</v>
      </c>
      <c r="E96" s="166">
        <f>IF($D96=1,4,0)</f>
        <v>0</v>
      </c>
      <c r="F96" s="89" t="s">
        <v>1178</v>
      </c>
      <c r="G96" s="386">
        <f>IFERROR(SUMIF(注册申报底表!$J:$J,$B96,注册申报底表!$AA:$AA)/E96,0)</f>
        <v>0</v>
      </c>
      <c r="H96" s="386">
        <f t="shared" ref="H96:H99" si="90">G96*E96</f>
        <v>0</v>
      </c>
      <c r="I96" s="386">
        <f>IFERROR(SUMIF(注册申报底表!$J:$J,$B96,注册申报底表!$AD:$AD)/E96,0)</f>
        <v>0</v>
      </c>
      <c r="J96" s="386">
        <f t="shared" ref="J96:J99" si="91">I96*E96</f>
        <v>0</v>
      </c>
      <c r="K96" s="89" t="s">
        <v>2021</v>
      </c>
      <c r="L96" s="387">
        <f t="shared" ref="L96:L99" si="92">IF(D96=1,M96/E96,0)</f>
        <v>0</v>
      </c>
      <c r="M96" s="387">
        <f>SUMIF(注册申报底表!$J:$J,$B96,注册申报底表!$Z:$Z)</f>
        <v>0</v>
      </c>
      <c r="O96" s="388">
        <f>SUMIFS(注册申报底表!$Z:$Z,注册申报底表!$J:$J,$B96,注册申报底表!$G:$G,O$3)</f>
        <v>0</v>
      </c>
      <c r="P96" s="388">
        <f>SUMIFS(注册申报底表!$Z:$Z,注册申报底表!$J:$J,$B96,注册申报底表!$G:$G,P$3)</f>
        <v>0</v>
      </c>
      <c r="Q96" s="388">
        <f>SUMIFS(注册申报底表!$Z:$Z,注册申报底表!$J:$J,$B96,注册申报底表!$G:$G,Q$3)</f>
        <v>0</v>
      </c>
      <c r="R96" s="388">
        <f>SUMIFS(注册申报底表!$Z:$Z,注册申报底表!$J:$J,$B96,注册申报底表!$G:$G,R$3)</f>
        <v>0</v>
      </c>
      <c r="S96" s="388">
        <f>SUMIFS(注册申报底表!$Z:$Z,注册申报底表!$J:$J,$B96,注册申报底表!$G:$G,S$3)</f>
        <v>0</v>
      </c>
      <c r="T96" s="388">
        <f>SUMIFS(注册申报底表!$Z:$Z,注册申报底表!$J:$J,$B96,注册申报底表!$G:$G,T$3)</f>
        <v>0</v>
      </c>
      <c r="U96" s="388">
        <f>SUMIFS(注册申报底表!$Z:$Z,注册申报底表!$J:$J,$B96,注册申报底表!$G:$G,U$3)</f>
        <v>0</v>
      </c>
      <c r="W96" s="389">
        <f>SUMIFS(注册申报底表!$AA:$AA,注册申报底表!$J:$J,$B96,注册申报底表!$G:$G,W$3)</f>
        <v>0</v>
      </c>
      <c r="X96" s="389">
        <f>SUMIFS(注册申报底表!$AA:$AA,注册申报底表!$J:$J,$B96,注册申报底表!$G:$G,X$3)</f>
        <v>0</v>
      </c>
      <c r="Y96" s="389">
        <f>SUMIFS(注册申报底表!$AA:$AA,注册申报底表!$J:$J,$B96,注册申报底表!$G:$G,Y$3)</f>
        <v>0</v>
      </c>
      <c r="Z96" s="389">
        <f>SUMIFS(注册申报底表!$AA:$AA,注册申报底表!$J:$J,$B96,注册申报底表!$G:$G,Z$3)</f>
        <v>0</v>
      </c>
      <c r="AA96" s="389">
        <f>SUMIFS(注册申报底表!$AA:$AA,注册申报底表!$J:$J,$B96,注册申报底表!$G:$G,AA$3)</f>
        <v>0</v>
      </c>
      <c r="AB96" s="389">
        <f>SUMIFS(注册申报底表!$AA:$AA,注册申报底表!$J:$J,$B96,注册申报底表!$G:$G,AB$3)</f>
        <v>0</v>
      </c>
      <c r="AC96" s="389">
        <f>SUMIFS(注册申报底表!$AA:$AA,注册申报底表!$J:$J,$B96,注册申报底表!$G:$G,AC$3)</f>
        <v>0</v>
      </c>
    </row>
    <row r="97" ht="21" customHeight="1" spans="2:29">
      <c r="B97" s="89" t="s">
        <v>2022</v>
      </c>
      <c r="C97" s="90" t="str">
        <f>INDEX(二三级标准!$C:$C,MATCH($B97,二三级标准!$B:$B,0))</f>
        <v>电子申报资料整理及刻盘</v>
      </c>
      <c r="D97" s="166">
        <f t="shared" si="89"/>
        <v>0</v>
      </c>
      <c r="E97" s="166">
        <f t="shared" ref="E97:E99" si="93">IF($D97=1,1,0)</f>
        <v>0</v>
      </c>
      <c r="F97" s="89" t="s">
        <v>1583</v>
      </c>
      <c r="G97" s="386">
        <f>IFERROR(SUMIF(注册申报底表!$J:$J,$B97,注册申报底表!$AA:$AA)/E97,0)</f>
        <v>0</v>
      </c>
      <c r="H97" s="386">
        <f t="shared" si="90"/>
        <v>0</v>
      </c>
      <c r="I97" s="386">
        <f>IFERROR(SUMIF(注册申报底表!$J:$J,$B97,注册申报底表!$AD:$AD)/E97,0)</f>
        <v>0</v>
      </c>
      <c r="J97" s="386">
        <f t="shared" si="91"/>
        <v>0</v>
      </c>
      <c r="K97" s="89"/>
      <c r="L97" s="387">
        <f t="shared" si="92"/>
        <v>0</v>
      </c>
      <c r="M97" s="387">
        <f>SUMIF(注册申报底表!$J:$J,$B97,注册申报底表!$Z:$Z)</f>
        <v>0</v>
      </c>
      <c r="O97" s="388">
        <f>SUMIFS(注册申报底表!$Z:$Z,注册申报底表!$J:$J,$B97,注册申报底表!$G:$G,O$3)</f>
        <v>0</v>
      </c>
      <c r="P97" s="388">
        <f>SUMIFS(注册申报底表!$Z:$Z,注册申报底表!$J:$J,$B97,注册申报底表!$G:$G,P$3)</f>
        <v>0</v>
      </c>
      <c r="Q97" s="388">
        <f>SUMIFS(注册申报底表!$Z:$Z,注册申报底表!$J:$J,$B97,注册申报底表!$G:$G,Q$3)</f>
        <v>0</v>
      </c>
      <c r="R97" s="388">
        <f>SUMIFS(注册申报底表!$Z:$Z,注册申报底表!$J:$J,$B97,注册申报底表!$G:$G,R$3)</f>
        <v>0</v>
      </c>
      <c r="S97" s="388">
        <f>SUMIFS(注册申报底表!$Z:$Z,注册申报底表!$J:$J,$B97,注册申报底表!$G:$G,S$3)</f>
        <v>0</v>
      </c>
      <c r="T97" s="388">
        <f>SUMIFS(注册申报底表!$Z:$Z,注册申报底表!$J:$J,$B97,注册申报底表!$G:$G,T$3)</f>
        <v>0</v>
      </c>
      <c r="U97" s="388">
        <f>SUMIFS(注册申报底表!$Z:$Z,注册申报底表!$J:$J,$B97,注册申报底表!$G:$G,U$3)</f>
        <v>0</v>
      </c>
      <c r="W97" s="389">
        <f>SUMIFS(注册申报底表!$AA:$AA,注册申报底表!$J:$J,$B97,注册申报底表!$G:$G,W$3)</f>
        <v>0</v>
      </c>
      <c r="X97" s="389">
        <f>SUMIFS(注册申报底表!$AA:$AA,注册申报底表!$J:$J,$B97,注册申报底表!$G:$G,X$3)</f>
        <v>0</v>
      </c>
      <c r="Y97" s="389">
        <f>SUMIFS(注册申报底表!$AA:$AA,注册申报底表!$J:$J,$B97,注册申报底表!$G:$G,Y$3)</f>
        <v>0</v>
      </c>
      <c r="Z97" s="389">
        <f>SUMIFS(注册申报底表!$AA:$AA,注册申报底表!$J:$J,$B97,注册申报底表!$G:$G,Z$3)</f>
        <v>0</v>
      </c>
      <c r="AA97" s="389">
        <f>SUMIFS(注册申报底表!$AA:$AA,注册申报底表!$J:$J,$B97,注册申报底表!$G:$G,AA$3)</f>
        <v>0</v>
      </c>
      <c r="AB97" s="389">
        <f>SUMIFS(注册申报底表!$AA:$AA,注册申报底表!$J:$J,$B97,注册申报底表!$G:$G,AB$3)</f>
        <v>0</v>
      </c>
      <c r="AC97" s="389">
        <f>SUMIFS(注册申报底表!$AA:$AA,注册申报底表!$J:$J,$B97,注册申报底表!$G:$G,AC$3)</f>
        <v>0</v>
      </c>
    </row>
    <row r="98" ht="21" customHeight="1" spans="2:29">
      <c r="B98" s="89" t="s">
        <v>2023</v>
      </c>
      <c r="C98" s="90" t="str">
        <f>INDEX(二三级标准!$C:$C,MATCH($B98,二三级标准!$B:$B,0))</f>
        <v>电子申报资料递交及跟踪</v>
      </c>
      <c r="D98" s="166">
        <f t="shared" si="89"/>
        <v>0</v>
      </c>
      <c r="E98" s="166">
        <f t="shared" si="93"/>
        <v>0</v>
      </c>
      <c r="F98" s="89" t="s">
        <v>1583</v>
      </c>
      <c r="G98" s="386">
        <f>IFERROR(SUMIF(注册申报底表!$J:$J,$B98,注册申报底表!$AA:$AA)/E98,0)</f>
        <v>0</v>
      </c>
      <c r="H98" s="386">
        <f t="shared" si="90"/>
        <v>0</v>
      </c>
      <c r="I98" s="386">
        <f>IFERROR(SUMIF(注册申报底表!$J:$J,$B98,注册申报底表!$AD:$AD)/E98,0)</f>
        <v>0</v>
      </c>
      <c r="J98" s="386">
        <f t="shared" si="91"/>
        <v>0</v>
      </c>
      <c r="K98" s="89"/>
      <c r="L98" s="387">
        <f t="shared" si="92"/>
        <v>0</v>
      </c>
      <c r="M98" s="387">
        <f>SUMIF(注册申报底表!$J:$J,$B98,注册申报底表!$Z:$Z)</f>
        <v>0</v>
      </c>
      <c r="O98" s="388">
        <f>SUMIFS(注册申报底表!$Z:$Z,注册申报底表!$J:$J,$B98,注册申报底表!$G:$G,O$3)</f>
        <v>0</v>
      </c>
      <c r="P98" s="388">
        <f>SUMIFS(注册申报底表!$Z:$Z,注册申报底表!$J:$J,$B98,注册申报底表!$G:$G,P$3)</f>
        <v>0</v>
      </c>
      <c r="Q98" s="388">
        <f>SUMIFS(注册申报底表!$Z:$Z,注册申报底表!$J:$J,$B98,注册申报底表!$G:$G,Q$3)</f>
        <v>0</v>
      </c>
      <c r="R98" s="388">
        <f>SUMIFS(注册申报底表!$Z:$Z,注册申报底表!$J:$J,$B98,注册申报底表!$G:$G,R$3)</f>
        <v>0</v>
      </c>
      <c r="S98" s="388">
        <f>SUMIFS(注册申报底表!$Z:$Z,注册申报底表!$J:$J,$B98,注册申报底表!$G:$G,S$3)</f>
        <v>0</v>
      </c>
      <c r="T98" s="388">
        <f>SUMIFS(注册申报底表!$Z:$Z,注册申报底表!$J:$J,$B98,注册申报底表!$G:$G,T$3)</f>
        <v>0</v>
      </c>
      <c r="U98" s="388">
        <f>SUMIFS(注册申报底表!$Z:$Z,注册申报底表!$J:$J,$B98,注册申报底表!$G:$G,U$3)</f>
        <v>0</v>
      </c>
      <c r="W98" s="389">
        <f>SUMIFS(注册申报底表!$AA:$AA,注册申报底表!$J:$J,$B98,注册申报底表!$G:$G,W$3)</f>
        <v>0</v>
      </c>
      <c r="X98" s="389">
        <f>SUMIFS(注册申报底表!$AA:$AA,注册申报底表!$J:$J,$B98,注册申报底表!$G:$G,X$3)</f>
        <v>0</v>
      </c>
      <c r="Y98" s="389">
        <f>SUMIFS(注册申报底表!$AA:$AA,注册申报底表!$J:$J,$B98,注册申报底表!$G:$G,Y$3)</f>
        <v>0</v>
      </c>
      <c r="Z98" s="389">
        <f>SUMIFS(注册申报底表!$AA:$AA,注册申报底表!$J:$J,$B98,注册申报底表!$G:$G,Z$3)</f>
        <v>0</v>
      </c>
      <c r="AA98" s="389">
        <f>SUMIFS(注册申报底表!$AA:$AA,注册申报底表!$J:$J,$B98,注册申报底表!$G:$G,AA$3)</f>
        <v>0</v>
      </c>
      <c r="AB98" s="389">
        <f>SUMIFS(注册申报底表!$AA:$AA,注册申报底表!$J:$J,$B98,注册申报底表!$G:$G,AB$3)</f>
        <v>0</v>
      </c>
      <c r="AC98" s="389">
        <f>SUMIFS(注册申报底表!$AA:$AA,注册申报底表!$J:$J,$B98,注册申报底表!$G:$G,AC$3)</f>
        <v>0</v>
      </c>
    </row>
    <row r="99" ht="55" customHeight="1" spans="2:29">
      <c r="B99" s="89" t="s">
        <v>2024</v>
      </c>
      <c r="C99" s="90" t="str">
        <f>INDEX(二三级标准!$C:$C,MATCH($B99,二三级标准!$B:$B,0))</f>
        <v>注册申请审评期间与CDE的沟通及回复 (CDE审批意见的解读及发补资料撰写)</v>
      </c>
      <c r="D99" s="166">
        <f t="shared" si="89"/>
        <v>0</v>
      </c>
      <c r="E99" s="166">
        <f t="shared" si="93"/>
        <v>0</v>
      </c>
      <c r="F99" s="89" t="s">
        <v>1583</v>
      </c>
      <c r="G99" s="386">
        <f>IFERROR(SUMIF(注册申报底表!$J:$J,$B99,注册申报底表!$AA:$AA)/E99,0)</f>
        <v>0</v>
      </c>
      <c r="H99" s="386">
        <f t="shared" si="90"/>
        <v>0</v>
      </c>
      <c r="I99" s="386">
        <f>IFERROR(SUMIF(注册申报底表!$J:$J,$B99,注册申报底表!$AD:$AD)/E99,0)</f>
        <v>0</v>
      </c>
      <c r="J99" s="386">
        <f t="shared" si="91"/>
        <v>0</v>
      </c>
      <c r="K99" s="89"/>
      <c r="L99" s="387">
        <f t="shared" si="92"/>
        <v>0</v>
      </c>
      <c r="M99" s="387">
        <f>SUMIF(注册申报底表!$J:$J,$B99,注册申报底表!$Z:$Z)</f>
        <v>0</v>
      </c>
      <c r="O99" s="388">
        <f>SUMIFS(注册申报底表!$Z:$Z,注册申报底表!$J:$J,$B99,注册申报底表!$G:$G,O$3)</f>
        <v>0</v>
      </c>
      <c r="P99" s="388">
        <f>SUMIFS(注册申报底表!$Z:$Z,注册申报底表!$J:$J,$B99,注册申报底表!$G:$G,P$3)</f>
        <v>0</v>
      </c>
      <c r="Q99" s="388">
        <f>SUMIFS(注册申报底表!$Z:$Z,注册申报底表!$J:$J,$B99,注册申报底表!$G:$G,Q$3)</f>
        <v>0</v>
      </c>
      <c r="R99" s="388">
        <f>SUMIFS(注册申报底表!$Z:$Z,注册申报底表!$J:$J,$B99,注册申报底表!$G:$G,R$3)</f>
        <v>0</v>
      </c>
      <c r="S99" s="388">
        <f>SUMIFS(注册申报底表!$Z:$Z,注册申报底表!$J:$J,$B99,注册申报底表!$G:$G,S$3)</f>
        <v>0</v>
      </c>
      <c r="T99" s="388">
        <f>SUMIFS(注册申报底表!$Z:$Z,注册申报底表!$J:$J,$B99,注册申报底表!$G:$G,T$3)</f>
        <v>0</v>
      </c>
      <c r="U99" s="388">
        <f>SUMIFS(注册申报底表!$Z:$Z,注册申报底表!$J:$J,$B99,注册申报底表!$G:$G,U$3)</f>
        <v>0</v>
      </c>
      <c r="W99" s="389">
        <f>SUMIFS(注册申报底表!$AA:$AA,注册申报底表!$J:$J,$B99,注册申报底表!$G:$G,W$3)</f>
        <v>0</v>
      </c>
      <c r="X99" s="389">
        <f>SUMIFS(注册申报底表!$AA:$AA,注册申报底表!$J:$J,$B99,注册申报底表!$G:$G,X$3)</f>
        <v>0</v>
      </c>
      <c r="Y99" s="389">
        <f>SUMIFS(注册申报底表!$AA:$AA,注册申报底表!$J:$J,$B99,注册申报底表!$G:$G,Y$3)</f>
        <v>0</v>
      </c>
      <c r="Z99" s="389">
        <f>SUMIFS(注册申报底表!$AA:$AA,注册申报底表!$J:$J,$B99,注册申报底表!$G:$G,Z$3)</f>
        <v>0</v>
      </c>
      <c r="AA99" s="389">
        <f>SUMIFS(注册申报底表!$AA:$AA,注册申报底表!$J:$J,$B99,注册申报底表!$G:$G,AA$3)</f>
        <v>0</v>
      </c>
      <c r="AB99" s="389">
        <f>SUMIFS(注册申报底表!$AA:$AA,注册申报底表!$J:$J,$B99,注册申报底表!$G:$G,AB$3)</f>
        <v>0</v>
      </c>
      <c r="AC99" s="389">
        <f>SUMIFS(注册申报底表!$AA:$AA,注册申报底表!$J:$J,$B99,注册申报底表!$G:$G,AC$3)</f>
        <v>0</v>
      </c>
    </row>
    <row r="100" ht="21" customHeight="1" spans="2:29">
      <c r="B100" s="88" t="s">
        <v>2025</v>
      </c>
      <c r="C100" s="88" t="str">
        <f>INDEX(二三级标准!Q:Q,MATCH($B100,二三级标准!$O:$O,0))</f>
        <v>专家评审会</v>
      </c>
      <c r="D100" s="376">
        <f>IF(注册事务YN=1,1,0)</f>
        <v>0</v>
      </c>
      <c r="E100" s="377"/>
      <c r="F100" s="378"/>
      <c r="G100" s="379"/>
      <c r="H100" s="380">
        <f t="shared" ref="H100:M100" si="94">SUM(H101:H103)</f>
        <v>0</v>
      </c>
      <c r="I100" s="390"/>
      <c r="J100" s="380">
        <f t="shared" si="94"/>
        <v>0</v>
      </c>
      <c r="K100" s="394"/>
      <c r="L100" s="378"/>
      <c r="M100" s="392">
        <f t="shared" si="94"/>
        <v>0</v>
      </c>
      <c r="N100" s="385"/>
      <c r="O100" s="392">
        <f t="shared" ref="O100:U100" si="95">SUM(O101:O103)</f>
        <v>0</v>
      </c>
      <c r="P100" s="392">
        <f t="shared" si="95"/>
        <v>0</v>
      </c>
      <c r="Q100" s="392">
        <f t="shared" si="95"/>
        <v>0</v>
      </c>
      <c r="R100" s="392">
        <f t="shared" si="95"/>
        <v>0</v>
      </c>
      <c r="S100" s="392">
        <f t="shared" si="95"/>
        <v>0</v>
      </c>
      <c r="T100" s="392">
        <f t="shared" si="95"/>
        <v>0</v>
      </c>
      <c r="U100" s="392">
        <f t="shared" si="95"/>
        <v>0</v>
      </c>
      <c r="W100" s="381">
        <v>0</v>
      </c>
      <c r="X100" s="381">
        <v>0</v>
      </c>
      <c r="Y100" s="381">
        <v>0</v>
      </c>
      <c r="Z100" s="381">
        <v>0</v>
      </c>
      <c r="AA100" s="381">
        <v>0</v>
      </c>
      <c r="AB100" s="381">
        <v>0</v>
      </c>
      <c r="AC100" s="381">
        <v>0</v>
      </c>
    </row>
    <row r="101" ht="21" customHeight="1" spans="2:29">
      <c r="B101" s="89" t="s">
        <v>2026</v>
      </c>
      <c r="C101" s="90" t="str">
        <f>INDEX(二三级标准!$C:$C,MATCH($B101,二三级标准!$B:$B,0))</f>
        <v>专家评审会</v>
      </c>
      <c r="D101" s="166">
        <f t="shared" ref="D101:D103" si="96">IF($D$100=1,1,0)</f>
        <v>0</v>
      </c>
      <c r="E101" s="166">
        <f t="shared" ref="E101:E103" si="97">IF($D101=1,1,0)</f>
        <v>0</v>
      </c>
      <c r="F101" s="89" t="s">
        <v>1178</v>
      </c>
      <c r="G101" s="386">
        <f>IFERROR(SUMIF(注册申报底表!$J:$J,$B101,注册申报底表!$AA:$AA)/E101,0)</f>
        <v>0</v>
      </c>
      <c r="H101" s="386">
        <f t="shared" ref="H101:H103" si="98">G101*E101</f>
        <v>0</v>
      </c>
      <c r="I101" s="386">
        <f>IFERROR(SUMIF(注册申报底表!$J:$J,$B101,注册申报底表!$AD:$AD)/E101,0)</f>
        <v>0</v>
      </c>
      <c r="J101" s="386">
        <f t="shared" ref="J101:J103" si="99">I101*E101</f>
        <v>0</v>
      </c>
      <c r="K101" s="89"/>
      <c r="L101" s="387">
        <f t="shared" ref="L101:L103" si="100">IF(D101=1,M101/E101,0)</f>
        <v>0</v>
      </c>
      <c r="M101" s="387">
        <f>SUMIF(注册申报底表!$J:$J,$B101,注册申报底表!$Z:$Z)</f>
        <v>0</v>
      </c>
      <c r="O101" s="388">
        <f>SUMIFS(注册申报底表!$Z:$Z,注册申报底表!$J:$J,$B101,注册申报底表!$G:$G,O$3)</f>
        <v>0</v>
      </c>
      <c r="P101" s="388">
        <f>SUMIFS(注册申报底表!$Z:$Z,注册申报底表!$J:$J,$B101,注册申报底表!$G:$G,P$3)</f>
        <v>0</v>
      </c>
      <c r="Q101" s="388">
        <f>SUMIFS(注册申报底表!$Z:$Z,注册申报底表!$J:$J,$B101,注册申报底表!$G:$G,Q$3)</f>
        <v>0</v>
      </c>
      <c r="R101" s="388">
        <f>SUMIFS(注册申报底表!$Z:$Z,注册申报底表!$J:$J,$B101,注册申报底表!$G:$G,R$3)</f>
        <v>0</v>
      </c>
      <c r="S101" s="388">
        <f>SUMIFS(注册申报底表!$Z:$Z,注册申报底表!$J:$J,$B101,注册申报底表!$G:$G,S$3)</f>
        <v>0</v>
      </c>
      <c r="T101" s="388">
        <f>SUMIFS(注册申报底表!$Z:$Z,注册申报底表!$J:$J,$B101,注册申报底表!$G:$G,T$3)</f>
        <v>0</v>
      </c>
      <c r="U101" s="388">
        <f>SUMIFS(注册申报底表!$Z:$Z,注册申报底表!$J:$J,$B101,注册申报底表!$G:$G,U$3)</f>
        <v>0</v>
      </c>
      <c r="W101" s="389">
        <f>SUMIFS(注册申报底表!$AA:$AA,注册申报底表!$J:$J,$B101,注册申报底表!$G:$G,W$3)</f>
        <v>0</v>
      </c>
      <c r="X101" s="389">
        <f>SUMIFS(注册申报底表!$AA:$AA,注册申报底表!$J:$J,$B101,注册申报底表!$G:$G,X$3)</f>
        <v>0</v>
      </c>
      <c r="Y101" s="389">
        <f>SUMIFS(注册申报底表!$AA:$AA,注册申报底表!$J:$J,$B101,注册申报底表!$G:$G,Y$3)</f>
        <v>0</v>
      </c>
      <c r="Z101" s="389">
        <f>SUMIFS(注册申报底表!$AA:$AA,注册申报底表!$J:$J,$B101,注册申报底表!$G:$G,Z$3)</f>
        <v>0</v>
      </c>
      <c r="AA101" s="389">
        <f>SUMIFS(注册申报底表!$AA:$AA,注册申报底表!$J:$J,$B101,注册申报底表!$G:$G,AA$3)</f>
        <v>0</v>
      </c>
      <c r="AB101" s="389">
        <f>SUMIFS(注册申报底表!$AA:$AA,注册申报底表!$J:$J,$B101,注册申报底表!$G:$G,AB$3)</f>
        <v>0</v>
      </c>
      <c r="AC101" s="389">
        <f>SUMIFS(注册申报底表!$AA:$AA,注册申报底表!$J:$J,$B101,注册申报底表!$G:$G,AC$3)</f>
        <v>0</v>
      </c>
    </row>
    <row r="102" ht="21" customHeight="1" spans="2:29">
      <c r="B102" s="89" t="s">
        <v>2027</v>
      </c>
      <c r="C102" s="90" t="str">
        <f>INDEX(二三级标准!$C:$C,MATCH($B102,二三级标准!$B:$B,0))</f>
        <v>跟踪在CDE的审评过程</v>
      </c>
      <c r="D102" s="166">
        <f t="shared" si="96"/>
        <v>0</v>
      </c>
      <c r="E102" s="166">
        <f t="shared" si="97"/>
        <v>0</v>
      </c>
      <c r="F102" s="89" t="s">
        <v>1583</v>
      </c>
      <c r="G102" s="386">
        <f>IFERROR(SUMIF(注册申报底表!$J:$J,$B102,注册申报底表!$AA:$AA)/E102,0)</f>
        <v>0</v>
      </c>
      <c r="H102" s="386">
        <f t="shared" si="98"/>
        <v>0</v>
      </c>
      <c r="I102" s="386">
        <f>IFERROR(SUMIF(注册申报底表!$J:$J,$B102,注册申报底表!$AD:$AD)/E102,0)</f>
        <v>0</v>
      </c>
      <c r="J102" s="386">
        <f t="shared" si="99"/>
        <v>0</v>
      </c>
      <c r="K102" s="89"/>
      <c r="L102" s="387">
        <f t="shared" si="100"/>
        <v>0</v>
      </c>
      <c r="M102" s="387">
        <f>SUMIF(注册申报底表!$J:$J,$B102,注册申报底表!$Z:$Z)</f>
        <v>0</v>
      </c>
      <c r="O102" s="388">
        <f>SUMIFS(注册申报底表!$Z:$Z,注册申报底表!$J:$J,$B102,注册申报底表!$G:$G,O$3)</f>
        <v>0</v>
      </c>
      <c r="P102" s="388">
        <f>SUMIFS(注册申报底表!$Z:$Z,注册申报底表!$J:$J,$B102,注册申报底表!$G:$G,P$3)</f>
        <v>0</v>
      </c>
      <c r="Q102" s="388">
        <f>SUMIFS(注册申报底表!$Z:$Z,注册申报底表!$J:$J,$B102,注册申报底表!$G:$G,Q$3)</f>
        <v>0</v>
      </c>
      <c r="R102" s="388">
        <f>SUMIFS(注册申报底表!$Z:$Z,注册申报底表!$J:$J,$B102,注册申报底表!$G:$G,R$3)</f>
        <v>0</v>
      </c>
      <c r="S102" s="388">
        <f>SUMIFS(注册申报底表!$Z:$Z,注册申报底表!$J:$J,$B102,注册申报底表!$G:$G,S$3)</f>
        <v>0</v>
      </c>
      <c r="T102" s="388">
        <f>SUMIFS(注册申报底表!$Z:$Z,注册申报底表!$J:$J,$B102,注册申报底表!$G:$G,T$3)</f>
        <v>0</v>
      </c>
      <c r="U102" s="388">
        <f>SUMIFS(注册申报底表!$Z:$Z,注册申报底表!$J:$J,$B102,注册申报底表!$G:$G,U$3)</f>
        <v>0</v>
      </c>
      <c r="W102" s="389">
        <f>SUMIFS(注册申报底表!$AA:$AA,注册申报底表!$J:$J,$B102,注册申报底表!$G:$G,W$3)</f>
        <v>0</v>
      </c>
      <c r="X102" s="389">
        <f>SUMIFS(注册申报底表!$AA:$AA,注册申报底表!$J:$J,$B102,注册申报底表!$G:$G,X$3)</f>
        <v>0</v>
      </c>
      <c r="Y102" s="389">
        <f>SUMIFS(注册申报底表!$AA:$AA,注册申报底表!$J:$J,$B102,注册申报底表!$G:$G,Y$3)</f>
        <v>0</v>
      </c>
      <c r="Z102" s="389">
        <f>SUMIFS(注册申报底表!$AA:$AA,注册申报底表!$J:$J,$B102,注册申报底表!$G:$G,Z$3)</f>
        <v>0</v>
      </c>
      <c r="AA102" s="389">
        <f>SUMIFS(注册申报底表!$AA:$AA,注册申报底表!$J:$J,$B102,注册申报底表!$G:$G,AA$3)</f>
        <v>0</v>
      </c>
      <c r="AB102" s="389">
        <f>SUMIFS(注册申报底表!$AA:$AA,注册申报底表!$J:$J,$B102,注册申报底表!$G:$G,AB$3)</f>
        <v>0</v>
      </c>
      <c r="AC102" s="389">
        <f>SUMIFS(注册申报底表!$AA:$AA,注册申报底表!$J:$J,$B102,注册申报底表!$G:$G,AC$3)</f>
        <v>0</v>
      </c>
    </row>
    <row r="103" ht="21" customHeight="1" spans="2:29">
      <c r="B103" s="89" t="s">
        <v>2028</v>
      </c>
      <c r="C103" s="90" t="str">
        <f>INDEX(二三级标准!$C:$C,MATCH($B103,二三级标准!$B:$B,0))</f>
        <v>跟踪国家药品监督管理局的审批</v>
      </c>
      <c r="D103" s="166">
        <f t="shared" si="96"/>
        <v>0</v>
      </c>
      <c r="E103" s="166">
        <f t="shared" si="97"/>
        <v>0</v>
      </c>
      <c r="F103" s="89" t="s">
        <v>1583</v>
      </c>
      <c r="G103" s="386">
        <f>IFERROR(SUMIF(注册申报底表!$J:$J,$B103,注册申报底表!$AA:$AA)/E103,0)</f>
        <v>0</v>
      </c>
      <c r="H103" s="386">
        <f t="shared" si="98"/>
        <v>0</v>
      </c>
      <c r="I103" s="386">
        <f>IFERROR(SUMIF(注册申报底表!$J:$J,$B103,注册申报底表!$AD:$AD)/E103,0)</f>
        <v>0</v>
      </c>
      <c r="J103" s="386">
        <f t="shared" si="99"/>
        <v>0</v>
      </c>
      <c r="K103" s="89"/>
      <c r="L103" s="387">
        <f t="shared" si="100"/>
        <v>0</v>
      </c>
      <c r="M103" s="387">
        <f>SUMIF(注册申报底表!$J:$J,$B103,注册申报底表!$Z:$Z)</f>
        <v>0</v>
      </c>
      <c r="O103" s="388">
        <f>SUMIFS(注册申报底表!$Z:$Z,注册申报底表!$J:$J,$B103,注册申报底表!$G:$G,O$3)</f>
        <v>0</v>
      </c>
      <c r="P103" s="388">
        <f>SUMIFS(注册申报底表!$Z:$Z,注册申报底表!$J:$J,$B103,注册申报底表!$G:$G,P$3)</f>
        <v>0</v>
      </c>
      <c r="Q103" s="388">
        <f>SUMIFS(注册申报底表!$Z:$Z,注册申报底表!$J:$J,$B103,注册申报底表!$G:$G,Q$3)</f>
        <v>0</v>
      </c>
      <c r="R103" s="388">
        <f>SUMIFS(注册申报底表!$Z:$Z,注册申报底表!$J:$J,$B103,注册申报底表!$G:$G,R$3)</f>
        <v>0</v>
      </c>
      <c r="S103" s="388">
        <f>SUMIFS(注册申报底表!$Z:$Z,注册申报底表!$J:$J,$B103,注册申报底表!$G:$G,S$3)</f>
        <v>0</v>
      </c>
      <c r="T103" s="388">
        <f>SUMIFS(注册申报底表!$Z:$Z,注册申报底表!$J:$J,$B103,注册申报底表!$G:$G,T$3)</f>
        <v>0</v>
      </c>
      <c r="U103" s="388">
        <f>SUMIFS(注册申报底表!$Z:$Z,注册申报底表!$J:$J,$B103,注册申报底表!$G:$G,U$3)</f>
        <v>0</v>
      </c>
      <c r="W103" s="389">
        <f>SUMIFS(注册申报底表!$AA:$AA,注册申报底表!$J:$J,$B103,注册申报底表!$G:$G,W$3)</f>
        <v>0</v>
      </c>
      <c r="X103" s="389">
        <f>SUMIFS(注册申报底表!$AA:$AA,注册申报底表!$J:$J,$B103,注册申报底表!$G:$G,X$3)</f>
        <v>0</v>
      </c>
      <c r="Y103" s="389">
        <f>SUMIFS(注册申报底表!$AA:$AA,注册申报底表!$J:$J,$B103,注册申报底表!$G:$G,Y$3)</f>
        <v>0</v>
      </c>
      <c r="Z103" s="389">
        <f>SUMIFS(注册申报底表!$AA:$AA,注册申报底表!$J:$J,$B103,注册申报底表!$G:$G,Z$3)</f>
        <v>0</v>
      </c>
      <c r="AA103" s="389">
        <f>SUMIFS(注册申报底表!$AA:$AA,注册申报底表!$J:$J,$B103,注册申报底表!$G:$G,AA$3)</f>
        <v>0</v>
      </c>
      <c r="AB103" s="389">
        <f>SUMIFS(注册申报底表!$AA:$AA,注册申报底表!$J:$J,$B103,注册申报底表!$G:$G,AB$3)</f>
        <v>0</v>
      </c>
      <c r="AC103" s="389">
        <f>SUMIFS(注册申报底表!$AA:$AA,注册申报底表!$J:$J,$B103,注册申报底表!$G:$G,AC$3)</f>
        <v>0</v>
      </c>
    </row>
    <row r="104" ht="21" customHeight="1" spans="2:29">
      <c r="B104" s="88" t="s">
        <v>2029</v>
      </c>
      <c r="C104" s="88" t="str">
        <f>INDEX(二三级标准!Q:Q,MATCH($B104,二三级标准!$O:$O,0))</f>
        <v>注册检验</v>
      </c>
      <c r="D104" s="376">
        <f>IF(注册事务YN=1,1,0)</f>
        <v>0</v>
      </c>
      <c r="E104" s="377"/>
      <c r="F104" s="378"/>
      <c r="G104" s="379"/>
      <c r="H104" s="380">
        <f t="shared" ref="H104:M104" si="101">SUM(H105:H108)</f>
        <v>0</v>
      </c>
      <c r="I104" s="390"/>
      <c r="J104" s="380">
        <f t="shared" si="101"/>
        <v>0</v>
      </c>
      <c r="K104" s="394"/>
      <c r="L104" s="378"/>
      <c r="M104" s="392">
        <f t="shared" si="101"/>
        <v>0</v>
      </c>
      <c r="N104" s="385"/>
      <c r="O104" s="392">
        <f t="shared" ref="O104:U104" si="102">SUM(O105:O108)</f>
        <v>0</v>
      </c>
      <c r="P104" s="392">
        <f t="shared" si="102"/>
        <v>0</v>
      </c>
      <c r="Q104" s="392">
        <f t="shared" si="102"/>
        <v>0</v>
      </c>
      <c r="R104" s="392">
        <f t="shared" si="102"/>
        <v>0</v>
      </c>
      <c r="S104" s="392">
        <f t="shared" si="102"/>
        <v>0</v>
      </c>
      <c r="T104" s="392">
        <f t="shared" si="102"/>
        <v>0</v>
      </c>
      <c r="U104" s="392">
        <f t="shared" si="102"/>
        <v>0</v>
      </c>
      <c r="W104" s="381">
        <v>0</v>
      </c>
      <c r="X104" s="381">
        <v>0</v>
      </c>
      <c r="Y104" s="381">
        <v>0</v>
      </c>
      <c r="Z104" s="381">
        <v>0</v>
      </c>
      <c r="AA104" s="381">
        <v>0</v>
      </c>
      <c r="AB104" s="381">
        <v>0</v>
      </c>
      <c r="AC104" s="381">
        <v>0</v>
      </c>
    </row>
    <row r="105" ht="21" customHeight="1" spans="2:29">
      <c r="B105" s="89" t="s">
        <v>2030</v>
      </c>
      <c r="C105" s="90" t="str">
        <f>INDEX(二三级标准!$C:$C,MATCH($B105,二三级标准!$B:$B,0))</f>
        <v>资料准备（注册检验）</v>
      </c>
      <c r="D105" s="166">
        <f>IF($D$104=1,1,0)</f>
        <v>0</v>
      </c>
      <c r="E105" s="166">
        <f t="shared" ref="E105:E108" si="103">IF($D105=1,1,0)</f>
        <v>0</v>
      </c>
      <c r="F105" s="89" t="s">
        <v>1583</v>
      </c>
      <c r="G105" s="386">
        <f>IFERROR(SUMIF(注册申报底表!$J:$J,$B105,注册申报底表!$AA:$AA)/E105,0)</f>
        <v>0</v>
      </c>
      <c r="H105" s="386">
        <f t="shared" ref="H105:H108" si="104">G105*E105</f>
        <v>0</v>
      </c>
      <c r="I105" s="386">
        <f>IFERROR(SUMIF(注册申报底表!$J:$J,$B105,注册申报底表!$AD:$AD)/E105,0)</f>
        <v>0</v>
      </c>
      <c r="J105" s="386">
        <f t="shared" ref="J105:J108" si="105">I105*E105</f>
        <v>0</v>
      </c>
      <c r="K105" s="89"/>
      <c r="L105" s="387">
        <f t="shared" ref="L105:L108" si="106">IF(D105=1,M105/E105,0)</f>
        <v>0</v>
      </c>
      <c r="M105" s="387">
        <f>SUMIF(注册申报底表!$J:$J,$B105,注册申报底表!$Z:$Z)</f>
        <v>0</v>
      </c>
      <c r="O105" s="388">
        <f>SUMIFS(注册申报底表!$Z:$Z,注册申报底表!$J:$J,$B105,注册申报底表!$G:$G,O$3)</f>
        <v>0</v>
      </c>
      <c r="P105" s="388">
        <f>SUMIFS(注册申报底表!$Z:$Z,注册申报底表!$J:$J,$B105,注册申报底表!$G:$G,P$3)</f>
        <v>0</v>
      </c>
      <c r="Q105" s="388">
        <f>SUMIFS(注册申报底表!$Z:$Z,注册申报底表!$J:$J,$B105,注册申报底表!$G:$G,Q$3)</f>
        <v>0</v>
      </c>
      <c r="R105" s="388">
        <f>SUMIFS(注册申报底表!$Z:$Z,注册申报底表!$J:$J,$B105,注册申报底表!$G:$G,R$3)</f>
        <v>0</v>
      </c>
      <c r="S105" s="388">
        <f>SUMIFS(注册申报底表!$Z:$Z,注册申报底表!$J:$J,$B105,注册申报底表!$G:$G,S$3)</f>
        <v>0</v>
      </c>
      <c r="T105" s="388">
        <f>SUMIFS(注册申报底表!$Z:$Z,注册申报底表!$J:$J,$B105,注册申报底表!$G:$G,T$3)</f>
        <v>0</v>
      </c>
      <c r="U105" s="388">
        <f>SUMIFS(注册申报底表!$Z:$Z,注册申报底表!$J:$J,$B105,注册申报底表!$G:$G,U$3)</f>
        <v>0</v>
      </c>
      <c r="W105" s="389">
        <f>SUMIFS(注册申报底表!$AA:$AA,注册申报底表!$J:$J,$B105,注册申报底表!$G:$G,W$3)</f>
        <v>0</v>
      </c>
      <c r="X105" s="389">
        <f>SUMIFS(注册申报底表!$AA:$AA,注册申报底表!$J:$J,$B105,注册申报底表!$G:$G,X$3)</f>
        <v>0</v>
      </c>
      <c r="Y105" s="389">
        <f>SUMIFS(注册申报底表!$AA:$AA,注册申报底表!$J:$J,$B105,注册申报底表!$G:$G,Y$3)</f>
        <v>0</v>
      </c>
      <c r="Z105" s="389">
        <f>SUMIFS(注册申报底表!$AA:$AA,注册申报底表!$J:$J,$B105,注册申报底表!$G:$G,Z$3)</f>
        <v>0</v>
      </c>
      <c r="AA105" s="389">
        <f>SUMIFS(注册申报底表!$AA:$AA,注册申报底表!$J:$J,$B105,注册申报底表!$G:$G,AA$3)</f>
        <v>0</v>
      </c>
      <c r="AB105" s="389">
        <f>SUMIFS(注册申报底表!$AA:$AA,注册申报底表!$J:$J,$B105,注册申报底表!$G:$G,AB$3)</f>
        <v>0</v>
      </c>
      <c r="AC105" s="389">
        <f>SUMIFS(注册申报底表!$AA:$AA,注册申报底表!$J:$J,$B105,注册申报底表!$G:$G,AC$3)</f>
        <v>0</v>
      </c>
    </row>
    <row r="106" ht="21" customHeight="1" spans="2:29">
      <c r="B106" s="89" t="s">
        <v>2031</v>
      </c>
      <c r="C106" s="90" t="str">
        <f>INDEX(二三级标准!$C:$C,MATCH($B106,二三级标准!$B:$B,0))</f>
        <v>检验样品及对照品准备</v>
      </c>
      <c r="D106" s="166">
        <v>0</v>
      </c>
      <c r="E106" s="166">
        <f t="shared" si="103"/>
        <v>0</v>
      </c>
      <c r="F106" s="89" t="s">
        <v>1583</v>
      </c>
      <c r="G106" s="386">
        <f>IFERROR(SUMIF(注册申报底表!$J:$J,$B106,注册申报底表!$AA:$AA)/E106,0)</f>
        <v>0</v>
      </c>
      <c r="H106" s="386">
        <f t="shared" si="104"/>
        <v>0</v>
      </c>
      <c r="I106" s="386">
        <f>IFERROR(SUMIF(注册申报底表!$J:$J,$B106,注册申报底表!$AD:$AD)/E106,0)</f>
        <v>0</v>
      </c>
      <c r="J106" s="386">
        <f t="shared" si="105"/>
        <v>0</v>
      </c>
      <c r="K106" s="89" t="s">
        <v>1838</v>
      </c>
      <c r="L106" s="387">
        <f t="shared" si="106"/>
        <v>0</v>
      </c>
      <c r="M106" s="387">
        <f>SUMIF(注册申报底表!$J:$J,$B106,注册申报底表!$Z:$Z)</f>
        <v>0</v>
      </c>
      <c r="O106" s="388">
        <f>SUMIFS(注册申报底表!$Z:$Z,注册申报底表!$J:$J,$B106,注册申报底表!$G:$G,O$3)</f>
        <v>0</v>
      </c>
      <c r="P106" s="388">
        <f>SUMIFS(注册申报底表!$Z:$Z,注册申报底表!$J:$J,$B106,注册申报底表!$G:$G,P$3)</f>
        <v>0</v>
      </c>
      <c r="Q106" s="388">
        <f>SUMIFS(注册申报底表!$Z:$Z,注册申报底表!$J:$J,$B106,注册申报底表!$G:$G,Q$3)</f>
        <v>0</v>
      </c>
      <c r="R106" s="388">
        <f>SUMIFS(注册申报底表!$Z:$Z,注册申报底表!$J:$J,$B106,注册申报底表!$G:$G,R$3)</f>
        <v>0</v>
      </c>
      <c r="S106" s="388">
        <f>SUMIFS(注册申报底表!$Z:$Z,注册申报底表!$J:$J,$B106,注册申报底表!$G:$G,S$3)</f>
        <v>0</v>
      </c>
      <c r="T106" s="388">
        <f>SUMIFS(注册申报底表!$Z:$Z,注册申报底表!$J:$J,$B106,注册申报底表!$G:$G,T$3)</f>
        <v>0</v>
      </c>
      <c r="U106" s="388">
        <f>SUMIFS(注册申报底表!$Z:$Z,注册申报底表!$J:$J,$B106,注册申报底表!$G:$G,U$3)</f>
        <v>0</v>
      </c>
      <c r="W106" s="389">
        <f>SUMIFS(注册申报底表!$AA:$AA,注册申报底表!$J:$J,$B106,注册申报底表!$G:$G,W$3)</f>
        <v>0</v>
      </c>
      <c r="X106" s="389">
        <f>SUMIFS(注册申报底表!$AA:$AA,注册申报底表!$J:$J,$B106,注册申报底表!$G:$G,X$3)</f>
        <v>0</v>
      </c>
      <c r="Y106" s="389">
        <f>SUMIFS(注册申报底表!$AA:$AA,注册申报底表!$J:$J,$B106,注册申报底表!$G:$G,Y$3)</f>
        <v>0</v>
      </c>
      <c r="Z106" s="389">
        <f>SUMIFS(注册申报底表!$AA:$AA,注册申报底表!$J:$J,$B106,注册申报底表!$G:$G,Z$3)</f>
        <v>0</v>
      </c>
      <c r="AA106" s="389">
        <f>SUMIFS(注册申报底表!$AA:$AA,注册申报底表!$J:$J,$B106,注册申报底表!$G:$G,AA$3)</f>
        <v>0</v>
      </c>
      <c r="AB106" s="389">
        <f>SUMIFS(注册申报底表!$AA:$AA,注册申报底表!$J:$J,$B106,注册申报底表!$G:$G,AB$3)</f>
        <v>0</v>
      </c>
      <c r="AC106" s="389">
        <f>SUMIFS(注册申报底表!$AA:$AA,注册申报底表!$J:$J,$B106,注册申报底表!$G:$G,AC$3)</f>
        <v>0</v>
      </c>
    </row>
    <row r="107" ht="21" customHeight="1" spans="2:29">
      <c r="B107" s="89" t="s">
        <v>2032</v>
      </c>
      <c r="C107" s="90" t="str">
        <f>INDEX(二三级标准!$C:$C,MATCH($B107,二三级标准!$B:$B,0))</f>
        <v>送检</v>
      </c>
      <c r="D107" s="166">
        <v>0</v>
      </c>
      <c r="E107" s="166">
        <f t="shared" si="103"/>
        <v>0</v>
      </c>
      <c r="F107" s="89" t="s">
        <v>1583</v>
      </c>
      <c r="G107" s="386">
        <f>IFERROR(SUMIF(注册申报底表!$J:$J,$B107,注册申报底表!$AA:$AA)/E107,0)</f>
        <v>0</v>
      </c>
      <c r="H107" s="386">
        <f t="shared" si="104"/>
        <v>0</v>
      </c>
      <c r="I107" s="386">
        <f>IFERROR(SUMIF(注册申报底表!$J:$J,$B107,注册申报底表!$AD:$AD)/E107,0)</f>
        <v>0</v>
      </c>
      <c r="J107" s="386">
        <f t="shared" si="105"/>
        <v>0</v>
      </c>
      <c r="K107" s="89" t="s">
        <v>1838</v>
      </c>
      <c r="L107" s="387">
        <f t="shared" si="106"/>
        <v>0</v>
      </c>
      <c r="M107" s="387">
        <f>SUMIF(注册申报底表!$J:$J,$B107,注册申报底表!$Z:$Z)</f>
        <v>0</v>
      </c>
      <c r="O107" s="388">
        <f>SUMIFS(注册申报底表!$Z:$Z,注册申报底表!$J:$J,$B107,注册申报底表!$G:$G,O$3)</f>
        <v>0</v>
      </c>
      <c r="P107" s="388">
        <f>SUMIFS(注册申报底表!$Z:$Z,注册申报底表!$J:$J,$B107,注册申报底表!$G:$G,P$3)</f>
        <v>0</v>
      </c>
      <c r="Q107" s="388">
        <f>SUMIFS(注册申报底表!$Z:$Z,注册申报底表!$J:$J,$B107,注册申报底表!$G:$G,Q$3)</f>
        <v>0</v>
      </c>
      <c r="R107" s="388">
        <f>SUMIFS(注册申报底表!$Z:$Z,注册申报底表!$J:$J,$B107,注册申报底表!$G:$G,R$3)</f>
        <v>0</v>
      </c>
      <c r="S107" s="388">
        <f>SUMIFS(注册申报底表!$Z:$Z,注册申报底表!$J:$J,$B107,注册申报底表!$G:$G,S$3)</f>
        <v>0</v>
      </c>
      <c r="T107" s="388">
        <f>SUMIFS(注册申报底表!$Z:$Z,注册申报底表!$J:$J,$B107,注册申报底表!$G:$G,T$3)</f>
        <v>0</v>
      </c>
      <c r="U107" s="388">
        <f>SUMIFS(注册申报底表!$Z:$Z,注册申报底表!$J:$J,$B107,注册申报底表!$G:$G,U$3)</f>
        <v>0</v>
      </c>
      <c r="W107" s="389">
        <f>SUMIFS(注册申报底表!$AA:$AA,注册申报底表!$J:$J,$B107,注册申报底表!$G:$G,W$3)</f>
        <v>0</v>
      </c>
      <c r="X107" s="389">
        <f>SUMIFS(注册申报底表!$AA:$AA,注册申报底表!$J:$J,$B107,注册申报底表!$G:$G,X$3)</f>
        <v>0</v>
      </c>
      <c r="Y107" s="389">
        <f>SUMIFS(注册申报底表!$AA:$AA,注册申报底表!$J:$J,$B107,注册申报底表!$G:$G,Y$3)</f>
        <v>0</v>
      </c>
      <c r="Z107" s="389">
        <f>SUMIFS(注册申报底表!$AA:$AA,注册申报底表!$J:$J,$B107,注册申报底表!$G:$G,Z$3)</f>
        <v>0</v>
      </c>
      <c r="AA107" s="389">
        <f>SUMIFS(注册申报底表!$AA:$AA,注册申报底表!$J:$J,$B107,注册申报底表!$G:$G,AA$3)</f>
        <v>0</v>
      </c>
      <c r="AB107" s="389">
        <f>SUMIFS(注册申报底表!$AA:$AA,注册申报底表!$J:$J,$B107,注册申报底表!$G:$G,AB$3)</f>
        <v>0</v>
      </c>
      <c r="AC107" s="389">
        <f>SUMIFS(注册申报底表!$AA:$AA,注册申报底表!$J:$J,$B107,注册申报底表!$G:$G,AC$3)</f>
        <v>0</v>
      </c>
    </row>
    <row r="108" ht="21" customHeight="1" spans="2:29">
      <c r="B108" s="89" t="s">
        <v>2033</v>
      </c>
      <c r="C108" s="90" t="str">
        <f>INDEX(二三级标准!$C:$C,MATCH($B108,二三级标准!$B:$B,0))</f>
        <v>过程跟踪（注册检验）</v>
      </c>
      <c r="D108" s="166">
        <v>0</v>
      </c>
      <c r="E108" s="166">
        <f t="shared" si="103"/>
        <v>0</v>
      </c>
      <c r="F108" s="89" t="s">
        <v>1583</v>
      </c>
      <c r="G108" s="386">
        <f>IFERROR(SUMIF(注册申报底表!$J:$J,$B108,注册申报底表!$AA:$AA)/E108,0)</f>
        <v>0</v>
      </c>
      <c r="H108" s="386">
        <f t="shared" si="104"/>
        <v>0</v>
      </c>
      <c r="I108" s="386">
        <f>IFERROR(SUMIF(注册申报底表!$J:$J,$B108,注册申报底表!$AD:$AD)/E108,0)</f>
        <v>0</v>
      </c>
      <c r="J108" s="386">
        <f t="shared" si="105"/>
        <v>0</v>
      </c>
      <c r="K108" s="89" t="s">
        <v>1838</v>
      </c>
      <c r="L108" s="387">
        <f t="shared" si="106"/>
        <v>0</v>
      </c>
      <c r="M108" s="387">
        <f>SUMIF(注册申报底表!$J:$J,$B108,注册申报底表!$Z:$Z)</f>
        <v>0</v>
      </c>
      <c r="O108" s="388">
        <f>SUMIFS(注册申报底表!$Z:$Z,注册申报底表!$J:$J,$B108,注册申报底表!$G:$G,O$3)</f>
        <v>0</v>
      </c>
      <c r="P108" s="388">
        <f>SUMIFS(注册申报底表!$Z:$Z,注册申报底表!$J:$J,$B108,注册申报底表!$G:$G,P$3)</f>
        <v>0</v>
      </c>
      <c r="Q108" s="388">
        <f>SUMIFS(注册申报底表!$Z:$Z,注册申报底表!$J:$J,$B108,注册申报底表!$G:$G,Q$3)</f>
        <v>0</v>
      </c>
      <c r="R108" s="388">
        <f>SUMIFS(注册申报底表!$Z:$Z,注册申报底表!$J:$J,$B108,注册申报底表!$G:$G,R$3)</f>
        <v>0</v>
      </c>
      <c r="S108" s="388">
        <f>SUMIFS(注册申报底表!$Z:$Z,注册申报底表!$J:$J,$B108,注册申报底表!$G:$G,S$3)</f>
        <v>0</v>
      </c>
      <c r="T108" s="388">
        <f>SUMIFS(注册申报底表!$Z:$Z,注册申报底表!$J:$J,$B108,注册申报底表!$G:$G,T$3)</f>
        <v>0</v>
      </c>
      <c r="U108" s="388">
        <f>SUMIFS(注册申报底表!$Z:$Z,注册申报底表!$J:$J,$B108,注册申报底表!$G:$G,U$3)</f>
        <v>0</v>
      </c>
      <c r="W108" s="389">
        <f>SUMIFS(注册申报底表!$AA:$AA,注册申报底表!$J:$J,$B108,注册申报底表!$G:$G,W$3)</f>
        <v>0</v>
      </c>
      <c r="X108" s="389">
        <f>SUMIFS(注册申报底表!$AA:$AA,注册申报底表!$J:$J,$B108,注册申报底表!$G:$G,X$3)</f>
        <v>0</v>
      </c>
      <c r="Y108" s="389">
        <f>SUMIFS(注册申报底表!$AA:$AA,注册申报底表!$J:$J,$B108,注册申报底表!$G:$G,Y$3)</f>
        <v>0</v>
      </c>
      <c r="Z108" s="389">
        <f>SUMIFS(注册申报底表!$AA:$AA,注册申报底表!$J:$J,$B108,注册申报底表!$G:$G,Z$3)</f>
        <v>0</v>
      </c>
      <c r="AA108" s="389">
        <f>SUMIFS(注册申报底表!$AA:$AA,注册申报底表!$J:$J,$B108,注册申报底表!$G:$G,AA$3)</f>
        <v>0</v>
      </c>
      <c r="AB108" s="389">
        <f>SUMIFS(注册申报底表!$AA:$AA,注册申报底表!$J:$J,$B108,注册申报底表!$G:$G,AB$3)</f>
        <v>0</v>
      </c>
      <c r="AC108" s="389">
        <f>SUMIFS(注册申报底表!$AA:$AA,注册申报底表!$J:$J,$B108,注册申报底表!$G:$G,AC$3)</f>
        <v>0</v>
      </c>
    </row>
    <row r="109" ht="21" customHeight="1" spans="2:29">
      <c r="B109" s="88" t="s">
        <v>2034</v>
      </c>
      <c r="C109" s="88" t="str">
        <f>INDEX(二三级标准!Q:Q,MATCH($B109,二三级标准!$O:$O,0))</f>
        <v>通用名申请</v>
      </c>
      <c r="D109" s="376">
        <f>IF(注册事务YN=1,1,0)</f>
        <v>0</v>
      </c>
      <c r="E109" s="377"/>
      <c r="F109" s="378"/>
      <c r="G109" s="379"/>
      <c r="H109" s="380">
        <f t="shared" ref="H109:M109" si="107">SUM(H110:H111)</f>
        <v>0</v>
      </c>
      <c r="I109" s="390"/>
      <c r="J109" s="380">
        <f t="shared" si="107"/>
        <v>0</v>
      </c>
      <c r="K109" s="394"/>
      <c r="L109" s="378"/>
      <c r="M109" s="392">
        <f t="shared" si="107"/>
        <v>0</v>
      </c>
      <c r="N109" s="385"/>
      <c r="O109" s="392">
        <f t="shared" ref="O109:U109" si="108">SUM(O110:O111)</f>
        <v>0</v>
      </c>
      <c r="P109" s="392">
        <f t="shared" si="108"/>
        <v>0</v>
      </c>
      <c r="Q109" s="392">
        <f t="shared" si="108"/>
        <v>0</v>
      </c>
      <c r="R109" s="392">
        <f t="shared" si="108"/>
        <v>0</v>
      </c>
      <c r="S109" s="392">
        <f t="shared" si="108"/>
        <v>0</v>
      </c>
      <c r="T109" s="392">
        <f t="shared" si="108"/>
        <v>0</v>
      </c>
      <c r="U109" s="392">
        <f t="shared" si="108"/>
        <v>0</v>
      </c>
      <c r="W109" s="381">
        <v>0</v>
      </c>
      <c r="X109" s="381">
        <v>0</v>
      </c>
      <c r="Y109" s="381">
        <v>0</v>
      </c>
      <c r="Z109" s="381">
        <v>0</v>
      </c>
      <c r="AA109" s="381">
        <v>0</v>
      </c>
      <c r="AB109" s="381">
        <v>0</v>
      </c>
      <c r="AC109" s="381">
        <v>0</v>
      </c>
    </row>
    <row r="110" ht="21" customHeight="1" spans="2:29">
      <c r="B110" s="89" t="s">
        <v>2035</v>
      </c>
      <c r="C110" s="90" t="str">
        <f>INDEX(二三级标准!$C:$C,MATCH($B110,二三级标准!$B:$B,0))</f>
        <v>资料准备（通用名）</v>
      </c>
      <c r="D110" s="166">
        <v>0</v>
      </c>
      <c r="E110" s="166">
        <f t="shared" ref="E110:E113" si="109">IF($D110=1,1,0)</f>
        <v>0</v>
      </c>
      <c r="F110" s="89" t="s">
        <v>1583</v>
      </c>
      <c r="G110" s="386">
        <f>IFERROR(SUMIF(注册申报底表!$J:$J,$B110,注册申报底表!$AA:$AA)/E110,0)</f>
        <v>0</v>
      </c>
      <c r="H110" s="386">
        <f t="shared" ref="H110:H113" si="110">G110*E110</f>
        <v>0</v>
      </c>
      <c r="I110" s="386">
        <f>IFERROR(SUMIF(注册申报底表!$J:$J,$B110,注册申报底表!$AD:$AD)/E110,0)</f>
        <v>0</v>
      </c>
      <c r="J110" s="386">
        <f t="shared" ref="J110:J113" si="111">I110*E110</f>
        <v>0</v>
      </c>
      <c r="K110" s="89" t="s">
        <v>1838</v>
      </c>
      <c r="L110" s="387">
        <f t="shared" ref="L110:L113" si="112">IF(D110=1,M110/E110,0)</f>
        <v>0</v>
      </c>
      <c r="M110" s="387">
        <f>SUMIF(注册申报底表!$J:$J,$B110,注册申报底表!$Z:$Z)</f>
        <v>0</v>
      </c>
      <c r="O110" s="388">
        <f>SUMIFS(注册申报底表!$Z:$Z,注册申报底表!$J:$J,$B110,注册申报底表!$G:$G,O$3)</f>
        <v>0</v>
      </c>
      <c r="P110" s="388">
        <f>SUMIFS(注册申报底表!$Z:$Z,注册申报底表!$J:$J,$B110,注册申报底表!$G:$G,P$3)</f>
        <v>0</v>
      </c>
      <c r="Q110" s="388">
        <f>SUMIFS(注册申报底表!$Z:$Z,注册申报底表!$J:$J,$B110,注册申报底表!$G:$G,Q$3)</f>
        <v>0</v>
      </c>
      <c r="R110" s="388">
        <f>SUMIFS(注册申报底表!$Z:$Z,注册申报底表!$J:$J,$B110,注册申报底表!$G:$G,R$3)</f>
        <v>0</v>
      </c>
      <c r="S110" s="388">
        <f>SUMIFS(注册申报底表!$Z:$Z,注册申报底表!$J:$J,$B110,注册申报底表!$G:$G,S$3)</f>
        <v>0</v>
      </c>
      <c r="T110" s="388">
        <f>SUMIFS(注册申报底表!$Z:$Z,注册申报底表!$J:$J,$B110,注册申报底表!$G:$G,T$3)</f>
        <v>0</v>
      </c>
      <c r="U110" s="388">
        <f>SUMIFS(注册申报底表!$Z:$Z,注册申报底表!$J:$J,$B110,注册申报底表!$G:$G,U$3)</f>
        <v>0</v>
      </c>
      <c r="W110" s="389">
        <f>SUMIFS(注册申报底表!$AA:$AA,注册申报底表!$J:$J,$B110,注册申报底表!$G:$G,W$3)</f>
        <v>0</v>
      </c>
      <c r="X110" s="389">
        <f>SUMIFS(注册申报底表!$AA:$AA,注册申报底表!$J:$J,$B110,注册申报底表!$G:$G,X$3)</f>
        <v>0</v>
      </c>
      <c r="Y110" s="389">
        <f>SUMIFS(注册申报底表!$AA:$AA,注册申报底表!$J:$J,$B110,注册申报底表!$G:$G,Y$3)</f>
        <v>0</v>
      </c>
      <c r="Z110" s="389">
        <f>SUMIFS(注册申报底表!$AA:$AA,注册申报底表!$J:$J,$B110,注册申报底表!$G:$G,Z$3)</f>
        <v>0</v>
      </c>
      <c r="AA110" s="389">
        <f>SUMIFS(注册申报底表!$AA:$AA,注册申报底表!$J:$J,$B110,注册申报底表!$G:$G,AA$3)</f>
        <v>0</v>
      </c>
      <c r="AB110" s="389">
        <f>SUMIFS(注册申报底表!$AA:$AA,注册申报底表!$J:$J,$B110,注册申报底表!$G:$G,AB$3)</f>
        <v>0</v>
      </c>
      <c r="AC110" s="389">
        <f>SUMIFS(注册申报底表!$AA:$AA,注册申报底表!$J:$J,$B110,注册申报底表!$G:$G,AC$3)</f>
        <v>0</v>
      </c>
    </row>
    <row r="111" ht="21" customHeight="1" spans="2:29">
      <c r="B111" s="89" t="s">
        <v>2036</v>
      </c>
      <c r="C111" s="90" t="str">
        <f>INDEX(二三级标准!$C:$C,MATCH($B111,二三级标准!$B:$B,0))</f>
        <v>过程跟踪（通用名）</v>
      </c>
      <c r="D111" s="166">
        <f>IF($D$109=1,1,0)</f>
        <v>0</v>
      </c>
      <c r="E111" s="166">
        <f t="shared" si="109"/>
        <v>0</v>
      </c>
      <c r="F111" s="89" t="s">
        <v>1583</v>
      </c>
      <c r="G111" s="386">
        <f>IFERROR(SUMIF(注册申报底表!$J:$J,$B111,注册申报底表!$AA:$AA)/E111,0)</f>
        <v>0</v>
      </c>
      <c r="H111" s="386">
        <f t="shared" si="110"/>
        <v>0</v>
      </c>
      <c r="I111" s="386">
        <f>IFERROR(SUMIF(注册申报底表!$J:$J,$B111,注册申报底表!$AD:$AD)/E111,0)</f>
        <v>0</v>
      </c>
      <c r="J111" s="386">
        <f t="shared" si="111"/>
        <v>0</v>
      </c>
      <c r="K111" s="89"/>
      <c r="L111" s="387">
        <f t="shared" si="112"/>
        <v>0</v>
      </c>
      <c r="M111" s="387">
        <f>SUMIF(注册申报底表!$J:$J,$B111,注册申报底表!$Z:$Z)</f>
        <v>0</v>
      </c>
      <c r="O111" s="388">
        <f>SUMIFS(注册申报底表!$Z:$Z,注册申报底表!$J:$J,$B111,注册申报底表!$G:$G,O$3)</f>
        <v>0</v>
      </c>
      <c r="P111" s="388">
        <f>SUMIFS(注册申报底表!$Z:$Z,注册申报底表!$J:$J,$B111,注册申报底表!$G:$G,P$3)</f>
        <v>0</v>
      </c>
      <c r="Q111" s="388">
        <f>SUMIFS(注册申报底表!$Z:$Z,注册申报底表!$J:$J,$B111,注册申报底表!$G:$G,Q$3)</f>
        <v>0</v>
      </c>
      <c r="R111" s="388">
        <f>SUMIFS(注册申报底表!$Z:$Z,注册申报底表!$J:$J,$B111,注册申报底表!$G:$G,R$3)</f>
        <v>0</v>
      </c>
      <c r="S111" s="388">
        <f>SUMIFS(注册申报底表!$Z:$Z,注册申报底表!$J:$J,$B111,注册申报底表!$G:$G,S$3)</f>
        <v>0</v>
      </c>
      <c r="T111" s="388">
        <f>SUMIFS(注册申报底表!$Z:$Z,注册申报底表!$J:$J,$B111,注册申报底表!$G:$G,T$3)</f>
        <v>0</v>
      </c>
      <c r="U111" s="388">
        <f>SUMIFS(注册申报底表!$Z:$Z,注册申报底表!$J:$J,$B111,注册申报底表!$G:$G,U$3)</f>
        <v>0</v>
      </c>
      <c r="W111" s="389">
        <f>SUMIFS(注册申报底表!$AA:$AA,注册申报底表!$J:$J,$B111,注册申报底表!$G:$G,W$3)</f>
        <v>0</v>
      </c>
      <c r="X111" s="389">
        <f>SUMIFS(注册申报底表!$AA:$AA,注册申报底表!$J:$J,$B111,注册申报底表!$G:$G,X$3)</f>
        <v>0</v>
      </c>
      <c r="Y111" s="389">
        <f>SUMIFS(注册申报底表!$AA:$AA,注册申报底表!$J:$J,$B111,注册申报底表!$G:$G,Y$3)</f>
        <v>0</v>
      </c>
      <c r="Z111" s="389">
        <f>SUMIFS(注册申报底表!$AA:$AA,注册申报底表!$J:$J,$B111,注册申报底表!$G:$G,Z$3)</f>
        <v>0</v>
      </c>
      <c r="AA111" s="389">
        <f>SUMIFS(注册申报底表!$AA:$AA,注册申报底表!$J:$J,$B111,注册申报底表!$G:$G,AA$3)</f>
        <v>0</v>
      </c>
      <c r="AB111" s="389">
        <f>SUMIFS(注册申报底表!$AA:$AA,注册申报底表!$J:$J,$B111,注册申报底表!$G:$G,AB$3)</f>
        <v>0</v>
      </c>
      <c r="AC111" s="389">
        <f>SUMIFS(注册申报底表!$AA:$AA,注册申报底表!$J:$J,$B111,注册申报底表!$G:$G,AC$3)</f>
        <v>0</v>
      </c>
    </row>
    <row r="112" ht="21" customHeight="1" spans="2:29">
      <c r="B112" s="88" t="s">
        <v>2037</v>
      </c>
      <c r="C112" s="88" t="str">
        <f>INDEX(二三级标准!Q:Q,MATCH($B112,二三级标准!$O:$O,0))</f>
        <v>现场核查</v>
      </c>
      <c r="D112" s="376">
        <v>0</v>
      </c>
      <c r="E112" s="377"/>
      <c r="F112" s="378"/>
      <c r="G112" s="379"/>
      <c r="H112" s="380">
        <f>H113</f>
        <v>0</v>
      </c>
      <c r="I112" s="390"/>
      <c r="J112" s="380">
        <f t="shared" ref="J112:U112" si="113">J113</f>
        <v>0</v>
      </c>
      <c r="K112" s="394"/>
      <c r="L112" s="378"/>
      <c r="M112" s="392">
        <f t="shared" si="113"/>
        <v>0</v>
      </c>
      <c r="N112" s="385"/>
      <c r="O112" s="392">
        <f t="shared" si="113"/>
        <v>0</v>
      </c>
      <c r="P112" s="392">
        <f t="shared" si="113"/>
        <v>0</v>
      </c>
      <c r="Q112" s="392">
        <f t="shared" si="113"/>
        <v>0</v>
      </c>
      <c r="R112" s="392">
        <f t="shared" si="113"/>
        <v>0</v>
      </c>
      <c r="S112" s="392">
        <f t="shared" si="113"/>
        <v>0</v>
      </c>
      <c r="T112" s="392">
        <f t="shared" si="113"/>
        <v>0</v>
      </c>
      <c r="U112" s="392">
        <f t="shared" si="113"/>
        <v>0</v>
      </c>
      <c r="W112" s="381">
        <v>0</v>
      </c>
      <c r="X112" s="381">
        <v>0</v>
      </c>
      <c r="Y112" s="381">
        <v>0</v>
      </c>
      <c r="Z112" s="381">
        <v>0</v>
      </c>
      <c r="AA112" s="381">
        <v>0</v>
      </c>
      <c r="AB112" s="381">
        <v>0</v>
      </c>
      <c r="AC112" s="381">
        <v>0</v>
      </c>
    </row>
    <row r="113" ht="21" customHeight="1" spans="2:29">
      <c r="B113" s="89" t="s">
        <v>2038</v>
      </c>
      <c r="C113" s="90" t="str">
        <f>INDEX(二三级标准!$C:$C,MATCH($B113,二三级标准!$B:$B,0))</f>
        <v>现场核查支持</v>
      </c>
      <c r="D113" s="166">
        <v>0</v>
      </c>
      <c r="E113" s="166">
        <f t="shared" si="109"/>
        <v>0</v>
      </c>
      <c r="F113" s="89" t="s">
        <v>1178</v>
      </c>
      <c r="G113" s="386">
        <f>IFERROR(SUMIF(注册申报底表!$J:$J,$B113,注册申报底表!$AA:$AA)/E113,0)</f>
        <v>0</v>
      </c>
      <c r="H113" s="386">
        <f t="shared" si="110"/>
        <v>0</v>
      </c>
      <c r="I113" s="386">
        <f>IFERROR(SUMIF(注册申报底表!$J:$J,$B113,注册申报底表!$AD:$AD)/E113,0)</f>
        <v>0</v>
      </c>
      <c r="J113" s="386">
        <f t="shared" si="111"/>
        <v>0</v>
      </c>
      <c r="K113" s="89" t="s">
        <v>2039</v>
      </c>
      <c r="L113" s="387">
        <f t="shared" si="112"/>
        <v>0</v>
      </c>
      <c r="M113" s="387">
        <f>SUMIF(注册申报底表!$J:$J,$B113,注册申报底表!$Z:$Z)</f>
        <v>0</v>
      </c>
      <c r="O113" s="388">
        <f>SUMIFS(注册申报底表!$Z:$Z,注册申报底表!$J:$J,$B113,注册申报底表!$G:$G,O$3)</f>
        <v>0</v>
      </c>
      <c r="P113" s="388">
        <f>SUMIFS(注册申报底表!$Z:$Z,注册申报底表!$J:$J,$B113,注册申报底表!$G:$G,P$3)</f>
        <v>0</v>
      </c>
      <c r="Q113" s="388">
        <f>SUMIFS(注册申报底表!$Z:$Z,注册申报底表!$J:$J,$B113,注册申报底表!$G:$G,Q$3)</f>
        <v>0</v>
      </c>
      <c r="R113" s="388">
        <f>SUMIFS(注册申报底表!$Z:$Z,注册申报底表!$J:$J,$B113,注册申报底表!$G:$G,R$3)</f>
        <v>0</v>
      </c>
      <c r="S113" s="388">
        <f>SUMIFS(注册申报底表!$Z:$Z,注册申报底表!$J:$J,$B113,注册申报底表!$G:$G,S$3)</f>
        <v>0</v>
      </c>
      <c r="T113" s="388">
        <f>SUMIFS(注册申报底表!$Z:$Z,注册申报底表!$J:$J,$B113,注册申报底表!$G:$G,T$3)</f>
        <v>0</v>
      </c>
      <c r="U113" s="388">
        <f>SUMIFS(注册申报底表!$Z:$Z,注册申报底表!$J:$J,$B113,注册申报底表!$G:$G,U$3)</f>
        <v>0</v>
      </c>
      <c r="W113" s="389">
        <f>SUMIFS(注册申报底表!$AA:$AA,注册申报底表!$J:$J,$B113,注册申报底表!$G:$G,W$3)</f>
        <v>0</v>
      </c>
      <c r="X113" s="389">
        <f>SUMIFS(注册申报底表!$AA:$AA,注册申报底表!$J:$J,$B113,注册申报底表!$G:$G,X$3)</f>
        <v>0</v>
      </c>
      <c r="Y113" s="389">
        <f>SUMIFS(注册申报底表!$AA:$AA,注册申报底表!$J:$J,$B113,注册申报底表!$G:$G,Y$3)</f>
        <v>0</v>
      </c>
      <c r="Z113" s="389">
        <f>SUMIFS(注册申报底表!$AA:$AA,注册申报底表!$J:$J,$B113,注册申报底表!$G:$G,Z$3)</f>
        <v>0</v>
      </c>
      <c r="AA113" s="389">
        <f>SUMIFS(注册申报底表!$AA:$AA,注册申报底表!$J:$J,$B113,注册申报底表!$G:$G,AA$3)</f>
        <v>0</v>
      </c>
      <c r="AB113" s="389">
        <f>SUMIFS(注册申报底表!$AA:$AA,注册申报底表!$J:$J,$B113,注册申报底表!$G:$G,AB$3)</f>
        <v>0</v>
      </c>
      <c r="AC113" s="389">
        <f>SUMIFS(注册申报底表!$AA:$AA,注册申报底表!$J:$J,$B113,注册申报底表!$G:$G,AC$3)</f>
        <v>0</v>
      </c>
    </row>
    <row r="114" ht="21" customHeight="1" spans="2:29">
      <c r="B114" s="88" t="s">
        <v>2040</v>
      </c>
      <c r="C114" s="88" t="str">
        <f>INDEX(二三级标准!Q:Q,MATCH($B114,二三级标准!$O:$O,0))</f>
        <v>Pre-NDA 会议支持</v>
      </c>
      <c r="D114" s="376">
        <v>0</v>
      </c>
      <c r="E114" s="377"/>
      <c r="F114" s="378"/>
      <c r="G114" s="379"/>
      <c r="H114" s="380">
        <f t="shared" ref="H114:M114" si="114">SUM(H115:H119)</f>
        <v>0</v>
      </c>
      <c r="I114" s="390"/>
      <c r="J114" s="380">
        <f t="shared" si="114"/>
        <v>0</v>
      </c>
      <c r="K114" s="394" t="s">
        <v>1971</v>
      </c>
      <c r="L114" s="378"/>
      <c r="M114" s="392">
        <f t="shared" si="114"/>
        <v>0</v>
      </c>
      <c r="N114" s="385"/>
      <c r="O114" s="392">
        <f t="shared" ref="O114:U114" si="115">SUM(O115:O119)</f>
        <v>0</v>
      </c>
      <c r="P114" s="392">
        <f t="shared" si="115"/>
        <v>0</v>
      </c>
      <c r="Q114" s="392">
        <f t="shared" si="115"/>
        <v>0</v>
      </c>
      <c r="R114" s="392">
        <f t="shared" si="115"/>
        <v>0</v>
      </c>
      <c r="S114" s="392">
        <f t="shared" si="115"/>
        <v>0</v>
      </c>
      <c r="T114" s="392">
        <f t="shared" si="115"/>
        <v>0</v>
      </c>
      <c r="U114" s="392">
        <f t="shared" si="115"/>
        <v>0</v>
      </c>
      <c r="W114" s="380">
        <f t="shared" ref="W114:AC114" si="116">SUM(W115:W119)</f>
        <v>0</v>
      </c>
      <c r="X114" s="380">
        <f t="shared" si="116"/>
        <v>0</v>
      </c>
      <c r="Y114" s="380">
        <f t="shared" si="116"/>
        <v>0</v>
      </c>
      <c r="Z114" s="380">
        <f t="shared" si="116"/>
        <v>0</v>
      </c>
      <c r="AA114" s="380">
        <f t="shared" si="116"/>
        <v>0</v>
      </c>
      <c r="AB114" s="380">
        <f t="shared" si="116"/>
        <v>0</v>
      </c>
      <c r="AC114" s="380">
        <f t="shared" si="116"/>
        <v>0</v>
      </c>
    </row>
    <row r="115" ht="21" customHeight="1" spans="2:29">
      <c r="B115" s="89" t="s">
        <v>2041</v>
      </c>
      <c r="C115" s="90" t="str">
        <f>INDEX(二三级标准!$C:$C,MATCH($B115,二三级标准!$B:$B,0))</f>
        <v>临床部分的可行性分析及策略建议</v>
      </c>
      <c r="D115" s="166">
        <v>0</v>
      </c>
      <c r="E115" s="166">
        <f t="shared" ref="E115:E119" si="117">IF($D115=1,1,0)</f>
        <v>0</v>
      </c>
      <c r="F115" s="89" t="s">
        <v>1178</v>
      </c>
      <c r="G115" s="386">
        <f>IFERROR(SUMIF(注册申报底表!$J:$J,$B115,注册申报底表!$AA:$AA)/E115,0)</f>
        <v>0</v>
      </c>
      <c r="H115" s="386">
        <f t="shared" ref="H115:H119" si="118">G115*E115</f>
        <v>0</v>
      </c>
      <c r="I115" s="386">
        <f>IFERROR(SUMIF(注册申报底表!$J:$J,$B115,注册申报底表!$AD:$AD)/E115,0)</f>
        <v>0</v>
      </c>
      <c r="J115" s="386">
        <f t="shared" ref="J115:J119" si="119">I115*E115</f>
        <v>0</v>
      </c>
      <c r="K115" s="89"/>
      <c r="L115" s="387">
        <f t="shared" ref="L115:L120" si="120">IF(D115=1,M115/E115,0)</f>
        <v>0</v>
      </c>
      <c r="M115" s="387">
        <f>SUMIF(注册申报底表!$J:$J,$B115,注册申报底表!$Z:$Z)</f>
        <v>0</v>
      </c>
      <c r="O115" s="388">
        <f>SUMIFS(注册申报底表!$Z:$Z,注册申报底表!$J:$J,$B115,注册申报底表!$G:$G,O$3)</f>
        <v>0</v>
      </c>
      <c r="P115" s="388">
        <f>SUMIFS(注册申报底表!$Z:$Z,注册申报底表!$J:$J,$B115,注册申报底表!$G:$G,P$3)</f>
        <v>0</v>
      </c>
      <c r="Q115" s="388">
        <f>SUMIFS(注册申报底表!$Z:$Z,注册申报底表!$J:$J,$B115,注册申报底表!$G:$G,Q$3)</f>
        <v>0</v>
      </c>
      <c r="R115" s="388">
        <f>SUMIFS(注册申报底表!$Z:$Z,注册申报底表!$J:$J,$B115,注册申报底表!$G:$G,R$3)</f>
        <v>0</v>
      </c>
      <c r="S115" s="388">
        <f>SUMIFS(注册申报底表!$Z:$Z,注册申报底表!$J:$J,$B115,注册申报底表!$G:$G,S$3)</f>
        <v>0</v>
      </c>
      <c r="T115" s="388">
        <f>SUMIFS(注册申报底表!$Z:$Z,注册申报底表!$J:$J,$B115,注册申报底表!$G:$G,T$3)</f>
        <v>0</v>
      </c>
      <c r="U115" s="388">
        <f>SUMIFS(注册申报底表!$Z:$Z,注册申报底表!$J:$J,$B115,注册申报底表!$G:$G,U$3)</f>
        <v>0</v>
      </c>
      <c r="W115" s="389">
        <f>SUMIFS(注册申报底表!$AA:$AA,注册申报底表!$J:$J,$B115,注册申报底表!$G:$G,W$3)</f>
        <v>0</v>
      </c>
      <c r="X115" s="389">
        <f>SUMIFS(注册申报底表!$AA:$AA,注册申报底表!$J:$J,$B115,注册申报底表!$G:$G,X$3)</f>
        <v>0</v>
      </c>
      <c r="Y115" s="389">
        <f>SUMIFS(注册申报底表!$AA:$AA,注册申报底表!$J:$J,$B115,注册申报底表!$G:$G,Y$3)</f>
        <v>0</v>
      </c>
      <c r="Z115" s="389">
        <f>SUMIFS(注册申报底表!$AA:$AA,注册申报底表!$J:$J,$B115,注册申报底表!$G:$G,Z$3)</f>
        <v>0</v>
      </c>
      <c r="AA115" s="389">
        <f>SUMIFS(注册申报底表!$AA:$AA,注册申报底表!$J:$J,$B115,注册申报底表!$G:$G,AA$3)</f>
        <v>0</v>
      </c>
      <c r="AB115" s="389">
        <f>SUMIFS(注册申报底表!$AA:$AA,注册申报底表!$J:$J,$B115,注册申报底表!$G:$G,AB$3)</f>
        <v>0</v>
      </c>
      <c r="AC115" s="389">
        <f>SUMIFS(注册申报底表!$AA:$AA,注册申报底表!$J:$J,$B115,注册申报底表!$G:$G,AC$3)</f>
        <v>0</v>
      </c>
    </row>
    <row r="116" ht="34" customHeight="1" spans="2:29">
      <c r="B116" s="89" t="s">
        <v>2042</v>
      </c>
      <c r="C116" s="90" t="str">
        <f>INDEX(二三级标准!$C:$C,MATCH($B116,二三级标准!$B:$B,0))</f>
        <v>第一次 Pre-NDA 会议准备（临床部分&amp;药学部分，包含会议PPT）</v>
      </c>
      <c r="D116" s="166">
        <v>0</v>
      </c>
      <c r="E116" s="166">
        <f t="shared" si="117"/>
        <v>0</v>
      </c>
      <c r="F116" s="89" t="s">
        <v>1178</v>
      </c>
      <c r="G116" s="386">
        <f>IFERROR(SUMIF(注册申报底表!$J:$J,$B116,注册申报底表!$AA:$AA)/E116,0)</f>
        <v>0</v>
      </c>
      <c r="H116" s="386">
        <f t="shared" si="118"/>
        <v>0</v>
      </c>
      <c r="I116" s="386">
        <f>IFERROR(SUMIF(注册申报底表!$J:$J,$B116,注册申报底表!$AD:$AD)/E116,0)</f>
        <v>0</v>
      </c>
      <c r="J116" s="386">
        <f t="shared" si="119"/>
        <v>0</v>
      </c>
      <c r="K116" s="89"/>
      <c r="L116" s="387">
        <f t="shared" si="120"/>
        <v>0</v>
      </c>
      <c r="M116" s="387">
        <f>SUMIF(注册申报底表!$J:$J,$B116,注册申报底表!$Z:$Z)</f>
        <v>0</v>
      </c>
      <c r="O116" s="388">
        <f>SUMIFS(注册申报底表!$Z:$Z,注册申报底表!$J:$J,$B116,注册申报底表!$G:$G,O$3)</f>
        <v>0</v>
      </c>
      <c r="P116" s="388">
        <f>SUMIFS(注册申报底表!$Z:$Z,注册申报底表!$J:$J,$B116,注册申报底表!$G:$G,P$3)</f>
        <v>0</v>
      </c>
      <c r="Q116" s="388">
        <f>SUMIFS(注册申报底表!$Z:$Z,注册申报底表!$J:$J,$B116,注册申报底表!$G:$G,Q$3)</f>
        <v>0</v>
      </c>
      <c r="R116" s="388">
        <f>SUMIFS(注册申报底表!$Z:$Z,注册申报底表!$J:$J,$B116,注册申报底表!$G:$G,R$3)</f>
        <v>0</v>
      </c>
      <c r="S116" s="388">
        <f>SUMIFS(注册申报底表!$Z:$Z,注册申报底表!$J:$J,$B116,注册申报底表!$G:$G,S$3)</f>
        <v>0</v>
      </c>
      <c r="T116" s="388">
        <f>SUMIFS(注册申报底表!$Z:$Z,注册申报底表!$J:$J,$B116,注册申报底表!$G:$G,T$3)</f>
        <v>0</v>
      </c>
      <c r="U116" s="388">
        <f>SUMIFS(注册申报底表!$Z:$Z,注册申报底表!$J:$J,$B116,注册申报底表!$G:$G,U$3)</f>
        <v>0</v>
      </c>
      <c r="W116" s="389">
        <f>SUMIFS(注册申报底表!$AA:$AA,注册申报底表!$J:$J,$B116,注册申报底表!$G:$G,W$3)</f>
        <v>0</v>
      </c>
      <c r="X116" s="389">
        <f>SUMIFS(注册申报底表!$AA:$AA,注册申报底表!$J:$J,$B116,注册申报底表!$G:$G,X$3)</f>
        <v>0</v>
      </c>
      <c r="Y116" s="389">
        <f>SUMIFS(注册申报底表!$AA:$AA,注册申报底表!$J:$J,$B116,注册申报底表!$G:$G,Y$3)</f>
        <v>0</v>
      </c>
      <c r="Z116" s="389">
        <f>SUMIFS(注册申报底表!$AA:$AA,注册申报底表!$J:$J,$B116,注册申报底表!$G:$G,Z$3)</f>
        <v>0</v>
      </c>
      <c r="AA116" s="389">
        <f>SUMIFS(注册申报底表!$AA:$AA,注册申报底表!$J:$J,$B116,注册申报底表!$G:$G,AA$3)</f>
        <v>0</v>
      </c>
      <c r="AB116" s="389">
        <f>SUMIFS(注册申报底表!$AA:$AA,注册申报底表!$J:$J,$B116,注册申报底表!$G:$G,AB$3)</f>
        <v>0</v>
      </c>
      <c r="AC116" s="389">
        <f>SUMIFS(注册申报底表!$AA:$AA,注册申报底表!$J:$J,$B116,注册申报底表!$G:$G,AC$3)</f>
        <v>0</v>
      </c>
    </row>
    <row r="117" ht="34" customHeight="1" spans="2:29">
      <c r="B117" s="89" t="s">
        <v>2043</v>
      </c>
      <c r="C117" s="90" t="str">
        <f>INDEX(二三级标准!$C:$C,MATCH($B117,二三级标准!$B:$B,0))</f>
        <v>第一次 Pre-NDA CDE意见的书面回复（临床部分&amp;药学部分）</v>
      </c>
      <c r="D117" s="166">
        <v>0</v>
      </c>
      <c r="E117" s="166">
        <f t="shared" si="117"/>
        <v>0</v>
      </c>
      <c r="F117" s="89" t="s">
        <v>1178</v>
      </c>
      <c r="G117" s="386">
        <f>IFERROR(SUMIF(注册申报底表!$J:$J,$B117,注册申报底表!$AA:$AA)/E117,0)</f>
        <v>0</v>
      </c>
      <c r="H117" s="386">
        <f t="shared" si="118"/>
        <v>0</v>
      </c>
      <c r="I117" s="386">
        <f>IFERROR(SUMIF(注册申报底表!$J:$J,$B117,注册申报底表!$AD:$AD)/E117,0)</f>
        <v>0</v>
      </c>
      <c r="J117" s="386">
        <f t="shared" si="119"/>
        <v>0</v>
      </c>
      <c r="K117" s="89"/>
      <c r="L117" s="387">
        <f t="shared" si="120"/>
        <v>0</v>
      </c>
      <c r="M117" s="387">
        <f>SUMIF(注册申报底表!$J:$J,$B117,注册申报底表!$Z:$Z)</f>
        <v>0</v>
      </c>
      <c r="O117" s="388">
        <f>SUMIFS(注册申报底表!$Z:$Z,注册申报底表!$J:$J,$B117,注册申报底表!$G:$G,O$3)</f>
        <v>0</v>
      </c>
      <c r="P117" s="388">
        <f>SUMIFS(注册申报底表!$Z:$Z,注册申报底表!$J:$J,$B117,注册申报底表!$G:$G,P$3)</f>
        <v>0</v>
      </c>
      <c r="Q117" s="388">
        <f>SUMIFS(注册申报底表!$Z:$Z,注册申报底表!$J:$J,$B117,注册申报底表!$G:$G,Q$3)</f>
        <v>0</v>
      </c>
      <c r="R117" s="388">
        <f>SUMIFS(注册申报底表!$Z:$Z,注册申报底表!$J:$J,$B117,注册申报底表!$G:$G,R$3)</f>
        <v>0</v>
      </c>
      <c r="S117" s="388">
        <f>SUMIFS(注册申报底表!$Z:$Z,注册申报底表!$J:$J,$B117,注册申报底表!$G:$G,S$3)</f>
        <v>0</v>
      </c>
      <c r="T117" s="388">
        <f>SUMIFS(注册申报底表!$Z:$Z,注册申报底表!$J:$J,$B117,注册申报底表!$G:$G,T$3)</f>
        <v>0</v>
      </c>
      <c r="U117" s="388">
        <f>SUMIFS(注册申报底表!$Z:$Z,注册申报底表!$J:$J,$B117,注册申报底表!$G:$G,U$3)</f>
        <v>0</v>
      </c>
      <c r="W117" s="389">
        <f>SUMIFS(注册申报底表!$AA:$AA,注册申报底表!$J:$J,$B117,注册申报底表!$G:$G,W$3)</f>
        <v>0</v>
      </c>
      <c r="X117" s="389">
        <f>SUMIFS(注册申报底表!$AA:$AA,注册申报底表!$J:$J,$B117,注册申报底表!$G:$G,X$3)</f>
        <v>0</v>
      </c>
      <c r="Y117" s="389">
        <f>SUMIFS(注册申报底表!$AA:$AA,注册申报底表!$J:$J,$B117,注册申报底表!$G:$G,Y$3)</f>
        <v>0</v>
      </c>
      <c r="Z117" s="389">
        <f>SUMIFS(注册申报底表!$AA:$AA,注册申报底表!$J:$J,$B117,注册申报底表!$G:$G,Z$3)</f>
        <v>0</v>
      </c>
      <c r="AA117" s="389">
        <f>SUMIFS(注册申报底表!$AA:$AA,注册申报底表!$J:$J,$B117,注册申报底表!$G:$G,AA$3)</f>
        <v>0</v>
      </c>
      <c r="AB117" s="389">
        <f>SUMIFS(注册申报底表!$AA:$AA,注册申报底表!$J:$J,$B117,注册申报底表!$G:$G,AB$3)</f>
        <v>0</v>
      </c>
      <c r="AC117" s="389">
        <f>SUMIFS(注册申报底表!$AA:$AA,注册申报底表!$J:$J,$B117,注册申报底表!$G:$G,AC$3)</f>
        <v>0</v>
      </c>
    </row>
    <row r="118" ht="28" customHeight="1" spans="2:29">
      <c r="B118" s="89" t="s">
        <v>2044</v>
      </c>
      <c r="C118" s="90" t="str">
        <f>INDEX(二三级标准!$C:$C,MATCH($B118,二三级标准!$B:$B,0))</f>
        <v>第二次 Pre-NDA 会议准备（临床部分&amp;药学部分，包含会议PPT）</v>
      </c>
      <c r="D118" s="166">
        <v>0</v>
      </c>
      <c r="E118" s="166">
        <f t="shared" si="117"/>
        <v>0</v>
      </c>
      <c r="F118" s="89" t="s">
        <v>1178</v>
      </c>
      <c r="G118" s="386">
        <f>IFERROR(SUMIF(注册申报底表!$J:$J,$B118,注册申报底表!$AA:$AA)/E118,0)</f>
        <v>0</v>
      </c>
      <c r="H118" s="386">
        <f t="shared" si="118"/>
        <v>0</v>
      </c>
      <c r="I118" s="386">
        <f>IFERROR(SUMIF(注册申报底表!$J:$J,$B118,注册申报底表!$AD:$AD)/E118,0)</f>
        <v>0</v>
      </c>
      <c r="J118" s="386">
        <f t="shared" si="119"/>
        <v>0</v>
      </c>
      <c r="K118" s="89"/>
      <c r="L118" s="387">
        <f t="shared" si="120"/>
        <v>0</v>
      </c>
      <c r="M118" s="387">
        <f>SUMIF(注册申报底表!$J:$J,$B118,注册申报底表!$Z:$Z)</f>
        <v>0</v>
      </c>
      <c r="O118" s="388">
        <f>SUMIFS(注册申报底表!$Z:$Z,注册申报底表!$J:$J,$B118,注册申报底表!$G:$G,O$3)</f>
        <v>0</v>
      </c>
      <c r="P118" s="388">
        <f>SUMIFS(注册申报底表!$Z:$Z,注册申报底表!$J:$J,$B118,注册申报底表!$G:$G,P$3)</f>
        <v>0</v>
      </c>
      <c r="Q118" s="388">
        <f>SUMIFS(注册申报底表!$Z:$Z,注册申报底表!$J:$J,$B118,注册申报底表!$G:$G,Q$3)</f>
        <v>0</v>
      </c>
      <c r="R118" s="388">
        <f>SUMIFS(注册申报底表!$Z:$Z,注册申报底表!$J:$J,$B118,注册申报底表!$G:$G,R$3)</f>
        <v>0</v>
      </c>
      <c r="S118" s="388">
        <f>SUMIFS(注册申报底表!$Z:$Z,注册申报底表!$J:$J,$B118,注册申报底表!$G:$G,S$3)</f>
        <v>0</v>
      </c>
      <c r="T118" s="388">
        <f>SUMIFS(注册申报底表!$Z:$Z,注册申报底表!$J:$J,$B118,注册申报底表!$G:$G,T$3)</f>
        <v>0</v>
      </c>
      <c r="U118" s="388">
        <f>SUMIFS(注册申报底表!$Z:$Z,注册申报底表!$J:$J,$B118,注册申报底表!$G:$G,U$3)</f>
        <v>0</v>
      </c>
      <c r="W118" s="389">
        <f>SUMIFS(注册申报底表!$AA:$AA,注册申报底表!$J:$J,$B118,注册申报底表!$G:$G,W$3)</f>
        <v>0</v>
      </c>
      <c r="X118" s="389">
        <f>SUMIFS(注册申报底表!$AA:$AA,注册申报底表!$J:$J,$B118,注册申报底表!$G:$G,X$3)</f>
        <v>0</v>
      </c>
      <c r="Y118" s="389">
        <f>SUMIFS(注册申报底表!$AA:$AA,注册申报底表!$J:$J,$B118,注册申报底表!$G:$G,Y$3)</f>
        <v>0</v>
      </c>
      <c r="Z118" s="389">
        <f>SUMIFS(注册申报底表!$AA:$AA,注册申报底表!$J:$J,$B118,注册申报底表!$G:$G,Z$3)</f>
        <v>0</v>
      </c>
      <c r="AA118" s="389">
        <f>SUMIFS(注册申报底表!$AA:$AA,注册申报底表!$J:$J,$B118,注册申报底表!$G:$G,AA$3)</f>
        <v>0</v>
      </c>
      <c r="AB118" s="389">
        <f>SUMIFS(注册申报底表!$AA:$AA,注册申报底表!$J:$J,$B118,注册申报底表!$G:$G,AB$3)</f>
        <v>0</v>
      </c>
      <c r="AC118" s="389">
        <f>SUMIFS(注册申报底表!$AA:$AA,注册申报底表!$J:$J,$B118,注册申报底表!$G:$G,AC$3)</f>
        <v>0</v>
      </c>
    </row>
    <row r="119" ht="28" customHeight="1" spans="2:29">
      <c r="B119" s="89" t="s">
        <v>2045</v>
      </c>
      <c r="C119" s="90" t="str">
        <f>INDEX(二三级标准!$C:$C,MATCH($B119,二三级标准!$B:$B,0))</f>
        <v>第二次 Pre-NDA CDE意见的书面回复（临床部分&amp;药学部分）</v>
      </c>
      <c r="D119" s="166">
        <v>0</v>
      </c>
      <c r="E119" s="166">
        <f t="shared" si="117"/>
        <v>0</v>
      </c>
      <c r="F119" s="89" t="s">
        <v>1178</v>
      </c>
      <c r="G119" s="386">
        <f>IFERROR(SUMIF(注册申报底表!$J:$J,$B119,注册申报底表!$AA:$AA)/E119,0)</f>
        <v>0</v>
      </c>
      <c r="H119" s="386">
        <f t="shared" si="118"/>
        <v>0</v>
      </c>
      <c r="I119" s="386">
        <f>IFERROR(SUMIF(注册申报底表!$J:$J,$B119,注册申报底表!$AD:$AD)/E119,0)</f>
        <v>0</v>
      </c>
      <c r="J119" s="386">
        <f t="shared" si="119"/>
        <v>0</v>
      </c>
      <c r="K119" s="89"/>
      <c r="L119" s="387">
        <f t="shared" si="120"/>
        <v>0</v>
      </c>
      <c r="M119" s="387">
        <f>SUMIF(注册申报底表!$J:$J,$B119,注册申报底表!$Z:$Z)</f>
        <v>0</v>
      </c>
      <c r="O119" s="388">
        <f>SUMIFS(注册申报底表!$Z:$Z,注册申报底表!$J:$J,$B119,注册申报底表!$G:$G,O$3)</f>
        <v>0</v>
      </c>
      <c r="P119" s="388">
        <f>SUMIFS(注册申报底表!$Z:$Z,注册申报底表!$J:$J,$B119,注册申报底表!$G:$G,P$3)</f>
        <v>0</v>
      </c>
      <c r="Q119" s="388">
        <f>SUMIFS(注册申报底表!$Z:$Z,注册申报底表!$J:$J,$B119,注册申报底表!$G:$G,Q$3)</f>
        <v>0</v>
      </c>
      <c r="R119" s="388">
        <f>SUMIFS(注册申报底表!$Z:$Z,注册申报底表!$J:$J,$B119,注册申报底表!$G:$G,R$3)</f>
        <v>0</v>
      </c>
      <c r="S119" s="388">
        <f>SUMIFS(注册申报底表!$Z:$Z,注册申报底表!$J:$J,$B119,注册申报底表!$G:$G,S$3)</f>
        <v>0</v>
      </c>
      <c r="T119" s="388">
        <f>SUMIFS(注册申报底表!$Z:$Z,注册申报底表!$J:$J,$B119,注册申报底表!$G:$G,T$3)</f>
        <v>0</v>
      </c>
      <c r="U119" s="388">
        <f>SUMIFS(注册申报底表!$Z:$Z,注册申报底表!$J:$J,$B119,注册申报底表!$G:$G,U$3)</f>
        <v>0</v>
      </c>
      <c r="W119" s="389">
        <f>SUMIFS(注册申报底表!$AA:$AA,注册申报底表!$J:$J,$B119,注册申报底表!$G:$G,W$3)</f>
        <v>0</v>
      </c>
      <c r="X119" s="389">
        <f>SUMIFS(注册申报底表!$AA:$AA,注册申报底表!$J:$J,$B119,注册申报底表!$G:$G,X$3)</f>
        <v>0</v>
      </c>
      <c r="Y119" s="389">
        <f>SUMIFS(注册申报底表!$AA:$AA,注册申报底表!$J:$J,$B119,注册申报底表!$G:$G,Y$3)</f>
        <v>0</v>
      </c>
      <c r="Z119" s="389">
        <f>SUMIFS(注册申报底表!$AA:$AA,注册申报底表!$J:$J,$B119,注册申报底表!$G:$G,Z$3)</f>
        <v>0</v>
      </c>
      <c r="AA119" s="389">
        <f>SUMIFS(注册申报底表!$AA:$AA,注册申报底表!$J:$J,$B119,注册申报底表!$G:$G,AA$3)</f>
        <v>0</v>
      </c>
      <c r="AB119" s="389">
        <f>SUMIFS(注册申报底表!$AA:$AA,注册申报底表!$J:$J,$B119,注册申报底表!$G:$G,AB$3)</f>
        <v>0</v>
      </c>
      <c r="AC119" s="389">
        <f>SUMIFS(注册申报底表!$AA:$AA,注册申报底表!$J:$J,$B119,注册申报底表!$G:$G,AC$3)</f>
        <v>0</v>
      </c>
    </row>
    <row r="120" ht="16.8" customHeight="1" spans="2:29">
      <c r="B120" s="398" t="s">
        <v>1143</v>
      </c>
      <c r="C120" s="85"/>
      <c r="D120" s="370"/>
      <c r="E120" s="370"/>
      <c r="F120" s="85"/>
      <c r="G120" s="399"/>
      <c r="H120" s="400">
        <f>ROUND(SUM(H4,H7,H10,H14,H25,H32,H34,H36,H44,H48,H55,H57,H59,H95,H100,H104,H109,H112,H114),2)</f>
        <v>0</v>
      </c>
      <c r="I120" s="401"/>
      <c r="J120" s="400">
        <f>ROUND(SUM(J4,J7,J10,J14,J25,J32,J34,J36,J44,J48,J55,J57,J59,J95,J100,J104,J109,J112,J114),2)</f>
        <v>0</v>
      </c>
      <c r="K120" s="402"/>
      <c r="L120" s="403">
        <f t="shared" si="120"/>
        <v>0</v>
      </c>
      <c r="M120" s="404">
        <f>SUM(M4,M7,M10,M14,M25,M32,M34,M36,M44,M48,M55,M57)</f>
        <v>0</v>
      </c>
      <c r="N120" s="405"/>
      <c r="O120" s="404">
        <f t="shared" ref="O120:U120" si="121">SUM(O4,O7,O10,O14,O25,O32,O34,O36,O44,O48,O55,O57)</f>
        <v>0</v>
      </c>
      <c r="P120" s="404">
        <f t="shared" si="121"/>
        <v>0</v>
      </c>
      <c r="Q120" s="404">
        <f t="shared" si="121"/>
        <v>0</v>
      </c>
      <c r="R120" s="404">
        <f t="shared" si="121"/>
        <v>0</v>
      </c>
      <c r="S120" s="404">
        <f t="shared" si="121"/>
        <v>0</v>
      </c>
      <c r="T120" s="404">
        <f t="shared" si="121"/>
        <v>0</v>
      </c>
      <c r="U120" s="404">
        <f t="shared" si="121"/>
        <v>0</v>
      </c>
      <c r="W120" s="401">
        <f t="shared" ref="W120:AC120" si="122">SUM(W4,W7,W10,W14,W25,W32,W34,W36,W44,W48,W55,W57)</f>
        <v>0</v>
      </c>
      <c r="X120" s="401">
        <f t="shared" si="122"/>
        <v>0</v>
      </c>
      <c r="Y120" s="401">
        <f t="shared" si="122"/>
        <v>0</v>
      </c>
      <c r="Z120" s="401">
        <f t="shared" si="122"/>
        <v>0</v>
      </c>
      <c r="AA120" s="401">
        <f t="shared" si="122"/>
        <v>0</v>
      </c>
      <c r="AB120" s="401">
        <f t="shared" si="122"/>
        <v>0</v>
      </c>
      <c r="AC120" s="401">
        <f t="shared" si="122"/>
        <v>0</v>
      </c>
    </row>
    <row r="121" ht="16.8" customHeight="1" spans="2:29">
      <c r="B121" s="89" t="s">
        <v>934</v>
      </c>
      <c r="C121" s="406">
        <v>0.066</v>
      </c>
      <c r="D121" s="166"/>
      <c r="E121" s="166"/>
      <c r="F121" s="89"/>
      <c r="G121" s="407"/>
      <c r="H121" s="386">
        <f>H122-H120</f>
        <v>0</v>
      </c>
      <c r="I121" s="408"/>
      <c r="J121" s="407">
        <f>J122-J120</f>
        <v>0</v>
      </c>
      <c r="K121" s="409"/>
      <c r="L121" s="410"/>
      <c r="M121" s="411"/>
      <c r="N121" s="357"/>
      <c r="O121" s="368"/>
      <c r="P121" s="368"/>
      <c r="Q121" s="368"/>
      <c r="R121" s="368"/>
      <c r="S121" s="368"/>
      <c r="T121" s="368"/>
      <c r="U121" s="368"/>
    </row>
    <row r="122" ht="16.8" customHeight="1" spans="2:29">
      <c r="B122" s="398" t="s">
        <v>1144</v>
      </c>
      <c r="C122" s="85"/>
      <c r="D122" s="370"/>
      <c r="E122" s="370"/>
      <c r="F122" s="85"/>
      <c r="G122" s="399"/>
      <c r="H122" s="400">
        <f>ROUND(H120*(1+$C$121),2)</f>
        <v>0</v>
      </c>
      <c r="I122" s="401"/>
      <c r="J122" s="400">
        <f>ROUND(J120*(1+$C$121),2)</f>
        <v>0</v>
      </c>
      <c r="K122" s="402"/>
      <c r="L122" s="405"/>
      <c r="M122" s="412"/>
      <c r="N122" s="372"/>
      <c r="O122" s="368"/>
      <c r="P122" s="368"/>
      <c r="Q122" s="368"/>
      <c r="R122" s="368"/>
      <c r="S122" s="368"/>
      <c r="T122" s="368"/>
      <c r="U122" s="368"/>
    </row>
    <row r="123" ht="15.75" spans="2:29">
      <c r="C123" s="261"/>
      <c r="D123" s="262"/>
      <c r="E123" s="262"/>
      <c r="G123" s="362"/>
      <c r="H123" s="363"/>
      <c r="I123" s="363"/>
      <c r="J123" s="362"/>
      <c r="K123" s="172"/>
      <c r="L123" s="366"/>
      <c r="M123" s="367"/>
      <c r="N123" s="357"/>
      <c r="O123" s="368"/>
      <c r="P123" s="368"/>
      <c r="Q123" s="368"/>
      <c r="R123" s="368"/>
      <c r="S123" s="368"/>
      <c r="T123" s="368"/>
      <c r="U123" s="368"/>
      <c r="W123" s="369"/>
      <c r="X123" s="369"/>
      <c r="Y123" s="369"/>
      <c r="Z123" s="369"/>
      <c r="AA123" s="369"/>
      <c r="AB123" s="369"/>
      <c r="AC123" s="369"/>
    </row>
    <row r="124" ht="15.75" spans="2:29">
      <c r="C124" s="261"/>
      <c r="D124" s="262"/>
      <c r="E124" s="262"/>
      <c r="G124" s="413" t="s">
        <v>1146</v>
      </c>
      <c r="H124" s="414">
        <f>SUM(H4:H119)/2-H120</f>
        <v>0</v>
      </c>
      <c r="I124" s="414"/>
      <c r="J124" s="414">
        <f>SUM(J4:J119)/2-J120</f>
        <v>0</v>
      </c>
      <c r="K124" s="172"/>
      <c r="L124" s="366"/>
      <c r="M124" s="415">
        <f>SUM(M4:M58)/2-M120</f>
        <v>0</v>
      </c>
      <c r="N124" s="357"/>
      <c r="O124" s="416">
        <f t="shared" ref="O124:U124" si="123">SUM(O4:O58)/2-O120</f>
        <v>0</v>
      </c>
      <c r="P124" s="417">
        <f t="shared" si="123"/>
        <v>0</v>
      </c>
      <c r="Q124" s="417">
        <f t="shared" si="123"/>
        <v>0</v>
      </c>
      <c r="R124" s="417">
        <f t="shared" si="123"/>
        <v>0</v>
      </c>
      <c r="S124" s="417">
        <f t="shared" si="123"/>
        <v>0</v>
      </c>
      <c r="T124" s="417">
        <f t="shared" si="123"/>
        <v>0</v>
      </c>
      <c r="U124" s="418">
        <f t="shared" si="123"/>
        <v>0</v>
      </c>
      <c r="W124" s="416">
        <f t="shared" ref="W124:AC124" si="124">SUM(W4:W58)/2-W120</f>
        <v>0</v>
      </c>
      <c r="X124" s="417">
        <f t="shared" si="124"/>
        <v>0</v>
      </c>
      <c r="Y124" s="417">
        <f t="shared" si="124"/>
        <v>0</v>
      </c>
      <c r="Z124" s="417">
        <f t="shared" si="124"/>
        <v>0</v>
      </c>
      <c r="AA124" s="417">
        <f t="shared" si="124"/>
        <v>0</v>
      </c>
      <c r="AB124" s="417">
        <f t="shared" si="124"/>
        <v>0</v>
      </c>
      <c r="AC124" s="418">
        <f t="shared" si="124"/>
        <v>0</v>
      </c>
    </row>
    <row r="128" spans="2:29">
      <c r="J128" s="362"/>
    </row>
  </sheetData>
  <autoFilter xmlns:etc="http://www.wps.cn/officeDocument/2017/etCustomData" ref="A3:XFC124" etc:filterBottomFollowUsedRange="0">
    <extLst/>
  </autoFilter>
  <mergeCells count="5">
    <mergeCell ref="B60:K60"/>
    <mergeCell ref="B74:K74"/>
    <mergeCell ref="B82:K82"/>
    <mergeCell ref="B86:K86"/>
    <mergeCell ref="B90:K90"/>
  </mergeCells>
  <conditionalFormatting sqref="D13">
    <cfRule type="cellIs" dxfId="76" priority="35" operator="equal">
      <formula>0</formula>
    </cfRule>
  </conditionalFormatting>
  <conditionalFormatting sqref="D43">
    <cfRule type="cellIs" dxfId="76" priority="34" operator="equal">
      <formula>0</formula>
    </cfRule>
  </conditionalFormatting>
  <conditionalFormatting sqref="D54">
    <cfRule type="cellIs" dxfId="76" priority="33" operator="equal">
      <formula>0</formula>
    </cfRule>
  </conditionalFormatting>
  <conditionalFormatting sqref="D59">
    <cfRule type="cellIs" dxfId="76" priority="32" operator="equal">
      <formula>0</formula>
    </cfRule>
  </conditionalFormatting>
  <conditionalFormatting sqref="D95">
    <cfRule type="cellIs" dxfId="76" priority="11" operator="equal">
      <formula>0</formula>
    </cfRule>
  </conditionalFormatting>
  <conditionalFormatting sqref="D100">
    <cfRule type="cellIs" dxfId="76" priority="9" operator="equal">
      <formula>0</formula>
    </cfRule>
  </conditionalFormatting>
  <conditionalFormatting sqref="D101">
    <cfRule type="cellIs" dxfId="76" priority="10" operator="equal">
      <formula>0</formula>
    </cfRule>
  </conditionalFormatting>
  <conditionalFormatting sqref="D104">
    <cfRule type="cellIs" dxfId="76" priority="8" operator="equal">
      <formula>0</formula>
    </cfRule>
  </conditionalFormatting>
  <conditionalFormatting sqref="D109">
    <cfRule type="cellIs" dxfId="76" priority="7" operator="equal">
      <formula>0</formula>
    </cfRule>
  </conditionalFormatting>
  <conditionalFormatting sqref="D111">
    <cfRule type="cellIs" dxfId="76" priority="2" operator="equal">
      <formula>0</formula>
    </cfRule>
  </conditionalFormatting>
  <conditionalFormatting sqref="D112">
    <cfRule type="cellIs" dxfId="76" priority="6" operator="equal">
      <formula>0</formula>
    </cfRule>
  </conditionalFormatting>
  <conditionalFormatting sqref="D114">
    <cfRule type="cellIs" dxfId="76" priority="25" operator="equal">
      <formula>0</formula>
    </cfRule>
  </conditionalFormatting>
  <conditionalFormatting sqref="D115">
    <cfRule type="cellIs" dxfId="76" priority="26" operator="equal">
      <formula>0</formula>
    </cfRule>
  </conditionalFormatting>
  <conditionalFormatting sqref="D61:D73">
    <cfRule type="cellIs" dxfId="76" priority="18" operator="equal">
      <formula>0</formula>
    </cfRule>
  </conditionalFormatting>
  <conditionalFormatting sqref="D75:D81">
    <cfRule type="cellIs" dxfId="76" priority="16" operator="equal">
      <formula>0</formula>
    </cfRule>
  </conditionalFormatting>
  <conditionalFormatting sqref="D83:D85">
    <cfRule type="cellIs" dxfId="76" priority="15" operator="equal">
      <formula>0</formula>
    </cfRule>
  </conditionalFormatting>
  <conditionalFormatting sqref="D87:D89">
    <cfRule type="cellIs" dxfId="76" priority="14" operator="equal">
      <formula>0</formula>
    </cfRule>
  </conditionalFormatting>
  <conditionalFormatting sqref="D91:D94">
    <cfRule type="cellIs" dxfId="76" priority="13" operator="equal">
      <formula>0</formula>
    </cfRule>
  </conditionalFormatting>
  <conditionalFormatting sqref="D96:D99">
    <cfRule type="cellIs" dxfId="76" priority="12" operator="equal">
      <formula>0</formula>
    </cfRule>
  </conditionalFormatting>
  <conditionalFormatting sqref="D102:D103">
    <cfRule type="cellIs" dxfId="76" priority="5" operator="equal">
      <formula>0</formula>
    </cfRule>
  </conditionalFormatting>
  <conditionalFormatting sqref="D105:D108">
    <cfRule type="cellIs" dxfId="76" priority="4" operator="equal">
      <formula>0</formula>
    </cfRule>
  </conditionalFormatting>
  <conditionalFormatting sqref="D116:D119">
    <cfRule type="cellIs" dxfId="76" priority="1" operator="equal">
      <formula>0</formula>
    </cfRule>
  </conditionalFormatting>
  <conditionalFormatting sqref="D1:D12 D14:D42 D44:D53 D55:D58 D110 D113 D120:D124">
    <cfRule type="cellIs" dxfId="76" priority="36" operator="equal">
      <formula>0</formula>
    </cfRule>
  </conditionalFormatting>
  <dataValidations count="2">
    <dataValidation type="list" allowBlank="1" showInputMessage="1" showErrorMessage="1" sqref="A3 A120:A122">
      <formula1>"Hide"</formula1>
    </dataValidation>
    <dataValidation type="list" allowBlank="1" showInputMessage="1" showErrorMessage="1" sqref="D4:D119">
      <formula1>"1,0"</formula1>
    </dataValidation>
  </dataValidations>
  <pageMargins left="0.7" right="0.7" top="0.75" bottom="0.75" header="0.3" footer="0.3"/>
  <pageSetup paperSize="9" scale="56" orientation="portrait" horizontalDpi="1200" verticalDpi="1200"/>
  <headerFooter>
    <oddFooter>&amp;C&amp;"微软雅黑,常规"&amp;9本文档中的所有内容为上海有临医药科技有限公司的机密和专属所有，未经明确书面许可， 任何组织或个人不得以任何目的、任何形式及任何手段复制或传播本文档部分或全部内容。</oddFooter>
  </headerFooter>
  <rowBreaks count="1" manualBreakCount="1">
    <brk id="58" max="10" man="1"/>
  </rowBreaks>
  <colBreaks count="1" manualBreakCount="1">
    <brk id="11" max="120" man="1"/>
  </colBreaks>
  <ignoredErrors>
    <ignoredError sqref="C10 H37:J42 I36 H25:J35 I14:J14 H7:J13 C44:C53 C25 C32:C36 C14 H49:J53 I48 H44:J44 I45:J45 H46:J47 C55:C57 H55:J58 H121:J122 I120" formula="1"/>
  </ignoredError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theme="7" tint="0.799798577837458"/>
  </sheetPr>
  <dimension ref="A1:AY782"/>
  <sheetViews>
    <sheetView tabSelected="1" zoomScale="70" zoomScaleNormal="70" topLeftCell="A141" workbookViewId="0">
      <selection activeCell="N153" sqref="N153"/>
    </sheetView>
  </sheetViews>
  <sheetFormatPr defaultColWidth="8.88888888888889" defaultRowHeight="15.6"/>
  <cols>
    <col min="1" max="1" width="8.88888888888889" style="128" customWidth="1" outlineLevel="1"/>
    <col min="2" max="2" width="10.5555555555556" style="156" customWidth="1" outlineLevel="1"/>
    <col min="3" max="3" width="7.77777777777778" style="156" customWidth="1" outlineLevel="1"/>
    <col min="4" max="4" width="10.6666666666667" style="156" customWidth="1" outlineLevel="1"/>
    <col min="5" max="5" width="7.88888888888889" style="128" customWidth="1" outlineLevel="1"/>
    <col min="6" max="6" width="10.6666666666667" style="128" customWidth="1" outlineLevel="1"/>
    <col min="7" max="7" width="10.4444444444444" style="154" customWidth="1"/>
    <col min="8" max="8" width="8.66666666666667" style="128" customWidth="1" outlineLevel="1"/>
    <col min="9" max="9" width="19.3333333333333" style="128" customWidth="1" outlineLevel="1"/>
    <col min="10" max="10" width="8.77777777777778" style="128" customWidth="1"/>
    <col min="11" max="11" width="22.3333333333333" style="128" customWidth="1"/>
    <col min="12" max="12" width="8.33333333333333" style="128" customWidth="1" outlineLevel="1"/>
    <col min="13" max="13" width="25.6666666666667" style="128" customWidth="1"/>
    <col min="14" max="14" width="20.3148148148148" style="128" customWidth="1" outlineLevel="1"/>
    <col min="15" max="15" width="10.7777777777778" style="156" customWidth="1"/>
    <col min="16" max="16" width="9.22222222222222" style="128" customWidth="1"/>
    <col min="17" max="17" width="9.88888888888889" style="156" customWidth="1"/>
    <col min="18" max="18" width="13.5555555555556" style="128" customWidth="1"/>
    <col min="19" max="19" width="9.77777777777778" style="128" customWidth="1"/>
    <col min="20" max="21" width="14.1111111111111" style="128" hidden="1" customWidth="1" outlineLevel="1"/>
    <col min="22" max="22" width="13.2222222222222" style="156" customWidth="1" collapsed="1"/>
    <col min="23" max="23" width="17.5555555555556" style="128" customWidth="1"/>
    <col min="24" max="24" width="13.7777777777778" style="313" customWidth="1"/>
    <col min="25" max="25" width="10.3333333333333" style="314" customWidth="1" outlineLevel="1"/>
    <col min="26" max="26" width="11.7777777777778" style="128" customWidth="1" outlineLevel="1"/>
    <col min="27" max="27" width="15.5555555555556" style="128" customWidth="1" outlineLevel="1"/>
    <col min="28" max="28" width="16.1111111111111" style="128" customWidth="1" outlineLevel="1"/>
    <col min="29" max="29" width="14.2222222222222" style="128" customWidth="1" outlineLevel="1"/>
    <col min="30" max="30" width="16.2222222222222" style="128" customWidth="1" outlineLevel="1"/>
    <col min="31" max="31" width="4.33333333333333" style="128" customWidth="1"/>
    <col min="32" max="32" width="7.33333333333333" style="128" hidden="1" customWidth="1" outlineLevel="1"/>
    <col min="33" max="34" width="9.33333333333333" style="156" hidden="1" customWidth="1" outlineLevel="1"/>
    <col min="35" max="36" width="7.33333333333333" style="156" hidden="1" customWidth="1" outlineLevel="1"/>
    <col min="37" max="37" width="9.33333333333333" style="156" hidden="1" customWidth="1" outlineLevel="1"/>
    <col min="38" max="38" width="9.55555555555556" style="156" hidden="1" customWidth="1" outlineLevel="1"/>
    <col min="39" max="39" width="5.22222222222222" style="156" hidden="1" customWidth="1" outlineLevel="1"/>
    <col min="40" max="40" width="8.88888888888889" style="128" collapsed="1"/>
    <col min="41" max="42" width="9.33333333333333" style="156" hidden="1" customWidth="1" outlineLevel="1"/>
    <col min="43" max="44" width="7.33333333333333" style="156" hidden="1" customWidth="1" outlineLevel="1"/>
    <col min="45" max="45" width="9.33333333333333" style="156" hidden="1" customWidth="1" outlineLevel="1"/>
    <col min="46" max="46" width="9.55555555555556" style="156" hidden="1" customWidth="1" outlineLevel="1"/>
    <col min="47" max="47" width="5.22222222222222" style="156" hidden="1" customWidth="1" outlineLevel="1"/>
    <col min="48" max="48" width="8.88888888888889" style="128" collapsed="1"/>
    <col min="49" max="16384" width="8.88888888888889" style="128"/>
  </cols>
  <sheetData>
    <row r="1" s="154" customFormat="1" spans="1:51">
      <c r="B1" s="158"/>
      <c r="C1" s="158"/>
      <c r="D1" s="158"/>
      <c r="O1" s="158"/>
      <c r="Q1" s="158"/>
      <c r="S1" s="157"/>
      <c r="T1" s="158" t="s">
        <v>2046</v>
      </c>
      <c r="U1" s="158">
        <v>1</v>
      </c>
      <c r="V1" s="158"/>
      <c r="X1" s="315"/>
      <c r="Y1" s="316"/>
      <c r="Z1" s="316">
        <f>SUBTOTAL(9,Z3:Z958)</f>
        <v>0</v>
      </c>
      <c r="AA1" s="316">
        <f>SUBTOTAL(9,AA3:AA958)</f>
        <v>0</v>
      </c>
      <c r="AB1" s="316"/>
      <c r="AC1" s="316">
        <f>SUBTOTAL(9,AC3:AC958)</f>
        <v>0</v>
      </c>
      <c r="AD1" s="316">
        <f>SUBTOTAL(9,AD3:AD958)</f>
        <v>0</v>
      </c>
      <c r="AF1" s="157"/>
      <c r="AG1" s="158"/>
      <c r="AH1" s="158"/>
      <c r="AI1" s="158"/>
      <c r="AJ1" s="158"/>
      <c r="AK1" s="158"/>
      <c r="AL1" s="158"/>
      <c r="AM1" s="158"/>
      <c r="AO1" s="317"/>
      <c r="AP1" s="158"/>
      <c r="AQ1" s="158"/>
      <c r="AR1" s="158"/>
      <c r="AS1" s="158"/>
      <c r="AT1" s="158"/>
      <c r="AU1" s="158"/>
      <c r="AV1" s="316">
        <f>SUBTOTAL(9,AV3:AV103)</f>
        <v>0</v>
      </c>
      <c r="AW1" s="316">
        <f>SUBTOTAL(9,AW3:AW103)</f>
        <v>0</v>
      </c>
      <c r="AX1" s="316">
        <f>SUBTOTAL(9,AX3:AX103)</f>
        <v>0</v>
      </c>
    </row>
    <row r="2" s="155" customFormat="1" ht="36.6" customHeight="1" spans="1:51">
      <c r="A2" s="159" t="s">
        <v>1148</v>
      </c>
      <c r="B2" s="159" t="s">
        <v>1149</v>
      </c>
      <c r="C2" s="159" t="s">
        <v>1150</v>
      </c>
      <c r="D2" s="159" t="s">
        <v>1174</v>
      </c>
      <c r="E2" s="159" t="s">
        <v>1153</v>
      </c>
      <c r="F2" s="159" t="s">
        <v>679</v>
      </c>
      <c r="G2" s="318" t="s">
        <v>1154</v>
      </c>
      <c r="H2" s="159" t="s">
        <v>1155</v>
      </c>
      <c r="I2" s="159" t="s">
        <v>1156</v>
      </c>
      <c r="J2" s="159" t="s">
        <v>88</v>
      </c>
      <c r="K2" s="159" t="s">
        <v>1157</v>
      </c>
      <c r="L2" s="159" t="s">
        <v>1158</v>
      </c>
      <c r="M2" s="159" t="s">
        <v>1159</v>
      </c>
      <c r="N2" s="160" t="s">
        <v>747</v>
      </c>
      <c r="O2" s="159" t="s">
        <v>1160</v>
      </c>
      <c r="P2" s="159" t="s">
        <v>970</v>
      </c>
      <c r="Q2" s="160" t="s">
        <v>740</v>
      </c>
      <c r="R2" s="318" t="s">
        <v>589</v>
      </c>
      <c r="S2" s="159" t="s">
        <v>1161</v>
      </c>
      <c r="T2" s="319" t="s">
        <v>1163</v>
      </c>
      <c r="U2" s="319" t="s">
        <v>1173</v>
      </c>
      <c r="V2" s="320" t="s">
        <v>1164</v>
      </c>
      <c r="W2" s="160" t="s">
        <v>1165</v>
      </c>
      <c r="X2" s="321" t="s">
        <v>1166</v>
      </c>
      <c r="Y2" s="322" t="s">
        <v>1167</v>
      </c>
      <c r="Z2" s="159" t="s">
        <v>1168</v>
      </c>
      <c r="AA2" s="323" t="s">
        <v>563</v>
      </c>
      <c r="AB2" s="323" t="s">
        <v>1169</v>
      </c>
      <c r="AC2" s="324" t="s">
        <v>1170</v>
      </c>
      <c r="AD2" s="323" t="s">
        <v>564</v>
      </c>
      <c r="AF2" s="325"/>
      <c r="AG2" s="161"/>
      <c r="AH2" s="161"/>
      <c r="AI2" s="161"/>
      <c r="AJ2" s="161"/>
      <c r="AK2" s="161"/>
      <c r="AL2" s="161"/>
      <c r="AM2" s="161"/>
      <c r="AO2" s="161"/>
      <c r="AP2" s="161"/>
      <c r="AQ2" s="161"/>
      <c r="AR2" s="161"/>
      <c r="AS2" s="161"/>
      <c r="AT2" s="161"/>
      <c r="AU2" s="161"/>
      <c r="AV2" s="161" t="s">
        <v>1172</v>
      </c>
      <c r="AW2" s="161" t="s">
        <v>1164</v>
      </c>
      <c r="AX2" s="161" t="s">
        <v>1173</v>
      </c>
      <c r="AY2" s="161" t="s">
        <v>1174</v>
      </c>
    </row>
    <row r="3" ht="27" customHeight="1" spans="1:51">
      <c r="A3" s="326" t="str">
        <f>INDEX('Rate Card'!$A:$A,MATCH($S3,'Rate Card'!$F:$F,0))</f>
        <v>医学</v>
      </c>
      <c r="B3" s="327" t="str">
        <f>INDEX(二三级标准!$G:$G,MATCH($J3,二三级标准!B:B,0))</f>
        <v>次</v>
      </c>
      <c r="C3" s="327">
        <f>INDEX(注册申报明细!$E:$E,MATCH($J3,注册申报明细!$B:$B,0))</f>
        <v>0</v>
      </c>
      <c r="D3" s="327" t="str">
        <f>J3&amp;S3</f>
        <v>A172MM</v>
      </c>
      <c r="E3" s="328"/>
      <c r="F3" s="328" t="s">
        <v>684</v>
      </c>
      <c r="G3" s="326" t="str">
        <f>INDEX('Rate Card'!$B:$B,MATCH($S3,'Rate Card'!$F:$F,0))</f>
        <v>医学</v>
      </c>
      <c r="H3" s="328" t="s">
        <v>1959</v>
      </c>
      <c r="I3" s="328" t="str">
        <f>INDEX(二三级标准!$Q:$Q,MATCH($H3,二三级标准!$O:$O,0))</f>
        <v>材料审阅与准备</v>
      </c>
      <c r="J3" s="328" t="s">
        <v>451</v>
      </c>
      <c r="K3" s="328" t="str">
        <f>INDEX(二三级标准!$C:$C,MATCH(注册申报底表!J3,二三级标准!$B:$B,0))</f>
        <v>临床前研究材料审阅</v>
      </c>
      <c r="L3" s="328" t="s">
        <v>2047</v>
      </c>
      <c r="M3" s="328" t="str">
        <f>INDEX(二三级标准!$M:$M,MATCH(注册申报底表!$L3,二三级标准!$L:$L,0))</f>
        <v>临床前研究材料审阅</v>
      </c>
      <c r="N3" s="328"/>
      <c r="O3" s="327">
        <f>IF($Q3=1,INDEX(注册申报明细!$E:$E,MATCH(注册申报底表!$J3,注册申报明细!$B:$B,0)),0)</f>
        <v>0</v>
      </c>
      <c r="P3" s="328" t="s">
        <v>1178</v>
      </c>
      <c r="Q3" s="329">
        <f>INDEX(注册申报明细!$D:$D,MATCH($J3,注册申报明细!$B:$B,0))</f>
        <v>0</v>
      </c>
      <c r="R3" s="330" t="s">
        <v>578</v>
      </c>
      <c r="S3" s="328" t="s">
        <v>615</v>
      </c>
      <c r="T3" s="331">
        <f>INDEX('Rate Card'!$J:$J,MATCH($S3,'Rate Card'!$F:$F,0))</f>
        <v>650</v>
      </c>
      <c r="U3" s="331">
        <f>$U$1*V3</f>
        <v>16</v>
      </c>
      <c r="V3" s="327">
        <v>16</v>
      </c>
      <c r="W3" s="328"/>
      <c r="X3" s="332">
        <f>IF(ISBLANK($W3),$V3,$W3)</f>
        <v>16</v>
      </c>
      <c r="Y3" s="333">
        <f>IFERROR(AA3/O3,0)</f>
        <v>0</v>
      </c>
      <c r="Z3" s="328">
        <f>X3*O3*Q3</f>
        <v>0</v>
      </c>
      <c r="AA3" s="334">
        <f>Z3*T3</f>
        <v>0</v>
      </c>
      <c r="AB3" s="334">
        <f>$Y3*(1-INDEX(项目参数!$D$5:$D$15,MATCH($R3,项目参数!$B$5:$B$15,0)))</f>
        <v>0</v>
      </c>
      <c r="AC3" s="334">
        <f>$AA3*INDEX(项目参数!$D$5:$D$15,MATCH($R3,项目参数!$B$5:$B$15,0))</f>
        <v>0</v>
      </c>
      <c r="AD3" s="334">
        <f>AA3-AC3</f>
        <v>0</v>
      </c>
      <c r="AE3" s="328"/>
      <c r="AF3" s="328"/>
      <c r="AG3" s="327"/>
      <c r="AH3" s="328"/>
      <c r="AI3" s="328"/>
      <c r="AJ3" s="328"/>
      <c r="AK3" s="328"/>
      <c r="AL3" s="328"/>
      <c r="AM3" s="328"/>
      <c r="AN3" s="328"/>
      <c r="AO3" s="327"/>
      <c r="AP3" s="328"/>
      <c r="AQ3" s="328"/>
      <c r="AR3" s="328"/>
      <c r="AS3" s="328"/>
      <c r="AT3" s="328"/>
      <c r="AU3" s="328"/>
      <c r="AV3" s="328">
        <f>Z3</f>
        <v>0</v>
      </c>
      <c r="AW3" s="328">
        <f>V3*O3</f>
        <v>0</v>
      </c>
      <c r="AX3" s="328">
        <f>AW3*$U$1</f>
        <v>0</v>
      </c>
      <c r="AY3" s="328" t="b">
        <f>IF(J3&lt;&gt;J2,IF(AY2=TRUE,FALSE,TRUE),AY2)</f>
        <v>1</v>
      </c>
    </row>
    <row r="4" ht="27" customHeight="1" spans="1:51">
      <c r="A4" s="326" t="str">
        <f>INDEX('Rate Card'!$A:$A,MATCH($S4,'Rate Card'!$F:$F,0))</f>
        <v>医学</v>
      </c>
      <c r="B4" s="327" t="str">
        <f>INDEX(二三级标准!$G:$G,MATCH($J4,二三级标准!B:B,0))</f>
        <v>次</v>
      </c>
      <c r="C4" s="327">
        <f>INDEX(注册申报明细!$E:$E,MATCH($J4,注册申报明细!$B:$B,0))</f>
        <v>0</v>
      </c>
      <c r="D4" s="327" t="str">
        <f t="shared" ref="D4:D24" si="0">J4&amp;S4</f>
        <v>A172MD</v>
      </c>
      <c r="E4" s="328"/>
      <c r="F4" s="328" t="s">
        <v>684</v>
      </c>
      <c r="G4" s="326" t="str">
        <f>INDEX('Rate Card'!$B:$B,MATCH($S4,'Rate Card'!$F:$F,0))</f>
        <v>医学</v>
      </c>
      <c r="H4" s="328" t="s">
        <v>1959</v>
      </c>
      <c r="I4" s="328" t="str">
        <f>INDEX(二三级标准!$Q:$Q,MATCH($H4,二三级标准!$O:$O,0))</f>
        <v>材料审阅与准备</v>
      </c>
      <c r="J4" s="328" t="s">
        <v>451</v>
      </c>
      <c r="K4" s="328" t="str">
        <f>INDEX(二三级标准!$C:$C,MATCH(注册申报底表!J4,二三级标准!$B:$B,0))</f>
        <v>临床前研究材料审阅</v>
      </c>
      <c r="L4" s="328" t="s">
        <v>2047</v>
      </c>
      <c r="M4" s="328" t="str">
        <f>INDEX(二三级标准!$M:$M,MATCH(注册申报底表!$L4,二三级标准!$L:$L,0))</f>
        <v>临床前研究材料审阅</v>
      </c>
      <c r="N4" s="328"/>
      <c r="O4" s="327">
        <f>IF($Q4=1,INDEX(注册申报明细!$E:$E,MATCH(注册申报底表!$J4,注册申报明细!$B:$B,0)),0)</f>
        <v>0</v>
      </c>
      <c r="P4" s="328" t="s">
        <v>1178</v>
      </c>
      <c r="Q4" s="329">
        <f>INDEX(注册申报明细!$D:$D,MATCH($J4,注册申报明细!$B:$B,0))</f>
        <v>0</v>
      </c>
      <c r="R4" s="330" t="s">
        <v>578</v>
      </c>
      <c r="S4" s="328" t="s">
        <v>613</v>
      </c>
      <c r="T4" s="331">
        <f>INDEX('Rate Card'!$J:$J,MATCH($S4,'Rate Card'!$F:$F,0))</f>
        <v>990</v>
      </c>
      <c r="U4" s="331">
        <f t="shared" ref="U4:U24" si="1">$U$1*V4</f>
        <v>4</v>
      </c>
      <c r="V4" s="327">
        <v>4</v>
      </c>
      <c r="W4" s="328"/>
      <c r="X4" s="332">
        <f t="shared" ref="X4:X24" si="2">IF(ISBLANK($W4),$V4,$W4)</f>
        <v>4</v>
      </c>
      <c r="Y4" s="333">
        <f t="shared" ref="Y4:Y24" si="3">IFERROR(AA4/O4,0)</f>
        <v>0</v>
      </c>
      <c r="Z4" s="328">
        <f t="shared" ref="Z4:Z24" si="4">X4*O4*Q4</f>
        <v>0</v>
      </c>
      <c r="AA4" s="334">
        <f t="shared" ref="AA4:AA24" si="5">Z4*T4</f>
        <v>0</v>
      </c>
      <c r="AB4" s="334">
        <f>$Y4*(1-INDEX(项目参数!$D$5:$D$15,MATCH($R4,项目参数!$B$5:$B$15,0)))</f>
        <v>0</v>
      </c>
      <c r="AC4" s="334">
        <f>$AA4*INDEX(项目参数!$D$5:$D$15,MATCH($R4,项目参数!$B$5:$B$15,0))</f>
        <v>0</v>
      </c>
      <c r="AD4" s="334">
        <f t="shared" ref="AD4:AD24" si="6">AA4-AC4</f>
        <v>0</v>
      </c>
      <c r="AE4" s="328"/>
      <c r="AF4" s="328"/>
      <c r="AG4" s="327"/>
      <c r="AH4" s="328"/>
      <c r="AI4" s="328"/>
      <c r="AJ4" s="328"/>
      <c r="AK4" s="328"/>
      <c r="AL4" s="328"/>
      <c r="AM4" s="328"/>
      <c r="AN4" s="328"/>
      <c r="AO4" s="327"/>
      <c r="AP4" s="328"/>
      <c r="AQ4" s="328"/>
      <c r="AR4" s="328"/>
      <c r="AS4" s="328"/>
      <c r="AT4" s="328"/>
      <c r="AU4" s="328"/>
      <c r="AV4" s="328">
        <f t="shared" ref="AV4:AV24" si="7">Z4</f>
        <v>0</v>
      </c>
      <c r="AW4" s="328">
        <f t="shared" ref="AW4:AW24" si="8">V4*O4</f>
        <v>0</v>
      </c>
      <c r="AX4" s="328">
        <f t="shared" ref="AX4:AX24" si="9">AW4*$U$1</f>
        <v>0</v>
      </c>
      <c r="AY4" s="328" t="b">
        <f t="shared" ref="AY4:AY35" si="10">IF(J4&lt;&gt;J3,IF(AY3=TRUE,FALSE,TRUE),AY3)</f>
        <v>1</v>
      </c>
    </row>
    <row r="5" ht="27" customHeight="1" spans="1:51">
      <c r="A5" s="326" t="str">
        <f>INDEX('Rate Card'!$A:$A,MATCH($S5,'Rate Card'!$F:$F,0))</f>
        <v>医学</v>
      </c>
      <c r="B5" s="327" t="str">
        <f>INDEX(二三级标准!$G:$G,MATCH($J5,二三级标准!B:B,0))</f>
        <v>次</v>
      </c>
      <c r="C5" s="327">
        <f>INDEX(注册申报明细!$E:$E,MATCH($J5,注册申报明细!$B:$B,0))</f>
        <v>0</v>
      </c>
      <c r="D5" s="327" t="str">
        <f t="shared" si="0"/>
        <v>A173MM</v>
      </c>
      <c r="E5" s="328"/>
      <c r="F5" s="328" t="s">
        <v>684</v>
      </c>
      <c r="G5" s="326" t="str">
        <f>INDEX('Rate Card'!$B:$B,MATCH($S5,'Rate Card'!$F:$F,0))</f>
        <v>医学</v>
      </c>
      <c r="H5" s="328" t="s">
        <v>1959</v>
      </c>
      <c r="I5" s="328" t="str">
        <f>INDEX(二三级标准!$Q:$Q,MATCH($H5,二三级标准!$O:$O,0))</f>
        <v>材料审阅与准备</v>
      </c>
      <c r="J5" s="328" t="s">
        <v>453</v>
      </c>
      <c r="K5" s="328" t="str">
        <f>INDEX(二三级标准!$C:$C,MATCH(注册申报底表!J5,二三级标准!$B:$B,0))</f>
        <v>其他材料(相关法规等)</v>
      </c>
      <c r="L5" s="328" t="s">
        <v>2048</v>
      </c>
      <c r="M5" s="328" t="str">
        <f>INDEX(二三级标准!$M:$M,MATCH(注册申报底表!$L5,二三级标准!$L:$L,0))</f>
        <v>其他材料(相关法规等)</v>
      </c>
      <c r="N5" s="328"/>
      <c r="O5" s="327">
        <f>IF($Q5=1,INDEX(注册申报明细!$E:$E,MATCH(注册申报底表!$J5,注册申报明细!$B:$B,0)),0)</f>
        <v>0</v>
      </c>
      <c r="P5" s="328" t="s">
        <v>1178</v>
      </c>
      <c r="Q5" s="329">
        <f>INDEX(注册申报明细!$D:$D,MATCH($J5,注册申报明细!$B:$B,0))</f>
        <v>0</v>
      </c>
      <c r="R5" s="330" t="s">
        <v>578</v>
      </c>
      <c r="S5" s="328" t="s">
        <v>615</v>
      </c>
      <c r="T5" s="331">
        <f>INDEX('Rate Card'!$J:$J,MATCH($S5,'Rate Card'!$F:$F,0))</f>
        <v>650</v>
      </c>
      <c r="U5" s="331">
        <f t="shared" si="1"/>
        <v>4</v>
      </c>
      <c r="V5" s="327">
        <v>4</v>
      </c>
      <c r="W5" s="328"/>
      <c r="X5" s="332">
        <f t="shared" si="2"/>
        <v>4</v>
      </c>
      <c r="Y5" s="333">
        <f t="shared" si="3"/>
        <v>0</v>
      </c>
      <c r="Z5" s="328">
        <f t="shared" si="4"/>
        <v>0</v>
      </c>
      <c r="AA5" s="334">
        <f t="shared" si="5"/>
        <v>0</v>
      </c>
      <c r="AB5" s="334">
        <f>$Y5*(1-INDEX(项目参数!$D$5:$D$15,MATCH($R5,项目参数!$B$5:$B$15,0)))</f>
        <v>0</v>
      </c>
      <c r="AC5" s="334">
        <f>$AA5*INDEX(项目参数!$D$5:$D$15,MATCH($R5,项目参数!$B$5:$B$15,0))</f>
        <v>0</v>
      </c>
      <c r="AD5" s="334">
        <f t="shared" si="6"/>
        <v>0</v>
      </c>
      <c r="AE5" s="328"/>
      <c r="AF5" s="328"/>
      <c r="AG5" s="327"/>
      <c r="AH5" s="328"/>
      <c r="AI5" s="328"/>
      <c r="AJ5" s="328"/>
      <c r="AK5" s="328"/>
      <c r="AL5" s="328"/>
      <c r="AM5" s="328"/>
      <c r="AN5" s="328"/>
      <c r="AO5" s="327"/>
      <c r="AP5" s="328"/>
      <c r="AQ5" s="328"/>
      <c r="AR5" s="328"/>
      <c r="AS5" s="328"/>
      <c r="AT5" s="328"/>
      <c r="AU5" s="328"/>
      <c r="AV5" s="328">
        <f t="shared" si="7"/>
        <v>0</v>
      </c>
      <c r="AW5" s="328">
        <f t="shared" si="8"/>
        <v>0</v>
      </c>
      <c r="AX5" s="328">
        <f t="shared" si="9"/>
        <v>0</v>
      </c>
      <c r="AY5" s="328" t="b">
        <f t="shared" si="10"/>
        <v>0</v>
      </c>
    </row>
    <row r="6" ht="27" customHeight="1" spans="1:51">
      <c r="A6" s="326" t="str">
        <f>INDEX('Rate Card'!$A:$A,MATCH($S6,'Rate Card'!$F:$F,0))</f>
        <v>医学</v>
      </c>
      <c r="B6" s="327" t="str">
        <f>INDEX(二三级标准!$G:$G,MATCH($J6,二三级标准!B:B,0))</f>
        <v>次</v>
      </c>
      <c r="C6" s="327">
        <f>INDEX(注册申报明细!$E:$E,MATCH($J6,注册申报明细!$B:$B,0))</f>
        <v>0</v>
      </c>
      <c r="D6" s="327" t="str">
        <f t="shared" si="0"/>
        <v>A173MD</v>
      </c>
      <c r="E6" s="328"/>
      <c r="F6" s="328" t="s">
        <v>684</v>
      </c>
      <c r="G6" s="326" t="str">
        <f>INDEX('Rate Card'!$B:$B,MATCH($S6,'Rate Card'!$F:$F,0))</f>
        <v>医学</v>
      </c>
      <c r="H6" s="328" t="s">
        <v>1959</v>
      </c>
      <c r="I6" s="328" t="str">
        <f>INDEX(二三级标准!$Q:$Q,MATCH($H6,二三级标准!$O:$O,0))</f>
        <v>材料审阅与准备</v>
      </c>
      <c r="J6" s="328" t="s">
        <v>453</v>
      </c>
      <c r="K6" s="328" t="str">
        <f>INDEX(二三级标准!$C:$C,MATCH(注册申报底表!J6,二三级标准!$B:$B,0))</f>
        <v>其他材料(相关法规等)</v>
      </c>
      <c r="L6" s="328" t="s">
        <v>2048</v>
      </c>
      <c r="M6" s="328" t="str">
        <f>INDEX(二三级标准!$M:$M,MATCH(注册申报底表!$L6,二三级标准!$L:$L,0))</f>
        <v>其他材料(相关法规等)</v>
      </c>
      <c r="N6" s="328"/>
      <c r="O6" s="327">
        <f>IF($Q6=1,INDEX(注册申报明细!$E:$E,MATCH(注册申报底表!$J6,注册申报明细!$B:$B,0)),0)</f>
        <v>0</v>
      </c>
      <c r="P6" s="328" t="s">
        <v>1178</v>
      </c>
      <c r="Q6" s="329">
        <f>INDEX(注册申报明细!$D:$D,MATCH($J6,注册申报明细!$B:$B,0))</f>
        <v>0</v>
      </c>
      <c r="R6" s="330" t="s">
        <v>578</v>
      </c>
      <c r="S6" s="328" t="s">
        <v>613</v>
      </c>
      <c r="T6" s="331">
        <f>INDEX('Rate Card'!$J:$J,MATCH($S6,'Rate Card'!$F:$F,0))</f>
        <v>990</v>
      </c>
      <c r="U6" s="331">
        <f t="shared" si="1"/>
        <v>2</v>
      </c>
      <c r="V6" s="327">
        <v>2</v>
      </c>
      <c r="W6" s="328"/>
      <c r="X6" s="332">
        <f t="shared" si="2"/>
        <v>2</v>
      </c>
      <c r="Y6" s="333">
        <f t="shared" si="3"/>
        <v>0</v>
      </c>
      <c r="Z6" s="328">
        <f t="shared" si="4"/>
        <v>0</v>
      </c>
      <c r="AA6" s="334">
        <f t="shared" si="5"/>
        <v>0</v>
      </c>
      <c r="AB6" s="334">
        <f>$Y6*(1-INDEX(项目参数!$D$5:$D$15,MATCH($R6,项目参数!$B$5:$B$15,0)))</f>
        <v>0</v>
      </c>
      <c r="AC6" s="334">
        <f>$AA6*INDEX(项目参数!$D$5:$D$15,MATCH($R6,项目参数!$B$5:$B$15,0))</f>
        <v>0</v>
      </c>
      <c r="AD6" s="334">
        <f t="shared" si="6"/>
        <v>0</v>
      </c>
      <c r="AE6" s="328"/>
      <c r="AF6" s="328"/>
      <c r="AG6" s="327"/>
      <c r="AH6" s="328"/>
      <c r="AI6" s="328"/>
      <c r="AJ6" s="328"/>
      <c r="AK6" s="328"/>
      <c r="AL6" s="328"/>
      <c r="AM6" s="328"/>
      <c r="AN6" s="328"/>
      <c r="AO6" s="327"/>
      <c r="AP6" s="328"/>
      <c r="AQ6" s="328"/>
      <c r="AR6" s="328"/>
      <c r="AS6" s="328"/>
      <c r="AT6" s="328"/>
      <c r="AU6" s="328"/>
      <c r="AV6" s="328">
        <f t="shared" si="7"/>
        <v>0</v>
      </c>
      <c r="AW6" s="328">
        <f t="shared" si="8"/>
        <v>0</v>
      </c>
      <c r="AX6" s="328">
        <f t="shared" si="9"/>
        <v>0</v>
      </c>
      <c r="AY6" s="328" t="b">
        <f t="shared" si="10"/>
        <v>0</v>
      </c>
    </row>
    <row r="7" ht="27" customHeight="1" spans="1:51">
      <c r="A7" s="326" t="str">
        <f>INDEX('Rate Card'!$A:$A,MATCH($S7,'Rate Card'!$F:$F,0))</f>
        <v>医学</v>
      </c>
      <c r="B7" s="327" t="str">
        <f>INDEX(二三级标准!$G:$G,MATCH($J7,二三级标准!B:B,0))</f>
        <v>次</v>
      </c>
      <c r="C7" s="327">
        <f>INDEX(注册申报明细!$E:$E,MATCH($J7,注册申报明细!$B:$B,0))</f>
        <v>0</v>
      </c>
      <c r="D7" s="327" t="str">
        <f t="shared" si="0"/>
        <v>A174MM</v>
      </c>
      <c r="E7" s="328"/>
      <c r="F7" s="328" t="s">
        <v>684</v>
      </c>
      <c r="G7" s="326" t="str">
        <f>INDEX('Rate Card'!$B:$B,MATCH($S7,'Rate Card'!$F:$F,0))</f>
        <v>医学</v>
      </c>
      <c r="H7" s="328" t="s">
        <v>1960</v>
      </c>
      <c r="I7" s="328" t="str">
        <f>INDEX(二三级标准!$Q:$Q,MATCH($H7,二三级标准!$O:$O,0))</f>
        <v>召开会议</v>
      </c>
      <c r="J7" s="328" t="s">
        <v>455</v>
      </c>
      <c r="K7" s="328" t="str">
        <f>INDEX(二三级标准!$C:$C,MATCH(注册申报底表!J7,二三级标准!$B:$B,0))</f>
        <v>召开客户电话会议</v>
      </c>
      <c r="L7" s="328" t="s">
        <v>2049</v>
      </c>
      <c r="M7" s="328" t="str">
        <f>INDEX(二三级标准!$M:$M,MATCH(注册申报底表!$L7,二三级标准!$L:$L,0))</f>
        <v>召开申办方/CRO会议</v>
      </c>
      <c r="N7" s="328"/>
      <c r="O7" s="327">
        <f>IF($Q7=1,INDEX(注册申报明细!$E:$E,MATCH(注册申报底表!$J7,注册申报明细!$B:$B,0)),0)</f>
        <v>0</v>
      </c>
      <c r="P7" s="328" t="s">
        <v>1178</v>
      </c>
      <c r="Q7" s="329">
        <v>0</v>
      </c>
      <c r="R7" s="330" t="s">
        <v>578</v>
      </c>
      <c r="S7" s="328" t="s">
        <v>615</v>
      </c>
      <c r="T7" s="331">
        <f>INDEX('Rate Card'!$J:$J,MATCH($S7,'Rate Card'!$F:$F,0))</f>
        <v>650</v>
      </c>
      <c r="U7" s="331">
        <f t="shared" si="1"/>
        <v>2</v>
      </c>
      <c r="V7" s="327">
        <v>2</v>
      </c>
      <c r="W7" s="328"/>
      <c r="X7" s="332">
        <f t="shared" si="2"/>
        <v>2</v>
      </c>
      <c r="Y7" s="333">
        <f t="shared" si="3"/>
        <v>0</v>
      </c>
      <c r="Z7" s="328">
        <f t="shared" si="4"/>
        <v>0</v>
      </c>
      <c r="AA7" s="334">
        <f t="shared" si="5"/>
        <v>0</v>
      </c>
      <c r="AB7" s="334">
        <f>$Y7*(1-INDEX(项目参数!$D$5:$D$15,MATCH($R7,项目参数!$B$5:$B$15,0)))</f>
        <v>0</v>
      </c>
      <c r="AC7" s="334">
        <f>$AA7*INDEX(项目参数!$D$5:$D$15,MATCH($R7,项目参数!$B$5:$B$15,0))</f>
        <v>0</v>
      </c>
      <c r="AD7" s="334">
        <f t="shared" si="6"/>
        <v>0</v>
      </c>
      <c r="AE7" s="328"/>
      <c r="AF7" s="328"/>
      <c r="AG7" s="327"/>
      <c r="AH7" s="328"/>
      <c r="AI7" s="328"/>
      <c r="AJ7" s="328"/>
      <c r="AK7" s="328"/>
      <c r="AL7" s="328"/>
      <c r="AM7" s="328"/>
      <c r="AN7" s="328"/>
      <c r="AO7" s="327"/>
      <c r="AP7" s="328"/>
      <c r="AQ7" s="328"/>
      <c r="AR7" s="328"/>
      <c r="AS7" s="328"/>
      <c r="AT7" s="328"/>
      <c r="AU7" s="328"/>
      <c r="AV7" s="328">
        <f t="shared" si="7"/>
        <v>0</v>
      </c>
      <c r="AW7" s="328">
        <f t="shared" si="8"/>
        <v>0</v>
      </c>
      <c r="AX7" s="328">
        <f t="shared" si="9"/>
        <v>0</v>
      </c>
      <c r="AY7" s="328" t="b">
        <f t="shared" si="10"/>
        <v>1</v>
      </c>
    </row>
    <row r="8" ht="27" customHeight="1" spans="1:51">
      <c r="A8" s="326" t="str">
        <f>INDEX('Rate Card'!$A:$A,MATCH($S8,'Rate Card'!$F:$F,0))</f>
        <v>医学</v>
      </c>
      <c r="B8" s="327" t="str">
        <f>INDEX(二三级标准!$G:$G,MATCH($J8,二三级标准!B:B,0))</f>
        <v>次</v>
      </c>
      <c r="C8" s="327">
        <f>INDEX(注册申报明细!$E:$E,MATCH($J8,注册申报明细!$B:$B,0))</f>
        <v>0</v>
      </c>
      <c r="D8" s="327" t="str">
        <f t="shared" si="0"/>
        <v>A174MD</v>
      </c>
      <c r="E8" s="328"/>
      <c r="F8" s="328" t="s">
        <v>684</v>
      </c>
      <c r="G8" s="326" t="str">
        <f>INDEX('Rate Card'!$B:$B,MATCH($S8,'Rate Card'!$F:$F,0))</f>
        <v>医学</v>
      </c>
      <c r="H8" s="328" t="s">
        <v>1960</v>
      </c>
      <c r="I8" s="328" t="str">
        <f>INDEX(二三级标准!$Q:$Q,MATCH($H8,二三级标准!$O:$O,0))</f>
        <v>召开会议</v>
      </c>
      <c r="J8" s="328" t="s">
        <v>455</v>
      </c>
      <c r="K8" s="328" t="str">
        <f>INDEX(二三级标准!$C:$C,MATCH(注册申报底表!J8,二三级标准!$B:$B,0))</f>
        <v>召开客户电话会议</v>
      </c>
      <c r="L8" s="328" t="s">
        <v>2049</v>
      </c>
      <c r="M8" s="328" t="str">
        <f>INDEX(二三级标准!$M:$M,MATCH(注册申报底表!$L8,二三级标准!$L:$L,0))</f>
        <v>召开申办方/CRO会议</v>
      </c>
      <c r="N8" s="328"/>
      <c r="O8" s="327">
        <f>IF($Q8=1,INDEX(注册申报明细!$E:$E,MATCH(注册申报底表!$J8,注册申报明细!$B:$B,0)),0)</f>
        <v>0</v>
      </c>
      <c r="P8" s="328" t="s">
        <v>1178</v>
      </c>
      <c r="Q8" s="329">
        <v>0</v>
      </c>
      <c r="R8" s="330" t="s">
        <v>578</v>
      </c>
      <c r="S8" s="328" t="s">
        <v>613</v>
      </c>
      <c r="T8" s="331">
        <f>INDEX('Rate Card'!$J:$J,MATCH($S8,'Rate Card'!$F:$F,0))</f>
        <v>990</v>
      </c>
      <c r="U8" s="331">
        <f t="shared" si="1"/>
        <v>2</v>
      </c>
      <c r="V8" s="327">
        <v>2</v>
      </c>
      <c r="W8" s="328"/>
      <c r="X8" s="332">
        <f t="shared" si="2"/>
        <v>2</v>
      </c>
      <c r="Y8" s="333">
        <f t="shared" si="3"/>
        <v>0</v>
      </c>
      <c r="Z8" s="328">
        <f t="shared" si="4"/>
        <v>0</v>
      </c>
      <c r="AA8" s="334">
        <f t="shared" si="5"/>
        <v>0</v>
      </c>
      <c r="AB8" s="334">
        <f>$Y8*(1-INDEX(项目参数!$D$5:$D$15,MATCH($R8,项目参数!$B$5:$B$15,0)))</f>
        <v>0</v>
      </c>
      <c r="AC8" s="334">
        <f>$AA8*INDEX(项目参数!$D$5:$D$15,MATCH($R8,项目参数!$B$5:$B$15,0))</f>
        <v>0</v>
      </c>
      <c r="AD8" s="334">
        <f t="shared" si="6"/>
        <v>0</v>
      </c>
      <c r="AE8" s="328"/>
      <c r="AF8" s="328"/>
      <c r="AG8" s="327"/>
      <c r="AH8" s="328"/>
      <c r="AI8" s="328"/>
      <c r="AJ8" s="328"/>
      <c r="AK8" s="328"/>
      <c r="AL8" s="328"/>
      <c r="AM8" s="328"/>
      <c r="AN8" s="328"/>
      <c r="AO8" s="327"/>
      <c r="AP8" s="328"/>
      <c r="AQ8" s="328"/>
      <c r="AR8" s="328"/>
      <c r="AS8" s="328"/>
      <c r="AT8" s="328"/>
      <c r="AU8" s="328"/>
      <c r="AV8" s="328">
        <f t="shared" si="7"/>
        <v>0</v>
      </c>
      <c r="AW8" s="328">
        <f t="shared" si="8"/>
        <v>0</v>
      </c>
      <c r="AX8" s="328">
        <f t="shared" si="9"/>
        <v>0</v>
      </c>
      <c r="AY8" s="328" t="b">
        <f t="shared" si="10"/>
        <v>1</v>
      </c>
    </row>
    <row r="9" ht="27" customHeight="1" spans="1:51">
      <c r="A9" s="326" t="str">
        <f>INDEX('Rate Card'!$A:$A,MATCH($S9,'Rate Card'!$F:$F,0))</f>
        <v>临床药理</v>
      </c>
      <c r="B9" s="327" t="str">
        <f>INDEX(二三级标准!$G:$G,MATCH($J9,二三级标准!B:B,0))</f>
        <v>次</v>
      </c>
      <c r="C9" s="327">
        <f>INDEX(注册申报明细!$E:$E,MATCH($J9,注册申报明细!$B:$B,0))</f>
        <v>0</v>
      </c>
      <c r="D9" s="327" t="str">
        <f t="shared" si="0"/>
        <v>A174CPSS</v>
      </c>
      <c r="E9" s="328"/>
      <c r="F9" s="328" t="s">
        <v>684</v>
      </c>
      <c r="G9" s="326" t="str">
        <f>INDEX('Rate Card'!$B:$B,MATCH($S9,'Rate Card'!$F:$F,0))</f>
        <v>临床药理</v>
      </c>
      <c r="H9" s="328" t="s">
        <v>1960</v>
      </c>
      <c r="I9" s="328" t="str">
        <f>INDEX(二三级标准!$Q:$Q,MATCH($H9,二三级标准!$O:$O,0))</f>
        <v>召开会议</v>
      </c>
      <c r="J9" s="328" t="s">
        <v>455</v>
      </c>
      <c r="K9" s="328" t="str">
        <f>INDEX(二三级标准!$C:$C,MATCH(注册申报底表!J9,二三级标准!$B:$B,0))</f>
        <v>召开客户电话会议</v>
      </c>
      <c r="L9" s="328" t="s">
        <v>2049</v>
      </c>
      <c r="M9" s="328" t="str">
        <f>INDEX(二三级标准!$M:$M,MATCH(注册申报底表!$L9,二三级标准!$L:$L,0))</f>
        <v>召开申办方/CRO会议</v>
      </c>
      <c r="N9" s="328"/>
      <c r="O9" s="327">
        <f>IF($Q9=1,INDEX(注册申报明细!$E:$E,MATCH(注册申报底表!$J9,注册申报明细!$B:$B,0)),0)</f>
        <v>0</v>
      </c>
      <c r="P9" s="328" t="s">
        <v>1178</v>
      </c>
      <c r="Q9" s="329">
        <v>0</v>
      </c>
      <c r="R9" s="328" t="str">
        <f>INDEX('Rate Card'!$D:$D,MATCH($S9,'Rate Card'!$F:$F,0))</f>
        <v>临床药理</v>
      </c>
      <c r="S9" s="328" t="s">
        <v>654</v>
      </c>
      <c r="T9" s="331">
        <f>INDEX('Rate Card'!$J:$J,MATCH($S9,'Rate Card'!$F:$F,0))</f>
        <v>700</v>
      </c>
      <c r="U9" s="331">
        <f t="shared" si="1"/>
        <v>2</v>
      </c>
      <c r="V9" s="327">
        <v>2</v>
      </c>
      <c r="W9" s="328"/>
      <c r="X9" s="332">
        <f t="shared" si="2"/>
        <v>2</v>
      </c>
      <c r="Y9" s="333">
        <f t="shared" si="3"/>
        <v>0</v>
      </c>
      <c r="Z9" s="328">
        <f t="shared" si="4"/>
        <v>0</v>
      </c>
      <c r="AA9" s="334">
        <f t="shared" si="5"/>
        <v>0</v>
      </c>
      <c r="AB9" s="334">
        <f>$Y9*(1-INDEX(项目参数!$D$5:$D$15,MATCH($R9,项目参数!$B$5:$B$15,0)))</f>
        <v>0</v>
      </c>
      <c r="AC9" s="334">
        <f>$AA9*INDEX(项目参数!$D$5:$D$15,MATCH($R9,项目参数!$B$5:$B$15,0))</f>
        <v>0</v>
      </c>
      <c r="AD9" s="334">
        <f t="shared" si="6"/>
        <v>0</v>
      </c>
      <c r="AE9" s="328"/>
      <c r="AF9" s="328"/>
      <c r="AG9" s="327"/>
      <c r="AH9" s="328"/>
      <c r="AI9" s="328"/>
      <c r="AJ9" s="328"/>
      <c r="AK9" s="328"/>
      <c r="AL9" s="328"/>
      <c r="AM9" s="328"/>
      <c r="AN9" s="328"/>
      <c r="AO9" s="327"/>
      <c r="AP9" s="328"/>
      <c r="AQ9" s="328"/>
      <c r="AR9" s="328"/>
      <c r="AS9" s="328"/>
      <c r="AT9" s="328"/>
      <c r="AU9" s="328"/>
      <c r="AV9" s="328">
        <f t="shared" si="7"/>
        <v>0</v>
      </c>
      <c r="AW9" s="328">
        <f t="shared" si="8"/>
        <v>0</v>
      </c>
      <c r="AX9" s="328">
        <f t="shared" si="9"/>
        <v>0</v>
      </c>
      <c r="AY9" s="328" t="b">
        <f t="shared" si="10"/>
        <v>1</v>
      </c>
    </row>
    <row r="10" ht="27" customHeight="1" spans="1:51">
      <c r="A10" s="326" t="str">
        <f>INDEX('Rate Card'!$A:$A,MATCH($S10,'Rate Card'!$F:$F,0))</f>
        <v>注册</v>
      </c>
      <c r="B10" s="327" t="str">
        <f>INDEX(二三级标准!$G:$G,MATCH($J10,二三级标准!B:B,0))</f>
        <v>次</v>
      </c>
      <c r="C10" s="327">
        <f>INDEX(注册申报明细!$E:$E,MATCH($J10,注册申报明细!$B:$B,0))</f>
        <v>0</v>
      </c>
      <c r="D10" s="327" t="str">
        <f t="shared" si="0"/>
        <v>A174RAM</v>
      </c>
      <c r="E10" s="328"/>
      <c r="F10" s="328" t="s">
        <v>684</v>
      </c>
      <c r="G10" s="326" t="str">
        <f>INDEX('Rate Card'!$B:$B,MATCH($S10,'Rate Card'!$F:$F,0))</f>
        <v>注册</v>
      </c>
      <c r="H10" s="328" t="s">
        <v>1960</v>
      </c>
      <c r="I10" s="328" t="str">
        <f>INDEX(二三级标准!$Q:$Q,MATCH($H10,二三级标准!$O:$O,0))</f>
        <v>召开会议</v>
      </c>
      <c r="J10" s="328" t="s">
        <v>455</v>
      </c>
      <c r="K10" s="328" t="str">
        <f>INDEX(二三级标准!$C:$C,MATCH(注册申报底表!J10,二三级标准!$B:$B,0))</f>
        <v>召开客户电话会议</v>
      </c>
      <c r="L10" s="328" t="s">
        <v>2049</v>
      </c>
      <c r="M10" s="328" t="str">
        <f>INDEX(二三级标准!$M:$M,MATCH(注册申报底表!$L10,二三级标准!$L:$L,0))</f>
        <v>召开申办方/CRO会议</v>
      </c>
      <c r="N10" s="328"/>
      <c r="O10" s="327">
        <f>IF($Q10=1,INDEX(注册申报明细!$E:$E,MATCH(注册申报底表!$J10,注册申报明细!$B:$B,0)),0)</f>
        <v>0</v>
      </c>
      <c r="P10" s="328" t="s">
        <v>1178</v>
      </c>
      <c r="Q10" s="329">
        <f>INDEX(注册申报明细!$D:$D,MATCH($J10,注册申报明细!$B:$B,0))</f>
        <v>0</v>
      </c>
      <c r="R10" s="328" t="str">
        <f>INDEX('Rate Card'!$D:$D,MATCH($S10,'Rate Card'!$F:$F,0))</f>
        <v>注册事务</v>
      </c>
      <c r="S10" s="328" t="s">
        <v>607</v>
      </c>
      <c r="T10" s="331">
        <f>INDEX('Rate Card'!$J:$J,MATCH($S10,'Rate Card'!$F:$F,0))</f>
        <v>650</v>
      </c>
      <c r="U10" s="331">
        <f t="shared" si="1"/>
        <v>2</v>
      </c>
      <c r="V10" s="327">
        <v>2</v>
      </c>
      <c r="W10" s="328"/>
      <c r="X10" s="332">
        <f t="shared" si="2"/>
        <v>2</v>
      </c>
      <c r="Y10" s="333">
        <f t="shared" si="3"/>
        <v>0</v>
      </c>
      <c r="Z10" s="328">
        <f t="shared" si="4"/>
        <v>0</v>
      </c>
      <c r="AA10" s="334">
        <f t="shared" si="5"/>
        <v>0</v>
      </c>
      <c r="AB10" s="334">
        <f>$Y10*(1-INDEX(项目参数!$D$5:$D$15,MATCH($R10,项目参数!$B$5:$B$15,0)))</f>
        <v>0</v>
      </c>
      <c r="AC10" s="334">
        <f>$AA10*INDEX(项目参数!$D$5:$D$15,MATCH($R10,项目参数!$B$5:$B$15,0))</f>
        <v>0</v>
      </c>
      <c r="AD10" s="334">
        <f t="shared" si="6"/>
        <v>0</v>
      </c>
      <c r="AE10" s="328"/>
      <c r="AF10" s="328"/>
      <c r="AG10" s="327"/>
      <c r="AH10" s="328"/>
      <c r="AI10" s="328"/>
      <c r="AJ10" s="328"/>
      <c r="AK10" s="328"/>
      <c r="AL10" s="328"/>
      <c r="AM10" s="328"/>
      <c r="AN10" s="328"/>
      <c r="AO10" s="327"/>
      <c r="AP10" s="328"/>
      <c r="AQ10" s="328"/>
      <c r="AR10" s="328"/>
      <c r="AS10" s="328"/>
      <c r="AT10" s="328"/>
      <c r="AU10" s="328"/>
      <c r="AV10" s="328">
        <f t="shared" si="7"/>
        <v>0</v>
      </c>
      <c r="AW10" s="328">
        <f t="shared" si="8"/>
        <v>0</v>
      </c>
      <c r="AX10" s="328">
        <f t="shared" si="9"/>
        <v>0</v>
      </c>
      <c r="AY10" s="328" t="b">
        <f t="shared" si="10"/>
        <v>1</v>
      </c>
    </row>
    <row r="11" ht="27" customHeight="1" spans="1:51">
      <c r="A11" s="326" t="str">
        <f>INDEX('Rate Card'!$A:$A,MATCH($S11,'Rate Card'!$F:$F,0))</f>
        <v>注册</v>
      </c>
      <c r="B11" s="327" t="str">
        <f>INDEX(二三级标准!$G:$G,MATCH($J11,二三级标准!B:B,0))</f>
        <v>次</v>
      </c>
      <c r="C11" s="327">
        <f>INDEX(注册申报明细!$E:$E,MATCH($J11,注册申报明细!$B:$B,0))</f>
        <v>0</v>
      </c>
      <c r="D11" s="327" t="str">
        <f t="shared" si="0"/>
        <v>A174RAD</v>
      </c>
      <c r="E11" s="328"/>
      <c r="F11" s="328" t="s">
        <v>684</v>
      </c>
      <c r="G11" s="326" t="str">
        <f>INDEX('Rate Card'!$B:$B,MATCH($S11,'Rate Card'!$F:$F,0))</f>
        <v>注册</v>
      </c>
      <c r="H11" s="328" t="s">
        <v>1960</v>
      </c>
      <c r="I11" s="328" t="str">
        <f>INDEX(二三级标准!$Q:$Q,MATCH($H11,二三级标准!$O:$O,0))</f>
        <v>召开会议</v>
      </c>
      <c r="J11" s="328" t="s">
        <v>455</v>
      </c>
      <c r="K11" s="328" t="str">
        <f>INDEX(二三级标准!$C:$C,MATCH(注册申报底表!J11,二三级标准!$B:$B,0))</f>
        <v>召开客户电话会议</v>
      </c>
      <c r="L11" s="328" t="s">
        <v>2049</v>
      </c>
      <c r="M11" s="328" t="str">
        <f>INDEX(二三级标准!$M:$M,MATCH(注册申报底表!$L11,二三级标准!$L:$L,0))</f>
        <v>召开申办方/CRO会议</v>
      </c>
      <c r="N11" s="328"/>
      <c r="O11" s="327">
        <f>IF($Q11=1,INDEX(注册申报明细!$E:$E,MATCH(注册申报底表!$J11,注册申报明细!$B:$B,0)),0)</f>
        <v>0</v>
      </c>
      <c r="P11" s="328" t="s">
        <v>1178</v>
      </c>
      <c r="Q11" s="329">
        <f>INDEX(注册申报明细!$D:$D,MATCH($J11,注册申报明细!$B:$B,0))</f>
        <v>0</v>
      </c>
      <c r="R11" s="328" t="str">
        <f>INDEX('Rate Card'!$D:$D,MATCH($S11,'Rate Card'!$F:$F,0))</f>
        <v>注册事务</v>
      </c>
      <c r="S11" s="328" t="s">
        <v>609</v>
      </c>
      <c r="T11" s="331">
        <f>INDEX('Rate Card'!$J:$J,MATCH($S11,'Rate Card'!$F:$F,0))</f>
        <v>990</v>
      </c>
      <c r="U11" s="331">
        <f t="shared" si="1"/>
        <v>2</v>
      </c>
      <c r="V11" s="327">
        <v>2</v>
      </c>
      <c r="W11" s="328"/>
      <c r="X11" s="332">
        <f t="shared" si="2"/>
        <v>2</v>
      </c>
      <c r="Y11" s="333">
        <f t="shared" si="3"/>
        <v>0</v>
      </c>
      <c r="Z11" s="328">
        <f t="shared" si="4"/>
        <v>0</v>
      </c>
      <c r="AA11" s="334">
        <f t="shared" si="5"/>
        <v>0</v>
      </c>
      <c r="AB11" s="334">
        <f>$Y11*(1-INDEX(项目参数!$D$5:$D$15,MATCH($R11,项目参数!$B$5:$B$15,0)))</f>
        <v>0</v>
      </c>
      <c r="AC11" s="334">
        <f>$AA11*INDEX(项目参数!$D$5:$D$15,MATCH($R11,项目参数!$B$5:$B$15,0))</f>
        <v>0</v>
      </c>
      <c r="AD11" s="334">
        <f t="shared" si="6"/>
        <v>0</v>
      </c>
      <c r="AE11" s="328"/>
      <c r="AF11" s="328"/>
      <c r="AG11" s="327"/>
      <c r="AH11" s="328"/>
      <c r="AI11" s="328"/>
      <c r="AJ11" s="328"/>
      <c r="AK11" s="328"/>
      <c r="AL11" s="328"/>
      <c r="AM11" s="328"/>
      <c r="AN11" s="328"/>
      <c r="AO11" s="327"/>
      <c r="AP11" s="328"/>
      <c r="AQ11" s="328"/>
      <c r="AR11" s="328"/>
      <c r="AS11" s="328"/>
      <c r="AT11" s="328"/>
      <c r="AU11" s="328"/>
      <c r="AV11" s="328">
        <f t="shared" si="7"/>
        <v>0</v>
      </c>
      <c r="AW11" s="328">
        <f t="shared" si="8"/>
        <v>0</v>
      </c>
      <c r="AX11" s="328">
        <f t="shared" si="9"/>
        <v>0</v>
      </c>
      <c r="AY11" s="328" t="b">
        <f t="shared" si="10"/>
        <v>1</v>
      </c>
    </row>
    <row r="12" ht="27" customHeight="1" spans="1:51">
      <c r="A12" s="326" t="str">
        <f>INDEX('Rate Card'!$A:$A,MATCH($S12,'Rate Card'!$F:$F,0))</f>
        <v>数统</v>
      </c>
      <c r="B12" s="327" t="str">
        <f>INDEX(二三级标准!$G:$G,MATCH($J12,二三级标准!B:B,0))</f>
        <v>次</v>
      </c>
      <c r="C12" s="327">
        <f>INDEX(注册申报明细!$E:$E,MATCH($J12,注册申报明细!$B:$B,0))</f>
        <v>0</v>
      </c>
      <c r="D12" s="327" t="str">
        <f t="shared" si="0"/>
        <v>A174STM</v>
      </c>
      <c r="E12" s="328"/>
      <c r="F12" s="328" t="s">
        <v>684</v>
      </c>
      <c r="G12" s="326" t="str">
        <f>INDEX('Rate Card'!$B:$B,MATCH($S12,'Rate Card'!$F:$F,0))</f>
        <v>生物统计及分析</v>
      </c>
      <c r="H12" s="328" t="s">
        <v>1960</v>
      </c>
      <c r="I12" s="328" t="str">
        <f>INDEX(二三级标准!$Q:$Q,MATCH($H12,二三级标准!$O:$O,0))</f>
        <v>召开会议</v>
      </c>
      <c r="J12" s="328" t="s">
        <v>455</v>
      </c>
      <c r="K12" s="328" t="str">
        <f>INDEX(二三级标准!$C:$C,MATCH(注册申报底表!J12,二三级标准!$B:$B,0))</f>
        <v>召开客户电话会议</v>
      </c>
      <c r="L12" s="328" t="s">
        <v>2049</v>
      </c>
      <c r="M12" s="328" t="str">
        <f>INDEX(二三级标准!$M:$M,MATCH(注册申报底表!$L12,二三级标准!$L:$L,0))</f>
        <v>召开申办方/CRO会议</v>
      </c>
      <c r="N12" s="328"/>
      <c r="O12" s="327">
        <f>IF($Q12=1,INDEX(注册申报明细!$E:$E,MATCH(注册申报底表!$J12,注册申报明细!$B:$B,0)),0)</f>
        <v>0</v>
      </c>
      <c r="P12" s="328" t="s">
        <v>1178</v>
      </c>
      <c r="Q12" s="329">
        <f>INDEX(注册申报明细!$D:$D,MATCH($J12,注册申报明细!$B:$B,0))</f>
        <v>0</v>
      </c>
      <c r="R12" s="328" t="str">
        <f>INDEX('Rate Card'!$D:$D,MATCH($S12,'Rate Card'!$F:$F,0))</f>
        <v>生物统计</v>
      </c>
      <c r="S12" s="328" t="s">
        <v>642</v>
      </c>
      <c r="T12" s="331">
        <f>INDEX('Rate Card'!$J:$J,MATCH($S12,'Rate Card'!$F:$F,0))</f>
        <v>700</v>
      </c>
      <c r="U12" s="331">
        <f t="shared" si="1"/>
        <v>2</v>
      </c>
      <c r="V12" s="327">
        <v>2</v>
      </c>
      <c r="W12" s="328"/>
      <c r="X12" s="332">
        <f t="shared" si="2"/>
        <v>2</v>
      </c>
      <c r="Y12" s="333">
        <f t="shared" si="3"/>
        <v>0</v>
      </c>
      <c r="Z12" s="328">
        <f t="shared" si="4"/>
        <v>0</v>
      </c>
      <c r="AA12" s="334">
        <f t="shared" si="5"/>
        <v>0</v>
      </c>
      <c r="AB12" s="334">
        <f>$Y12*(1-INDEX(项目参数!$D$5:$D$15,MATCH($R12,项目参数!$B$5:$B$15,0)))</f>
        <v>0</v>
      </c>
      <c r="AC12" s="334">
        <f>$AA12*INDEX(项目参数!$D$5:$D$15,MATCH($R12,项目参数!$B$5:$B$15,0))</f>
        <v>0</v>
      </c>
      <c r="AD12" s="334">
        <f t="shared" si="6"/>
        <v>0</v>
      </c>
      <c r="AE12" s="328"/>
      <c r="AF12" s="328"/>
      <c r="AG12" s="327"/>
      <c r="AH12" s="328"/>
      <c r="AI12" s="328"/>
      <c r="AJ12" s="328"/>
      <c r="AK12" s="328"/>
      <c r="AL12" s="328"/>
      <c r="AM12" s="328"/>
      <c r="AN12" s="328"/>
      <c r="AO12" s="327"/>
      <c r="AP12" s="328"/>
      <c r="AQ12" s="328"/>
      <c r="AR12" s="328"/>
      <c r="AS12" s="328"/>
      <c r="AT12" s="328"/>
      <c r="AU12" s="328"/>
      <c r="AV12" s="328">
        <f t="shared" si="7"/>
        <v>0</v>
      </c>
      <c r="AW12" s="328">
        <f t="shared" si="8"/>
        <v>0</v>
      </c>
      <c r="AX12" s="328">
        <f t="shared" si="9"/>
        <v>0</v>
      </c>
      <c r="AY12" s="328" t="b">
        <f t="shared" si="10"/>
        <v>1</v>
      </c>
    </row>
    <row r="13" ht="27" customHeight="1" spans="1:51">
      <c r="A13" s="326" t="str">
        <f>INDEX('Rate Card'!$A:$A,MATCH($S13,'Rate Card'!$F:$F,0))</f>
        <v>医学</v>
      </c>
      <c r="B13" s="327" t="str">
        <f>INDEX(二三级标准!$G:$G,MATCH($J13,二三级标准!B:B,0))</f>
        <v>次</v>
      </c>
      <c r="C13" s="327">
        <f>INDEX(注册申报明细!$E:$E,MATCH($J13,注册申报明细!$B:$B,0))</f>
        <v>0</v>
      </c>
      <c r="D13" s="327" t="str">
        <f t="shared" si="0"/>
        <v>A175MM</v>
      </c>
      <c r="E13" s="328"/>
      <c r="F13" s="328" t="s">
        <v>684</v>
      </c>
      <c r="G13" s="326" t="str">
        <f>INDEX('Rate Card'!$B:$B,MATCH($S13,'Rate Card'!$F:$F,0))</f>
        <v>医学</v>
      </c>
      <c r="H13" s="328" t="s">
        <v>1960</v>
      </c>
      <c r="I13" s="328" t="str">
        <f>INDEX(二三级标准!$Q:$Q,MATCH($H13,二三级标准!$O:$O,0))</f>
        <v>召开会议</v>
      </c>
      <c r="J13" s="328" t="s">
        <v>457</v>
      </c>
      <c r="K13" s="328" t="str">
        <f>INDEX(二三级标准!$C:$C,MATCH(注册申报底表!J13,二三级标准!$B:$B,0))</f>
        <v>召开专家电话会议</v>
      </c>
      <c r="L13" s="328" t="s">
        <v>2050</v>
      </c>
      <c r="M13" s="328" t="str">
        <f>INDEX(二三级标准!$M:$M,MATCH(注册申报底表!$L13,二三级标准!$L:$L,0))</f>
        <v>召开专家/CRO/申办方多方会议</v>
      </c>
      <c r="N13" s="328"/>
      <c r="O13" s="327">
        <f>IF($Q13=1,INDEX(注册申报明细!$E:$E,MATCH(注册申报底表!$J13,注册申报明细!$B:$B,0)),0)</f>
        <v>0</v>
      </c>
      <c r="P13" s="328" t="s">
        <v>1178</v>
      </c>
      <c r="Q13" s="329">
        <f>INDEX(注册申报明细!$D:$D,MATCH($J13,注册申报明细!$B:$B,0))</f>
        <v>0</v>
      </c>
      <c r="R13" s="328" t="s">
        <v>578</v>
      </c>
      <c r="S13" s="328" t="s">
        <v>615</v>
      </c>
      <c r="T13" s="331">
        <f>INDEX('Rate Card'!$J:$J,MATCH($S13,'Rate Card'!$F:$F,0))</f>
        <v>650</v>
      </c>
      <c r="U13" s="331">
        <f t="shared" si="1"/>
        <v>3</v>
      </c>
      <c r="V13" s="327">
        <v>3</v>
      </c>
      <c r="W13" s="328"/>
      <c r="X13" s="332">
        <f t="shared" si="2"/>
        <v>3</v>
      </c>
      <c r="Y13" s="333">
        <f t="shared" si="3"/>
        <v>0</v>
      </c>
      <c r="Z13" s="328">
        <f t="shared" si="4"/>
        <v>0</v>
      </c>
      <c r="AA13" s="334">
        <f t="shared" si="5"/>
        <v>0</v>
      </c>
      <c r="AB13" s="334">
        <f>$Y13*(1-INDEX(项目参数!$D$5:$D$15,MATCH($R13,项目参数!$B$5:$B$15,0)))</f>
        <v>0</v>
      </c>
      <c r="AC13" s="334">
        <f>$AA13*INDEX(项目参数!$D$5:$D$15,MATCH($R13,项目参数!$B$5:$B$15,0))</f>
        <v>0</v>
      </c>
      <c r="AD13" s="334">
        <f t="shared" si="6"/>
        <v>0</v>
      </c>
      <c r="AE13" s="328"/>
      <c r="AF13" s="328"/>
      <c r="AG13" s="327"/>
      <c r="AH13" s="327"/>
      <c r="AI13" s="327"/>
      <c r="AJ13" s="327"/>
      <c r="AK13" s="327"/>
      <c r="AL13" s="327"/>
      <c r="AM13" s="327"/>
      <c r="AN13" s="328"/>
      <c r="AO13" s="327"/>
      <c r="AP13" s="327"/>
      <c r="AQ13" s="327"/>
      <c r="AR13" s="327"/>
      <c r="AS13" s="327"/>
      <c r="AT13" s="327"/>
      <c r="AU13" s="327"/>
      <c r="AV13" s="328">
        <f t="shared" si="7"/>
        <v>0</v>
      </c>
      <c r="AW13" s="328">
        <f t="shared" si="8"/>
        <v>0</v>
      </c>
      <c r="AX13" s="328">
        <f t="shared" si="9"/>
        <v>0</v>
      </c>
      <c r="AY13" s="328" t="b">
        <f t="shared" si="10"/>
        <v>0</v>
      </c>
    </row>
    <row r="14" ht="27" customHeight="1" spans="1:51">
      <c r="A14" s="326" t="str">
        <f>INDEX('Rate Card'!$A:$A,MATCH($S14,'Rate Card'!$F:$F,0))</f>
        <v>医学</v>
      </c>
      <c r="B14" s="327" t="str">
        <f>INDEX(二三级标准!$G:$G,MATCH($J14,二三级标准!B:B,0))</f>
        <v>次</v>
      </c>
      <c r="C14" s="327">
        <f>INDEX(注册申报明细!$E:$E,MATCH($J14,注册申报明细!$B:$B,0))</f>
        <v>0</v>
      </c>
      <c r="D14" s="327" t="str">
        <f t="shared" si="0"/>
        <v>A175MD</v>
      </c>
      <c r="E14" s="328"/>
      <c r="F14" s="328" t="s">
        <v>684</v>
      </c>
      <c r="G14" s="326" t="str">
        <f>INDEX('Rate Card'!$B:$B,MATCH($S14,'Rate Card'!$F:$F,0))</f>
        <v>医学</v>
      </c>
      <c r="H14" s="328" t="s">
        <v>1960</v>
      </c>
      <c r="I14" s="328" t="str">
        <f>INDEX(二三级标准!$Q:$Q,MATCH($H14,二三级标准!$O:$O,0))</f>
        <v>召开会议</v>
      </c>
      <c r="J14" s="328" t="s">
        <v>457</v>
      </c>
      <c r="K14" s="328" t="str">
        <f>INDEX(二三级标准!$C:$C,MATCH(注册申报底表!J14,二三级标准!$B:$B,0))</f>
        <v>召开专家电话会议</v>
      </c>
      <c r="L14" s="328" t="s">
        <v>2050</v>
      </c>
      <c r="M14" s="328" t="str">
        <f>INDEX(二三级标准!$M:$M,MATCH(注册申报底表!$L14,二三级标准!$L:$L,0))</f>
        <v>召开专家/CRO/申办方多方会议</v>
      </c>
      <c r="N14" s="328"/>
      <c r="O14" s="327">
        <f>IF($Q14=1,INDEX(注册申报明细!$E:$E,MATCH(注册申报底表!$J14,注册申报明细!$B:$B,0)),0)</f>
        <v>0</v>
      </c>
      <c r="P14" s="328" t="s">
        <v>1178</v>
      </c>
      <c r="Q14" s="329">
        <f>INDEX(注册申报明细!$D:$D,MATCH($J14,注册申报明细!$B:$B,0))</f>
        <v>0</v>
      </c>
      <c r="R14" s="330" t="s">
        <v>578</v>
      </c>
      <c r="S14" s="328" t="s">
        <v>613</v>
      </c>
      <c r="T14" s="331">
        <f>INDEX('Rate Card'!$J:$J,MATCH($S14,'Rate Card'!$F:$F,0))</f>
        <v>990</v>
      </c>
      <c r="U14" s="331">
        <f t="shared" si="1"/>
        <v>2</v>
      </c>
      <c r="V14" s="327">
        <v>2</v>
      </c>
      <c r="W14" s="328"/>
      <c r="X14" s="332">
        <f t="shared" si="2"/>
        <v>2</v>
      </c>
      <c r="Y14" s="333">
        <f t="shared" si="3"/>
        <v>0</v>
      </c>
      <c r="Z14" s="328">
        <f t="shared" si="4"/>
        <v>0</v>
      </c>
      <c r="AA14" s="334">
        <f t="shared" si="5"/>
        <v>0</v>
      </c>
      <c r="AB14" s="334">
        <f>$Y14*(1-INDEX(项目参数!$D$5:$D$15,MATCH($R14,项目参数!$B$5:$B$15,0)))</f>
        <v>0</v>
      </c>
      <c r="AC14" s="334">
        <f>$AA14*INDEX(项目参数!$D$5:$D$15,MATCH($R14,项目参数!$B$5:$B$15,0))</f>
        <v>0</v>
      </c>
      <c r="AD14" s="334">
        <f t="shared" si="6"/>
        <v>0</v>
      </c>
      <c r="AE14" s="328"/>
      <c r="AF14" s="328"/>
      <c r="AG14" s="327"/>
      <c r="AH14" s="328"/>
      <c r="AI14" s="328"/>
      <c r="AJ14" s="328"/>
      <c r="AK14" s="328"/>
      <c r="AL14" s="328"/>
      <c r="AM14" s="328"/>
      <c r="AN14" s="328"/>
      <c r="AO14" s="327"/>
      <c r="AP14" s="328"/>
      <c r="AQ14" s="328"/>
      <c r="AR14" s="328"/>
      <c r="AS14" s="328"/>
      <c r="AT14" s="328"/>
      <c r="AU14" s="328"/>
      <c r="AV14" s="328">
        <f t="shared" si="7"/>
        <v>0</v>
      </c>
      <c r="AW14" s="328">
        <f t="shared" si="8"/>
        <v>0</v>
      </c>
      <c r="AX14" s="328">
        <f t="shared" si="9"/>
        <v>0</v>
      </c>
      <c r="AY14" s="328" t="b">
        <f t="shared" si="10"/>
        <v>0</v>
      </c>
    </row>
    <row r="15" ht="27" customHeight="1" spans="1:51">
      <c r="A15" s="326" t="str">
        <f>INDEX('Rate Card'!$A:$A,MATCH($S15,'Rate Card'!$F:$F,0))</f>
        <v>医学</v>
      </c>
      <c r="B15" s="327" t="str">
        <f>INDEX(二三级标准!$G:$G,MATCH($J15,二三级标准!B:B,0))</f>
        <v>份</v>
      </c>
      <c r="C15" s="327">
        <f>INDEX(注册申报明细!$E:$E,MATCH($J15,注册申报明细!$B:$B,0))</f>
        <v>0</v>
      </c>
      <c r="D15" s="327" t="str">
        <f t="shared" si="0"/>
        <v>A176MM</v>
      </c>
      <c r="E15" s="328"/>
      <c r="F15" s="328" t="s">
        <v>684</v>
      </c>
      <c r="G15" s="326" t="str">
        <f>INDEX('Rate Card'!$B:$B,MATCH($S15,'Rate Card'!$F:$F,0))</f>
        <v>医学</v>
      </c>
      <c r="H15" s="328" t="s">
        <v>1964</v>
      </c>
      <c r="I15" s="328" t="str">
        <f>INDEX(二三级标准!$Q:$Q,MATCH($H15,二三级标准!$O:$O,0))</f>
        <v>临床试验计划制定与方案撰写</v>
      </c>
      <c r="J15" s="328" t="s">
        <v>459</v>
      </c>
      <c r="K15" s="328" t="str">
        <f>INDEX(二三级标准!$C:$C,MATCH(注册申报底表!J15,二三级标准!$B:$B,0))</f>
        <v>临床开发计划制定</v>
      </c>
      <c r="L15" s="328" t="s">
        <v>2051</v>
      </c>
      <c r="M15" s="328" t="str">
        <f>INDEX(二三级标准!$M:$M,MATCH(注册申报底表!$L15,二三级标准!$L:$L,0))</f>
        <v>临床开发计划制定</v>
      </c>
      <c r="N15" s="328"/>
      <c r="O15" s="327">
        <f>IF($Q15=1,INDEX(注册申报明细!$E:$E,MATCH(注册申报底表!$J15,注册申报明细!$B:$B,0)),0)</f>
        <v>0</v>
      </c>
      <c r="P15" s="328" t="s">
        <v>1176</v>
      </c>
      <c r="Q15" s="329">
        <f>INDEX(注册申报明细!$D:$D,MATCH($J15,注册申报明细!$B:$B,0))</f>
        <v>0</v>
      </c>
      <c r="R15" s="328" t="s">
        <v>578</v>
      </c>
      <c r="S15" s="328" t="s">
        <v>615</v>
      </c>
      <c r="T15" s="331">
        <f>INDEX('Rate Card'!$J:$J,MATCH($S15,'Rate Card'!$F:$F,0))</f>
        <v>650</v>
      </c>
      <c r="U15" s="331">
        <f t="shared" si="1"/>
        <v>24</v>
      </c>
      <c r="V15" s="327">
        <v>24</v>
      </c>
      <c r="W15" s="328"/>
      <c r="X15" s="332">
        <f t="shared" si="2"/>
        <v>24</v>
      </c>
      <c r="Y15" s="333">
        <f t="shared" si="3"/>
        <v>0</v>
      </c>
      <c r="Z15" s="328">
        <f t="shared" si="4"/>
        <v>0</v>
      </c>
      <c r="AA15" s="334">
        <f t="shared" si="5"/>
        <v>0</v>
      </c>
      <c r="AB15" s="334">
        <f>$Y15*(1-INDEX(项目参数!$D$5:$D$15,MATCH($R15,项目参数!$B$5:$B$15,0)))</f>
        <v>0</v>
      </c>
      <c r="AC15" s="334">
        <f>$AA15*INDEX(项目参数!$D$5:$D$15,MATCH($R15,项目参数!$B$5:$B$15,0))</f>
        <v>0</v>
      </c>
      <c r="AD15" s="334">
        <f t="shared" si="6"/>
        <v>0</v>
      </c>
      <c r="AE15" s="328"/>
      <c r="AF15" s="328"/>
      <c r="AG15" s="327"/>
      <c r="AH15" s="328"/>
      <c r="AI15" s="328"/>
      <c r="AJ15" s="328"/>
      <c r="AK15" s="328"/>
      <c r="AL15" s="328"/>
      <c r="AM15" s="328"/>
      <c r="AN15" s="328"/>
      <c r="AO15" s="327"/>
      <c r="AP15" s="328"/>
      <c r="AQ15" s="328"/>
      <c r="AR15" s="328"/>
      <c r="AS15" s="328"/>
      <c r="AT15" s="328"/>
      <c r="AU15" s="328"/>
      <c r="AV15" s="328">
        <f t="shared" si="7"/>
        <v>0</v>
      </c>
      <c r="AW15" s="328">
        <f t="shared" si="8"/>
        <v>0</v>
      </c>
      <c r="AX15" s="328">
        <f t="shared" si="9"/>
        <v>0</v>
      </c>
      <c r="AY15" s="328" t="b">
        <f t="shared" si="10"/>
        <v>1</v>
      </c>
    </row>
    <row r="16" ht="27" customHeight="1" spans="1:51">
      <c r="A16" s="326" t="str">
        <f>INDEX('Rate Card'!$A:$A,MATCH($S16,'Rate Card'!$F:$F,0))</f>
        <v>医学</v>
      </c>
      <c r="B16" s="327" t="str">
        <f>INDEX(二三级标准!$G:$G,MATCH($J16,二三级标准!B:B,0))</f>
        <v>份</v>
      </c>
      <c r="C16" s="327">
        <f>INDEX(注册申报明细!$E:$E,MATCH($J16,注册申报明细!$B:$B,0))</f>
        <v>0</v>
      </c>
      <c r="D16" s="327" t="str">
        <f t="shared" si="0"/>
        <v>A176MD</v>
      </c>
      <c r="E16" s="328"/>
      <c r="F16" s="328" t="s">
        <v>684</v>
      </c>
      <c r="G16" s="326" t="str">
        <f>INDEX('Rate Card'!$B:$B,MATCH($S16,'Rate Card'!$F:$F,0))</f>
        <v>医学</v>
      </c>
      <c r="H16" s="328" t="s">
        <v>1964</v>
      </c>
      <c r="I16" s="328" t="str">
        <f>INDEX(二三级标准!$Q:$Q,MATCH($H16,二三级标准!$O:$O,0))</f>
        <v>临床试验计划制定与方案撰写</v>
      </c>
      <c r="J16" s="328" t="s">
        <v>459</v>
      </c>
      <c r="K16" s="328" t="str">
        <f>INDEX(二三级标准!$C:$C,MATCH(注册申报底表!J16,二三级标准!$B:$B,0))</f>
        <v>临床开发计划制定</v>
      </c>
      <c r="L16" s="328" t="s">
        <v>2052</v>
      </c>
      <c r="M16" s="328" t="str">
        <f>INDEX(二三级标准!$M:$M,MATCH(注册申报底表!$L16,二三级标准!$L:$L,0))</f>
        <v>临床开发计划审阅</v>
      </c>
      <c r="N16" s="328"/>
      <c r="O16" s="327">
        <f>IF($Q16=1,INDEX(注册申报明细!$E:$E,MATCH(注册申报底表!$J16,注册申报明细!$B:$B,0)),0)</f>
        <v>0</v>
      </c>
      <c r="P16" s="328" t="s">
        <v>1176</v>
      </c>
      <c r="Q16" s="329">
        <f>INDEX(注册申报明细!$D:$D,MATCH($J16,注册申报明细!$B:$B,0))</f>
        <v>0</v>
      </c>
      <c r="R16" s="328" t="s">
        <v>578</v>
      </c>
      <c r="S16" s="328" t="s">
        <v>613</v>
      </c>
      <c r="T16" s="331">
        <f>INDEX('Rate Card'!$J:$J,MATCH($S16,'Rate Card'!$F:$F,0))</f>
        <v>990</v>
      </c>
      <c r="U16" s="331">
        <f t="shared" si="1"/>
        <v>8</v>
      </c>
      <c r="V16" s="327">
        <v>8</v>
      </c>
      <c r="W16" s="328"/>
      <c r="X16" s="332">
        <f t="shared" si="2"/>
        <v>8</v>
      </c>
      <c r="Y16" s="333">
        <f t="shared" si="3"/>
        <v>0</v>
      </c>
      <c r="Z16" s="328">
        <f t="shared" si="4"/>
        <v>0</v>
      </c>
      <c r="AA16" s="334">
        <f t="shared" si="5"/>
        <v>0</v>
      </c>
      <c r="AB16" s="334">
        <f>$Y16*(1-INDEX(项目参数!$D$5:$D$15,MATCH($R16,项目参数!$B$5:$B$15,0)))</f>
        <v>0</v>
      </c>
      <c r="AC16" s="334">
        <f>$AA16*INDEX(项目参数!$D$5:$D$15,MATCH($R16,项目参数!$B$5:$B$15,0))</f>
        <v>0</v>
      </c>
      <c r="AD16" s="334">
        <f t="shared" si="6"/>
        <v>0</v>
      </c>
      <c r="AE16" s="328"/>
      <c r="AF16" s="328"/>
      <c r="AG16" s="327"/>
      <c r="AH16" s="328"/>
      <c r="AI16" s="328"/>
      <c r="AJ16" s="328"/>
      <c r="AK16" s="328"/>
      <c r="AL16" s="328"/>
      <c r="AM16" s="328"/>
      <c r="AN16" s="328"/>
      <c r="AO16" s="327"/>
      <c r="AP16" s="328"/>
      <c r="AQ16" s="328"/>
      <c r="AR16" s="328"/>
      <c r="AS16" s="328"/>
      <c r="AT16" s="328"/>
      <c r="AU16" s="328"/>
      <c r="AV16" s="328">
        <f t="shared" si="7"/>
        <v>0</v>
      </c>
      <c r="AW16" s="328">
        <f t="shared" si="8"/>
        <v>0</v>
      </c>
      <c r="AX16" s="328">
        <f t="shared" si="9"/>
        <v>0</v>
      </c>
      <c r="AY16" s="328" t="b">
        <f t="shared" si="10"/>
        <v>1</v>
      </c>
    </row>
    <row r="17" ht="27" customHeight="1" spans="1:51">
      <c r="A17" s="326" t="str">
        <f>INDEX('Rate Card'!$A:$A,MATCH($S17,'Rate Card'!$F:$F,0))</f>
        <v>医学</v>
      </c>
      <c r="B17" s="327" t="str">
        <f>INDEX(二三级标准!$G:$G,MATCH($J17,二三级标准!B:B,0))</f>
        <v>份</v>
      </c>
      <c r="C17" s="327">
        <f>INDEX(注册申报明细!$E:$E,MATCH($J17,注册申报明细!$B:$B,0))</f>
        <v>0</v>
      </c>
      <c r="D17" s="327" t="str">
        <f t="shared" si="0"/>
        <v>A208MM</v>
      </c>
      <c r="E17" s="328"/>
      <c r="F17" s="328" t="s">
        <v>684</v>
      </c>
      <c r="G17" s="326" t="str">
        <f>INDEX('Rate Card'!$B:$B,MATCH($S17,'Rate Card'!$F:$F,0))</f>
        <v>医学</v>
      </c>
      <c r="H17" s="328" t="s">
        <v>1964</v>
      </c>
      <c r="I17" s="328" t="str">
        <f>INDEX(二三级标准!$Q:$Q,MATCH($H17,二三级标准!$O:$O,0))</f>
        <v>临床试验计划制定与方案撰写</v>
      </c>
      <c r="J17" s="328" t="s">
        <v>523</v>
      </c>
      <c r="K17" s="328" t="str">
        <f>INDEX(二三级标准!$C:$C,MATCH(注册申报底表!J17,二三级标准!$B:$B,0))</f>
        <v>方案撰写/注册阶段</v>
      </c>
      <c r="L17" s="328" t="s">
        <v>2053</v>
      </c>
      <c r="M17" s="328" t="str">
        <f>INDEX(二三级标准!$M:$M,MATCH(注册申报底表!$L17,二三级标准!$L:$L,0))</f>
        <v>方案摘要撰写/注册阶段</v>
      </c>
      <c r="N17" s="328"/>
      <c r="O17" s="327">
        <f>IF($Q17=1,INDEX(注册申报明细!$E:$E,MATCH(注册申报底表!$J17,注册申报明细!$B:$B,0)),0)</f>
        <v>0</v>
      </c>
      <c r="P17" s="328" t="s">
        <v>1176</v>
      </c>
      <c r="Q17" s="329">
        <f>INDEX(注册申报明细!$D:$D,MATCH($J17,注册申报明细!$B:$B,0))</f>
        <v>0</v>
      </c>
      <c r="R17" s="328" t="s">
        <v>578</v>
      </c>
      <c r="S17" s="328" t="s">
        <v>615</v>
      </c>
      <c r="T17" s="331">
        <f>INDEX('Rate Card'!$J:$J,MATCH($S17,'Rate Card'!$F:$F,0))</f>
        <v>650</v>
      </c>
      <c r="U17" s="331">
        <f t="shared" si="1"/>
        <v>16</v>
      </c>
      <c r="V17" s="327">
        <v>16</v>
      </c>
      <c r="W17" s="328"/>
      <c r="X17" s="332">
        <f t="shared" si="2"/>
        <v>16</v>
      </c>
      <c r="Y17" s="333">
        <f t="shared" si="3"/>
        <v>0</v>
      </c>
      <c r="Z17" s="328">
        <f t="shared" si="4"/>
        <v>0</v>
      </c>
      <c r="AA17" s="334">
        <f t="shared" si="5"/>
        <v>0</v>
      </c>
      <c r="AB17" s="334">
        <f>$Y17*(1-INDEX(项目参数!$D$5:$D$15,MATCH($R17,项目参数!$B$5:$B$15,0)))</f>
        <v>0</v>
      </c>
      <c r="AC17" s="334">
        <f>$AA17*INDEX(项目参数!$D$5:$D$15,MATCH($R17,项目参数!$B$5:$B$15,0))</f>
        <v>0</v>
      </c>
      <c r="AD17" s="334">
        <f t="shared" si="6"/>
        <v>0</v>
      </c>
      <c r="AE17" s="328"/>
      <c r="AF17" s="328"/>
      <c r="AG17" s="327"/>
      <c r="AH17" s="328"/>
      <c r="AI17" s="328"/>
      <c r="AJ17" s="328"/>
      <c r="AK17" s="328"/>
      <c r="AL17" s="328"/>
      <c r="AM17" s="328"/>
      <c r="AN17" s="328"/>
      <c r="AO17" s="327"/>
      <c r="AP17" s="328"/>
      <c r="AQ17" s="328"/>
      <c r="AR17" s="328"/>
      <c r="AS17" s="328"/>
      <c r="AT17" s="328"/>
      <c r="AU17" s="328"/>
      <c r="AV17" s="328">
        <f t="shared" si="7"/>
        <v>0</v>
      </c>
      <c r="AW17" s="328">
        <f t="shared" si="8"/>
        <v>0</v>
      </c>
      <c r="AX17" s="328">
        <f t="shared" si="9"/>
        <v>0</v>
      </c>
      <c r="AY17" s="328" t="b">
        <f t="shared" si="10"/>
        <v>0</v>
      </c>
    </row>
    <row r="18" ht="27" customHeight="1" spans="1:51">
      <c r="A18" s="326" t="str">
        <f>INDEX('Rate Card'!$A:$A,MATCH($S18,'Rate Card'!$F:$F,0))</f>
        <v>医学</v>
      </c>
      <c r="B18" s="327" t="str">
        <f>INDEX(二三级标准!$G:$G,MATCH($J18,二三级标准!B:B,0))</f>
        <v>份</v>
      </c>
      <c r="C18" s="327">
        <f>INDEX(注册申报明细!$E:$E,MATCH($J18,注册申报明细!$B:$B,0))</f>
        <v>0</v>
      </c>
      <c r="D18" s="327" t="str">
        <f t="shared" si="0"/>
        <v>A208MD</v>
      </c>
      <c r="E18" s="328"/>
      <c r="F18" s="328" t="s">
        <v>684</v>
      </c>
      <c r="G18" s="326" t="str">
        <f>INDEX('Rate Card'!$B:$B,MATCH($S18,'Rate Card'!$F:$F,0))</f>
        <v>医学</v>
      </c>
      <c r="H18" s="328" t="s">
        <v>1964</v>
      </c>
      <c r="I18" s="328" t="str">
        <f>INDEX(二三级标准!$Q:$Q,MATCH($H18,二三级标准!$O:$O,0))</f>
        <v>临床试验计划制定与方案撰写</v>
      </c>
      <c r="J18" s="328" t="s">
        <v>523</v>
      </c>
      <c r="K18" s="328" t="str">
        <f>INDEX(二三级标准!$C:$C,MATCH(注册申报底表!J18,二三级标准!$B:$B,0))</f>
        <v>方案撰写/注册阶段</v>
      </c>
      <c r="L18" s="328" t="s">
        <v>2054</v>
      </c>
      <c r="M18" s="328" t="str">
        <f>INDEX(二三级标准!$M:$M,MATCH(注册申报底表!$L18,二三级标准!$L:$L,0))</f>
        <v>方案摘要审核/注册阶段</v>
      </c>
      <c r="N18" s="328"/>
      <c r="O18" s="327">
        <f>IF($Q18=1,INDEX(注册申报明细!$E:$E,MATCH(注册申报底表!$J18,注册申报明细!$B:$B,0)),0)</f>
        <v>0</v>
      </c>
      <c r="P18" s="328" t="s">
        <v>1178</v>
      </c>
      <c r="Q18" s="329">
        <f>INDEX(注册申报明细!$D:$D,MATCH($J18,注册申报明细!$B:$B,0))</f>
        <v>0</v>
      </c>
      <c r="R18" s="328" t="s">
        <v>578</v>
      </c>
      <c r="S18" s="328" t="s">
        <v>613</v>
      </c>
      <c r="T18" s="331">
        <f>INDEX('Rate Card'!$J:$J,MATCH($S18,'Rate Card'!$F:$F,0))</f>
        <v>990</v>
      </c>
      <c r="U18" s="331">
        <f t="shared" si="1"/>
        <v>8</v>
      </c>
      <c r="V18" s="327">
        <v>8</v>
      </c>
      <c r="W18" s="328"/>
      <c r="X18" s="332">
        <f t="shared" si="2"/>
        <v>8</v>
      </c>
      <c r="Y18" s="333">
        <f t="shared" si="3"/>
        <v>0</v>
      </c>
      <c r="Z18" s="328">
        <f t="shared" si="4"/>
        <v>0</v>
      </c>
      <c r="AA18" s="334">
        <f t="shared" si="5"/>
        <v>0</v>
      </c>
      <c r="AB18" s="334">
        <f>$Y18*(1-INDEX(项目参数!$D$5:$D$15,MATCH($R18,项目参数!$B$5:$B$15,0)))</f>
        <v>0</v>
      </c>
      <c r="AC18" s="334">
        <f>$AA18*INDEX(项目参数!$D$5:$D$15,MATCH($R18,项目参数!$B$5:$B$15,0))</f>
        <v>0</v>
      </c>
      <c r="AD18" s="334">
        <f t="shared" si="6"/>
        <v>0</v>
      </c>
      <c r="AE18" s="328"/>
      <c r="AF18" s="328"/>
      <c r="AG18" s="327"/>
      <c r="AH18" s="328"/>
      <c r="AI18" s="328"/>
      <c r="AJ18" s="328"/>
      <c r="AK18" s="328"/>
      <c r="AL18" s="328"/>
      <c r="AM18" s="328"/>
      <c r="AN18" s="328"/>
      <c r="AO18" s="327"/>
      <c r="AP18" s="328"/>
      <c r="AQ18" s="328"/>
      <c r="AR18" s="328"/>
      <c r="AS18" s="328"/>
      <c r="AT18" s="328"/>
      <c r="AU18" s="328"/>
      <c r="AV18" s="328">
        <f t="shared" si="7"/>
        <v>0</v>
      </c>
      <c r="AW18" s="328">
        <f t="shared" si="8"/>
        <v>0</v>
      </c>
      <c r="AX18" s="328">
        <f t="shared" si="9"/>
        <v>0</v>
      </c>
      <c r="AY18" s="328" t="b">
        <f t="shared" si="10"/>
        <v>0</v>
      </c>
    </row>
    <row r="19" ht="27" customHeight="1" spans="1:51">
      <c r="A19" s="326" t="str">
        <f>INDEX('Rate Card'!$A:$A,MATCH($S19,'Rate Card'!$F:$F,0))</f>
        <v>数统</v>
      </c>
      <c r="B19" s="327" t="str">
        <f>INDEX(二三级标准!$G:$G,MATCH($J19,二三级标准!B:B,0))</f>
        <v>份</v>
      </c>
      <c r="C19" s="327">
        <f>INDEX(注册申报明细!$E:$E,MATCH($J19,注册申报明细!$B:$B,0))</f>
        <v>0</v>
      </c>
      <c r="D19" s="327" t="str">
        <f t="shared" si="0"/>
        <v>A208STM</v>
      </c>
      <c r="E19" s="328"/>
      <c r="F19" s="328" t="s">
        <v>684</v>
      </c>
      <c r="G19" s="326" t="str">
        <f>INDEX('Rate Card'!$B:$B,MATCH($S19,'Rate Card'!$F:$F,0))</f>
        <v>生物统计及分析</v>
      </c>
      <c r="H19" s="328" t="s">
        <v>1964</v>
      </c>
      <c r="I19" s="328" t="str">
        <f>INDEX(二三级标准!$Q:$Q,MATCH($H19,二三级标准!$O:$O,0))</f>
        <v>临床试验计划制定与方案撰写</v>
      </c>
      <c r="J19" s="328" t="s">
        <v>523</v>
      </c>
      <c r="K19" s="328" t="str">
        <f>INDEX(二三级标准!$C:$C,MATCH(注册申报底表!J19,二三级标准!$B:$B,0))</f>
        <v>方案撰写/注册阶段</v>
      </c>
      <c r="L19" s="328" t="s">
        <v>2054</v>
      </c>
      <c r="M19" s="328" t="str">
        <f>INDEX(二三级标准!$M:$M,MATCH(注册申报底表!$L19,二三级标准!$L:$L,0))</f>
        <v>方案摘要审核/注册阶段</v>
      </c>
      <c r="N19" s="328"/>
      <c r="O19" s="327">
        <f>IF($Q19=1,INDEX(注册申报明细!$E:$E,MATCH(注册申报底表!$J19,注册申报明细!$B:$B,0)),0)</f>
        <v>0</v>
      </c>
      <c r="P19" s="328" t="s">
        <v>1178</v>
      </c>
      <c r="Q19" s="329">
        <f>INDEX(注册申报明细!$D:$D,MATCH($J19,注册申报明细!$B:$B,0))</f>
        <v>0</v>
      </c>
      <c r="R19" s="328" t="str">
        <f>INDEX('Rate Card'!$D:$D,MATCH($S19,'Rate Card'!$F:$F,0))</f>
        <v>生物统计</v>
      </c>
      <c r="S19" s="328" t="s">
        <v>642</v>
      </c>
      <c r="T19" s="331">
        <f>INDEX('Rate Card'!$J:$J,MATCH($S19,'Rate Card'!$F:$F,0))</f>
        <v>700</v>
      </c>
      <c r="U19" s="331">
        <f t="shared" si="1"/>
        <v>4</v>
      </c>
      <c r="V19" s="327">
        <v>4</v>
      </c>
      <c r="W19" s="328"/>
      <c r="X19" s="332">
        <f t="shared" si="2"/>
        <v>4</v>
      </c>
      <c r="Y19" s="333">
        <f t="shared" si="3"/>
        <v>0</v>
      </c>
      <c r="Z19" s="328">
        <f t="shared" si="4"/>
        <v>0</v>
      </c>
      <c r="AA19" s="334">
        <f t="shared" si="5"/>
        <v>0</v>
      </c>
      <c r="AB19" s="334">
        <f>$Y19*(1-INDEX(项目参数!$D$5:$D$15,MATCH($R19,项目参数!$B$5:$B$15,0)))</f>
        <v>0</v>
      </c>
      <c r="AC19" s="334">
        <f>$AA19*INDEX(项目参数!$D$5:$D$15,MATCH($R19,项目参数!$B$5:$B$15,0))</f>
        <v>0</v>
      </c>
      <c r="AD19" s="334">
        <f t="shared" si="6"/>
        <v>0</v>
      </c>
      <c r="AE19" s="328"/>
      <c r="AF19" s="328"/>
      <c r="AG19" s="327"/>
      <c r="AH19" s="328"/>
      <c r="AI19" s="328"/>
      <c r="AJ19" s="328"/>
      <c r="AK19" s="328"/>
      <c r="AL19" s="328"/>
      <c r="AM19" s="328"/>
      <c r="AN19" s="328"/>
      <c r="AO19" s="327"/>
      <c r="AP19" s="328"/>
      <c r="AQ19" s="328"/>
      <c r="AR19" s="328"/>
      <c r="AS19" s="328"/>
      <c r="AT19" s="328"/>
      <c r="AU19" s="328"/>
      <c r="AV19" s="328">
        <f t="shared" si="7"/>
        <v>0</v>
      </c>
      <c r="AW19" s="328">
        <f t="shared" si="8"/>
        <v>0</v>
      </c>
      <c r="AX19" s="328">
        <f t="shared" si="9"/>
        <v>0</v>
      </c>
      <c r="AY19" s="328" t="b">
        <f t="shared" si="10"/>
        <v>0</v>
      </c>
    </row>
    <row r="20" ht="27" customHeight="1" spans="1:51">
      <c r="A20" s="326" t="str">
        <f>INDEX('Rate Card'!$A:$A,MATCH($S20,'Rate Card'!$F:$F,0))</f>
        <v>医学</v>
      </c>
      <c r="B20" s="327" t="str">
        <f>INDEX(二三级标准!$G:$G,MATCH($J20,二三级标准!B:B,0))</f>
        <v>份</v>
      </c>
      <c r="C20" s="327">
        <f>INDEX(注册申报明细!$E:$E,MATCH($J20,注册申报明细!$B:$B,0))</f>
        <v>0</v>
      </c>
      <c r="D20" s="327" t="str">
        <f t="shared" si="0"/>
        <v>A208MM</v>
      </c>
      <c r="E20" s="328"/>
      <c r="F20" s="328" t="s">
        <v>684</v>
      </c>
      <c r="G20" s="326" t="str">
        <f>INDEX('Rate Card'!$B:$B,MATCH($S20,'Rate Card'!$F:$F,0))</f>
        <v>医学</v>
      </c>
      <c r="H20" s="328" t="s">
        <v>1964</v>
      </c>
      <c r="I20" s="328" t="str">
        <f>INDEX(二三级标准!$Q:$Q,MATCH($H20,二三级标准!$O:$O,0))</f>
        <v>临床试验计划制定与方案撰写</v>
      </c>
      <c r="J20" s="328" t="s">
        <v>523</v>
      </c>
      <c r="K20" s="328" t="str">
        <f>INDEX(二三级标准!$C:$C,MATCH(注册申报底表!J20,二三级标准!$B:$B,0))</f>
        <v>方案撰写/注册阶段</v>
      </c>
      <c r="L20" s="328" t="s">
        <v>2055</v>
      </c>
      <c r="M20" s="328" t="str">
        <f>INDEX(二三级标准!$M:$M,MATCH(注册申报底表!$L20,二三级标准!$L:$L,0))</f>
        <v>方案全文撰写/注册阶段</v>
      </c>
      <c r="N20" s="328"/>
      <c r="O20" s="327">
        <f>IF($Q20=1,INDEX(注册申报明细!$E:$E,MATCH(注册申报底表!$J20,注册申报明细!$B:$B,0)),0)</f>
        <v>0</v>
      </c>
      <c r="P20" s="328" t="s">
        <v>1176</v>
      </c>
      <c r="Q20" s="329">
        <f>INDEX(注册申报明细!$D:$D,MATCH($J20,注册申报明细!$B:$B,0))</f>
        <v>0</v>
      </c>
      <c r="R20" s="328" t="s">
        <v>578</v>
      </c>
      <c r="S20" s="328" t="s">
        <v>615</v>
      </c>
      <c r="T20" s="331">
        <f>INDEX('Rate Card'!$J:$J,MATCH($S20,'Rate Card'!$F:$F,0))</f>
        <v>650</v>
      </c>
      <c r="U20" s="331">
        <f t="shared" si="1"/>
        <v>48</v>
      </c>
      <c r="V20" s="327">
        <v>48</v>
      </c>
      <c r="W20" s="328"/>
      <c r="X20" s="332">
        <f t="shared" si="2"/>
        <v>48</v>
      </c>
      <c r="Y20" s="333">
        <f t="shared" si="3"/>
        <v>0</v>
      </c>
      <c r="Z20" s="328">
        <f t="shared" si="4"/>
        <v>0</v>
      </c>
      <c r="AA20" s="334">
        <f t="shared" si="5"/>
        <v>0</v>
      </c>
      <c r="AB20" s="334">
        <f>$Y20*(1-INDEX(项目参数!$D$5:$D$15,MATCH($R20,项目参数!$B$5:$B$15,0)))</f>
        <v>0</v>
      </c>
      <c r="AC20" s="334">
        <f>$AA20*INDEX(项目参数!$D$5:$D$15,MATCH($R20,项目参数!$B$5:$B$15,0))</f>
        <v>0</v>
      </c>
      <c r="AD20" s="334">
        <f t="shared" si="6"/>
        <v>0</v>
      </c>
      <c r="AE20" s="328"/>
      <c r="AF20" s="328"/>
      <c r="AG20" s="327"/>
      <c r="AH20" s="327"/>
      <c r="AI20" s="327"/>
      <c r="AJ20" s="327"/>
      <c r="AK20" s="327"/>
      <c r="AL20" s="327"/>
      <c r="AM20" s="327"/>
      <c r="AN20" s="328"/>
      <c r="AO20" s="327"/>
      <c r="AP20" s="327"/>
      <c r="AQ20" s="327"/>
      <c r="AR20" s="327"/>
      <c r="AS20" s="327"/>
      <c r="AT20" s="327"/>
      <c r="AU20" s="327"/>
      <c r="AV20" s="328">
        <f t="shared" si="7"/>
        <v>0</v>
      </c>
      <c r="AW20" s="328">
        <f t="shared" si="8"/>
        <v>0</v>
      </c>
      <c r="AX20" s="328">
        <f t="shared" si="9"/>
        <v>0</v>
      </c>
      <c r="AY20" s="328" t="b">
        <f t="shared" si="10"/>
        <v>0</v>
      </c>
    </row>
    <row r="21" ht="27" customHeight="1" spans="1:51">
      <c r="A21" s="326" t="str">
        <f>INDEX('Rate Card'!$A:$A,MATCH($S21,'Rate Card'!$F:$F,0))</f>
        <v>医学</v>
      </c>
      <c r="B21" s="327" t="str">
        <f>INDEX(二三级标准!$G:$G,MATCH($J21,二三级标准!B:B,0))</f>
        <v>份</v>
      </c>
      <c r="C21" s="327">
        <f>INDEX(注册申报明细!$E:$E,MATCH($J21,注册申报明细!$B:$B,0))</f>
        <v>0</v>
      </c>
      <c r="D21" s="327" t="str">
        <f t="shared" si="0"/>
        <v>A208MD</v>
      </c>
      <c r="E21" s="328"/>
      <c r="F21" s="328" t="s">
        <v>684</v>
      </c>
      <c r="G21" s="326" t="str">
        <f>INDEX('Rate Card'!$B:$B,MATCH($S21,'Rate Card'!$F:$F,0))</f>
        <v>医学</v>
      </c>
      <c r="H21" s="328" t="s">
        <v>1964</v>
      </c>
      <c r="I21" s="328" t="str">
        <f>INDEX(二三级标准!$Q:$Q,MATCH($H21,二三级标准!$O:$O,0))</f>
        <v>临床试验计划制定与方案撰写</v>
      </c>
      <c r="J21" s="328" t="s">
        <v>523</v>
      </c>
      <c r="K21" s="328" t="str">
        <f>INDEX(二三级标准!$C:$C,MATCH(注册申报底表!J21,二三级标准!$B:$B,0))</f>
        <v>方案撰写/注册阶段</v>
      </c>
      <c r="L21" s="328" t="s">
        <v>2056</v>
      </c>
      <c r="M21" s="328" t="str">
        <f>INDEX(二三级标准!$M:$M,MATCH(注册申报底表!$L21,二三级标准!$L:$L,0))</f>
        <v>方案全文审核/注册阶段</v>
      </c>
      <c r="N21" s="328"/>
      <c r="O21" s="327">
        <f>IF($Q21=1,INDEX(注册申报明细!$E:$E,MATCH(注册申报底表!$J21,注册申报明细!$B:$B,0)),0)</f>
        <v>0</v>
      </c>
      <c r="P21" s="328" t="s">
        <v>1178</v>
      </c>
      <c r="Q21" s="329">
        <f>INDEX(注册申报明细!$D:$D,MATCH($J21,注册申报明细!$B:$B,0))</f>
        <v>0</v>
      </c>
      <c r="R21" s="328" t="s">
        <v>578</v>
      </c>
      <c r="S21" s="328" t="s">
        <v>613</v>
      </c>
      <c r="T21" s="331">
        <f>INDEX('Rate Card'!$J:$J,MATCH($S21,'Rate Card'!$F:$F,0))</f>
        <v>990</v>
      </c>
      <c r="U21" s="331">
        <f t="shared" si="1"/>
        <v>10</v>
      </c>
      <c r="V21" s="327">
        <v>10</v>
      </c>
      <c r="W21" s="328"/>
      <c r="X21" s="332">
        <f t="shared" si="2"/>
        <v>10</v>
      </c>
      <c r="Y21" s="333">
        <f t="shared" si="3"/>
        <v>0</v>
      </c>
      <c r="Z21" s="328">
        <f t="shared" si="4"/>
        <v>0</v>
      </c>
      <c r="AA21" s="334">
        <f t="shared" si="5"/>
        <v>0</v>
      </c>
      <c r="AB21" s="334">
        <f>$Y21*(1-INDEX(项目参数!$D$5:$D$15,MATCH($R21,项目参数!$B$5:$B$15,0)))</f>
        <v>0</v>
      </c>
      <c r="AC21" s="334">
        <f>$AA21*INDEX(项目参数!$D$5:$D$15,MATCH($R21,项目参数!$B$5:$B$15,0))</f>
        <v>0</v>
      </c>
      <c r="AD21" s="334">
        <f t="shared" si="6"/>
        <v>0</v>
      </c>
      <c r="AE21" s="328"/>
      <c r="AF21" s="328"/>
      <c r="AG21" s="327"/>
      <c r="AH21" s="328"/>
      <c r="AI21" s="328"/>
      <c r="AJ21" s="328"/>
      <c r="AK21" s="328"/>
      <c r="AL21" s="328"/>
      <c r="AM21" s="328"/>
      <c r="AN21" s="328"/>
      <c r="AO21" s="327"/>
      <c r="AP21" s="328"/>
      <c r="AQ21" s="328"/>
      <c r="AR21" s="328"/>
      <c r="AS21" s="328"/>
      <c r="AT21" s="328"/>
      <c r="AU21" s="328"/>
      <c r="AV21" s="328">
        <f t="shared" si="7"/>
        <v>0</v>
      </c>
      <c r="AW21" s="328">
        <f t="shared" si="8"/>
        <v>0</v>
      </c>
      <c r="AX21" s="328">
        <f t="shared" si="9"/>
        <v>0</v>
      </c>
      <c r="AY21" s="328" t="b">
        <f t="shared" si="10"/>
        <v>0</v>
      </c>
    </row>
    <row r="22" ht="27" customHeight="1" spans="1:51">
      <c r="A22" s="326" t="str">
        <f>INDEX('Rate Card'!$A:$A,MATCH($S22,'Rate Card'!$F:$F,0))</f>
        <v>数统</v>
      </c>
      <c r="B22" s="327" t="str">
        <f>INDEX(二三级标准!$G:$G,MATCH($J22,二三级标准!B:B,0))</f>
        <v>份</v>
      </c>
      <c r="C22" s="327">
        <f>INDEX(注册申报明细!$E:$E,MATCH($J22,注册申报明细!$B:$B,0))</f>
        <v>0</v>
      </c>
      <c r="D22" s="327" t="str">
        <f t="shared" si="0"/>
        <v>A208STM</v>
      </c>
      <c r="E22" s="328"/>
      <c r="F22" s="328" t="s">
        <v>684</v>
      </c>
      <c r="G22" s="326" t="str">
        <f>INDEX('Rate Card'!$B:$B,MATCH($S22,'Rate Card'!$F:$F,0))</f>
        <v>生物统计及分析</v>
      </c>
      <c r="H22" s="328" t="s">
        <v>1964</v>
      </c>
      <c r="I22" s="328" t="str">
        <f>INDEX(二三级标准!$Q:$Q,MATCH($H22,二三级标准!$O:$O,0))</f>
        <v>临床试验计划制定与方案撰写</v>
      </c>
      <c r="J22" s="328" t="s">
        <v>523</v>
      </c>
      <c r="K22" s="328" t="str">
        <f>INDEX(二三级标准!$C:$C,MATCH(注册申报底表!J22,二三级标准!$B:$B,0))</f>
        <v>方案撰写/注册阶段</v>
      </c>
      <c r="L22" s="328" t="s">
        <v>2056</v>
      </c>
      <c r="M22" s="328" t="str">
        <f>INDEX(二三级标准!$M:$M,MATCH(注册申报底表!$L22,二三级标准!$L:$L,0))</f>
        <v>方案全文审核/注册阶段</v>
      </c>
      <c r="N22" s="328"/>
      <c r="O22" s="327">
        <f>IF($Q22=1,INDEX(注册申报明细!$E:$E,MATCH(注册申报底表!$J22,注册申报明细!$B:$B,0)),0)</f>
        <v>0</v>
      </c>
      <c r="P22" s="328" t="s">
        <v>1178</v>
      </c>
      <c r="Q22" s="329">
        <f>INDEX(注册申报明细!$D:$D,MATCH($J22,注册申报明细!$B:$B,0))</f>
        <v>0</v>
      </c>
      <c r="R22" s="328" t="str">
        <f>INDEX('Rate Card'!$D:$D,MATCH($S22,'Rate Card'!$F:$F,0))</f>
        <v>生物统计</v>
      </c>
      <c r="S22" s="328" t="s">
        <v>642</v>
      </c>
      <c r="T22" s="331">
        <f>INDEX('Rate Card'!$J:$J,MATCH($S22,'Rate Card'!$F:$F,0))</f>
        <v>700</v>
      </c>
      <c r="U22" s="331">
        <f t="shared" si="1"/>
        <v>2</v>
      </c>
      <c r="V22" s="327">
        <v>2</v>
      </c>
      <c r="W22" s="328"/>
      <c r="X22" s="332">
        <f t="shared" si="2"/>
        <v>2</v>
      </c>
      <c r="Y22" s="333">
        <f t="shared" si="3"/>
        <v>0</v>
      </c>
      <c r="Z22" s="328">
        <f t="shared" si="4"/>
        <v>0</v>
      </c>
      <c r="AA22" s="334">
        <f t="shared" si="5"/>
        <v>0</v>
      </c>
      <c r="AB22" s="334">
        <f>$Y22*(1-INDEX(项目参数!$D$5:$D$15,MATCH($R22,项目参数!$B$5:$B$15,0)))</f>
        <v>0</v>
      </c>
      <c r="AC22" s="334">
        <f>$AA22*INDEX(项目参数!$D$5:$D$15,MATCH($R22,项目参数!$B$5:$B$15,0))</f>
        <v>0</v>
      </c>
      <c r="AD22" s="334">
        <f t="shared" si="6"/>
        <v>0</v>
      </c>
      <c r="AE22" s="328"/>
      <c r="AF22" s="328"/>
      <c r="AG22" s="327"/>
      <c r="AH22" s="328"/>
      <c r="AI22" s="328"/>
      <c r="AJ22" s="328"/>
      <c r="AK22" s="328"/>
      <c r="AL22" s="328"/>
      <c r="AM22" s="328"/>
      <c r="AN22" s="328"/>
      <c r="AO22" s="327"/>
      <c r="AP22" s="328"/>
      <c r="AQ22" s="328"/>
      <c r="AR22" s="328"/>
      <c r="AS22" s="328"/>
      <c r="AT22" s="328"/>
      <c r="AU22" s="328"/>
      <c r="AV22" s="328">
        <f t="shared" si="7"/>
        <v>0</v>
      </c>
      <c r="AW22" s="328">
        <f t="shared" si="8"/>
        <v>0</v>
      </c>
      <c r="AX22" s="328">
        <f t="shared" si="9"/>
        <v>0</v>
      </c>
      <c r="AY22" s="328" t="b">
        <f t="shared" si="10"/>
        <v>0</v>
      </c>
    </row>
    <row r="23" ht="27" customHeight="1" spans="1:51">
      <c r="A23" s="326" t="str">
        <f>INDEX('Rate Card'!$A:$A,MATCH($S23,'Rate Card'!$F:$F,0))</f>
        <v>医学</v>
      </c>
      <c r="B23" s="327" t="str">
        <f>INDEX(二三级标准!$G:$G,MATCH($J23,二三级标准!B:B,0))</f>
        <v>份</v>
      </c>
      <c r="C23" s="327">
        <f>INDEX(注册申报明细!$E:$E,MATCH($J23,注册申报明细!$B:$B,0))</f>
        <v>0</v>
      </c>
      <c r="D23" s="327" t="str">
        <f t="shared" si="0"/>
        <v>A208MM</v>
      </c>
      <c r="E23" s="328"/>
      <c r="F23" s="328" t="s">
        <v>684</v>
      </c>
      <c r="G23" s="326" t="str">
        <f>INDEX('Rate Card'!$B:$B,MATCH($S23,'Rate Card'!$F:$F,0))</f>
        <v>医学</v>
      </c>
      <c r="H23" s="328" t="s">
        <v>1964</v>
      </c>
      <c r="I23" s="328" t="str">
        <f>INDEX(二三级标准!$Q:$Q,MATCH($H23,二三级标准!$O:$O,0))</f>
        <v>临床试验计划制定与方案撰写</v>
      </c>
      <c r="J23" s="328" t="s">
        <v>523</v>
      </c>
      <c r="K23" s="328" t="str">
        <f>INDEX(二三级标准!$C:$C,MATCH(注册申报底表!J23,二三级标准!$B:$B,0))</f>
        <v>方案撰写/注册阶段</v>
      </c>
      <c r="L23" s="328" t="s">
        <v>2057</v>
      </c>
      <c r="M23" s="328" t="str">
        <f>INDEX(二三级标准!$M:$M,MATCH(注册申报底表!$L23,二三级标准!$L:$L,0))</f>
        <v>方案讨论后方案修订/注册阶段</v>
      </c>
      <c r="N23" s="328"/>
      <c r="O23" s="327">
        <f>IF($Q23=1,INDEX(注册申报明细!$E:$E,MATCH(注册申报底表!$J23,注册申报明细!$B:$B,0)),0)</f>
        <v>0</v>
      </c>
      <c r="P23" s="328" t="s">
        <v>1178</v>
      </c>
      <c r="Q23" s="329">
        <f>INDEX(注册申报明细!$D:$D,MATCH($J23,注册申报明细!$B:$B,0))</f>
        <v>0</v>
      </c>
      <c r="R23" s="328" t="s">
        <v>578</v>
      </c>
      <c r="S23" s="328" t="s">
        <v>615</v>
      </c>
      <c r="T23" s="331">
        <f>INDEX('Rate Card'!$J:$J,MATCH($S23,'Rate Card'!$F:$F,0))</f>
        <v>650</v>
      </c>
      <c r="U23" s="331">
        <f t="shared" si="1"/>
        <v>16</v>
      </c>
      <c r="V23" s="327">
        <v>16</v>
      </c>
      <c r="W23" s="328"/>
      <c r="X23" s="332">
        <f t="shared" si="2"/>
        <v>16</v>
      </c>
      <c r="Y23" s="333">
        <f t="shared" si="3"/>
        <v>0</v>
      </c>
      <c r="Z23" s="328">
        <f t="shared" si="4"/>
        <v>0</v>
      </c>
      <c r="AA23" s="334">
        <f t="shared" si="5"/>
        <v>0</v>
      </c>
      <c r="AB23" s="334">
        <f>$Y23*(1-INDEX(项目参数!$D$5:$D$15,MATCH($R23,项目参数!$B$5:$B$15,0)))</f>
        <v>0</v>
      </c>
      <c r="AC23" s="334">
        <f>$AA23*INDEX(项目参数!$D$5:$D$15,MATCH($R23,项目参数!$B$5:$B$15,0))</f>
        <v>0</v>
      </c>
      <c r="AD23" s="334">
        <f t="shared" si="6"/>
        <v>0</v>
      </c>
      <c r="AE23" s="328"/>
      <c r="AF23" s="328"/>
      <c r="AG23" s="327"/>
      <c r="AH23" s="328"/>
      <c r="AI23" s="328"/>
      <c r="AJ23" s="328"/>
      <c r="AK23" s="328"/>
      <c r="AL23" s="328"/>
      <c r="AM23" s="328"/>
      <c r="AN23" s="328"/>
      <c r="AO23" s="327"/>
      <c r="AP23" s="328"/>
      <c r="AQ23" s="328"/>
      <c r="AR23" s="328"/>
      <c r="AS23" s="328"/>
      <c r="AT23" s="328"/>
      <c r="AU23" s="328"/>
      <c r="AV23" s="328">
        <f t="shared" si="7"/>
        <v>0</v>
      </c>
      <c r="AW23" s="328">
        <f t="shared" si="8"/>
        <v>0</v>
      </c>
      <c r="AX23" s="328">
        <f t="shared" si="9"/>
        <v>0</v>
      </c>
      <c r="AY23" s="328" t="b">
        <f t="shared" si="10"/>
        <v>0</v>
      </c>
    </row>
    <row r="24" ht="27" customHeight="1" spans="1:51">
      <c r="A24" s="326" t="str">
        <f>INDEX('Rate Card'!$A:$A,MATCH($S24,'Rate Card'!$F:$F,0))</f>
        <v>医学</v>
      </c>
      <c r="B24" s="327" t="str">
        <f>INDEX(二三级标准!$G:$G,MATCH($J24,二三级标准!B:B,0))</f>
        <v>份</v>
      </c>
      <c r="C24" s="327">
        <f>INDEX(注册申报明细!$E:$E,MATCH($J24,注册申报明细!$B:$B,0))</f>
        <v>0</v>
      </c>
      <c r="D24" s="327" t="str">
        <f t="shared" si="0"/>
        <v>A208MD</v>
      </c>
      <c r="E24" s="328"/>
      <c r="F24" s="328" t="s">
        <v>684</v>
      </c>
      <c r="G24" s="326" t="str">
        <f>INDEX('Rate Card'!$B:$B,MATCH($S24,'Rate Card'!$F:$F,0))</f>
        <v>医学</v>
      </c>
      <c r="H24" s="328" t="s">
        <v>1964</v>
      </c>
      <c r="I24" s="328" t="str">
        <f>INDEX(二三级标准!$Q:$Q,MATCH($H24,二三级标准!$O:$O,0))</f>
        <v>临床试验计划制定与方案撰写</v>
      </c>
      <c r="J24" s="328" t="s">
        <v>523</v>
      </c>
      <c r="K24" s="328" t="str">
        <f>INDEX(二三级标准!$C:$C,MATCH(注册申报底表!J24,二三级标准!$B:$B,0))</f>
        <v>方案撰写/注册阶段</v>
      </c>
      <c r="L24" s="328" t="s">
        <v>2058</v>
      </c>
      <c r="M24" s="328" t="str">
        <f>INDEX(二三级标准!$M:$M,MATCH(注册申报底表!$L24,二三级标准!$L:$L,0))</f>
        <v>方案讨论后方案审核/注册阶段</v>
      </c>
      <c r="N24" s="328"/>
      <c r="O24" s="327">
        <f>IF($Q24=1,INDEX(注册申报明细!$E:$E,MATCH(注册申报底表!$J24,注册申报明细!$B:$B,0)),0)</f>
        <v>0</v>
      </c>
      <c r="P24" s="328" t="s">
        <v>1178</v>
      </c>
      <c r="Q24" s="329">
        <f>INDEX(注册申报明细!$D:$D,MATCH($J24,注册申报明细!$B:$B,0))</f>
        <v>0</v>
      </c>
      <c r="R24" s="328" t="s">
        <v>578</v>
      </c>
      <c r="S24" s="328" t="s">
        <v>613</v>
      </c>
      <c r="T24" s="331">
        <f>INDEX('Rate Card'!$J:$J,MATCH($S24,'Rate Card'!$F:$F,0))</f>
        <v>990</v>
      </c>
      <c r="U24" s="331">
        <f t="shared" si="1"/>
        <v>8</v>
      </c>
      <c r="V24" s="327">
        <v>8</v>
      </c>
      <c r="W24" s="328"/>
      <c r="X24" s="332">
        <f t="shared" si="2"/>
        <v>8</v>
      </c>
      <c r="Y24" s="333">
        <f t="shared" si="3"/>
        <v>0</v>
      </c>
      <c r="Z24" s="328">
        <f t="shared" si="4"/>
        <v>0</v>
      </c>
      <c r="AA24" s="334">
        <f t="shared" si="5"/>
        <v>0</v>
      </c>
      <c r="AB24" s="334">
        <f>$Y24*(1-INDEX(项目参数!$D$5:$D$15,MATCH($R24,项目参数!$B$5:$B$15,0)))</f>
        <v>0</v>
      </c>
      <c r="AC24" s="334">
        <f>$AA24*INDEX(项目参数!$D$5:$D$15,MATCH($R24,项目参数!$B$5:$B$15,0))</f>
        <v>0</v>
      </c>
      <c r="AD24" s="334">
        <f t="shared" si="6"/>
        <v>0</v>
      </c>
      <c r="AE24" s="328"/>
      <c r="AF24" s="328"/>
      <c r="AG24" s="327"/>
      <c r="AH24" s="328"/>
      <c r="AI24" s="328"/>
      <c r="AJ24" s="328"/>
      <c r="AK24" s="328"/>
      <c r="AL24" s="328"/>
      <c r="AM24" s="328"/>
      <c r="AN24" s="328"/>
      <c r="AO24" s="327"/>
      <c r="AP24" s="328"/>
      <c r="AQ24" s="328"/>
      <c r="AR24" s="328"/>
      <c r="AS24" s="328"/>
      <c r="AT24" s="328"/>
      <c r="AU24" s="328"/>
      <c r="AV24" s="328">
        <f t="shared" si="7"/>
        <v>0</v>
      </c>
      <c r="AW24" s="328">
        <f t="shared" si="8"/>
        <v>0</v>
      </c>
      <c r="AX24" s="328">
        <f t="shared" si="9"/>
        <v>0</v>
      </c>
      <c r="AY24" s="328" t="b">
        <f t="shared" si="10"/>
        <v>0</v>
      </c>
    </row>
    <row r="25" ht="36" customHeight="1" spans="1:51">
      <c r="A25" s="326" t="str">
        <f>INDEX('Rate Card'!$A:$A,MATCH($S25,'Rate Card'!$F:$F,0))</f>
        <v>临床药理</v>
      </c>
      <c r="B25" s="327" t="str">
        <f>INDEX(二三级标准!$G:$G,MATCH($J25,二三级标准!B:B,0))</f>
        <v>份</v>
      </c>
      <c r="C25" s="327">
        <f>INDEX(注册申报明细!$E:$E,MATCH($J25,注册申报明细!$B:$B,0))</f>
        <v>0</v>
      </c>
      <c r="D25" s="327" t="str">
        <f t="shared" ref="D25:D30" si="11">J25&amp;S25</f>
        <v>A270CPSS</v>
      </c>
      <c r="E25" s="328"/>
      <c r="F25" s="328" t="s">
        <v>684</v>
      </c>
      <c r="G25" s="326" t="str">
        <f>INDEX('Rate Card'!$B:$B,MATCH($S25,'Rate Card'!$F:$F,0))</f>
        <v>临床药理</v>
      </c>
      <c r="H25" s="328" t="s">
        <v>1964</v>
      </c>
      <c r="I25" s="328" t="str">
        <f>INDEX(二三级标准!$Q:$Q,MATCH($H25,二三级标准!$O:$O,0))</f>
        <v>临床试验计划制定与方案撰写</v>
      </c>
      <c r="J25" s="328" t="s">
        <v>1966</v>
      </c>
      <c r="K25" s="328" t="str">
        <f>INDEX(二三级标准!$C:$C,MATCH(注册申报底表!J25,二三级标准!$B:$B,0))</f>
        <v>起始剂量及爬坡幅度设定</v>
      </c>
      <c r="L25" s="328" t="s">
        <v>2059</v>
      </c>
      <c r="M25" s="328" t="str">
        <f>INDEX(二三级标准!$M:$M,MATCH(注册申报底表!$L25,二三级标准!$L:$L,0))</f>
        <v>起始剂量及爬坡幅度设定</v>
      </c>
      <c r="N25" s="328"/>
      <c r="O25" s="327">
        <f>IF($Q25=1,INDEX(注册申报明细!$E:$E,MATCH(注册申报底表!$J25,注册申报明细!$B:$B,0)),0)</f>
        <v>0</v>
      </c>
      <c r="P25" s="328" t="s">
        <v>1178</v>
      </c>
      <c r="Q25" s="329">
        <v>0</v>
      </c>
      <c r="R25" s="328" t="str">
        <f>INDEX('Rate Card'!$D:$D,MATCH($S25,'Rate Card'!$F:$F,0))</f>
        <v>临床药理</v>
      </c>
      <c r="S25" s="328" t="s">
        <v>654</v>
      </c>
      <c r="T25" s="331">
        <f>INDEX('Rate Card'!$J:$J,MATCH($S25,'Rate Card'!$F:$F,0))</f>
        <v>700</v>
      </c>
      <c r="U25" s="331">
        <f t="shared" ref="U25:U30" si="12">$U$1*V25</f>
        <v>32</v>
      </c>
      <c r="V25" s="327">
        <v>32</v>
      </c>
      <c r="W25" s="328"/>
      <c r="X25" s="332">
        <f t="shared" ref="X25:X30" si="13">IF(ISBLANK($W25),$V25,$W25)</f>
        <v>32</v>
      </c>
      <c r="Y25" s="333">
        <f t="shared" ref="Y25:Y30" si="14">IFERROR(AA25/O25,0)</f>
        <v>0</v>
      </c>
      <c r="Z25" s="328">
        <f t="shared" ref="Z25:Z30" si="15">X25*O25*Q25</f>
        <v>0</v>
      </c>
      <c r="AA25" s="334">
        <f t="shared" ref="AA25:AA30" si="16">Z25*T25</f>
        <v>0</v>
      </c>
      <c r="AB25" s="334">
        <f>$Y25*(1-INDEX(项目参数!$D$5:$D$15,MATCH($R25,项目参数!$B$5:$B$15,0)))</f>
        <v>0</v>
      </c>
      <c r="AC25" s="334">
        <f>$AA25*INDEX(项目参数!$D$5:$D$15,MATCH($R25,项目参数!$B$5:$B$15,0))</f>
        <v>0</v>
      </c>
      <c r="AD25" s="334">
        <f t="shared" ref="AD25:AD30" si="17">AA25-AC25</f>
        <v>0</v>
      </c>
      <c r="AE25" s="328"/>
      <c r="AF25" s="328"/>
      <c r="AG25" s="327"/>
      <c r="AH25" s="328"/>
      <c r="AI25" s="328"/>
      <c r="AJ25" s="328"/>
      <c r="AK25" s="328"/>
      <c r="AL25" s="328"/>
      <c r="AM25" s="328"/>
      <c r="AN25" s="328"/>
      <c r="AO25" s="327"/>
      <c r="AP25" s="328"/>
      <c r="AQ25" s="328"/>
      <c r="AR25" s="328"/>
      <c r="AS25" s="328"/>
      <c r="AT25" s="328"/>
      <c r="AU25" s="328"/>
      <c r="AV25" s="328">
        <f t="shared" ref="AV25:AV30" si="18">Z25</f>
        <v>0</v>
      </c>
      <c r="AW25" s="328">
        <f t="shared" ref="AW25:AW30" si="19">V25*O25</f>
        <v>0</v>
      </c>
      <c r="AX25" s="328">
        <f t="shared" ref="AX25:AX30" si="20">AW25*$U$1</f>
        <v>0</v>
      </c>
      <c r="AY25" s="328" t="b">
        <f t="shared" si="10"/>
        <v>1</v>
      </c>
    </row>
    <row r="26" ht="27" customHeight="1" spans="1:51">
      <c r="A26" s="326" t="str">
        <f>INDEX('Rate Card'!$A:$A,MATCH($S26,'Rate Card'!$F:$F,0))</f>
        <v>医学</v>
      </c>
      <c r="B26" s="327" t="str">
        <f>INDEX(二三级标准!$G:$G,MATCH($J26,二三级标准!B:B,0))</f>
        <v>份</v>
      </c>
      <c r="C26" s="327">
        <f>INDEX(注册申报明细!$E:$E,MATCH($J26,注册申报明细!$B:$B,0))</f>
        <v>0</v>
      </c>
      <c r="D26" s="327" t="str">
        <f t="shared" si="11"/>
        <v>A177MM</v>
      </c>
      <c r="E26" s="328"/>
      <c r="F26" s="328" t="s">
        <v>684</v>
      </c>
      <c r="G26" s="326" t="str">
        <f>INDEX('Rate Card'!$B:$B,MATCH($S26,'Rate Card'!$F:$F,0))</f>
        <v>医学</v>
      </c>
      <c r="H26" s="328" t="s">
        <v>1967</v>
      </c>
      <c r="I26" s="328" t="str">
        <f>INDEX(二三级标准!$Q:$Q,MATCH($H26,二三级标准!$O:$O,0))</f>
        <v>临床试验相关资料准备</v>
      </c>
      <c r="J26" s="328" t="s">
        <v>461</v>
      </c>
      <c r="K26" s="328" t="str">
        <f>INDEX(二三级标准!$C:$C,MATCH(注册申报底表!J26,二三级标准!$B:$B,0))</f>
        <v>临床综述撰写2.5</v>
      </c>
      <c r="L26" s="328" t="s">
        <v>2060</v>
      </c>
      <c r="M26" s="328" t="str">
        <f>INDEX(二三级标准!$M:$M,MATCH(注册申报底表!$L26,二三级标准!$L:$L,0))</f>
        <v>临床综述撰写2.5</v>
      </c>
      <c r="N26" s="328"/>
      <c r="O26" s="327">
        <f>IF($Q26=1,INDEX(注册申报明细!$E:$E,MATCH(注册申报底表!$J26,注册申报明细!$B:$B,0)),0)</f>
        <v>0</v>
      </c>
      <c r="P26" s="328" t="s">
        <v>1176</v>
      </c>
      <c r="Q26" s="329">
        <f>INDEX(注册申报明细!$D:$D,MATCH($J26,注册申报明细!$B:$B,0))</f>
        <v>0</v>
      </c>
      <c r="R26" s="330" t="s">
        <v>578</v>
      </c>
      <c r="S26" s="328" t="s">
        <v>615</v>
      </c>
      <c r="T26" s="331">
        <f>INDEX('Rate Card'!$J:$J,MATCH($S26,'Rate Card'!$F:$F,0))</f>
        <v>650</v>
      </c>
      <c r="U26" s="331">
        <f t="shared" si="12"/>
        <v>48</v>
      </c>
      <c r="V26" s="327">
        <v>48</v>
      </c>
      <c r="W26" s="328"/>
      <c r="X26" s="332">
        <f t="shared" si="13"/>
        <v>48</v>
      </c>
      <c r="Y26" s="333">
        <f t="shared" si="14"/>
        <v>0</v>
      </c>
      <c r="Z26" s="328">
        <f t="shared" si="15"/>
        <v>0</v>
      </c>
      <c r="AA26" s="334">
        <f t="shared" si="16"/>
        <v>0</v>
      </c>
      <c r="AB26" s="334">
        <f>$Y26*(1-INDEX(项目参数!$D$5:$D$15,MATCH($R26,项目参数!$B$5:$B$15,0)))</f>
        <v>0</v>
      </c>
      <c r="AC26" s="334">
        <f>$AA26*INDEX(项目参数!$D$5:$D$15,MATCH($R26,项目参数!$B$5:$B$15,0))</f>
        <v>0</v>
      </c>
      <c r="AD26" s="334">
        <f t="shared" si="17"/>
        <v>0</v>
      </c>
      <c r="AE26" s="328"/>
      <c r="AF26" s="328"/>
      <c r="AG26" s="327"/>
      <c r="AH26" s="327"/>
      <c r="AI26" s="327"/>
      <c r="AJ26" s="327"/>
      <c r="AK26" s="327"/>
      <c r="AL26" s="327"/>
      <c r="AM26" s="327"/>
      <c r="AN26" s="328"/>
      <c r="AO26" s="327"/>
      <c r="AP26" s="327"/>
      <c r="AQ26" s="327"/>
      <c r="AR26" s="327"/>
      <c r="AS26" s="327"/>
      <c r="AT26" s="327"/>
      <c r="AU26" s="327"/>
      <c r="AV26" s="328">
        <f t="shared" si="18"/>
        <v>0</v>
      </c>
      <c r="AW26" s="328">
        <f t="shared" si="19"/>
        <v>0</v>
      </c>
      <c r="AX26" s="328">
        <f t="shared" si="20"/>
        <v>0</v>
      </c>
      <c r="AY26" s="328" t="b">
        <f t="shared" si="10"/>
        <v>0</v>
      </c>
    </row>
    <row r="27" ht="27" customHeight="1" spans="1:51">
      <c r="A27" s="326" t="str">
        <f>INDEX('Rate Card'!$A:$A,MATCH($S27,'Rate Card'!$F:$F,0))</f>
        <v>医学</v>
      </c>
      <c r="B27" s="327" t="str">
        <f>INDEX(二三级标准!$G:$G,MATCH($J27,二三级标准!B:B,0))</f>
        <v>份</v>
      </c>
      <c r="C27" s="327">
        <f>INDEX(注册申报明细!$E:$E,MATCH($J27,注册申报明细!$B:$B,0))</f>
        <v>0</v>
      </c>
      <c r="D27" s="327" t="str">
        <f t="shared" si="11"/>
        <v>A177MD</v>
      </c>
      <c r="E27" s="328"/>
      <c r="F27" s="328" t="s">
        <v>684</v>
      </c>
      <c r="G27" s="326" t="str">
        <f>INDEX('Rate Card'!$B:$B,MATCH($S27,'Rate Card'!$F:$F,0))</f>
        <v>医学</v>
      </c>
      <c r="H27" s="328" t="s">
        <v>1967</v>
      </c>
      <c r="I27" s="328" t="str">
        <f>INDEX(二三级标准!$Q:$Q,MATCH($H27,二三级标准!$O:$O,0))</f>
        <v>临床试验相关资料准备</v>
      </c>
      <c r="J27" s="328" t="s">
        <v>461</v>
      </c>
      <c r="K27" s="328" t="str">
        <f>INDEX(二三级标准!$C:$C,MATCH(注册申报底表!J27,二三级标准!$B:$B,0))</f>
        <v>临床综述撰写2.5</v>
      </c>
      <c r="L27" s="328" t="s">
        <v>2061</v>
      </c>
      <c r="M27" s="328" t="str">
        <f>INDEX(二三级标准!$M:$M,MATCH(注册申报底表!$L27,二三级标准!$L:$L,0))</f>
        <v>临床综述审核2.5</v>
      </c>
      <c r="N27" s="328"/>
      <c r="O27" s="327">
        <f>IF($Q27=1,INDEX(注册申报明细!$E:$E,MATCH(注册申报底表!$J27,注册申报明细!$B:$B,0)),0)</f>
        <v>0</v>
      </c>
      <c r="P27" s="328" t="s">
        <v>1176</v>
      </c>
      <c r="Q27" s="329">
        <f>INDEX(注册申报明细!$D:$D,MATCH($J27,注册申报明细!$B:$B,0))</f>
        <v>0</v>
      </c>
      <c r="R27" s="330" t="s">
        <v>578</v>
      </c>
      <c r="S27" s="328" t="s">
        <v>613</v>
      </c>
      <c r="T27" s="331">
        <f>INDEX('Rate Card'!$J:$J,MATCH($S27,'Rate Card'!$F:$F,0))</f>
        <v>990</v>
      </c>
      <c r="U27" s="331">
        <f t="shared" si="12"/>
        <v>10</v>
      </c>
      <c r="V27" s="327">
        <v>10</v>
      </c>
      <c r="W27" s="328"/>
      <c r="X27" s="332">
        <f t="shared" si="13"/>
        <v>10</v>
      </c>
      <c r="Y27" s="333">
        <f t="shared" si="14"/>
        <v>0</v>
      </c>
      <c r="Z27" s="328">
        <f t="shared" si="15"/>
        <v>0</v>
      </c>
      <c r="AA27" s="334">
        <f t="shared" si="16"/>
        <v>0</v>
      </c>
      <c r="AB27" s="334">
        <f>$Y27*(1-INDEX(项目参数!$D$5:$D$15,MATCH($R27,项目参数!$B$5:$B$15,0)))</f>
        <v>0</v>
      </c>
      <c r="AC27" s="334">
        <f>$AA27*INDEX(项目参数!$D$5:$D$15,MATCH($R27,项目参数!$B$5:$B$15,0))</f>
        <v>0</v>
      </c>
      <c r="AD27" s="334">
        <f t="shared" si="17"/>
        <v>0</v>
      </c>
      <c r="AE27" s="328"/>
      <c r="AF27" s="328"/>
      <c r="AG27" s="327"/>
      <c r="AH27" s="328"/>
      <c r="AI27" s="328"/>
      <c r="AJ27" s="328"/>
      <c r="AK27" s="328"/>
      <c r="AL27" s="328"/>
      <c r="AM27" s="328"/>
      <c r="AN27" s="328"/>
      <c r="AO27" s="327"/>
      <c r="AP27" s="328"/>
      <c r="AQ27" s="328"/>
      <c r="AR27" s="328"/>
      <c r="AS27" s="328"/>
      <c r="AT27" s="328"/>
      <c r="AU27" s="328"/>
      <c r="AV27" s="328">
        <f t="shared" si="18"/>
        <v>0</v>
      </c>
      <c r="AW27" s="328">
        <f t="shared" si="19"/>
        <v>0</v>
      </c>
      <c r="AX27" s="328">
        <f t="shared" si="20"/>
        <v>0</v>
      </c>
      <c r="AY27" s="328" t="b">
        <f t="shared" si="10"/>
        <v>0</v>
      </c>
    </row>
    <row r="28" ht="27" customHeight="1" spans="1:51">
      <c r="A28" s="326" t="str">
        <f>INDEX('Rate Card'!$A:$A,MATCH($S28,'Rate Card'!$F:$F,0))</f>
        <v>医学</v>
      </c>
      <c r="B28" s="327" t="str">
        <f>INDEX(二三级标准!$G:$G,MATCH($J28,二三级标准!B:B,0))</f>
        <v>份</v>
      </c>
      <c r="C28" s="327">
        <f>INDEX(注册申报明细!$E:$E,MATCH($J28,注册申报明细!$B:$B,0))</f>
        <v>0</v>
      </c>
      <c r="D28" s="327" t="str">
        <f t="shared" si="11"/>
        <v>A177bMM</v>
      </c>
      <c r="E28" s="328"/>
      <c r="F28" s="328" t="s">
        <v>684</v>
      </c>
      <c r="G28" s="326" t="str">
        <f>INDEX('Rate Card'!$B:$B,MATCH($S28,'Rate Card'!$F:$F,0))</f>
        <v>医学</v>
      </c>
      <c r="H28" s="328" t="s">
        <v>1967</v>
      </c>
      <c r="I28" s="328" t="str">
        <f>INDEX(二三级标准!$Q:$Q,MATCH($H28,二三级标准!$O:$O,0))</f>
        <v>临床试验相关资料准备</v>
      </c>
      <c r="J28" s="328" t="s">
        <v>1968</v>
      </c>
      <c r="K28" s="328" t="str">
        <f>INDEX(二三级标准!$C:$C,MATCH(注册申报底表!J28,二三级标准!$B:$B,0))</f>
        <v>临床总结撰写2.7</v>
      </c>
      <c r="L28" s="328" t="s">
        <v>2062</v>
      </c>
      <c r="M28" s="328" t="str">
        <f>INDEX(二三级标准!$M:$M,MATCH(注册申报底表!$L28,二三级标准!$L:$L,0))</f>
        <v>临床总结撰写2.7</v>
      </c>
      <c r="N28" s="328"/>
      <c r="O28" s="327">
        <f>IF($Q28=1,INDEX(注册申报明细!$E:$E,MATCH(注册申报底表!$J28,注册申报明细!$B:$B,0)),0)</f>
        <v>0</v>
      </c>
      <c r="P28" s="328" t="s">
        <v>1176</v>
      </c>
      <c r="Q28" s="329">
        <f>INDEX(注册申报明细!$D:$D,MATCH($J28,注册申报明细!$B:$B,0))</f>
        <v>0</v>
      </c>
      <c r="R28" s="330" t="s">
        <v>578</v>
      </c>
      <c r="S28" s="328" t="s">
        <v>615</v>
      </c>
      <c r="T28" s="331">
        <f>INDEX('Rate Card'!$J:$J,MATCH($S28,'Rate Card'!$F:$F,0))</f>
        <v>650</v>
      </c>
      <c r="U28" s="331">
        <f t="shared" si="12"/>
        <v>30</v>
      </c>
      <c r="V28" s="327">
        <v>30</v>
      </c>
      <c r="W28" s="328"/>
      <c r="X28" s="332">
        <f t="shared" si="13"/>
        <v>30</v>
      </c>
      <c r="Y28" s="333">
        <f t="shared" si="14"/>
        <v>0</v>
      </c>
      <c r="Z28" s="328">
        <f t="shared" si="15"/>
        <v>0</v>
      </c>
      <c r="AA28" s="334">
        <f t="shared" si="16"/>
        <v>0</v>
      </c>
      <c r="AB28" s="334">
        <f>$Y28*(1-INDEX(项目参数!$D$5:$D$15,MATCH($R28,项目参数!$B$5:$B$15,0)))</f>
        <v>0</v>
      </c>
      <c r="AC28" s="334">
        <f>$AA28*INDEX(项目参数!$D$5:$D$15,MATCH($R28,项目参数!$B$5:$B$15,0))</f>
        <v>0</v>
      </c>
      <c r="AD28" s="334">
        <f t="shared" si="17"/>
        <v>0</v>
      </c>
      <c r="AE28" s="328"/>
      <c r="AF28" s="328"/>
      <c r="AG28" s="327"/>
      <c r="AH28" s="328"/>
      <c r="AI28" s="328"/>
      <c r="AJ28" s="328"/>
      <c r="AK28" s="328"/>
      <c r="AL28" s="328"/>
      <c r="AM28" s="328"/>
      <c r="AN28" s="328"/>
      <c r="AO28" s="327"/>
      <c r="AP28" s="328"/>
      <c r="AQ28" s="328"/>
      <c r="AR28" s="328"/>
      <c r="AS28" s="328"/>
      <c r="AT28" s="328"/>
      <c r="AU28" s="328"/>
      <c r="AV28" s="328">
        <f t="shared" si="18"/>
        <v>0</v>
      </c>
      <c r="AW28" s="328">
        <f t="shared" si="19"/>
        <v>0</v>
      </c>
      <c r="AX28" s="328">
        <f t="shared" si="20"/>
        <v>0</v>
      </c>
      <c r="AY28" s="328" t="b">
        <f t="shared" si="10"/>
        <v>1</v>
      </c>
    </row>
    <row r="29" ht="27" customHeight="1" spans="1:51">
      <c r="A29" s="326" t="str">
        <f>INDEX('Rate Card'!$A:$A,MATCH($S29,'Rate Card'!$F:$F,0))</f>
        <v>医学</v>
      </c>
      <c r="B29" s="327" t="str">
        <f>INDEX(二三级标准!$G:$G,MATCH($J29,二三级标准!B:B,0))</f>
        <v>份</v>
      </c>
      <c r="C29" s="327">
        <f>INDEX(注册申报明细!$E:$E,MATCH($J29,注册申报明细!$B:$B,0))</f>
        <v>0</v>
      </c>
      <c r="D29" s="327" t="str">
        <f t="shared" si="11"/>
        <v>A177bMD</v>
      </c>
      <c r="E29" s="328"/>
      <c r="F29" s="328" t="s">
        <v>684</v>
      </c>
      <c r="G29" s="326" t="str">
        <f>INDEX('Rate Card'!$B:$B,MATCH($S29,'Rate Card'!$F:$F,0))</f>
        <v>医学</v>
      </c>
      <c r="H29" s="328" t="s">
        <v>1967</v>
      </c>
      <c r="I29" s="328" t="str">
        <f>INDEX(二三级标准!$Q:$Q,MATCH($H29,二三级标准!$O:$O,0))</f>
        <v>临床试验相关资料准备</v>
      </c>
      <c r="J29" s="328" t="s">
        <v>1968</v>
      </c>
      <c r="K29" s="328" t="str">
        <f>INDEX(二三级标准!$C:$C,MATCH(注册申报底表!J29,二三级标准!$B:$B,0))</f>
        <v>临床总结撰写2.7</v>
      </c>
      <c r="L29" s="328" t="s">
        <v>2063</v>
      </c>
      <c r="M29" s="328" t="str">
        <f>INDEX(二三级标准!$M:$M,MATCH(注册申报底表!$L29,二三级标准!$L:$L,0))</f>
        <v>临床总结审核2.7</v>
      </c>
      <c r="N29" s="328"/>
      <c r="O29" s="327">
        <f>IF($Q29=1,INDEX(注册申报明细!$E:$E,MATCH(注册申报底表!$J29,注册申报明细!$B:$B,0)),0)</f>
        <v>0</v>
      </c>
      <c r="P29" s="328" t="s">
        <v>1176</v>
      </c>
      <c r="Q29" s="329">
        <f>INDEX(注册申报明细!$D:$D,MATCH($J29,注册申报明细!$B:$B,0))</f>
        <v>0</v>
      </c>
      <c r="R29" s="330" t="s">
        <v>578</v>
      </c>
      <c r="S29" s="328" t="s">
        <v>613</v>
      </c>
      <c r="T29" s="331">
        <f>INDEX('Rate Card'!$J:$J,MATCH($S29,'Rate Card'!$F:$F,0))</f>
        <v>990</v>
      </c>
      <c r="U29" s="331">
        <f t="shared" si="12"/>
        <v>8</v>
      </c>
      <c r="V29" s="327">
        <v>8</v>
      </c>
      <c r="W29" s="328"/>
      <c r="X29" s="332">
        <f t="shared" si="13"/>
        <v>8</v>
      </c>
      <c r="Y29" s="333">
        <f t="shared" si="14"/>
        <v>0</v>
      </c>
      <c r="Z29" s="328">
        <f t="shared" si="15"/>
        <v>0</v>
      </c>
      <c r="AA29" s="334">
        <f t="shared" si="16"/>
        <v>0</v>
      </c>
      <c r="AB29" s="334">
        <f>$Y29*(1-INDEX(项目参数!$D$5:$D$15,MATCH($R29,项目参数!$B$5:$B$15,0)))</f>
        <v>0</v>
      </c>
      <c r="AC29" s="334">
        <f>$AA29*INDEX(项目参数!$D$5:$D$15,MATCH($R29,项目参数!$B$5:$B$15,0))</f>
        <v>0</v>
      </c>
      <c r="AD29" s="334">
        <f t="shared" si="17"/>
        <v>0</v>
      </c>
      <c r="AE29" s="328"/>
      <c r="AF29" s="328"/>
      <c r="AG29" s="327"/>
      <c r="AH29" s="328"/>
      <c r="AI29" s="328"/>
      <c r="AJ29" s="328"/>
      <c r="AK29" s="328"/>
      <c r="AL29" s="328"/>
      <c r="AM29" s="328"/>
      <c r="AN29" s="328"/>
      <c r="AO29" s="327"/>
      <c r="AP29" s="328"/>
      <c r="AQ29" s="328"/>
      <c r="AR29" s="328"/>
      <c r="AS29" s="328"/>
      <c r="AT29" s="328"/>
      <c r="AU29" s="328"/>
      <c r="AV29" s="328">
        <f t="shared" si="18"/>
        <v>0</v>
      </c>
      <c r="AW29" s="328">
        <f t="shared" si="19"/>
        <v>0</v>
      </c>
      <c r="AX29" s="328">
        <f t="shared" si="20"/>
        <v>0</v>
      </c>
      <c r="AY29" s="328" t="b">
        <f t="shared" si="10"/>
        <v>1</v>
      </c>
    </row>
    <row r="30" ht="27" customHeight="1" spans="1:51">
      <c r="A30" s="326" t="str">
        <f>INDEX('Rate Card'!$A:$A,MATCH($S30,'Rate Card'!$F:$F,0))</f>
        <v>医学</v>
      </c>
      <c r="B30" s="327" t="str">
        <f>INDEX(二三级标准!$G:$G,MATCH($J30,二三级标准!B:B,0))</f>
        <v>次</v>
      </c>
      <c r="C30" s="327">
        <f>INDEX(注册申报明细!$E:$E,MATCH($J30,注册申报明细!$B:$B,0))</f>
        <v>0</v>
      </c>
      <c r="D30" s="327" t="str">
        <f t="shared" si="11"/>
        <v>A177aMM</v>
      </c>
      <c r="E30" s="328"/>
      <c r="F30" s="328" t="s">
        <v>684</v>
      </c>
      <c r="G30" s="326" t="str">
        <f>INDEX('Rate Card'!$B:$B,MATCH($S30,'Rate Card'!$F:$F,0))</f>
        <v>医学</v>
      </c>
      <c r="H30" s="328" t="s">
        <v>1967</v>
      </c>
      <c r="I30" s="328" t="str">
        <f>INDEX(二三级标准!$Q:$Q,MATCH($H30,二三级标准!$O:$O,0))</f>
        <v>临床试验相关资料准备</v>
      </c>
      <c r="J30" s="328" t="s">
        <v>1969</v>
      </c>
      <c r="K30" s="328" t="str">
        <f>INDEX(二三级标准!$C:$C,MATCH(注册申报底表!J30,二三级标准!$B:$B,0))</f>
        <v>临床综述撰写更新/审阅2.5</v>
      </c>
      <c r="L30" s="328" t="s">
        <v>2064</v>
      </c>
      <c r="M30" s="328" t="str">
        <f>INDEX(二三级标准!$M:$M,MATCH(注册申报底表!$L30,二三级标准!$L:$L,0))</f>
        <v>临床综述撰写更新2.5</v>
      </c>
      <c r="N30" s="328"/>
      <c r="O30" s="327">
        <f>IF($Q30=1,INDEX(注册申报明细!$E:$E,MATCH(注册申报底表!$J30,注册申报明细!$B:$B,0)),0)</f>
        <v>0</v>
      </c>
      <c r="P30" s="335" t="s">
        <v>1178</v>
      </c>
      <c r="Q30" s="329">
        <f>INDEX(注册申报明细!$D:$D,MATCH($J30,注册申报明细!$B:$B,0))</f>
        <v>0</v>
      </c>
      <c r="R30" s="330" t="s">
        <v>578</v>
      </c>
      <c r="S30" s="328" t="s">
        <v>615</v>
      </c>
      <c r="T30" s="331">
        <f>INDEX('Rate Card'!$J:$J,MATCH($S30,'Rate Card'!$F:$F,0))</f>
        <v>650</v>
      </c>
      <c r="U30" s="331">
        <f t="shared" si="12"/>
        <v>24</v>
      </c>
      <c r="V30" s="336">
        <v>24</v>
      </c>
      <c r="W30" s="328"/>
      <c r="X30" s="332">
        <f t="shared" si="13"/>
        <v>24</v>
      </c>
      <c r="Y30" s="333">
        <f t="shared" si="14"/>
        <v>0</v>
      </c>
      <c r="Z30" s="328">
        <f t="shared" si="15"/>
        <v>0</v>
      </c>
      <c r="AA30" s="334">
        <f t="shared" si="16"/>
        <v>0</v>
      </c>
      <c r="AB30" s="334">
        <f>$Y30*(1-INDEX(项目参数!$D$5:$D$15,MATCH($R30,项目参数!$B$5:$B$15,0)))</f>
        <v>0</v>
      </c>
      <c r="AC30" s="334">
        <f>$AA30*INDEX(项目参数!$D$5:$D$15,MATCH($R30,项目参数!$B$5:$B$15,0))</f>
        <v>0</v>
      </c>
      <c r="AD30" s="334">
        <f t="shared" si="17"/>
        <v>0</v>
      </c>
      <c r="AE30" s="328"/>
      <c r="AF30" s="328"/>
      <c r="AG30" s="327"/>
      <c r="AH30" s="328"/>
      <c r="AI30" s="328"/>
      <c r="AJ30" s="328"/>
      <c r="AK30" s="328"/>
      <c r="AL30" s="328"/>
      <c r="AM30" s="328"/>
      <c r="AN30" s="328"/>
      <c r="AO30" s="327"/>
      <c r="AP30" s="328"/>
      <c r="AQ30" s="328"/>
      <c r="AR30" s="328"/>
      <c r="AS30" s="328"/>
      <c r="AT30" s="328"/>
      <c r="AU30" s="328"/>
      <c r="AV30" s="328">
        <f t="shared" si="18"/>
        <v>0</v>
      </c>
      <c r="AW30" s="328">
        <f t="shared" si="19"/>
        <v>0</v>
      </c>
      <c r="AX30" s="328">
        <f t="shared" si="20"/>
        <v>0</v>
      </c>
      <c r="AY30" s="328" t="b">
        <f t="shared" si="10"/>
        <v>0</v>
      </c>
    </row>
    <row r="31" ht="27" customHeight="1" spans="1:51">
      <c r="A31" s="326" t="str">
        <f>INDEX('Rate Card'!$A:$A,MATCH($S31,'Rate Card'!$F:$F,0))</f>
        <v>医学</v>
      </c>
      <c r="B31" s="327" t="str">
        <f>INDEX(二三级标准!$G:$G,MATCH($J31,二三级标准!B:B,0))</f>
        <v>次</v>
      </c>
      <c r="C31" s="327">
        <f>INDEX(注册申报明细!$E:$E,MATCH($J31,注册申报明细!$B:$B,0))</f>
        <v>0</v>
      </c>
      <c r="D31" s="327" t="str">
        <f t="shared" ref="D31:D37" si="21">J31&amp;S31</f>
        <v>A177aMD</v>
      </c>
      <c r="E31" s="328"/>
      <c r="F31" s="328" t="s">
        <v>684</v>
      </c>
      <c r="G31" s="326" t="str">
        <f>INDEX('Rate Card'!$B:$B,MATCH($S31,'Rate Card'!$F:$F,0))</f>
        <v>医学</v>
      </c>
      <c r="H31" s="328" t="s">
        <v>1967</v>
      </c>
      <c r="I31" s="328" t="str">
        <f>INDEX(二三级标准!$Q:$Q,MATCH($H31,二三级标准!$O:$O,0))</f>
        <v>临床试验相关资料准备</v>
      </c>
      <c r="J31" s="328" t="s">
        <v>1969</v>
      </c>
      <c r="K31" s="328" t="str">
        <f>INDEX(二三级标准!$C:$C,MATCH(注册申报底表!J31,二三级标准!$B:$B,0))</f>
        <v>临床综述撰写更新/审阅2.5</v>
      </c>
      <c r="L31" s="328" t="s">
        <v>2065</v>
      </c>
      <c r="M31" s="328" t="str">
        <f>INDEX(二三级标准!$M:$M,MATCH(注册申报底表!$L31,二三级标准!$L:$L,0))</f>
        <v>临床综述更新审核2.5</v>
      </c>
      <c r="N31" s="328"/>
      <c r="O31" s="327">
        <f>IF($Q31=1,INDEX(注册申报明细!$E:$E,MATCH(注册申报底表!$J31,注册申报明细!$B:$B,0)),0)</f>
        <v>0</v>
      </c>
      <c r="P31" s="335" t="s">
        <v>1178</v>
      </c>
      <c r="Q31" s="329">
        <f>INDEX(注册申报明细!$D:$D,MATCH($J31,注册申报明细!$B:$B,0))</f>
        <v>0</v>
      </c>
      <c r="R31" s="330" t="s">
        <v>578</v>
      </c>
      <c r="S31" s="328" t="s">
        <v>613</v>
      </c>
      <c r="T31" s="331">
        <f>INDEX('Rate Card'!$J:$J,MATCH($S31,'Rate Card'!$F:$F,0))</f>
        <v>990</v>
      </c>
      <c r="U31" s="331">
        <f t="shared" ref="U31:U37" si="22">$U$1*V31</f>
        <v>4</v>
      </c>
      <c r="V31" s="336">
        <v>4</v>
      </c>
      <c r="W31" s="328"/>
      <c r="X31" s="332">
        <f t="shared" ref="X31:X37" si="23">IF(ISBLANK($W31),$V31,$W31)</f>
        <v>4</v>
      </c>
      <c r="Y31" s="333">
        <f t="shared" ref="Y31:Y37" si="24">IFERROR(AA31/O31,0)</f>
        <v>0</v>
      </c>
      <c r="Z31" s="328">
        <f t="shared" ref="Z31:Z37" si="25">X31*O31*Q31</f>
        <v>0</v>
      </c>
      <c r="AA31" s="334">
        <f t="shared" ref="AA31:AA37" si="26">Z31*T31</f>
        <v>0</v>
      </c>
      <c r="AB31" s="334">
        <f>$Y31*(1-INDEX(项目参数!$D$5:$D$15,MATCH($R31,项目参数!$B$5:$B$15,0)))</f>
        <v>0</v>
      </c>
      <c r="AC31" s="334">
        <f>$AA31*INDEX(项目参数!$D$5:$D$15,MATCH($R31,项目参数!$B$5:$B$15,0))</f>
        <v>0</v>
      </c>
      <c r="AD31" s="334">
        <f t="shared" ref="AD31:AD37" si="27">AA31-AC31</f>
        <v>0</v>
      </c>
      <c r="AE31" s="328"/>
      <c r="AF31" s="328"/>
      <c r="AG31" s="327"/>
      <c r="AH31" s="328"/>
      <c r="AI31" s="328"/>
      <c r="AJ31" s="328"/>
      <c r="AK31" s="328"/>
      <c r="AL31" s="328"/>
      <c r="AM31" s="328"/>
      <c r="AN31" s="328"/>
      <c r="AO31" s="327"/>
      <c r="AP31" s="328"/>
      <c r="AQ31" s="328"/>
      <c r="AR31" s="328"/>
      <c r="AS31" s="328"/>
      <c r="AT31" s="328"/>
      <c r="AU31" s="328"/>
      <c r="AV31" s="328">
        <f t="shared" ref="AV31:AV37" si="28">Z31</f>
        <v>0</v>
      </c>
      <c r="AW31" s="328">
        <f t="shared" ref="AW31:AW37" si="29">V31*O31</f>
        <v>0</v>
      </c>
      <c r="AX31" s="328">
        <f t="shared" ref="AX31:AX37" si="30">AW31*$U$1</f>
        <v>0</v>
      </c>
      <c r="AY31" s="328" t="b">
        <f t="shared" si="10"/>
        <v>0</v>
      </c>
    </row>
    <row r="32" ht="27" customHeight="1" spans="1:51">
      <c r="A32" s="326" t="str">
        <f>INDEX('Rate Card'!$A:$A,MATCH($S32,'Rate Card'!$F:$F,0))</f>
        <v>医学</v>
      </c>
      <c r="B32" s="327" t="str">
        <f>INDEX(二三级标准!$G:$G,MATCH($J32,二三级标准!B:B,0))</f>
        <v>次</v>
      </c>
      <c r="C32" s="327">
        <f>INDEX(注册申报明细!$E:$E,MATCH($J32,注册申报明细!$B:$B,0))</f>
        <v>0</v>
      </c>
      <c r="D32" s="327" t="str">
        <f t="shared" si="21"/>
        <v>A177cMM</v>
      </c>
      <c r="E32" s="328"/>
      <c r="F32" s="328" t="s">
        <v>684</v>
      </c>
      <c r="G32" s="326" t="str">
        <f>INDEX('Rate Card'!$B:$B,MATCH($S32,'Rate Card'!$F:$F,0))</f>
        <v>医学</v>
      </c>
      <c r="H32" s="328" t="s">
        <v>1967</v>
      </c>
      <c r="I32" s="328" t="str">
        <f>INDEX(二三级标准!$Q:$Q,MATCH($H32,二三级标准!$O:$O,0))</f>
        <v>临床试验相关资料准备</v>
      </c>
      <c r="J32" s="328" t="s">
        <v>1970</v>
      </c>
      <c r="K32" s="328" t="str">
        <f>INDEX(二三级标准!$C:$C,MATCH(注册申报底表!J32,二三级标准!$B:$B,0))</f>
        <v>临床总结撰写更新/审阅2.7</v>
      </c>
      <c r="L32" s="328" t="s">
        <v>2066</v>
      </c>
      <c r="M32" s="328" t="str">
        <f>INDEX(二三级标准!$M:$M,MATCH(注册申报底表!$L32,二三级标准!$L:$L,0))</f>
        <v>临床综述撰写更新2.7</v>
      </c>
      <c r="N32" s="328"/>
      <c r="O32" s="327">
        <f>IF($Q32=1,INDEX(注册申报明细!$E:$E,MATCH(注册申报底表!$J32,注册申报明细!$B:$B,0)),0)</f>
        <v>0</v>
      </c>
      <c r="P32" s="335" t="s">
        <v>1178</v>
      </c>
      <c r="Q32" s="329">
        <f>INDEX(注册申报明细!$D:$D,MATCH($J32,注册申报明细!$B:$B,0))</f>
        <v>0</v>
      </c>
      <c r="R32" s="330" t="s">
        <v>578</v>
      </c>
      <c r="S32" s="328" t="s">
        <v>615</v>
      </c>
      <c r="T32" s="331">
        <f>INDEX('Rate Card'!$J:$J,MATCH($S32,'Rate Card'!$F:$F,0))</f>
        <v>650</v>
      </c>
      <c r="U32" s="331">
        <f t="shared" si="22"/>
        <v>15</v>
      </c>
      <c r="V32" s="336">
        <v>15</v>
      </c>
      <c r="W32" s="328"/>
      <c r="X32" s="332">
        <f t="shared" si="23"/>
        <v>15</v>
      </c>
      <c r="Y32" s="333">
        <f t="shared" si="24"/>
        <v>0</v>
      </c>
      <c r="Z32" s="328">
        <f t="shared" si="25"/>
        <v>0</v>
      </c>
      <c r="AA32" s="334">
        <f t="shared" si="26"/>
        <v>0</v>
      </c>
      <c r="AB32" s="334">
        <f>$Y32*(1-INDEX(项目参数!$D$5:$D$15,MATCH($R32,项目参数!$B$5:$B$15,0)))</f>
        <v>0</v>
      </c>
      <c r="AC32" s="334">
        <f>$AA32*INDEX(项目参数!$D$5:$D$15,MATCH($R32,项目参数!$B$5:$B$15,0))</f>
        <v>0</v>
      </c>
      <c r="AD32" s="334">
        <f t="shared" si="27"/>
        <v>0</v>
      </c>
      <c r="AE32" s="328"/>
      <c r="AF32" s="328"/>
      <c r="AG32" s="327"/>
      <c r="AH32" s="328"/>
      <c r="AI32" s="328"/>
      <c r="AJ32" s="328"/>
      <c r="AK32" s="328"/>
      <c r="AL32" s="328"/>
      <c r="AM32" s="328"/>
      <c r="AN32" s="328"/>
      <c r="AO32" s="327"/>
      <c r="AP32" s="328"/>
      <c r="AQ32" s="328"/>
      <c r="AR32" s="328"/>
      <c r="AS32" s="328"/>
      <c r="AT32" s="328"/>
      <c r="AU32" s="328"/>
      <c r="AV32" s="328">
        <f t="shared" si="28"/>
        <v>0</v>
      </c>
      <c r="AW32" s="328">
        <f t="shared" si="29"/>
        <v>0</v>
      </c>
      <c r="AX32" s="328">
        <f t="shared" si="30"/>
        <v>0</v>
      </c>
      <c r="AY32" s="328" t="b">
        <f t="shared" si="10"/>
        <v>1</v>
      </c>
    </row>
    <row r="33" ht="27" customHeight="1" spans="1:51">
      <c r="A33" s="326" t="str">
        <f>INDEX('Rate Card'!$A:$A,MATCH($S33,'Rate Card'!$F:$F,0))</f>
        <v>医学</v>
      </c>
      <c r="B33" s="327" t="str">
        <f>INDEX(二三级标准!$G:$G,MATCH($J33,二三级标准!B:B,0))</f>
        <v>次</v>
      </c>
      <c r="C33" s="327">
        <f>INDEX(注册申报明细!$E:$E,MATCH($J33,注册申报明细!$B:$B,0))</f>
        <v>0</v>
      </c>
      <c r="D33" s="327" t="str">
        <f t="shared" si="21"/>
        <v>A177cMD</v>
      </c>
      <c r="E33" s="328"/>
      <c r="F33" s="328" t="s">
        <v>684</v>
      </c>
      <c r="G33" s="326" t="str">
        <f>INDEX('Rate Card'!$B:$B,MATCH($S33,'Rate Card'!$F:$F,0))</f>
        <v>医学</v>
      </c>
      <c r="H33" s="328" t="s">
        <v>1967</v>
      </c>
      <c r="I33" s="328" t="str">
        <f>INDEX(二三级标准!$Q:$Q,MATCH($H33,二三级标准!$O:$O,0))</f>
        <v>临床试验相关资料准备</v>
      </c>
      <c r="J33" s="328" t="s">
        <v>1970</v>
      </c>
      <c r="K33" s="328" t="str">
        <f>INDEX(二三级标准!$C:$C,MATCH(注册申报底表!J33,二三级标准!$B:$B,0))</f>
        <v>临床总结撰写更新/审阅2.7</v>
      </c>
      <c r="L33" s="328" t="s">
        <v>2067</v>
      </c>
      <c r="M33" s="328" t="str">
        <f>INDEX(二三级标准!$M:$M,MATCH(注册申报底表!$L33,二三级标准!$L:$L,0))</f>
        <v>临床综述更新审核2.7</v>
      </c>
      <c r="N33" s="328"/>
      <c r="O33" s="327">
        <f>IF($Q33=1,INDEX(注册申报明细!$E:$E,MATCH(注册申报底表!$J33,注册申报明细!$B:$B,0)),0)</f>
        <v>0</v>
      </c>
      <c r="P33" s="335" t="s">
        <v>1178</v>
      </c>
      <c r="Q33" s="329">
        <f>INDEX(注册申报明细!$D:$D,MATCH($J33,注册申报明细!$B:$B,0))</f>
        <v>0</v>
      </c>
      <c r="R33" s="330" t="s">
        <v>578</v>
      </c>
      <c r="S33" s="328" t="s">
        <v>613</v>
      </c>
      <c r="T33" s="331">
        <f>INDEX('Rate Card'!$J:$J,MATCH($S33,'Rate Card'!$F:$F,0))</f>
        <v>990</v>
      </c>
      <c r="U33" s="331">
        <f t="shared" si="22"/>
        <v>4</v>
      </c>
      <c r="V33" s="336">
        <v>4</v>
      </c>
      <c r="W33" s="328"/>
      <c r="X33" s="332">
        <f t="shared" si="23"/>
        <v>4</v>
      </c>
      <c r="Y33" s="333">
        <f t="shared" si="24"/>
        <v>0</v>
      </c>
      <c r="Z33" s="328">
        <f t="shared" si="25"/>
        <v>0</v>
      </c>
      <c r="AA33" s="334">
        <f t="shared" si="26"/>
        <v>0</v>
      </c>
      <c r="AB33" s="334">
        <f>$Y33*(1-INDEX(项目参数!$D$5:$D$15,MATCH($R33,项目参数!$B$5:$B$15,0)))</f>
        <v>0</v>
      </c>
      <c r="AC33" s="334">
        <f>$AA33*INDEX(项目参数!$D$5:$D$15,MATCH($R33,项目参数!$B$5:$B$15,0))</f>
        <v>0</v>
      </c>
      <c r="AD33" s="334">
        <f t="shared" si="27"/>
        <v>0</v>
      </c>
      <c r="AE33" s="328"/>
      <c r="AF33" s="328"/>
      <c r="AG33" s="327"/>
      <c r="AH33" s="328"/>
      <c r="AI33" s="328"/>
      <c r="AJ33" s="328"/>
      <c r="AK33" s="328"/>
      <c r="AL33" s="328"/>
      <c r="AM33" s="328"/>
      <c r="AN33" s="328"/>
      <c r="AO33" s="327"/>
      <c r="AP33" s="328"/>
      <c r="AQ33" s="328"/>
      <c r="AR33" s="328"/>
      <c r="AS33" s="328"/>
      <c r="AT33" s="328"/>
      <c r="AU33" s="328"/>
      <c r="AV33" s="328">
        <f t="shared" si="28"/>
        <v>0</v>
      </c>
      <c r="AW33" s="328">
        <f t="shared" si="29"/>
        <v>0</v>
      </c>
      <c r="AX33" s="328">
        <f t="shared" si="30"/>
        <v>0</v>
      </c>
      <c r="AY33" s="328" t="b">
        <f t="shared" si="10"/>
        <v>1</v>
      </c>
    </row>
    <row r="34" ht="27" customHeight="1" spans="1:51">
      <c r="A34" s="326" t="str">
        <f>INDEX('Rate Card'!$A:$A,MATCH($S34,'Rate Card'!$F:$F,0))</f>
        <v>医学</v>
      </c>
      <c r="B34" s="327" t="str">
        <f>INDEX(二三级标准!$G:$G,MATCH($J34,二三级标准!B:B,0))</f>
        <v>份</v>
      </c>
      <c r="C34" s="327">
        <f>INDEX(注册申报明细!$E:$E,MATCH($J34,注册申报明细!$B:$B,0))</f>
        <v>0</v>
      </c>
      <c r="D34" s="327" t="str">
        <f t="shared" si="21"/>
        <v>A178MM</v>
      </c>
      <c r="E34" s="328"/>
      <c r="F34" s="328" t="s">
        <v>684</v>
      </c>
      <c r="G34" s="326" t="str">
        <f>INDEX('Rate Card'!$B:$B,MATCH($S34,'Rate Card'!$F:$F,0))</f>
        <v>医学</v>
      </c>
      <c r="H34" s="328" t="s">
        <v>1967</v>
      </c>
      <c r="I34" s="328" t="str">
        <f>INDEX(二三级标准!$Q:$Q,MATCH($H34,二三级标准!$O:$O,0))</f>
        <v>临床试验相关资料准备</v>
      </c>
      <c r="J34" s="328" t="s">
        <v>463</v>
      </c>
      <c r="K34" s="328" t="str">
        <f>INDEX(二三级标准!$C:$C,MATCH(注册申报底表!J34,二三级标准!$B:$B,0))</f>
        <v>知情同意书样稿撰写1.3.4.2</v>
      </c>
      <c r="L34" s="328" t="s">
        <v>2068</v>
      </c>
      <c r="M34" s="328" t="str">
        <f>INDEX(二三级标准!$M:$M,MATCH(注册申报底表!$L34,二三级标准!$L:$L,0))</f>
        <v>知情同意书样稿撰写1.3.4.2</v>
      </c>
      <c r="N34" s="328"/>
      <c r="O34" s="327">
        <f>IF($Q34=1,INDEX(注册申报明细!$E:$E,MATCH(注册申报底表!$J34,注册申报明细!$B:$B,0)),0)</f>
        <v>0</v>
      </c>
      <c r="P34" s="328" t="s">
        <v>1176</v>
      </c>
      <c r="Q34" s="329">
        <f>INDEX(注册申报明细!$D:$D,MATCH($J34,注册申报明细!$B:$B,0))</f>
        <v>0</v>
      </c>
      <c r="R34" s="330" t="s">
        <v>578</v>
      </c>
      <c r="S34" s="328" t="s">
        <v>615</v>
      </c>
      <c r="T34" s="331">
        <f>INDEX('Rate Card'!$J:$J,MATCH($S34,'Rate Card'!$F:$F,0))</f>
        <v>650</v>
      </c>
      <c r="U34" s="331">
        <f t="shared" si="22"/>
        <v>10</v>
      </c>
      <c r="V34" s="327">
        <v>10</v>
      </c>
      <c r="W34" s="328"/>
      <c r="X34" s="332">
        <f t="shared" si="23"/>
        <v>10</v>
      </c>
      <c r="Y34" s="333">
        <f t="shared" si="24"/>
        <v>0</v>
      </c>
      <c r="Z34" s="328">
        <f t="shared" si="25"/>
        <v>0</v>
      </c>
      <c r="AA34" s="334">
        <f t="shared" si="26"/>
        <v>0</v>
      </c>
      <c r="AB34" s="334">
        <f>$Y34*(1-INDEX(项目参数!$D$5:$D$15,MATCH($R34,项目参数!$B$5:$B$15,0)))</f>
        <v>0</v>
      </c>
      <c r="AC34" s="334">
        <f>$AA34*INDEX(项目参数!$D$5:$D$15,MATCH($R34,项目参数!$B$5:$B$15,0))</f>
        <v>0</v>
      </c>
      <c r="AD34" s="334">
        <f t="shared" si="27"/>
        <v>0</v>
      </c>
      <c r="AE34" s="328"/>
      <c r="AF34" s="328"/>
      <c r="AG34" s="327"/>
      <c r="AH34" s="327"/>
      <c r="AI34" s="327"/>
      <c r="AJ34" s="327"/>
      <c r="AK34" s="327"/>
      <c r="AL34" s="327"/>
      <c r="AM34" s="327"/>
      <c r="AN34" s="328"/>
      <c r="AO34" s="327"/>
      <c r="AP34" s="327"/>
      <c r="AQ34" s="327"/>
      <c r="AR34" s="327"/>
      <c r="AS34" s="327"/>
      <c r="AT34" s="327"/>
      <c r="AU34" s="327"/>
      <c r="AV34" s="328">
        <f t="shared" si="28"/>
        <v>0</v>
      </c>
      <c r="AW34" s="328">
        <f t="shared" si="29"/>
        <v>0</v>
      </c>
      <c r="AX34" s="328">
        <f t="shared" si="30"/>
        <v>0</v>
      </c>
      <c r="AY34" s="328" t="b">
        <f t="shared" si="10"/>
        <v>0</v>
      </c>
    </row>
    <row r="35" ht="27" customHeight="1" spans="1:51">
      <c r="A35" s="326" t="str">
        <f>INDEX('Rate Card'!$A:$A,MATCH($S35,'Rate Card'!$F:$F,0))</f>
        <v>医学</v>
      </c>
      <c r="B35" s="327" t="str">
        <f>INDEX(二三级标准!$G:$G,MATCH($J35,二三级标准!B:B,0))</f>
        <v>份</v>
      </c>
      <c r="C35" s="327">
        <f>INDEX(注册申报明细!$E:$E,MATCH($J35,注册申报明细!$B:$B,0))</f>
        <v>0</v>
      </c>
      <c r="D35" s="327" t="str">
        <f t="shared" si="21"/>
        <v>A178MD</v>
      </c>
      <c r="E35" s="328"/>
      <c r="F35" s="328" t="s">
        <v>684</v>
      </c>
      <c r="G35" s="326" t="str">
        <f>INDEX('Rate Card'!$B:$B,MATCH($S35,'Rate Card'!$F:$F,0))</f>
        <v>医学</v>
      </c>
      <c r="H35" s="328" t="s">
        <v>1967</v>
      </c>
      <c r="I35" s="328" t="str">
        <f>INDEX(二三级标准!$Q:$Q,MATCH($H35,二三级标准!$O:$O,0))</f>
        <v>临床试验相关资料准备</v>
      </c>
      <c r="J35" s="328" t="s">
        <v>463</v>
      </c>
      <c r="K35" s="328" t="str">
        <f>INDEX(二三级标准!$C:$C,MATCH(注册申报底表!J35,二三级标准!$B:$B,0))</f>
        <v>知情同意书样稿撰写1.3.4.2</v>
      </c>
      <c r="L35" s="328" t="s">
        <v>2069</v>
      </c>
      <c r="M35" s="328" t="str">
        <f>INDEX(二三级标准!$M:$M,MATCH(注册申报底表!$L35,二三级标准!$L:$L,0))</f>
        <v>知情同意书样稿审核1.3.4.2</v>
      </c>
      <c r="N35" s="328"/>
      <c r="O35" s="327">
        <f>IF($Q35=1,INDEX(注册申报明细!$E:$E,MATCH(注册申报底表!$J35,注册申报明细!$B:$B,0)),0)</f>
        <v>0</v>
      </c>
      <c r="P35" s="328" t="s">
        <v>1176</v>
      </c>
      <c r="Q35" s="329">
        <f>INDEX(注册申报明细!$D:$D,MATCH($J35,注册申报明细!$B:$B,0))</f>
        <v>0</v>
      </c>
      <c r="R35" s="330" t="s">
        <v>578</v>
      </c>
      <c r="S35" s="328" t="s">
        <v>613</v>
      </c>
      <c r="T35" s="331">
        <f>INDEX('Rate Card'!$J:$J,MATCH($S35,'Rate Card'!$F:$F,0))</f>
        <v>990</v>
      </c>
      <c r="U35" s="331">
        <f t="shared" si="22"/>
        <v>4</v>
      </c>
      <c r="V35" s="327">
        <v>4</v>
      </c>
      <c r="W35" s="328"/>
      <c r="X35" s="332">
        <f t="shared" si="23"/>
        <v>4</v>
      </c>
      <c r="Y35" s="333">
        <f t="shared" si="24"/>
        <v>0</v>
      </c>
      <c r="Z35" s="328">
        <f t="shared" si="25"/>
        <v>0</v>
      </c>
      <c r="AA35" s="334">
        <f t="shared" si="26"/>
        <v>0</v>
      </c>
      <c r="AB35" s="334">
        <f>$Y35*(1-INDEX(项目参数!$D$5:$D$15,MATCH($R35,项目参数!$B$5:$B$15,0)))</f>
        <v>0</v>
      </c>
      <c r="AC35" s="334">
        <f>$AA35*INDEX(项目参数!$D$5:$D$15,MATCH($R35,项目参数!$B$5:$B$15,0))</f>
        <v>0</v>
      </c>
      <c r="AD35" s="334">
        <f t="shared" si="27"/>
        <v>0</v>
      </c>
      <c r="AE35" s="328"/>
      <c r="AF35" s="328"/>
      <c r="AG35" s="327"/>
      <c r="AH35" s="328"/>
      <c r="AI35" s="328"/>
      <c r="AJ35" s="328"/>
      <c r="AK35" s="328"/>
      <c r="AL35" s="328"/>
      <c r="AM35" s="328"/>
      <c r="AN35" s="328"/>
      <c r="AO35" s="327"/>
      <c r="AP35" s="328"/>
      <c r="AQ35" s="328"/>
      <c r="AR35" s="328"/>
      <c r="AS35" s="328"/>
      <c r="AT35" s="328"/>
      <c r="AU35" s="328"/>
      <c r="AV35" s="328">
        <f t="shared" si="28"/>
        <v>0</v>
      </c>
      <c r="AW35" s="328">
        <f t="shared" si="29"/>
        <v>0</v>
      </c>
      <c r="AX35" s="328">
        <f t="shared" si="30"/>
        <v>0</v>
      </c>
      <c r="AY35" s="328" t="b">
        <f t="shared" si="10"/>
        <v>0</v>
      </c>
    </row>
    <row r="36" ht="27" customHeight="1" spans="1:51">
      <c r="A36" s="326" t="str">
        <f>INDEX('Rate Card'!$A:$A,MATCH($S36,'Rate Card'!$F:$F,0))</f>
        <v>临床药理</v>
      </c>
      <c r="B36" s="327" t="str">
        <f>INDEX(二三级标准!$G:$G,MATCH($J36,二三级标准!B:B,0))</f>
        <v>份</v>
      </c>
      <c r="C36" s="327">
        <f>INDEX(注册申报明细!$E:$E,MATCH($J36,注册申报明细!$B:$B,0))</f>
        <v>0</v>
      </c>
      <c r="D36" s="327" t="str">
        <f t="shared" si="21"/>
        <v>A178CPS</v>
      </c>
      <c r="E36" s="328"/>
      <c r="F36" s="328" t="s">
        <v>684</v>
      </c>
      <c r="G36" s="326" t="str">
        <f>INDEX('Rate Card'!$B:$B,MATCH($S36,'Rate Card'!$F:$F,0))</f>
        <v>临床药理</v>
      </c>
      <c r="H36" s="328" t="s">
        <v>1967</v>
      </c>
      <c r="I36" s="328" t="str">
        <f>INDEX(二三级标准!$Q:$Q,MATCH($H36,二三级标准!$O:$O,0))</f>
        <v>临床试验相关资料准备</v>
      </c>
      <c r="J36" s="328" t="s">
        <v>463</v>
      </c>
      <c r="K36" s="328" t="str">
        <f>INDEX(二三级标准!$C:$C,MATCH(注册申报底表!J36,二三级标准!$B:$B,0))</f>
        <v>知情同意书样稿撰写1.3.4.2</v>
      </c>
      <c r="L36" s="328" t="s">
        <v>2068</v>
      </c>
      <c r="M36" s="328" t="str">
        <f>INDEX(二三级标准!$M:$M,MATCH(注册申报底表!$L36,二三级标准!$L:$L,0))</f>
        <v>知情同意书样稿撰写1.3.4.2</v>
      </c>
      <c r="N36" s="328"/>
      <c r="O36" s="327">
        <f>IF($Q36=1,INDEX(注册申报明细!$E:$E,MATCH(注册申报底表!$J36,注册申报明细!$B:$B,0)),0)</f>
        <v>0</v>
      </c>
      <c r="P36" s="328" t="s">
        <v>1176</v>
      </c>
      <c r="Q36" s="329">
        <v>0</v>
      </c>
      <c r="R36" s="328" t="str">
        <f>INDEX('Rate Card'!$D:$D,MATCH($S36,'Rate Card'!$F:$F,0))</f>
        <v>临床药理</v>
      </c>
      <c r="S36" s="328" t="s">
        <v>652</v>
      </c>
      <c r="T36" s="331">
        <f>INDEX('Rate Card'!$J:$J,MATCH($S36,'Rate Card'!$F:$F,0))</f>
        <v>580</v>
      </c>
      <c r="U36" s="331">
        <f t="shared" si="22"/>
        <v>10</v>
      </c>
      <c r="V36" s="327">
        <v>10</v>
      </c>
      <c r="W36" s="328"/>
      <c r="X36" s="332">
        <f t="shared" si="23"/>
        <v>10</v>
      </c>
      <c r="Y36" s="333">
        <f t="shared" si="24"/>
        <v>0</v>
      </c>
      <c r="Z36" s="328">
        <f t="shared" si="25"/>
        <v>0</v>
      </c>
      <c r="AA36" s="334">
        <f t="shared" si="26"/>
        <v>0</v>
      </c>
      <c r="AB36" s="334">
        <f>$Y36*(1-INDEX(项目参数!$D$5:$D$15,MATCH($R36,项目参数!$B$5:$B$15,0)))</f>
        <v>0</v>
      </c>
      <c r="AC36" s="334">
        <f>$AA36*INDEX(项目参数!$D$5:$D$15,MATCH($R36,项目参数!$B$5:$B$15,0))</f>
        <v>0</v>
      </c>
      <c r="AD36" s="334">
        <f t="shared" si="27"/>
        <v>0</v>
      </c>
      <c r="AE36" s="328"/>
      <c r="AF36" s="328"/>
      <c r="AG36" s="327"/>
      <c r="AH36" s="327"/>
      <c r="AI36" s="327"/>
      <c r="AJ36" s="327"/>
      <c r="AK36" s="327"/>
      <c r="AL36" s="327"/>
      <c r="AM36" s="327"/>
      <c r="AN36" s="328"/>
      <c r="AO36" s="327"/>
      <c r="AP36" s="327"/>
      <c r="AQ36" s="327"/>
      <c r="AR36" s="327"/>
      <c r="AS36" s="327"/>
      <c r="AT36" s="327"/>
      <c r="AU36" s="327"/>
      <c r="AV36" s="328">
        <f t="shared" si="28"/>
        <v>0</v>
      </c>
      <c r="AW36" s="328">
        <f t="shared" si="29"/>
        <v>0</v>
      </c>
      <c r="AX36" s="328">
        <f t="shared" si="30"/>
        <v>0</v>
      </c>
      <c r="AY36" s="328" t="b">
        <f t="shared" ref="AY36:AY67" si="31">IF(J36&lt;&gt;J35,IF(AY35=TRUE,FALSE,TRUE),AY35)</f>
        <v>0</v>
      </c>
    </row>
    <row r="37" ht="27" customHeight="1" spans="1:51">
      <c r="A37" s="326" t="str">
        <f>INDEX('Rate Card'!$A:$A,MATCH($S37,'Rate Card'!$F:$F,0))</f>
        <v>临床药理</v>
      </c>
      <c r="B37" s="327" t="str">
        <f>INDEX(二三级标准!$G:$G,MATCH($J37,二三级标准!B:B,0))</f>
        <v>份</v>
      </c>
      <c r="C37" s="327">
        <f>INDEX(注册申报明细!$E:$E,MATCH($J37,注册申报明细!$B:$B,0))</f>
        <v>0</v>
      </c>
      <c r="D37" s="327" t="str">
        <f t="shared" si="21"/>
        <v>A178CPSS</v>
      </c>
      <c r="E37" s="328"/>
      <c r="F37" s="328" t="s">
        <v>684</v>
      </c>
      <c r="G37" s="326" t="str">
        <f>INDEX('Rate Card'!$B:$B,MATCH($S37,'Rate Card'!$F:$F,0))</f>
        <v>临床药理</v>
      </c>
      <c r="H37" s="328" t="s">
        <v>1967</v>
      </c>
      <c r="I37" s="328" t="str">
        <f>INDEX(二三级标准!$Q:$Q,MATCH($H37,二三级标准!$O:$O,0))</f>
        <v>临床试验相关资料准备</v>
      </c>
      <c r="J37" s="328" t="s">
        <v>463</v>
      </c>
      <c r="K37" s="328" t="str">
        <f>INDEX(二三级标准!$C:$C,MATCH(注册申报底表!J37,二三级标准!$B:$B,0))</f>
        <v>知情同意书样稿撰写1.3.4.2</v>
      </c>
      <c r="L37" s="328" t="s">
        <v>2069</v>
      </c>
      <c r="M37" s="328" t="str">
        <f>INDEX(二三级标准!$M:$M,MATCH(注册申报底表!$L37,二三级标准!$L:$L,0))</f>
        <v>知情同意书样稿审核1.3.4.2</v>
      </c>
      <c r="N37" s="328"/>
      <c r="O37" s="327">
        <f>IF($Q37=1,INDEX(注册申报明细!$E:$E,MATCH(注册申报底表!$J37,注册申报明细!$B:$B,0)),0)</f>
        <v>0</v>
      </c>
      <c r="P37" s="328" t="s">
        <v>1176</v>
      </c>
      <c r="Q37" s="329">
        <v>0</v>
      </c>
      <c r="R37" s="328" t="str">
        <f>INDEX('Rate Card'!$D:$D,MATCH($S37,'Rate Card'!$F:$F,0))</f>
        <v>临床药理</v>
      </c>
      <c r="S37" s="328" t="s">
        <v>654</v>
      </c>
      <c r="T37" s="331">
        <f>INDEX('Rate Card'!$J:$J,MATCH($S37,'Rate Card'!$F:$F,0))</f>
        <v>700</v>
      </c>
      <c r="U37" s="331">
        <f t="shared" si="22"/>
        <v>4</v>
      </c>
      <c r="V37" s="327">
        <v>4</v>
      </c>
      <c r="W37" s="328"/>
      <c r="X37" s="332">
        <f t="shared" si="23"/>
        <v>4</v>
      </c>
      <c r="Y37" s="333">
        <f t="shared" si="24"/>
        <v>0</v>
      </c>
      <c r="Z37" s="328">
        <f t="shared" si="25"/>
        <v>0</v>
      </c>
      <c r="AA37" s="334">
        <f t="shared" si="26"/>
        <v>0</v>
      </c>
      <c r="AB37" s="334">
        <f>$Y37*(1-INDEX(项目参数!$D$5:$D$15,MATCH($R37,项目参数!$B$5:$B$15,0)))</f>
        <v>0</v>
      </c>
      <c r="AC37" s="334">
        <f>$AA37*INDEX(项目参数!$D$5:$D$15,MATCH($R37,项目参数!$B$5:$B$15,0))</f>
        <v>0</v>
      </c>
      <c r="AD37" s="334">
        <f t="shared" si="27"/>
        <v>0</v>
      </c>
      <c r="AE37" s="328"/>
      <c r="AF37" s="328"/>
      <c r="AG37" s="327"/>
      <c r="AH37" s="328"/>
      <c r="AI37" s="328"/>
      <c r="AJ37" s="328"/>
      <c r="AK37" s="328"/>
      <c r="AL37" s="328"/>
      <c r="AM37" s="328"/>
      <c r="AN37" s="328"/>
      <c r="AO37" s="327"/>
      <c r="AP37" s="328"/>
      <c r="AQ37" s="328"/>
      <c r="AR37" s="328"/>
      <c r="AS37" s="328"/>
      <c r="AT37" s="328"/>
      <c r="AU37" s="328"/>
      <c r="AV37" s="328">
        <f t="shared" si="28"/>
        <v>0</v>
      </c>
      <c r="AW37" s="328">
        <f t="shared" si="29"/>
        <v>0</v>
      </c>
      <c r="AX37" s="328">
        <f t="shared" si="30"/>
        <v>0</v>
      </c>
      <c r="AY37" s="328" t="b">
        <f t="shared" si="31"/>
        <v>0</v>
      </c>
    </row>
    <row r="38" ht="27" customHeight="1" spans="1:51">
      <c r="A38" s="326" t="str">
        <f>INDEX('Rate Card'!$A:$A,MATCH($S38,'Rate Card'!$F:$F,0))</f>
        <v>医学</v>
      </c>
      <c r="B38" s="327" t="str">
        <f>INDEX(二三级标准!$G:$G,MATCH($J38,二三级标准!B:B,0))</f>
        <v>份</v>
      </c>
      <c r="C38" s="327">
        <f>INDEX(注册申报明细!$E:$E,MATCH($J38,注册申报明细!$B:$B,0))</f>
        <v>0</v>
      </c>
      <c r="D38" s="327" t="str">
        <f t="shared" ref="D38:D41" si="32">J38&amp;S38</f>
        <v>A179MM</v>
      </c>
      <c r="E38" s="328"/>
      <c r="F38" s="328" t="s">
        <v>684</v>
      </c>
      <c r="G38" s="326" t="str">
        <f>INDEX('Rate Card'!$B:$B,MATCH($S38,'Rate Card'!$F:$F,0))</f>
        <v>医学</v>
      </c>
      <c r="H38" s="328" t="s">
        <v>1967</v>
      </c>
      <c r="I38" s="328" t="str">
        <f>INDEX(二三级标准!$Q:$Q,MATCH($H38,二三级标准!$O:$O,0))</f>
        <v>临床试验相关资料准备</v>
      </c>
      <c r="J38" s="328" t="s">
        <v>465</v>
      </c>
      <c r="K38" s="328" t="str">
        <f>INDEX(二三级标准!$C:$C,MATCH(注册申报底表!J38,二三级标准!$B:$B,0))</f>
        <v>研究者手册撰写1.3.4.3</v>
      </c>
      <c r="L38" s="328" t="s">
        <v>2070</v>
      </c>
      <c r="M38" s="328" t="str">
        <f>INDEX(二三级标准!$M:$M,MATCH(注册申报底表!$L38,二三级标准!$L:$L,0))</f>
        <v>研究者手册撰写1.3.4.3</v>
      </c>
      <c r="N38" s="328"/>
      <c r="O38" s="327">
        <f>IF($Q38=1,INDEX(注册申报明细!$E:$E,MATCH(注册申报底表!$J38,注册申报明细!$B:$B,0)),0)</f>
        <v>0</v>
      </c>
      <c r="P38" s="328" t="s">
        <v>1176</v>
      </c>
      <c r="Q38" s="329">
        <f>INDEX(注册申报明细!$D:$D,MATCH($J38,注册申报明细!$B:$B,0))</f>
        <v>0</v>
      </c>
      <c r="R38" s="330" t="s">
        <v>578</v>
      </c>
      <c r="S38" s="328" t="s">
        <v>615</v>
      </c>
      <c r="T38" s="331">
        <f>INDEX('Rate Card'!$J:$J,MATCH($S38,'Rate Card'!$F:$F,0))</f>
        <v>650</v>
      </c>
      <c r="U38" s="331">
        <f t="shared" ref="U38:U41" si="33">$U$1*V38</f>
        <v>48</v>
      </c>
      <c r="V38" s="327">
        <v>48</v>
      </c>
      <c r="W38" s="328"/>
      <c r="X38" s="332">
        <f t="shared" ref="X38:X41" si="34">IF(ISBLANK($W38),$V38,$W38)</f>
        <v>48</v>
      </c>
      <c r="Y38" s="333">
        <f t="shared" ref="Y38:Y41" si="35">IFERROR(AA38/O38,0)</f>
        <v>0</v>
      </c>
      <c r="Z38" s="328">
        <f t="shared" ref="Z38:Z41" si="36">X38*O38*Q38</f>
        <v>0</v>
      </c>
      <c r="AA38" s="334">
        <f t="shared" ref="AA38:AA41" si="37">Z38*T38</f>
        <v>0</v>
      </c>
      <c r="AB38" s="334">
        <f>$Y38*(1-INDEX(项目参数!$D$5:$D$15,MATCH($R38,项目参数!$B$5:$B$15,0)))</f>
        <v>0</v>
      </c>
      <c r="AC38" s="334">
        <f>$AA38*INDEX(项目参数!$D$5:$D$15,MATCH($R38,项目参数!$B$5:$B$15,0))</f>
        <v>0</v>
      </c>
      <c r="AD38" s="334">
        <f t="shared" ref="AD38:AD41" si="38">AA38-AC38</f>
        <v>0</v>
      </c>
      <c r="AE38" s="328"/>
      <c r="AF38" s="328"/>
      <c r="AG38" s="327"/>
      <c r="AH38" s="328"/>
      <c r="AI38" s="328"/>
      <c r="AJ38" s="328"/>
      <c r="AK38" s="328"/>
      <c r="AL38" s="328"/>
      <c r="AM38" s="328"/>
      <c r="AN38" s="328"/>
      <c r="AO38" s="327"/>
      <c r="AP38" s="328"/>
      <c r="AQ38" s="328"/>
      <c r="AR38" s="328"/>
      <c r="AS38" s="328"/>
      <c r="AT38" s="328"/>
      <c r="AU38" s="328"/>
      <c r="AV38" s="328">
        <f t="shared" ref="AV38:AV41" si="39">Z38</f>
        <v>0</v>
      </c>
      <c r="AW38" s="328">
        <f t="shared" ref="AW38:AW41" si="40">V38*O38</f>
        <v>0</v>
      </c>
      <c r="AX38" s="328">
        <f t="shared" ref="AX38:AX41" si="41">AW38*$U$1</f>
        <v>0</v>
      </c>
      <c r="AY38" s="328" t="b">
        <f t="shared" si="31"/>
        <v>1</v>
      </c>
    </row>
    <row r="39" ht="27" customHeight="1" spans="1:51">
      <c r="A39" s="326" t="str">
        <f>INDEX('Rate Card'!$A:$A,MATCH($S39,'Rate Card'!$F:$F,0))</f>
        <v>医学</v>
      </c>
      <c r="B39" s="327" t="str">
        <f>INDEX(二三级标准!$G:$G,MATCH($J39,二三级标准!B:B,0))</f>
        <v>份</v>
      </c>
      <c r="C39" s="327">
        <f>INDEX(注册申报明细!$E:$E,MATCH($J39,注册申报明细!$B:$B,0))</f>
        <v>0</v>
      </c>
      <c r="D39" s="327" t="str">
        <f t="shared" si="32"/>
        <v>A179MD</v>
      </c>
      <c r="E39" s="328"/>
      <c r="F39" s="328" t="s">
        <v>684</v>
      </c>
      <c r="G39" s="326" t="str">
        <f>INDEX('Rate Card'!$B:$B,MATCH($S39,'Rate Card'!$F:$F,0))</f>
        <v>医学</v>
      </c>
      <c r="H39" s="328" t="s">
        <v>1967</v>
      </c>
      <c r="I39" s="328" t="str">
        <f>INDEX(二三级标准!$Q:$Q,MATCH($H39,二三级标准!$O:$O,0))</f>
        <v>临床试验相关资料准备</v>
      </c>
      <c r="J39" s="328" t="s">
        <v>465</v>
      </c>
      <c r="K39" s="328" t="str">
        <f>INDEX(二三级标准!$C:$C,MATCH(注册申报底表!J39,二三级标准!$B:$B,0))</f>
        <v>研究者手册撰写1.3.4.3</v>
      </c>
      <c r="L39" s="328" t="s">
        <v>2070</v>
      </c>
      <c r="M39" s="328" t="str">
        <f>INDEX(二三级标准!$M:$M,MATCH(注册申报底表!$L39,二三级标准!$L:$L,0))</f>
        <v>研究者手册撰写1.3.4.3</v>
      </c>
      <c r="N39" s="328"/>
      <c r="O39" s="327">
        <f>IF($Q39=1,INDEX(注册申报明细!$E:$E,MATCH(注册申报底表!$J39,注册申报明细!$B:$B,0)),0)</f>
        <v>0</v>
      </c>
      <c r="P39" s="328" t="s">
        <v>1176</v>
      </c>
      <c r="Q39" s="329">
        <f>INDEX(注册申报明细!$D:$D,MATCH($J39,注册申报明细!$B:$B,0))</f>
        <v>0</v>
      </c>
      <c r="R39" s="330" t="s">
        <v>578</v>
      </c>
      <c r="S39" s="328" t="s">
        <v>613</v>
      </c>
      <c r="T39" s="331">
        <f>INDEX('Rate Card'!$J:$J,MATCH($S39,'Rate Card'!$F:$F,0))</f>
        <v>990</v>
      </c>
      <c r="U39" s="331">
        <f t="shared" si="33"/>
        <v>10</v>
      </c>
      <c r="V39" s="327">
        <v>10</v>
      </c>
      <c r="W39" s="328"/>
      <c r="X39" s="332">
        <f t="shared" si="34"/>
        <v>10</v>
      </c>
      <c r="Y39" s="333">
        <f t="shared" si="35"/>
        <v>0</v>
      </c>
      <c r="Z39" s="328">
        <f t="shared" si="36"/>
        <v>0</v>
      </c>
      <c r="AA39" s="334">
        <f t="shared" si="37"/>
        <v>0</v>
      </c>
      <c r="AB39" s="334">
        <f>$Y39*(1-INDEX(项目参数!$D$5:$D$15,MATCH($R39,项目参数!$B$5:$B$15,0)))</f>
        <v>0</v>
      </c>
      <c r="AC39" s="334">
        <f>$AA39*INDEX(项目参数!$D$5:$D$15,MATCH($R39,项目参数!$B$5:$B$15,0))</f>
        <v>0</v>
      </c>
      <c r="AD39" s="334">
        <f t="shared" si="38"/>
        <v>0</v>
      </c>
      <c r="AE39" s="328"/>
      <c r="AF39" s="328"/>
      <c r="AG39" s="327"/>
      <c r="AH39" s="327"/>
      <c r="AI39" s="327"/>
      <c r="AJ39" s="327"/>
      <c r="AK39" s="327"/>
      <c r="AL39" s="327"/>
      <c r="AM39" s="327"/>
      <c r="AN39" s="328"/>
      <c r="AO39" s="327"/>
      <c r="AP39" s="327"/>
      <c r="AQ39" s="327"/>
      <c r="AR39" s="327"/>
      <c r="AS39" s="327"/>
      <c r="AT39" s="327"/>
      <c r="AU39" s="327"/>
      <c r="AV39" s="328">
        <f t="shared" si="39"/>
        <v>0</v>
      </c>
      <c r="AW39" s="328">
        <f t="shared" si="40"/>
        <v>0</v>
      </c>
      <c r="AX39" s="328">
        <f t="shared" si="41"/>
        <v>0</v>
      </c>
      <c r="AY39" s="328" t="b">
        <f t="shared" si="31"/>
        <v>1</v>
      </c>
    </row>
    <row r="40" ht="27" customHeight="1" spans="1:51">
      <c r="A40" s="326" t="str">
        <f>INDEX('Rate Card'!$A:$A,MATCH($S40,'Rate Card'!$F:$F,0))</f>
        <v>临床药理</v>
      </c>
      <c r="B40" s="327" t="str">
        <f>INDEX(二三级标准!$G:$G,MATCH($J40,二三级标准!B:B,0))</f>
        <v>份</v>
      </c>
      <c r="C40" s="327">
        <f>INDEX(注册申报明细!$E:$E,MATCH($J40,注册申报明细!$B:$B,0))</f>
        <v>0</v>
      </c>
      <c r="D40" s="327" t="str">
        <f t="shared" si="32"/>
        <v>A179CPS</v>
      </c>
      <c r="E40" s="328"/>
      <c r="F40" s="328" t="s">
        <v>684</v>
      </c>
      <c r="G40" s="326" t="str">
        <f>INDEX('Rate Card'!$B:$B,MATCH($S40,'Rate Card'!$F:$F,0))</f>
        <v>临床药理</v>
      </c>
      <c r="H40" s="328" t="s">
        <v>1967</v>
      </c>
      <c r="I40" s="328" t="str">
        <f>INDEX(二三级标准!$Q:$Q,MATCH($H40,二三级标准!$O:$O,0))</f>
        <v>临床试验相关资料准备</v>
      </c>
      <c r="J40" s="328" t="s">
        <v>465</v>
      </c>
      <c r="K40" s="328" t="str">
        <f>INDEX(二三级标准!$C:$C,MATCH(注册申报底表!J40,二三级标准!$B:$B,0))</f>
        <v>研究者手册撰写1.3.4.3</v>
      </c>
      <c r="L40" s="328" t="s">
        <v>2070</v>
      </c>
      <c r="M40" s="328" t="str">
        <f>INDEX(二三级标准!$M:$M,MATCH(注册申报底表!$L40,二三级标准!$L:$L,0))</f>
        <v>研究者手册撰写1.3.4.3</v>
      </c>
      <c r="N40" s="328"/>
      <c r="O40" s="327">
        <f>IF($Q40=1,INDEX(注册申报明细!$E:$E,MATCH(注册申报底表!$J40,注册申报明细!$B:$B,0)),0)</f>
        <v>0</v>
      </c>
      <c r="P40" s="328" t="s">
        <v>1176</v>
      </c>
      <c r="Q40" s="329">
        <v>0</v>
      </c>
      <c r="R40" s="328" t="str">
        <f>INDEX('Rate Card'!$D:$D,MATCH($S40,'Rate Card'!$F:$F,0))</f>
        <v>临床药理</v>
      </c>
      <c r="S40" s="328" t="s">
        <v>652</v>
      </c>
      <c r="T40" s="331">
        <f>INDEX('Rate Card'!$J:$J,MATCH($S40,'Rate Card'!$F:$F,0))</f>
        <v>580</v>
      </c>
      <c r="U40" s="331">
        <f t="shared" si="33"/>
        <v>24</v>
      </c>
      <c r="V40" s="327">
        <v>24</v>
      </c>
      <c r="W40" s="328"/>
      <c r="X40" s="332">
        <f t="shared" si="34"/>
        <v>24</v>
      </c>
      <c r="Y40" s="333">
        <f t="shared" si="35"/>
        <v>0</v>
      </c>
      <c r="Z40" s="328">
        <f t="shared" si="36"/>
        <v>0</v>
      </c>
      <c r="AA40" s="334">
        <f t="shared" si="37"/>
        <v>0</v>
      </c>
      <c r="AB40" s="334">
        <f>$Y40*(1-INDEX(项目参数!$D$5:$D$15,MATCH($R40,项目参数!$B$5:$B$15,0)))</f>
        <v>0</v>
      </c>
      <c r="AC40" s="334">
        <f>$AA40*INDEX(项目参数!$D$5:$D$15,MATCH($R40,项目参数!$B$5:$B$15,0))</f>
        <v>0</v>
      </c>
      <c r="AD40" s="334">
        <f t="shared" si="38"/>
        <v>0</v>
      </c>
      <c r="AE40" s="328"/>
      <c r="AF40" s="328"/>
      <c r="AG40" s="327"/>
      <c r="AH40" s="328"/>
      <c r="AI40" s="328"/>
      <c r="AJ40" s="328"/>
      <c r="AK40" s="328"/>
      <c r="AL40" s="328"/>
      <c r="AM40" s="328"/>
      <c r="AN40" s="328"/>
      <c r="AO40" s="327"/>
      <c r="AP40" s="328"/>
      <c r="AQ40" s="328"/>
      <c r="AR40" s="328"/>
      <c r="AS40" s="328"/>
      <c r="AT40" s="328"/>
      <c r="AU40" s="328"/>
      <c r="AV40" s="328">
        <f t="shared" si="39"/>
        <v>0</v>
      </c>
      <c r="AW40" s="328">
        <f t="shared" si="40"/>
        <v>0</v>
      </c>
      <c r="AX40" s="328">
        <f t="shared" si="41"/>
        <v>0</v>
      </c>
      <c r="AY40" s="328" t="b">
        <f t="shared" si="31"/>
        <v>1</v>
      </c>
    </row>
    <row r="41" ht="27" customHeight="1" spans="1:51">
      <c r="A41" s="326" t="str">
        <f>INDEX('Rate Card'!$A:$A,MATCH($S41,'Rate Card'!$F:$F,0))</f>
        <v>临床药理</v>
      </c>
      <c r="B41" s="327" t="str">
        <f>INDEX(二三级标准!$G:$G,MATCH($J41,二三级标准!B:B,0))</f>
        <v>份</v>
      </c>
      <c r="C41" s="327">
        <f>INDEX(注册申报明细!$E:$E,MATCH($J41,注册申报明细!$B:$B,0))</f>
        <v>0</v>
      </c>
      <c r="D41" s="327" t="str">
        <f t="shared" si="32"/>
        <v>A179CPSS</v>
      </c>
      <c r="E41" s="328"/>
      <c r="F41" s="328" t="s">
        <v>684</v>
      </c>
      <c r="G41" s="326" t="str">
        <f>INDEX('Rate Card'!$B:$B,MATCH($S41,'Rate Card'!$F:$F,0))</f>
        <v>临床药理</v>
      </c>
      <c r="H41" s="328" t="s">
        <v>1967</v>
      </c>
      <c r="I41" s="328" t="str">
        <f>INDEX(二三级标准!$Q:$Q,MATCH($H41,二三级标准!$O:$O,0))</f>
        <v>临床试验相关资料准备</v>
      </c>
      <c r="J41" s="328" t="s">
        <v>465</v>
      </c>
      <c r="K41" s="328" t="str">
        <f>INDEX(二三级标准!$C:$C,MATCH(注册申报底表!J41,二三级标准!$B:$B,0))</f>
        <v>研究者手册撰写1.3.4.3</v>
      </c>
      <c r="L41" s="328" t="s">
        <v>2070</v>
      </c>
      <c r="M41" s="328" t="str">
        <f>INDEX(二三级标准!$M:$M,MATCH(注册申报底表!$L41,二三级标准!$L:$L,0))</f>
        <v>研究者手册撰写1.3.4.3</v>
      </c>
      <c r="N41" s="328"/>
      <c r="O41" s="327">
        <f>IF($Q41=1,INDEX(注册申报明细!$E:$E,MATCH(注册申报底表!$J41,注册申报明细!$B:$B,0)),0)</f>
        <v>0</v>
      </c>
      <c r="P41" s="328" t="s">
        <v>1176</v>
      </c>
      <c r="Q41" s="329">
        <v>0</v>
      </c>
      <c r="R41" s="328" t="str">
        <f>INDEX('Rate Card'!$D:$D,MATCH($S41,'Rate Card'!$F:$F,0))</f>
        <v>临床药理</v>
      </c>
      <c r="S41" s="328" t="s">
        <v>654</v>
      </c>
      <c r="T41" s="331">
        <f>INDEX('Rate Card'!$J:$J,MATCH($S41,'Rate Card'!$F:$F,0))</f>
        <v>700</v>
      </c>
      <c r="U41" s="331">
        <f t="shared" si="33"/>
        <v>6</v>
      </c>
      <c r="V41" s="327">
        <v>6</v>
      </c>
      <c r="W41" s="328"/>
      <c r="X41" s="332">
        <f t="shared" si="34"/>
        <v>6</v>
      </c>
      <c r="Y41" s="333">
        <f t="shared" si="35"/>
        <v>0</v>
      </c>
      <c r="Z41" s="328">
        <f t="shared" si="36"/>
        <v>0</v>
      </c>
      <c r="AA41" s="334">
        <f t="shared" si="37"/>
        <v>0</v>
      </c>
      <c r="AB41" s="334">
        <f>$Y41*(1-INDEX(项目参数!$D$5:$D$15,MATCH($R41,项目参数!$B$5:$B$15,0)))</f>
        <v>0</v>
      </c>
      <c r="AC41" s="334">
        <f>$AA41*INDEX(项目参数!$D$5:$D$15,MATCH($R41,项目参数!$B$5:$B$15,0))</f>
        <v>0</v>
      </c>
      <c r="AD41" s="334">
        <f t="shared" si="38"/>
        <v>0</v>
      </c>
      <c r="AE41" s="328"/>
      <c r="AF41" s="328"/>
      <c r="AG41" s="327"/>
      <c r="AH41" s="327"/>
      <c r="AI41" s="327"/>
      <c r="AJ41" s="327"/>
      <c r="AK41" s="327"/>
      <c r="AL41" s="327"/>
      <c r="AM41" s="327"/>
      <c r="AN41" s="328"/>
      <c r="AO41" s="327"/>
      <c r="AP41" s="327"/>
      <c r="AQ41" s="327"/>
      <c r="AR41" s="327"/>
      <c r="AS41" s="327"/>
      <c r="AT41" s="327"/>
      <c r="AU41" s="327"/>
      <c r="AV41" s="328">
        <f t="shared" si="39"/>
        <v>0</v>
      </c>
      <c r="AW41" s="328">
        <f t="shared" si="40"/>
        <v>0</v>
      </c>
      <c r="AX41" s="328">
        <f t="shared" si="41"/>
        <v>0</v>
      </c>
      <c r="AY41" s="328" t="b">
        <f t="shared" si="31"/>
        <v>1</v>
      </c>
    </row>
    <row r="42" ht="27" customHeight="1" spans="1:51">
      <c r="A42" s="326" t="str">
        <f>INDEX('Rate Card'!$A:$A,MATCH($S42,'Rate Card'!$F:$F,0))</f>
        <v>医学</v>
      </c>
      <c r="B42" s="327" t="str">
        <f>INDEX(二三级标准!$G:$G,MATCH($J42,二三级标准!B:B,0))</f>
        <v>份</v>
      </c>
      <c r="C42" s="327">
        <f>INDEX(注册申报明细!$E:$E,MATCH($J42,注册申报明细!$B:$B,0))</f>
        <v>0</v>
      </c>
      <c r="D42" s="327" t="str">
        <f t="shared" ref="D42:D50" si="42">J42&amp;S42</f>
        <v>A180MM</v>
      </c>
      <c r="E42" s="328"/>
      <c r="F42" s="328" t="s">
        <v>684</v>
      </c>
      <c r="G42" s="326" t="str">
        <f>INDEX('Rate Card'!$B:$B,MATCH($S42,'Rate Card'!$F:$F,0))</f>
        <v>医学</v>
      </c>
      <c r="H42" s="328" t="s">
        <v>1967</v>
      </c>
      <c r="I42" s="328" t="str">
        <f>INDEX(二三级标准!$Q:$Q,MATCH($H42,二三级标准!$O:$O,0))</f>
        <v>临床试验相关资料准备</v>
      </c>
      <c r="J42" s="328" t="s">
        <v>467</v>
      </c>
      <c r="K42" s="328" t="str">
        <f>INDEX(二三级标准!$C:$C,MATCH(注册申报底表!J42,二三级标准!$B:$B,0))</f>
        <v>研究者手册修订1.3.4.3</v>
      </c>
      <c r="L42" s="328" t="s">
        <v>2071</v>
      </c>
      <c r="M42" s="328" t="str">
        <f>INDEX(二三级标准!$M:$M,MATCH(注册申报底表!$L42,二三级标准!$L:$L,0))</f>
        <v>研究者手册修订</v>
      </c>
      <c r="N42" s="328"/>
      <c r="O42" s="327">
        <f>IF($Q42=1,INDEX(注册申报明细!$E:$E,MATCH(注册申报底表!$J42,注册申报明细!$B:$B,0)),0)</f>
        <v>0</v>
      </c>
      <c r="P42" s="328" t="s">
        <v>1176</v>
      </c>
      <c r="Q42" s="329">
        <f>INDEX(注册申报明细!$D:$D,MATCH($J42,注册申报明细!$B:$B,0))</f>
        <v>0</v>
      </c>
      <c r="R42" s="330" t="s">
        <v>578</v>
      </c>
      <c r="S42" s="328" t="s">
        <v>615</v>
      </c>
      <c r="T42" s="331">
        <f>INDEX('Rate Card'!$J:$J,MATCH($S42,'Rate Card'!$F:$F,0))</f>
        <v>650</v>
      </c>
      <c r="U42" s="331">
        <f t="shared" ref="U42:U47" si="43">$U$1*V42</f>
        <v>16</v>
      </c>
      <c r="V42" s="327">
        <v>16</v>
      </c>
      <c r="W42" s="328"/>
      <c r="X42" s="332">
        <f t="shared" ref="X42:X50" si="44">IF(ISBLANK($W42),$V42,$W42)</f>
        <v>16</v>
      </c>
      <c r="Y42" s="333">
        <f t="shared" ref="Y42:Y50" si="45">IFERROR(AA42/O42,0)</f>
        <v>0</v>
      </c>
      <c r="Z42" s="328">
        <f t="shared" ref="Z42:Z50" si="46">X42*O42*Q42</f>
        <v>0</v>
      </c>
      <c r="AA42" s="334">
        <f t="shared" ref="AA42:AA50" si="47">Z42*T42</f>
        <v>0</v>
      </c>
      <c r="AB42" s="334">
        <f>$Y42*(1-INDEX(项目参数!$D$5:$D$15,MATCH($R42,项目参数!$B$5:$B$15,0)))</f>
        <v>0</v>
      </c>
      <c r="AC42" s="334">
        <f>$AA42*INDEX(项目参数!$D$5:$D$15,MATCH($R42,项目参数!$B$5:$B$15,0))</f>
        <v>0</v>
      </c>
      <c r="AD42" s="334">
        <f t="shared" ref="AD42:AD50" si="48">AA42-AC42</f>
        <v>0</v>
      </c>
      <c r="AE42" s="328"/>
      <c r="AF42" s="328"/>
      <c r="AG42" s="327"/>
      <c r="AH42" s="327"/>
      <c r="AI42" s="327"/>
      <c r="AJ42" s="327"/>
      <c r="AK42" s="327"/>
      <c r="AL42" s="327"/>
      <c r="AM42" s="327"/>
      <c r="AN42" s="328"/>
      <c r="AO42" s="327"/>
      <c r="AP42" s="327"/>
      <c r="AQ42" s="327"/>
      <c r="AR42" s="327"/>
      <c r="AS42" s="327"/>
      <c r="AT42" s="327"/>
      <c r="AU42" s="327"/>
      <c r="AV42" s="328">
        <f t="shared" ref="AV42:AV50" si="49">Z42</f>
        <v>0</v>
      </c>
      <c r="AW42" s="328">
        <f t="shared" ref="AW42:AW50" si="50">V42*O42</f>
        <v>0</v>
      </c>
      <c r="AX42" s="328">
        <f t="shared" ref="AX42:AX47" si="51">AW42*$U$1</f>
        <v>0</v>
      </c>
      <c r="AY42" s="328" t="b">
        <f t="shared" si="31"/>
        <v>0</v>
      </c>
    </row>
    <row r="43" ht="27" customHeight="1" spans="1:51">
      <c r="A43" s="326" t="str">
        <f>INDEX('Rate Card'!$A:$A,MATCH($S43,'Rate Card'!$F:$F,0))</f>
        <v>医学</v>
      </c>
      <c r="B43" s="327" t="str">
        <f>INDEX(二三级标准!$G:$G,MATCH($J43,二三级标准!B:B,0))</f>
        <v>份</v>
      </c>
      <c r="C43" s="327">
        <f>INDEX(注册申报明细!$E:$E,MATCH($J43,注册申报明细!$B:$B,0))</f>
        <v>0</v>
      </c>
      <c r="D43" s="327" t="str">
        <f t="shared" si="42"/>
        <v>A180MD</v>
      </c>
      <c r="E43" s="328"/>
      <c r="F43" s="328" t="s">
        <v>684</v>
      </c>
      <c r="G43" s="326" t="str">
        <f>INDEX('Rate Card'!$B:$B,MATCH($S43,'Rate Card'!$F:$F,0))</f>
        <v>医学</v>
      </c>
      <c r="H43" s="328" t="s">
        <v>1967</v>
      </c>
      <c r="I43" s="328" t="str">
        <f>INDEX(二三级标准!$Q:$Q,MATCH($H43,二三级标准!$O:$O,0))</f>
        <v>临床试验相关资料准备</v>
      </c>
      <c r="J43" s="328" t="s">
        <v>467</v>
      </c>
      <c r="K43" s="328" t="str">
        <f>INDEX(二三级标准!$C:$C,MATCH(注册申报底表!J43,二三级标准!$B:$B,0))</f>
        <v>研究者手册修订1.3.4.3</v>
      </c>
      <c r="L43" s="328" t="s">
        <v>2072</v>
      </c>
      <c r="M43" s="328" t="str">
        <f>INDEX(二三级标准!$M:$M,MATCH(注册申报底表!$L43,二三级标准!$L:$L,0))</f>
        <v>研究者手册修订的审核</v>
      </c>
      <c r="N43" s="328"/>
      <c r="O43" s="327">
        <f>IF($Q43=1,INDEX(注册申报明细!$E:$E,MATCH(注册申报底表!$J43,注册申报明细!$B:$B,0)),0)</f>
        <v>0</v>
      </c>
      <c r="P43" s="328" t="s">
        <v>1176</v>
      </c>
      <c r="Q43" s="329">
        <f>INDEX(注册申报明细!$D:$D,MATCH($J43,注册申报明细!$B:$B,0))</f>
        <v>0</v>
      </c>
      <c r="R43" s="330" t="s">
        <v>578</v>
      </c>
      <c r="S43" s="328" t="s">
        <v>613</v>
      </c>
      <c r="T43" s="331">
        <f>INDEX('Rate Card'!$J:$J,MATCH($S43,'Rate Card'!$F:$F,0))</f>
        <v>990</v>
      </c>
      <c r="U43" s="331">
        <f t="shared" si="43"/>
        <v>2</v>
      </c>
      <c r="V43" s="327">
        <v>2</v>
      </c>
      <c r="W43" s="328"/>
      <c r="X43" s="332">
        <f t="shared" si="44"/>
        <v>2</v>
      </c>
      <c r="Y43" s="333">
        <f t="shared" si="45"/>
        <v>0</v>
      </c>
      <c r="Z43" s="328">
        <f t="shared" si="46"/>
        <v>0</v>
      </c>
      <c r="AA43" s="334">
        <f t="shared" si="47"/>
        <v>0</v>
      </c>
      <c r="AB43" s="334">
        <f>$Y43*(1-INDEX(项目参数!$D$5:$D$15,MATCH($R43,项目参数!$B$5:$B$15,0)))</f>
        <v>0</v>
      </c>
      <c r="AC43" s="334">
        <f>$AA43*INDEX(项目参数!$D$5:$D$15,MATCH($R43,项目参数!$B$5:$B$15,0))</f>
        <v>0</v>
      </c>
      <c r="AD43" s="334">
        <f t="shared" si="48"/>
        <v>0</v>
      </c>
      <c r="AE43" s="328"/>
      <c r="AF43" s="328"/>
      <c r="AG43" s="327"/>
      <c r="AH43" s="327"/>
      <c r="AI43" s="327"/>
      <c r="AJ43" s="327"/>
      <c r="AK43" s="327"/>
      <c r="AL43" s="327"/>
      <c r="AM43" s="327"/>
      <c r="AN43" s="328"/>
      <c r="AO43" s="327"/>
      <c r="AP43" s="327"/>
      <c r="AQ43" s="327"/>
      <c r="AR43" s="327"/>
      <c r="AS43" s="327"/>
      <c r="AT43" s="327"/>
      <c r="AU43" s="327"/>
      <c r="AV43" s="328">
        <f t="shared" si="49"/>
        <v>0</v>
      </c>
      <c r="AW43" s="328">
        <f t="shared" si="50"/>
        <v>0</v>
      </c>
      <c r="AX43" s="328">
        <f t="shared" si="51"/>
        <v>0</v>
      </c>
      <c r="AY43" s="328" t="b">
        <f t="shared" si="31"/>
        <v>0</v>
      </c>
    </row>
    <row r="44" ht="27" customHeight="1" spans="1:51">
      <c r="A44" s="326" t="str">
        <f>INDEX('Rate Card'!$A:$A,MATCH($S44,'Rate Card'!$F:$F,0))</f>
        <v>医学</v>
      </c>
      <c r="B44" s="327" t="str">
        <f>INDEX(二三级标准!$G:$G,MATCH($J44,二三级标准!B:B,0))</f>
        <v>份</v>
      </c>
      <c r="C44" s="327">
        <f>INDEX(注册申报明细!$E:$E,MATCH($J44,注册申报明细!$B:$B,0))</f>
        <v>0</v>
      </c>
      <c r="D44" s="327" t="str">
        <f t="shared" si="42"/>
        <v>A181MM</v>
      </c>
      <c r="E44" s="328"/>
      <c r="F44" s="328" t="s">
        <v>684</v>
      </c>
      <c r="G44" s="326" t="str">
        <f>INDEX('Rate Card'!$B:$B,MATCH($S44,'Rate Card'!$F:$F,0))</f>
        <v>医学</v>
      </c>
      <c r="H44" s="328" t="s">
        <v>1967</v>
      </c>
      <c r="I44" s="328" t="str">
        <f>INDEX(二三级标准!$Q:$Q,MATCH($H44,二三级标准!$O:$O,0))</f>
        <v>临床试验相关资料准备</v>
      </c>
      <c r="J44" s="328" t="s">
        <v>469</v>
      </c>
      <c r="K44" s="328" t="str">
        <f>INDEX(二三级标准!$C:$C,MATCH(注册申报底表!J44,二三级标准!$B:$B,0))</f>
        <v>风险管理计划撰写1.8.3</v>
      </c>
      <c r="L44" s="328" t="s">
        <v>2073</v>
      </c>
      <c r="M44" s="328" t="str">
        <f>INDEX(二三级标准!$M:$M,MATCH(注册申报底表!$L44,二三级标准!$L:$L,0))</f>
        <v>风险管理计划撰写1.8.3</v>
      </c>
      <c r="N44" s="328"/>
      <c r="O44" s="327">
        <f>IF($Q44=1,INDEX(注册申报明细!$E:$E,MATCH(注册申报底表!$J44,注册申报明细!$B:$B,0)),0)</f>
        <v>0</v>
      </c>
      <c r="P44" s="328" t="s">
        <v>1176</v>
      </c>
      <c r="Q44" s="329">
        <f>INDEX(注册申报明细!$D:$D,MATCH($J44,注册申报明细!$B:$B,0))</f>
        <v>0</v>
      </c>
      <c r="R44" s="330" t="s">
        <v>578</v>
      </c>
      <c r="S44" s="328" t="s">
        <v>615</v>
      </c>
      <c r="T44" s="331">
        <f>INDEX('Rate Card'!$J:$J,MATCH($S44,'Rate Card'!$F:$F,0))</f>
        <v>650</v>
      </c>
      <c r="U44" s="331">
        <f t="shared" si="43"/>
        <v>48</v>
      </c>
      <c r="V44" s="327">
        <v>48</v>
      </c>
      <c r="W44" s="328"/>
      <c r="X44" s="332">
        <f t="shared" si="44"/>
        <v>48</v>
      </c>
      <c r="Y44" s="333">
        <f t="shared" si="45"/>
        <v>0</v>
      </c>
      <c r="Z44" s="328">
        <f t="shared" si="46"/>
        <v>0</v>
      </c>
      <c r="AA44" s="334">
        <f t="shared" si="47"/>
        <v>0</v>
      </c>
      <c r="AB44" s="334">
        <f>$Y44*(1-INDEX(项目参数!$D$5:$D$15,MATCH($R44,项目参数!$B$5:$B$15,0)))</f>
        <v>0</v>
      </c>
      <c r="AC44" s="334">
        <f>$AA44*INDEX(项目参数!$D$5:$D$15,MATCH($R44,项目参数!$B$5:$B$15,0))</f>
        <v>0</v>
      </c>
      <c r="AD44" s="334">
        <f t="shared" si="48"/>
        <v>0</v>
      </c>
      <c r="AE44" s="328"/>
      <c r="AF44" s="328"/>
      <c r="AG44" s="327"/>
      <c r="AH44" s="328"/>
      <c r="AI44" s="328"/>
      <c r="AJ44" s="328"/>
      <c r="AK44" s="328"/>
      <c r="AL44" s="328"/>
      <c r="AM44" s="328"/>
      <c r="AN44" s="328"/>
      <c r="AO44" s="327"/>
      <c r="AP44" s="328"/>
      <c r="AQ44" s="328"/>
      <c r="AR44" s="328"/>
      <c r="AS44" s="328"/>
      <c r="AT44" s="328"/>
      <c r="AU44" s="328"/>
      <c r="AV44" s="328">
        <f t="shared" si="49"/>
        <v>0</v>
      </c>
      <c r="AW44" s="328">
        <f t="shared" si="50"/>
        <v>0</v>
      </c>
      <c r="AX44" s="328">
        <f t="shared" si="51"/>
        <v>0</v>
      </c>
      <c r="AY44" s="328" t="b">
        <f t="shared" si="31"/>
        <v>1</v>
      </c>
    </row>
    <row r="45" ht="27" customHeight="1" spans="1:51">
      <c r="A45" s="326" t="str">
        <f>INDEX('Rate Card'!$A:$A,MATCH($S45,'Rate Card'!$F:$F,0))</f>
        <v>医学</v>
      </c>
      <c r="B45" s="327" t="str">
        <f>INDEX(二三级标准!$G:$G,MATCH($J45,二三级标准!B:B,0))</f>
        <v>份</v>
      </c>
      <c r="C45" s="327">
        <f>INDEX(注册申报明细!$E:$E,MATCH($J45,注册申报明细!$B:$B,0))</f>
        <v>0</v>
      </c>
      <c r="D45" s="327" t="str">
        <f t="shared" si="42"/>
        <v>A181MD</v>
      </c>
      <c r="E45" s="328"/>
      <c r="F45" s="328" t="s">
        <v>684</v>
      </c>
      <c r="G45" s="326" t="str">
        <f>INDEX('Rate Card'!$B:$B,MATCH($S45,'Rate Card'!$F:$F,0))</f>
        <v>医学</v>
      </c>
      <c r="H45" s="328" t="s">
        <v>1967</v>
      </c>
      <c r="I45" s="328" t="str">
        <f>INDEX(二三级标准!$Q:$Q,MATCH($H45,二三级标准!$O:$O,0))</f>
        <v>临床试验相关资料准备</v>
      </c>
      <c r="J45" s="328" t="s">
        <v>469</v>
      </c>
      <c r="K45" s="328" t="str">
        <f>INDEX(二三级标准!$C:$C,MATCH(注册申报底表!J45,二三级标准!$B:$B,0))</f>
        <v>风险管理计划撰写1.8.3</v>
      </c>
      <c r="L45" s="328" t="s">
        <v>2073</v>
      </c>
      <c r="M45" s="328" t="str">
        <f>INDEX(二三级标准!$M:$M,MATCH(注册申报底表!$L45,二三级标准!$L:$L,0))</f>
        <v>风险管理计划撰写1.8.3</v>
      </c>
      <c r="N45" s="328"/>
      <c r="O45" s="327">
        <f>IF($Q45=1,INDEX(注册申报明细!$E:$E,MATCH(注册申报底表!$J45,注册申报明细!$B:$B,0)),0)</f>
        <v>0</v>
      </c>
      <c r="P45" s="328" t="s">
        <v>1176</v>
      </c>
      <c r="Q45" s="329">
        <f>INDEX(注册申报明细!$D:$D,MATCH($J45,注册申报明细!$B:$B,0))</f>
        <v>0</v>
      </c>
      <c r="R45" s="330" t="s">
        <v>578</v>
      </c>
      <c r="S45" s="328" t="s">
        <v>613</v>
      </c>
      <c r="T45" s="331">
        <f>INDEX('Rate Card'!$J:$J,MATCH($S45,'Rate Card'!$F:$F,0))</f>
        <v>990</v>
      </c>
      <c r="U45" s="331">
        <f t="shared" si="43"/>
        <v>10</v>
      </c>
      <c r="V45" s="327">
        <v>10</v>
      </c>
      <c r="W45" s="328"/>
      <c r="X45" s="332">
        <f t="shared" si="44"/>
        <v>10</v>
      </c>
      <c r="Y45" s="333">
        <f t="shared" si="45"/>
        <v>0</v>
      </c>
      <c r="Z45" s="328">
        <f t="shared" si="46"/>
        <v>0</v>
      </c>
      <c r="AA45" s="334">
        <f t="shared" si="47"/>
        <v>0</v>
      </c>
      <c r="AB45" s="334">
        <f>$Y45*(1-INDEX(项目参数!$D$5:$D$15,MATCH($R45,项目参数!$B$5:$B$15,0)))</f>
        <v>0</v>
      </c>
      <c r="AC45" s="334">
        <f>$AA45*INDEX(项目参数!$D$5:$D$15,MATCH($R45,项目参数!$B$5:$B$15,0))</f>
        <v>0</v>
      </c>
      <c r="AD45" s="334">
        <f t="shared" si="48"/>
        <v>0</v>
      </c>
      <c r="AE45" s="328"/>
      <c r="AF45" s="328"/>
      <c r="AG45" s="327"/>
      <c r="AH45" s="328"/>
      <c r="AI45" s="328"/>
      <c r="AJ45" s="328"/>
      <c r="AK45" s="328"/>
      <c r="AL45" s="328"/>
      <c r="AM45" s="328"/>
      <c r="AN45" s="328"/>
      <c r="AO45" s="327"/>
      <c r="AP45" s="328"/>
      <c r="AQ45" s="328"/>
      <c r="AR45" s="328"/>
      <c r="AS45" s="328"/>
      <c r="AT45" s="328"/>
      <c r="AU45" s="328"/>
      <c r="AV45" s="328">
        <f t="shared" si="49"/>
        <v>0</v>
      </c>
      <c r="AW45" s="328">
        <f t="shared" si="50"/>
        <v>0</v>
      </c>
      <c r="AX45" s="328">
        <f t="shared" si="51"/>
        <v>0</v>
      </c>
      <c r="AY45" s="328" t="b">
        <f t="shared" si="31"/>
        <v>1</v>
      </c>
    </row>
    <row r="46" ht="27" customHeight="1" spans="1:51">
      <c r="A46" s="326" t="str">
        <f>INDEX('Rate Card'!$A:$A,MATCH($S46,'Rate Card'!$F:$F,0))</f>
        <v>临床药理</v>
      </c>
      <c r="B46" s="327" t="str">
        <f>INDEX(二三级标准!$G:$G,MATCH($J46,二三级标准!B:B,0))</f>
        <v>份</v>
      </c>
      <c r="C46" s="327">
        <f>INDEX(注册申报明细!$E:$E,MATCH($J46,注册申报明细!$B:$B,0))</f>
        <v>0</v>
      </c>
      <c r="D46" s="327" t="str">
        <f t="shared" si="42"/>
        <v>A181CPS</v>
      </c>
      <c r="E46" s="328"/>
      <c r="F46" s="328" t="s">
        <v>684</v>
      </c>
      <c r="G46" s="326" t="str">
        <f>INDEX('Rate Card'!$B:$B,MATCH($S46,'Rate Card'!$F:$F,0))</f>
        <v>临床药理</v>
      </c>
      <c r="H46" s="328" t="s">
        <v>1967</v>
      </c>
      <c r="I46" s="328" t="str">
        <f>INDEX(二三级标准!$Q:$Q,MATCH($H46,二三级标准!$O:$O,0))</f>
        <v>临床试验相关资料准备</v>
      </c>
      <c r="J46" s="328" t="s">
        <v>469</v>
      </c>
      <c r="K46" s="328" t="str">
        <f>INDEX(二三级标准!$C:$C,MATCH(注册申报底表!J46,二三级标准!$B:$B,0))</f>
        <v>风险管理计划撰写1.8.3</v>
      </c>
      <c r="L46" s="328" t="s">
        <v>2073</v>
      </c>
      <c r="M46" s="328" t="str">
        <f>INDEX(二三级标准!$M:$M,MATCH(注册申报底表!$L46,二三级标准!$L:$L,0))</f>
        <v>风险管理计划撰写1.8.3</v>
      </c>
      <c r="N46" s="328"/>
      <c r="O46" s="327">
        <f>IF($Q46=1,INDEX(注册申报明细!$E:$E,MATCH(注册申报底表!$J46,注册申报明细!$B:$B,0)),0)</f>
        <v>0</v>
      </c>
      <c r="P46" s="328" t="s">
        <v>1176</v>
      </c>
      <c r="Q46" s="329">
        <v>0</v>
      </c>
      <c r="R46" s="328" t="str">
        <f>INDEX('Rate Card'!$D:$D,MATCH($S46,'Rate Card'!$F:$F,0))</f>
        <v>临床药理</v>
      </c>
      <c r="S46" s="328" t="s">
        <v>652</v>
      </c>
      <c r="T46" s="331">
        <f>INDEX('Rate Card'!$J:$J,MATCH($S46,'Rate Card'!$F:$F,0))</f>
        <v>580</v>
      </c>
      <c r="U46" s="331">
        <f t="shared" si="43"/>
        <v>24</v>
      </c>
      <c r="V46" s="327">
        <v>24</v>
      </c>
      <c r="W46" s="328"/>
      <c r="X46" s="332">
        <f t="shared" si="44"/>
        <v>24</v>
      </c>
      <c r="Y46" s="333">
        <f t="shared" si="45"/>
        <v>0</v>
      </c>
      <c r="Z46" s="328">
        <f t="shared" si="46"/>
        <v>0</v>
      </c>
      <c r="AA46" s="334">
        <f t="shared" si="47"/>
        <v>0</v>
      </c>
      <c r="AB46" s="334">
        <f>$Y46*(1-INDEX(项目参数!$D$5:$D$15,MATCH($R46,项目参数!$B$5:$B$15,0)))</f>
        <v>0</v>
      </c>
      <c r="AC46" s="334">
        <f>$AA46*INDEX(项目参数!$D$5:$D$15,MATCH($R46,项目参数!$B$5:$B$15,0))</f>
        <v>0</v>
      </c>
      <c r="AD46" s="334">
        <f t="shared" si="48"/>
        <v>0</v>
      </c>
      <c r="AE46" s="328"/>
      <c r="AF46" s="328"/>
      <c r="AG46" s="327"/>
      <c r="AH46" s="328"/>
      <c r="AI46" s="328"/>
      <c r="AJ46" s="328"/>
      <c r="AK46" s="328"/>
      <c r="AL46" s="328"/>
      <c r="AM46" s="328"/>
      <c r="AN46" s="328"/>
      <c r="AO46" s="327"/>
      <c r="AP46" s="328"/>
      <c r="AQ46" s="328"/>
      <c r="AR46" s="328"/>
      <c r="AS46" s="328"/>
      <c r="AT46" s="328"/>
      <c r="AU46" s="328"/>
      <c r="AV46" s="328">
        <f t="shared" si="49"/>
        <v>0</v>
      </c>
      <c r="AW46" s="328">
        <f t="shared" si="50"/>
        <v>0</v>
      </c>
      <c r="AX46" s="328">
        <f t="shared" si="51"/>
        <v>0</v>
      </c>
      <c r="AY46" s="328" t="b">
        <f t="shared" si="31"/>
        <v>1</v>
      </c>
    </row>
    <row r="47" ht="27" customHeight="1" spans="1:51">
      <c r="A47" s="326" t="str">
        <f>INDEX('Rate Card'!$A:$A,MATCH($S47,'Rate Card'!$F:$F,0))</f>
        <v>临床药理</v>
      </c>
      <c r="B47" s="327" t="str">
        <f>INDEX(二三级标准!$G:$G,MATCH($J47,二三级标准!B:B,0))</f>
        <v>份</v>
      </c>
      <c r="C47" s="327">
        <f>INDEX(注册申报明细!$E:$E,MATCH($J47,注册申报明细!$B:$B,0))</f>
        <v>0</v>
      </c>
      <c r="D47" s="327" t="str">
        <f t="shared" si="42"/>
        <v>A181CPSS</v>
      </c>
      <c r="E47" s="328"/>
      <c r="F47" s="328" t="s">
        <v>684</v>
      </c>
      <c r="G47" s="326" t="str">
        <f>INDEX('Rate Card'!$B:$B,MATCH($S47,'Rate Card'!$F:$F,0))</f>
        <v>临床药理</v>
      </c>
      <c r="H47" s="328" t="s">
        <v>1967</v>
      </c>
      <c r="I47" s="328" t="str">
        <f>INDEX(二三级标准!$Q:$Q,MATCH($H47,二三级标准!$O:$O,0))</f>
        <v>临床试验相关资料准备</v>
      </c>
      <c r="J47" s="328" t="s">
        <v>469</v>
      </c>
      <c r="K47" s="328" t="str">
        <f>INDEX(二三级标准!$C:$C,MATCH(注册申报底表!J47,二三级标准!$B:$B,0))</f>
        <v>风险管理计划撰写1.8.3</v>
      </c>
      <c r="L47" s="328" t="s">
        <v>2073</v>
      </c>
      <c r="M47" s="328" t="str">
        <f>INDEX(二三级标准!$M:$M,MATCH(注册申报底表!$L47,二三级标准!$L:$L,0))</f>
        <v>风险管理计划撰写1.8.3</v>
      </c>
      <c r="N47" s="328"/>
      <c r="O47" s="327">
        <f>IF($Q47=1,INDEX(注册申报明细!$E:$E,MATCH(注册申报底表!$J47,注册申报明细!$B:$B,0)),0)</f>
        <v>0</v>
      </c>
      <c r="P47" s="328" t="s">
        <v>1176</v>
      </c>
      <c r="Q47" s="329">
        <v>0</v>
      </c>
      <c r="R47" s="328" t="str">
        <f>INDEX('Rate Card'!$D:$D,MATCH($S47,'Rate Card'!$F:$F,0))</f>
        <v>临床药理</v>
      </c>
      <c r="S47" s="328" t="s">
        <v>654</v>
      </c>
      <c r="T47" s="331">
        <f>INDEX('Rate Card'!$J:$J,MATCH($S47,'Rate Card'!$F:$F,0))</f>
        <v>700</v>
      </c>
      <c r="U47" s="331">
        <f t="shared" si="43"/>
        <v>6</v>
      </c>
      <c r="V47" s="327">
        <v>6</v>
      </c>
      <c r="W47" s="328"/>
      <c r="X47" s="332">
        <f t="shared" si="44"/>
        <v>6</v>
      </c>
      <c r="Y47" s="333">
        <f t="shared" si="45"/>
        <v>0</v>
      </c>
      <c r="Z47" s="328">
        <f t="shared" si="46"/>
        <v>0</v>
      </c>
      <c r="AA47" s="334">
        <f t="shared" si="47"/>
        <v>0</v>
      </c>
      <c r="AB47" s="334">
        <f>$Y47*(1-INDEX(项目参数!$D$5:$D$15,MATCH($R47,项目参数!$B$5:$B$15,0)))</f>
        <v>0</v>
      </c>
      <c r="AC47" s="334">
        <f>$AA47*INDEX(项目参数!$D$5:$D$15,MATCH($R47,项目参数!$B$5:$B$15,0))</f>
        <v>0</v>
      </c>
      <c r="AD47" s="334">
        <f t="shared" si="48"/>
        <v>0</v>
      </c>
      <c r="AE47" s="328"/>
      <c r="AF47" s="328"/>
      <c r="AG47" s="327"/>
      <c r="AH47" s="328"/>
      <c r="AI47" s="328"/>
      <c r="AJ47" s="328"/>
      <c r="AK47" s="328"/>
      <c r="AL47" s="328"/>
      <c r="AM47" s="328"/>
      <c r="AN47" s="328"/>
      <c r="AO47" s="327"/>
      <c r="AP47" s="328"/>
      <c r="AQ47" s="328"/>
      <c r="AR47" s="328"/>
      <c r="AS47" s="328"/>
      <c r="AT47" s="328"/>
      <c r="AU47" s="328"/>
      <c r="AV47" s="328">
        <f t="shared" si="49"/>
        <v>0</v>
      </c>
      <c r="AW47" s="328">
        <f t="shared" si="50"/>
        <v>0</v>
      </c>
      <c r="AX47" s="328">
        <f t="shared" si="51"/>
        <v>0</v>
      </c>
      <c r="AY47" s="328" t="b">
        <f t="shared" si="31"/>
        <v>1</v>
      </c>
    </row>
    <row r="48" ht="27" customHeight="1" spans="1:51">
      <c r="A48" s="326" t="str">
        <f>INDEX('Rate Card'!$A:$A,MATCH($S48,'Rate Card'!$F:$F,0))</f>
        <v>医学</v>
      </c>
      <c r="B48" s="327" t="str">
        <f>INDEX(二三级标准!$G:$G,MATCH($J48,二三级标准!B:B,0))</f>
        <v>份</v>
      </c>
      <c r="C48" s="327">
        <f>INDEX(注册申报明细!$E:$E,MATCH($J48,注册申报明细!$B:$B,0))</f>
        <v>0</v>
      </c>
      <c r="D48" s="327" t="str">
        <f t="shared" si="42"/>
        <v>A182MM</v>
      </c>
      <c r="E48" s="328"/>
      <c r="F48" s="328" t="s">
        <v>684</v>
      </c>
      <c r="G48" s="326" t="str">
        <f>INDEX('Rate Card'!$B:$B,MATCH($S48,'Rate Card'!$F:$F,0))</f>
        <v>医学</v>
      </c>
      <c r="H48" s="328" t="s">
        <v>1967</v>
      </c>
      <c r="I48" s="328" t="str">
        <f>INDEX(二三级标准!$Q:$Q,MATCH($H48,二三级标准!$O:$O,0))</f>
        <v>临床试验相关资料准备</v>
      </c>
      <c r="J48" s="328" t="s">
        <v>471</v>
      </c>
      <c r="K48" s="328" t="str">
        <f>INDEX(二三级标准!$C:$C,MATCH(注册申报底表!J48,二三级标准!$B:$B,0))</f>
        <v>风险管理计划修订1.8.3</v>
      </c>
      <c r="L48" s="328" t="s">
        <v>2074</v>
      </c>
      <c r="M48" s="328" t="str">
        <f>INDEX(二三级标准!$M:$M,MATCH(注册申报底表!$L48,二三级标准!$L:$L,0))</f>
        <v>风险管理计划修订</v>
      </c>
      <c r="N48" s="328"/>
      <c r="O48" s="327">
        <f>IF($Q48=1,INDEX(注册申报明细!$E:$E,MATCH(注册申报底表!$J48,注册申报明细!$B:$B,0)),0)</f>
        <v>0</v>
      </c>
      <c r="P48" s="328" t="s">
        <v>1176</v>
      </c>
      <c r="Q48" s="329">
        <f>INDEX(注册申报明细!$D:$D,MATCH($J48,注册申报明细!$B:$B,0))</f>
        <v>0</v>
      </c>
      <c r="R48" s="330" t="s">
        <v>578</v>
      </c>
      <c r="S48" s="328" t="s">
        <v>615</v>
      </c>
      <c r="T48" s="331">
        <f>INDEX('Rate Card'!$J:$J,MATCH($S48,'Rate Card'!$F:$F,0))</f>
        <v>650</v>
      </c>
      <c r="U48" s="331">
        <f t="shared" ref="U48:U62" si="52">$U$1*V48</f>
        <v>16</v>
      </c>
      <c r="V48" s="327">
        <v>16</v>
      </c>
      <c r="W48" s="328"/>
      <c r="X48" s="332">
        <f t="shared" si="44"/>
        <v>16</v>
      </c>
      <c r="Y48" s="333">
        <f t="shared" si="45"/>
        <v>0</v>
      </c>
      <c r="Z48" s="328">
        <f t="shared" si="46"/>
        <v>0</v>
      </c>
      <c r="AA48" s="334">
        <f t="shared" si="47"/>
        <v>0</v>
      </c>
      <c r="AB48" s="334">
        <f>$Y48*(1-INDEX(项目参数!$D$5:$D$15,MATCH($R48,项目参数!$B$5:$B$15,0)))</f>
        <v>0</v>
      </c>
      <c r="AC48" s="334">
        <f>$AA48*INDEX(项目参数!$D$5:$D$15,MATCH($R48,项目参数!$B$5:$B$15,0))</f>
        <v>0</v>
      </c>
      <c r="AD48" s="334">
        <f t="shared" si="48"/>
        <v>0</v>
      </c>
      <c r="AE48" s="328"/>
      <c r="AF48" s="328"/>
      <c r="AG48" s="327"/>
      <c r="AH48" s="328"/>
      <c r="AI48" s="328"/>
      <c r="AJ48" s="328"/>
      <c r="AK48" s="328"/>
      <c r="AL48" s="328"/>
      <c r="AM48" s="328"/>
      <c r="AN48" s="328"/>
      <c r="AO48" s="327"/>
      <c r="AP48" s="328"/>
      <c r="AQ48" s="328"/>
      <c r="AR48" s="328"/>
      <c r="AS48" s="328"/>
      <c r="AT48" s="328"/>
      <c r="AU48" s="328"/>
      <c r="AV48" s="328">
        <f t="shared" si="49"/>
        <v>0</v>
      </c>
      <c r="AW48" s="328">
        <f t="shared" si="50"/>
        <v>0</v>
      </c>
      <c r="AX48" s="328">
        <f t="shared" ref="AX48:AX62" si="53">AW48*$U$1</f>
        <v>0</v>
      </c>
      <c r="AY48" s="328" t="b">
        <f t="shared" si="31"/>
        <v>0</v>
      </c>
    </row>
    <row r="49" ht="27" customHeight="1" spans="1:51">
      <c r="A49" s="326" t="str">
        <f>INDEX('Rate Card'!$A:$A,MATCH($S49,'Rate Card'!$F:$F,0))</f>
        <v>医学</v>
      </c>
      <c r="B49" s="327" t="str">
        <f>INDEX(二三级标准!$G:$G,MATCH($J49,二三级标准!B:B,0))</f>
        <v>份</v>
      </c>
      <c r="C49" s="327">
        <f>INDEX(注册申报明细!$E:$E,MATCH($J49,注册申报明细!$B:$B,0))</f>
        <v>0</v>
      </c>
      <c r="D49" s="327" t="str">
        <f t="shared" si="42"/>
        <v>A182MD</v>
      </c>
      <c r="E49" s="328"/>
      <c r="F49" s="328" t="s">
        <v>684</v>
      </c>
      <c r="G49" s="326" t="str">
        <f>INDEX('Rate Card'!$B:$B,MATCH($S49,'Rate Card'!$F:$F,0))</f>
        <v>医学</v>
      </c>
      <c r="H49" s="328" t="s">
        <v>1967</v>
      </c>
      <c r="I49" s="328" t="str">
        <f>INDEX(二三级标准!$Q:$Q,MATCH($H49,二三级标准!$O:$O,0))</f>
        <v>临床试验相关资料准备</v>
      </c>
      <c r="J49" s="328" t="s">
        <v>471</v>
      </c>
      <c r="K49" s="328" t="str">
        <f>INDEX(二三级标准!$C:$C,MATCH(注册申报底表!J49,二三级标准!$B:$B,0))</f>
        <v>风险管理计划修订1.8.3</v>
      </c>
      <c r="L49" s="328" t="s">
        <v>2075</v>
      </c>
      <c r="M49" s="328" t="str">
        <f>INDEX(二三级标准!$M:$M,MATCH(注册申报底表!$L49,二三级标准!$L:$L,0))</f>
        <v>风险管理计划修订的审核</v>
      </c>
      <c r="N49" s="328"/>
      <c r="O49" s="327">
        <f>IF($Q49=1,INDEX(注册申报明细!$E:$E,MATCH(注册申报底表!$J49,注册申报明细!$B:$B,0)),0)</f>
        <v>0</v>
      </c>
      <c r="P49" s="328" t="s">
        <v>1176</v>
      </c>
      <c r="Q49" s="329">
        <f>INDEX(注册申报明细!$D:$D,MATCH($J49,注册申报明细!$B:$B,0))</f>
        <v>0</v>
      </c>
      <c r="R49" s="330" t="s">
        <v>578</v>
      </c>
      <c r="S49" s="328" t="s">
        <v>613</v>
      </c>
      <c r="T49" s="331">
        <f>INDEX('Rate Card'!$J:$J,MATCH($S49,'Rate Card'!$F:$F,0))</f>
        <v>990</v>
      </c>
      <c r="U49" s="331">
        <f t="shared" si="52"/>
        <v>4</v>
      </c>
      <c r="V49" s="327">
        <v>4</v>
      </c>
      <c r="W49" s="328"/>
      <c r="X49" s="332">
        <f t="shared" si="44"/>
        <v>4</v>
      </c>
      <c r="Y49" s="333">
        <f t="shared" si="45"/>
        <v>0</v>
      </c>
      <c r="Z49" s="328">
        <f t="shared" si="46"/>
        <v>0</v>
      </c>
      <c r="AA49" s="334">
        <f t="shared" si="47"/>
        <v>0</v>
      </c>
      <c r="AB49" s="334">
        <f>$Y49*(1-INDEX(项目参数!$D$5:$D$15,MATCH($R49,项目参数!$B$5:$B$15,0)))</f>
        <v>0</v>
      </c>
      <c r="AC49" s="334">
        <f>$AA49*INDEX(项目参数!$D$5:$D$15,MATCH($R49,项目参数!$B$5:$B$15,0))</f>
        <v>0</v>
      </c>
      <c r="AD49" s="334">
        <f t="shared" si="48"/>
        <v>0</v>
      </c>
      <c r="AE49" s="328"/>
      <c r="AF49" s="328"/>
      <c r="AG49" s="327"/>
      <c r="AH49" s="328"/>
      <c r="AI49" s="328"/>
      <c r="AJ49" s="328"/>
      <c r="AK49" s="328"/>
      <c r="AL49" s="328"/>
      <c r="AM49" s="328"/>
      <c r="AN49" s="328"/>
      <c r="AO49" s="327"/>
      <c r="AP49" s="328"/>
      <c r="AQ49" s="328"/>
      <c r="AR49" s="328"/>
      <c r="AS49" s="328"/>
      <c r="AT49" s="328"/>
      <c r="AU49" s="328"/>
      <c r="AV49" s="328">
        <f t="shared" si="49"/>
        <v>0</v>
      </c>
      <c r="AW49" s="328">
        <f t="shared" si="50"/>
        <v>0</v>
      </c>
      <c r="AX49" s="328">
        <f t="shared" si="53"/>
        <v>0</v>
      </c>
      <c r="AY49" s="328" t="b">
        <f t="shared" si="31"/>
        <v>0</v>
      </c>
    </row>
    <row r="50" ht="27" customHeight="1" spans="1:51">
      <c r="A50" s="326" t="str">
        <f>INDEX('Rate Card'!$A:$A,MATCH($S50,'Rate Card'!$F:$F,0))</f>
        <v>医学</v>
      </c>
      <c r="B50" s="327" t="str">
        <f>INDEX(二三级标准!$G:$G,MATCH($J50,二三级标准!B:B,0))</f>
        <v>份</v>
      </c>
      <c r="C50" s="327">
        <f>INDEX(注册申报明细!$E:$E,MATCH($J50,注册申报明细!$B:$B,0))</f>
        <v>0</v>
      </c>
      <c r="D50" s="327" t="str">
        <f t="shared" si="42"/>
        <v>A183MM</v>
      </c>
      <c r="E50" s="328"/>
      <c r="F50" s="328" t="s">
        <v>684</v>
      </c>
      <c r="G50" s="326" t="str">
        <f>INDEX('Rate Card'!$B:$B,MATCH($S50,'Rate Card'!$F:$F,0))</f>
        <v>医学</v>
      </c>
      <c r="H50" s="328" t="s">
        <v>1967</v>
      </c>
      <c r="I50" s="328" t="str">
        <f>INDEX(二三级标准!$Q:$Q,MATCH($H50,二三级标准!$O:$O,0))</f>
        <v>临床试验相关资料准备</v>
      </c>
      <c r="J50" s="328" t="s">
        <v>473</v>
      </c>
      <c r="K50" s="328" t="str">
        <f>INDEX(二三级标准!$C:$C,MATCH(注册申报底表!J50,二三级标准!$B:$B,0))</f>
        <v>研究药品说明样稿撰写</v>
      </c>
      <c r="L50" s="328" t="s">
        <v>2076</v>
      </c>
      <c r="M50" s="328" t="str">
        <f>INDEX(二三级标准!$M:$M,MATCH(注册申报底表!$L50,二三级标准!$L:$L,0))</f>
        <v>研究药品说明样稿撰写</v>
      </c>
      <c r="N50" s="328"/>
      <c r="O50" s="327">
        <f>IF($Q50=1,INDEX(注册申报明细!$E:$E,MATCH(注册申报底表!$J50,注册申报明细!$B:$B,0)),0)</f>
        <v>0</v>
      </c>
      <c r="P50" s="328" t="s">
        <v>1176</v>
      </c>
      <c r="Q50" s="329">
        <f>INDEX(注册申报明细!$D:$D,MATCH($J50,注册申报明细!$B:$B,0))</f>
        <v>0</v>
      </c>
      <c r="R50" s="330" t="s">
        <v>578</v>
      </c>
      <c r="S50" s="328" t="s">
        <v>615</v>
      </c>
      <c r="T50" s="331">
        <f>INDEX('Rate Card'!$J:$J,MATCH($S50,'Rate Card'!$F:$F,0))</f>
        <v>650</v>
      </c>
      <c r="U50" s="331">
        <f t="shared" si="52"/>
        <v>8</v>
      </c>
      <c r="V50" s="327">
        <v>8</v>
      </c>
      <c r="W50" s="328"/>
      <c r="X50" s="332">
        <f t="shared" si="44"/>
        <v>8</v>
      </c>
      <c r="Y50" s="333">
        <f t="shared" si="45"/>
        <v>0</v>
      </c>
      <c r="Z50" s="328">
        <f t="shared" si="46"/>
        <v>0</v>
      </c>
      <c r="AA50" s="334">
        <f t="shared" si="47"/>
        <v>0</v>
      </c>
      <c r="AB50" s="334">
        <f>$Y50*(1-INDEX(项目参数!$D$5:$D$15,MATCH($R50,项目参数!$B$5:$B$15,0)))</f>
        <v>0</v>
      </c>
      <c r="AC50" s="334">
        <f>$AA50*INDEX(项目参数!$D$5:$D$15,MATCH($R50,项目参数!$B$5:$B$15,0))</f>
        <v>0</v>
      </c>
      <c r="AD50" s="334">
        <f t="shared" si="48"/>
        <v>0</v>
      </c>
      <c r="AE50" s="328"/>
      <c r="AF50" s="328"/>
      <c r="AG50" s="327"/>
      <c r="AH50" s="328"/>
      <c r="AI50" s="328"/>
      <c r="AJ50" s="328"/>
      <c r="AK50" s="328"/>
      <c r="AL50" s="328"/>
      <c r="AM50" s="328"/>
      <c r="AN50" s="328"/>
      <c r="AO50" s="337"/>
      <c r="AP50" s="328"/>
      <c r="AQ50" s="328"/>
      <c r="AR50" s="328"/>
      <c r="AS50" s="328"/>
      <c r="AT50" s="328"/>
      <c r="AU50" s="328"/>
      <c r="AV50" s="328">
        <f t="shared" si="49"/>
        <v>0</v>
      </c>
      <c r="AW50" s="328">
        <f t="shared" si="50"/>
        <v>0</v>
      </c>
      <c r="AX50" s="328">
        <f t="shared" si="53"/>
        <v>0</v>
      </c>
      <c r="AY50" s="328" t="b">
        <f t="shared" si="31"/>
        <v>1</v>
      </c>
    </row>
    <row r="51" ht="27" customHeight="1" spans="1:51">
      <c r="A51" s="326" t="str">
        <f>INDEX('Rate Card'!$A:$A,MATCH($S51,'Rate Card'!$F:$F,0))</f>
        <v>医学</v>
      </c>
      <c r="B51" s="327" t="str">
        <f>INDEX(二三级标准!$G:$G,MATCH($J51,二三级标准!B:B,0))</f>
        <v>份</v>
      </c>
      <c r="C51" s="327">
        <f>INDEX(注册申报明细!$E:$E,MATCH($J51,注册申报明细!$B:$B,0))</f>
        <v>0</v>
      </c>
      <c r="D51" s="327" t="str">
        <f t="shared" ref="D51:D56" si="54">J51&amp;S51</f>
        <v>A183MD</v>
      </c>
      <c r="E51" s="328"/>
      <c r="F51" s="328" t="s">
        <v>684</v>
      </c>
      <c r="G51" s="326" t="str">
        <f>INDEX('Rate Card'!$B:$B,MATCH($S51,'Rate Card'!$F:$F,0))</f>
        <v>医学</v>
      </c>
      <c r="H51" s="328" t="s">
        <v>1967</v>
      </c>
      <c r="I51" s="328" t="str">
        <f>INDEX(二三级标准!$Q:$Q,MATCH($H51,二三级标准!$O:$O,0))</f>
        <v>临床试验相关资料准备</v>
      </c>
      <c r="J51" s="328" t="s">
        <v>473</v>
      </c>
      <c r="K51" s="328" t="str">
        <f>INDEX(二三级标准!$C:$C,MATCH(注册申报底表!J51,二三级标准!$B:$B,0))</f>
        <v>研究药品说明样稿撰写</v>
      </c>
      <c r="L51" s="328" t="s">
        <v>2077</v>
      </c>
      <c r="M51" s="328" t="str">
        <f>INDEX(二三级标准!$M:$M,MATCH(注册申报底表!$L51,二三级标准!$L:$L,0))</f>
        <v>研究药品说明样稿审核</v>
      </c>
      <c r="N51" s="328"/>
      <c r="O51" s="327">
        <f>IF($Q51=1,INDEX(注册申报明细!$E:$E,MATCH(注册申报底表!$J51,注册申报明细!$B:$B,0)),0)</f>
        <v>0</v>
      </c>
      <c r="P51" s="328" t="s">
        <v>1176</v>
      </c>
      <c r="Q51" s="329">
        <f>INDEX(注册申报明细!$D:$D,MATCH($J51,注册申报明细!$B:$B,0))</f>
        <v>0</v>
      </c>
      <c r="R51" s="330" t="s">
        <v>578</v>
      </c>
      <c r="S51" s="328" t="s">
        <v>613</v>
      </c>
      <c r="T51" s="331">
        <f>INDEX('Rate Card'!$J:$J,MATCH($S51,'Rate Card'!$F:$F,0))</f>
        <v>990</v>
      </c>
      <c r="U51" s="331">
        <f t="shared" si="52"/>
        <v>4</v>
      </c>
      <c r="V51" s="327">
        <v>4</v>
      </c>
      <c r="W51" s="328"/>
      <c r="X51" s="332">
        <f t="shared" ref="X51:X56" si="55">IF(ISBLANK($W51),$V51,$W51)</f>
        <v>4</v>
      </c>
      <c r="Y51" s="333">
        <f t="shared" ref="Y51:Y56" si="56">IFERROR(AA51/O51,0)</f>
        <v>0</v>
      </c>
      <c r="Z51" s="328">
        <f t="shared" ref="Z51:Z56" si="57">X51*O51*Q51</f>
        <v>0</v>
      </c>
      <c r="AA51" s="334">
        <f t="shared" ref="AA51:AA56" si="58">Z51*T51</f>
        <v>0</v>
      </c>
      <c r="AB51" s="334">
        <f>$Y51*(1-INDEX(项目参数!$D$5:$D$15,MATCH($R51,项目参数!$B$5:$B$15,0)))</f>
        <v>0</v>
      </c>
      <c r="AC51" s="334">
        <f>$AA51*INDEX(项目参数!$D$5:$D$15,MATCH($R51,项目参数!$B$5:$B$15,0))</f>
        <v>0</v>
      </c>
      <c r="AD51" s="334">
        <f t="shared" ref="AD51:AD56" si="59">AA51-AC51</f>
        <v>0</v>
      </c>
      <c r="AE51" s="328"/>
      <c r="AF51" s="328"/>
      <c r="AG51" s="327"/>
      <c r="AH51" s="328"/>
      <c r="AI51" s="328"/>
      <c r="AJ51" s="328"/>
      <c r="AK51" s="328"/>
      <c r="AL51" s="328"/>
      <c r="AM51" s="328"/>
      <c r="AN51" s="328"/>
      <c r="AO51" s="337"/>
      <c r="AP51" s="328"/>
      <c r="AQ51" s="328"/>
      <c r="AR51" s="328"/>
      <c r="AS51" s="328"/>
      <c r="AT51" s="328"/>
      <c r="AU51" s="328"/>
      <c r="AV51" s="328">
        <f t="shared" ref="AV51:AV56" si="60">Z51</f>
        <v>0</v>
      </c>
      <c r="AW51" s="328">
        <f t="shared" ref="AW51:AW56" si="61">V51*O51</f>
        <v>0</v>
      </c>
      <c r="AX51" s="328">
        <f t="shared" si="53"/>
        <v>0</v>
      </c>
      <c r="AY51" s="328" t="b">
        <f t="shared" si="31"/>
        <v>1</v>
      </c>
    </row>
    <row r="52" ht="27" customHeight="1" spans="1:51">
      <c r="A52" s="326" t="str">
        <f>INDEX('Rate Card'!$A:$A,MATCH($S52,'Rate Card'!$F:$F,0))</f>
        <v>医学</v>
      </c>
      <c r="B52" s="327" t="str">
        <f>INDEX(二三级标准!$G:$G,MATCH($J52,二三级标准!B:B,0))</f>
        <v>份</v>
      </c>
      <c r="C52" s="327">
        <f>INDEX(注册申报明细!$E:$E,MATCH($J52,注册申报明细!$B:$B,0))</f>
        <v>0</v>
      </c>
      <c r="D52" s="327" t="str">
        <f t="shared" si="54"/>
        <v>A184MM</v>
      </c>
      <c r="E52" s="328"/>
      <c r="F52" s="328" t="s">
        <v>684</v>
      </c>
      <c r="G52" s="326" t="str">
        <f>INDEX('Rate Card'!$B:$B,MATCH($S52,'Rate Card'!$F:$F,0))</f>
        <v>医学</v>
      </c>
      <c r="H52" s="328" t="s">
        <v>1972</v>
      </c>
      <c r="I52" s="328" t="str">
        <f>INDEX(二三级标准!$Q:$Q,MATCH($H52,二三级标准!$O:$O,0))</f>
        <v>CDE沟通</v>
      </c>
      <c r="J52" s="328" t="s">
        <v>475</v>
      </c>
      <c r="K52" s="328" t="str">
        <f>INDEX(二三级标准!$C:$C,MATCH(注册申报底表!J52,二三级标准!$B:$B,0))</f>
        <v>沟通问题清单准备</v>
      </c>
      <c r="L52" s="328" t="s">
        <v>2078</v>
      </c>
      <c r="M52" s="328" t="str">
        <f>INDEX(二三级标准!$M:$M,MATCH(注册申报底表!$L52,二三级标准!$L:$L,0))</f>
        <v>沟通问题清单准备</v>
      </c>
      <c r="N52" s="328"/>
      <c r="O52" s="327">
        <f>IF($Q52=1,INDEX(注册申报明细!$E:$E,MATCH(注册申报底表!$J52,注册申报明细!$B:$B,0)),0)</f>
        <v>0</v>
      </c>
      <c r="P52" s="328" t="s">
        <v>1176</v>
      </c>
      <c r="Q52" s="329">
        <f>INDEX(注册申报明细!$D:$D,MATCH($J52,注册申报明细!$B:$B,0))</f>
        <v>0</v>
      </c>
      <c r="R52" s="330" t="s">
        <v>578</v>
      </c>
      <c r="S52" s="328" t="s">
        <v>615</v>
      </c>
      <c r="T52" s="331">
        <f>INDEX('Rate Card'!$J:$J,MATCH($S52,'Rate Card'!$F:$F,0))</f>
        <v>650</v>
      </c>
      <c r="U52" s="331">
        <f t="shared" si="52"/>
        <v>8</v>
      </c>
      <c r="V52" s="327">
        <v>8</v>
      </c>
      <c r="W52" s="328"/>
      <c r="X52" s="332">
        <f t="shared" si="55"/>
        <v>8</v>
      </c>
      <c r="Y52" s="333">
        <f t="shared" si="56"/>
        <v>0</v>
      </c>
      <c r="Z52" s="328">
        <f t="shared" si="57"/>
        <v>0</v>
      </c>
      <c r="AA52" s="334">
        <f t="shared" si="58"/>
        <v>0</v>
      </c>
      <c r="AB52" s="334">
        <f>$Y52*(1-INDEX(项目参数!$D$5:$D$15,MATCH($R52,项目参数!$B$5:$B$15,0)))</f>
        <v>0</v>
      </c>
      <c r="AC52" s="334">
        <f>$AA52*INDEX(项目参数!$D$5:$D$15,MATCH($R52,项目参数!$B$5:$B$15,0))</f>
        <v>0</v>
      </c>
      <c r="AD52" s="334">
        <f t="shared" si="59"/>
        <v>0</v>
      </c>
      <c r="AE52" s="328"/>
      <c r="AF52" s="328"/>
      <c r="AG52" s="327"/>
      <c r="AH52" s="327"/>
      <c r="AI52" s="327"/>
      <c r="AJ52" s="327"/>
      <c r="AK52" s="327"/>
      <c r="AL52" s="327"/>
      <c r="AM52" s="327"/>
      <c r="AN52" s="328"/>
      <c r="AO52" s="327"/>
      <c r="AP52" s="327"/>
      <c r="AQ52" s="327"/>
      <c r="AR52" s="327"/>
      <c r="AS52" s="327"/>
      <c r="AT52" s="327"/>
      <c r="AU52" s="327"/>
      <c r="AV52" s="328">
        <f t="shared" si="60"/>
        <v>0</v>
      </c>
      <c r="AW52" s="328">
        <f t="shared" si="61"/>
        <v>0</v>
      </c>
      <c r="AX52" s="328">
        <f t="shared" si="53"/>
        <v>0</v>
      </c>
      <c r="AY52" s="328" t="b">
        <f t="shared" si="31"/>
        <v>0</v>
      </c>
    </row>
    <row r="53" ht="27" customHeight="1" spans="1:51">
      <c r="A53" s="326" t="str">
        <f>INDEX('Rate Card'!$A:$A,MATCH($S53,'Rate Card'!$F:$F,0))</f>
        <v>医学</v>
      </c>
      <c r="B53" s="327" t="str">
        <f>INDEX(二三级标准!$G:$G,MATCH($J53,二三级标准!B:B,0))</f>
        <v>份</v>
      </c>
      <c r="C53" s="327">
        <f>INDEX(注册申报明细!$E:$E,MATCH($J53,注册申报明细!$B:$B,0))</f>
        <v>0</v>
      </c>
      <c r="D53" s="327" t="str">
        <f t="shared" si="54"/>
        <v>A184MD</v>
      </c>
      <c r="E53" s="328"/>
      <c r="F53" s="328" t="s">
        <v>684</v>
      </c>
      <c r="G53" s="326" t="str">
        <f>INDEX('Rate Card'!$B:$B,MATCH($S53,'Rate Card'!$F:$F,0))</f>
        <v>医学</v>
      </c>
      <c r="H53" s="328" t="s">
        <v>1972</v>
      </c>
      <c r="I53" s="328" t="str">
        <f>INDEX(二三级标准!$Q:$Q,MATCH($H53,二三级标准!$O:$O,0))</f>
        <v>CDE沟通</v>
      </c>
      <c r="J53" s="328" t="s">
        <v>475</v>
      </c>
      <c r="K53" s="328" t="str">
        <f>INDEX(二三级标准!$C:$C,MATCH(注册申报底表!J53,二三级标准!$B:$B,0))</f>
        <v>沟通问题清单准备</v>
      </c>
      <c r="L53" s="328" t="s">
        <v>2078</v>
      </c>
      <c r="M53" s="328" t="str">
        <f>INDEX(二三级标准!$M:$M,MATCH(注册申报底表!$L53,二三级标准!$L:$L,0))</f>
        <v>沟通问题清单准备</v>
      </c>
      <c r="N53" s="328"/>
      <c r="O53" s="327">
        <f>IF($Q53=1,INDEX(注册申报明细!$E:$E,MATCH(注册申报底表!$J53,注册申报明细!$B:$B,0)),0)</f>
        <v>0</v>
      </c>
      <c r="P53" s="328" t="s">
        <v>1176</v>
      </c>
      <c r="Q53" s="329">
        <f>INDEX(注册申报明细!$D:$D,MATCH($J53,注册申报明细!$B:$B,0))</f>
        <v>0</v>
      </c>
      <c r="R53" s="330" t="s">
        <v>578</v>
      </c>
      <c r="S53" s="328" t="s">
        <v>613</v>
      </c>
      <c r="T53" s="331">
        <f>INDEX('Rate Card'!$J:$J,MATCH($S53,'Rate Card'!$F:$F,0))</f>
        <v>990</v>
      </c>
      <c r="U53" s="331">
        <f t="shared" si="52"/>
        <v>2</v>
      </c>
      <c r="V53" s="327">
        <v>2</v>
      </c>
      <c r="W53" s="328"/>
      <c r="X53" s="332">
        <f t="shared" si="55"/>
        <v>2</v>
      </c>
      <c r="Y53" s="333">
        <f t="shared" si="56"/>
        <v>0</v>
      </c>
      <c r="Z53" s="328">
        <f t="shared" si="57"/>
        <v>0</v>
      </c>
      <c r="AA53" s="334">
        <f t="shared" si="58"/>
        <v>0</v>
      </c>
      <c r="AB53" s="334">
        <f>$Y53*(1-INDEX(项目参数!$D$5:$D$15,MATCH($R53,项目参数!$B$5:$B$15,0)))</f>
        <v>0</v>
      </c>
      <c r="AC53" s="334">
        <f>$AA53*INDEX(项目参数!$D$5:$D$15,MATCH($R53,项目参数!$B$5:$B$15,0))</f>
        <v>0</v>
      </c>
      <c r="AD53" s="334">
        <f t="shared" si="59"/>
        <v>0</v>
      </c>
      <c r="AE53" s="328"/>
      <c r="AF53" s="328"/>
      <c r="AG53" s="327"/>
      <c r="AH53" s="327"/>
      <c r="AI53" s="327"/>
      <c r="AJ53" s="327"/>
      <c r="AK53" s="327"/>
      <c r="AL53" s="327"/>
      <c r="AM53" s="327"/>
      <c r="AN53" s="328"/>
      <c r="AO53" s="327"/>
      <c r="AP53" s="327"/>
      <c r="AQ53" s="327"/>
      <c r="AR53" s="327"/>
      <c r="AS53" s="327"/>
      <c r="AT53" s="327"/>
      <c r="AU53" s="327"/>
      <c r="AV53" s="328">
        <f t="shared" si="60"/>
        <v>0</v>
      </c>
      <c r="AW53" s="328">
        <f t="shared" si="61"/>
        <v>0</v>
      </c>
      <c r="AX53" s="328">
        <f t="shared" si="53"/>
        <v>0</v>
      </c>
      <c r="AY53" s="328" t="b">
        <f t="shared" si="31"/>
        <v>0</v>
      </c>
    </row>
    <row r="54" ht="27" customHeight="1" spans="1:51">
      <c r="A54" s="326" t="str">
        <f>INDEX('Rate Card'!$A:$A,MATCH($S54,'Rate Card'!$F:$F,0))</f>
        <v>医学</v>
      </c>
      <c r="B54" s="327" t="str">
        <f>INDEX(二三级标准!$G:$G,MATCH($J54,二三级标准!B:B,0))</f>
        <v>份</v>
      </c>
      <c r="C54" s="327">
        <f>INDEX(注册申报明细!$E:$E,MATCH($J54,注册申报明细!$B:$B,0))</f>
        <v>0</v>
      </c>
      <c r="D54" s="327" t="str">
        <f t="shared" si="54"/>
        <v>A185MM</v>
      </c>
      <c r="E54" s="328"/>
      <c r="F54" s="328" t="s">
        <v>684</v>
      </c>
      <c r="G54" s="326" t="str">
        <f>INDEX('Rate Card'!$B:$B,MATCH($S54,'Rate Card'!$F:$F,0))</f>
        <v>医学</v>
      </c>
      <c r="H54" s="328" t="s">
        <v>1972</v>
      </c>
      <c r="I54" s="328" t="str">
        <f>INDEX(二三级标准!$Q:$Q,MATCH($H54,二三级标准!$O:$O,0))</f>
        <v>CDE沟通</v>
      </c>
      <c r="J54" s="328" t="s">
        <v>477</v>
      </c>
      <c r="K54" s="328" t="str">
        <f>INDEX(二三级标准!$C:$C,MATCH(注册申报底表!J54,二三级标准!$B:$B,0))</f>
        <v>沟通PPT制作</v>
      </c>
      <c r="L54" s="328" t="s">
        <v>2079</v>
      </c>
      <c r="M54" s="328" t="str">
        <f>INDEX(二三级标准!$M:$M,MATCH(注册申报底表!$L54,二三级标准!$L:$L,0))</f>
        <v>沟通PPT制作</v>
      </c>
      <c r="N54" s="328"/>
      <c r="O54" s="327">
        <f>IF($Q54=1,INDEX(注册申报明细!$E:$E,MATCH(注册申报底表!$J54,注册申报明细!$B:$B,0)),0)</f>
        <v>0</v>
      </c>
      <c r="P54" s="328" t="s">
        <v>1176</v>
      </c>
      <c r="Q54" s="329">
        <f>INDEX(注册申报明细!$D:$D,MATCH($J54,注册申报明细!$B:$B,0))</f>
        <v>0</v>
      </c>
      <c r="R54" s="330" t="s">
        <v>578</v>
      </c>
      <c r="S54" s="328" t="s">
        <v>615</v>
      </c>
      <c r="T54" s="331">
        <f>INDEX('Rate Card'!$J:$J,MATCH($S54,'Rate Card'!$F:$F,0))</f>
        <v>650</v>
      </c>
      <c r="U54" s="331">
        <f t="shared" si="52"/>
        <v>16</v>
      </c>
      <c r="V54" s="327">
        <v>16</v>
      </c>
      <c r="W54" s="328"/>
      <c r="X54" s="332">
        <f t="shared" si="55"/>
        <v>16</v>
      </c>
      <c r="Y54" s="333">
        <f t="shared" si="56"/>
        <v>0</v>
      </c>
      <c r="Z54" s="328">
        <f t="shared" si="57"/>
        <v>0</v>
      </c>
      <c r="AA54" s="334">
        <f t="shared" si="58"/>
        <v>0</v>
      </c>
      <c r="AB54" s="334">
        <f>$Y54*(1-INDEX(项目参数!$D$5:$D$15,MATCH($R54,项目参数!$B$5:$B$15,0)))</f>
        <v>0</v>
      </c>
      <c r="AC54" s="334">
        <f>$AA54*INDEX(项目参数!$D$5:$D$15,MATCH($R54,项目参数!$B$5:$B$15,0))</f>
        <v>0</v>
      </c>
      <c r="AD54" s="334">
        <f t="shared" si="59"/>
        <v>0</v>
      </c>
      <c r="AE54" s="328"/>
      <c r="AF54" s="328"/>
      <c r="AG54" s="327"/>
      <c r="AH54" s="328"/>
      <c r="AI54" s="328"/>
      <c r="AJ54" s="328"/>
      <c r="AK54" s="328"/>
      <c r="AL54" s="328"/>
      <c r="AM54" s="328"/>
      <c r="AN54" s="328"/>
      <c r="AO54" s="327"/>
      <c r="AP54" s="328"/>
      <c r="AQ54" s="328"/>
      <c r="AR54" s="328"/>
      <c r="AS54" s="328"/>
      <c r="AT54" s="328"/>
      <c r="AU54" s="328"/>
      <c r="AV54" s="328">
        <f t="shared" si="60"/>
        <v>0</v>
      </c>
      <c r="AW54" s="328">
        <f t="shared" si="61"/>
        <v>0</v>
      </c>
      <c r="AX54" s="328">
        <f t="shared" si="53"/>
        <v>0</v>
      </c>
      <c r="AY54" s="328" t="b">
        <f t="shared" si="31"/>
        <v>1</v>
      </c>
    </row>
    <row r="55" ht="27" customHeight="1" spans="1:51">
      <c r="A55" s="326" t="str">
        <f>INDEX('Rate Card'!$A:$A,MATCH($S55,'Rate Card'!$F:$F,0))</f>
        <v>医学</v>
      </c>
      <c r="B55" s="327" t="str">
        <f>INDEX(二三级标准!$G:$G,MATCH($J55,二三级标准!B:B,0))</f>
        <v>份</v>
      </c>
      <c r="C55" s="327">
        <f>INDEX(注册申报明细!$E:$E,MATCH($J55,注册申报明细!$B:$B,0))</f>
        <v>0</v>
      </c>
      <c r="D55" s="327" t="str">
        <f t="shared" si="54"/>
        <v>A185MD</v>
      </c>
      <c r="E55" s="328"/>
      <c r="F55" s="328" t="s">
        <v>684</v>
      </c>
      <c r="G55" s="326" t="str">
        <f>INDEX('Rate Card'!$B:$B,MATCH($S55,'Rate Card'!$F:$F,0))</f>
        <v>医学</v>
      </c>
      <c r="H55" s="328" t="s">
        <v>1972</v>
      </c>
      <c r="I55" s="328" t="str">
        <f>INDEX(二三级标准!$Q:$Q,MATCH($H55,二三级标准!$O:$O,0))</f>
        <v>CDE沟通</v>
      </c>
      <c r="J55" s="328" t="s">
        <v>477</v>
      </c>
      <c r="K55" s="328" t="str">
        <f>INDEX(二三级标准!$C:$C,MATCH(注册申报底表!J55,二三级标准!$B:$B,0))</f>
        <v>沟通PPT制作</v>
      </c>
      <c r="L55" s="328" t="s">
        <v>2079</v>
      </c>
      <c r="M55" s="328" t="str">
        <f>INDEX(二三级标准!$M:$M,MATCH(注册申报底表!$L55,二三级标准!$L:$L,0))</f>
        <v>沟通PPT制作</v>
      </c>
      <c r="N55" s="328"/>
      <c r="O55" s="327">
        <f>IF($Q55=1,INDEX(注册申报明细!$E:$E,MATCH(注册申报底表!$J55,注册申报明细!$B:$B,0)),0)</f>
        <v>0</v>
      </c>
      <c r="P55" s="328" t="s">
        <v>1176</v>
      </c>
      <c r="Q55" s="329">
        <f>INDEX(注册申报明细!$D:$D,MATCH($J55,注册申报明细!$B:$B,0))</f>
        <v>0</v>
      </c>
      <c r="R55" s="330" t="s">
        <v>578</v>
      </c>
      <c r="S55" s="328" t="s">
        <v>613</v>
      </c>
      <c r="T55" s="331">
        <f>INDEX('Rate Card'!$J:$J,MATCH($S55,'Rate Card'!$F:$F,0))</f>
        <v>990</v>
      </c>
      <c r="U55" s="331">
        <f t="shared" si="52"/>
        <v>4</v>
      </c>
      <c r="V55" s="327">
        <v>4</v>
      </c>
      <c r="W55" s="328"/>
      <c r="X55" s="332">
        <f t="shared" si="55"/>
        <v>4</v>
      </c>
      <c r="Y55" s="333">
        <f t="shared" si="56"/>
        <v>0</v>
      </c>
      <c r="Z55" s="328">
        <f t="shared" si="57"/>
        <v>0</v>
      </c>
      <c r="AA55" s="334">
        <f t="shared" si="58"/>
        <v>0</v>
      </c>
      <c r="AB55" s="334">
        <f>$Y55*(1-INDEX(项目参数!$D$5:$D$15,MATCH($R55,项目参数!$B$5:$B$15,0)))</f>
        <v>0</v>
      </c>
      <c r="AC55" s="334">
        <f>$AA55*INDEX(项目参数!$D$5:$D$15,MATCH($R55,项目参数!$B$5:$B$15,0))</f>
        <v>0</v>
      </c>
      <c r="AD55" s="334">
        <f t="shared" si="59"/>
        <v>0</v>
      </c>
      <c r="AE55" s="328"/>
      <c r="AF55" s="328"/>
      <c r="AG55" s="327"/>
      <c r="AH55" s="328"/>
      <c r="AI55" s="328"/>
      <c r="AJ55" s="328"/>
      <c r="AK55" s="328"/>
      <c r="AL55" s="328"/>
      <c r="AM55" s="328"/>
      <c r="AN55" s="328"/>
      <c r="AO55" s="327"/>
      <c r="AP55" s="328"/>
      <c r="AQ55" s="328"/>
      <c r="AR55" s="328"/>
      <c r="AS55" s="328"/>
      <c r="AT55" s="328"/>
      <c r="AU55" s="328"/>
      <c r="AV55" s="328">
        <f t="shared" si="60"/>
        <v>0</v>
      </c>
      <c r="AW55" s="328">
        <f t="shared" si="61"/>
        <v>0</v>
      </c>
      <c r="AX55" s="328">
        <f t="shared" si="53"/>
        <v>0</v>
      </c>
      <c r="AY55" s="328" t="b">
        <f t="shared" si="31"/>
        <v>1</v>
      </c>
    </row>
    <row r="56" ht="27" customHeight="1" spans="1:51">
      <c r="A56" s="326" t="str">
        <f>INDEX('Rate Card'!$A:$A,MATCH($S56,'Rate Card'!$F:$F,0))</f>
        <v>数统</v>
      </c>
      <c r="B56" s="327" t="str">
        <f>INDEX(二三级标准!$G:$G,MATCH($J56,二三级标准!B:B,0))</f>
        <v>份</v>
      </c>
      <c r="C56" s="327">
        <f>INDEX(注册申报明细!$E:$E,MATCH($J56,注册申报明细!$B:$B,0))</f>
        <v>0</v>
      </c>
      <c r="D56" s="327" t="str">
        <f t="shared" si="54"/>
        <v>A185STM</v>
      </c>
      <c r="E56" s="328"/>
      <c r="F56" s="328" t="s">
        <v>684</v>
      </c>
      <c r="G56" s="326" t="str">
        <f>INDEX('Rate Card'!$B:$B,MATCH($S56,'Rate Card'!$F:$F,0))</f>
        <v>生物统计及分析</v>
      </c>
      <c r="H56" s="328" t="s">
        <v>1972</v>
      </c>
      <c r="I56" s="328" t="str">
        <f>INDEX(二三级标准!$Q:$Q,MATCH($H56,二三级标准!$O:$O,0))</f>
        <v>CDE沟通</v>
      </c>
      <c r="J56" s="328" t="s">
        <v>477</v>
      </c>
      <c r="K56" s="328" t="str">
        <f>INDEX(二三级标准!$C:$C,MATCH(注册申报底表!J56,二三级标准!$B:$B,0))</f>
        <v>沟通PPT制作</v>
      </c>
      <c r="L56" s="328" t="s">
        <v>2079</v>
      </c>
      <c r="M56" s="328" t="str">
        <f>INDEX(二三级标准!$M:$M,MATCH(注册申报底表!$L56,二三级标准!$L:$L,0))</f>
        <v>沟通PPT制作</v>
      </c>
      <c r="N56" s="328"/>
      <c r="O56" s="327">
        <f>IF($Q56=1,INDEX(注册申报明细!$E:$E,MATCH(注册申报底表!$J56,注册申报明细!$B:$B,0)),0)</f>
        <v>0</v>
      </c>
      <c r="P56" s="328" t="s">
        <v>1176</v>
      </c>
      <c r="Q56" s="329">
        <f>INDEX(注册申报明细!$D:$D,MATCH($J56,注册申报明细!$B:$B,0))</f>
        <v>0</v>
      </c>
      <c r="R56" s="328" t="str">
        <f>INDEX('Rate Card'!$D:$D,MATCH($S56,'Rate Card'!$F:$F,0))</f>
        <v>生物统计</v>
      </c>
      <c r="S56" s="328" t="s">
        <v>642</v>
      </c>
      <c r="T56" s="331">
        <f>INDEX('Rate Card'!$J:$J,MATCH($S56,'Rate Card'!$F:$F,0))</f>
        <v>700</v>
      </c>
      <c r="U56" s="331">
        <f t="shared" si="52"/>
        <v>4</v>
      </c>
      <c r="V56" s="327">
        <v>4</v>
      </c>
      <c r="W56" s="328"/>
      <c r="X56" s="332">
        <f t="shared" si="55"/>
        <v>4</v>
      </c>
      <c r="Y56" s="333">
        <f t="shared" si="56"/>
        <v>0</v>
      </c>
      <c r="Z56" s="328">
        <f t="shared" si="57"/>
        <v>0</v>
      </c>
      <c r="AA56" s="334">
        <f t="shared" si="58"/>
        <v>0</v>
      </c>
      <c r="AB56" s="334">
        <f>$Y56*(1-INDEX(项目参数!$D$5:$D$15,MATCH($R56,项目参数!$B$5:$B$15,0)))</f>
        <v>0</v>
      </c>
      <c r="AC56" s="334">
        <f>$AA56*INDEX(项目参数!$D$5:$D$15,MATCH($R56,项目参数!$B$5:$B$15,0))</f>
        <v>0</v>
      </c>
      <c r="AD56" s="334">
        <f t="shared" si="59"/>
        <v>0</v>
      </c>
      <c r="AE56" s="328"/>
      <c r="AF56" s="328"/>
      <c r="AG56" s="327"/>
      <c r="AH56" s="328"/>
      <c r="AI56" s="328"/>
      <c r="AJ56" s="328"/>
      <c r="AK56" s="328"/>
      <c r="AL56" s="328"/>
      <c r="AM56" s="328"/>
      <c r="AN56" s="328"/>
      <c r="AO56" s="327"/>
      <c r="AP56" s="328"/>
      <c r="AQ56" s="328"/>
      <c r="AR56" s="328"/>
      <c r="AS56" s="328"/>
      <c r="AT56" s="328"/>
      <c r="AU56" s="328"/>
      <c r="AV56" s="328">
        <f t="shared" si="60"/>
        <v>0</v>
      </c>
      <c r="AW56" s="328">
        <f t="shared" si="61"/>
        <v>0</v>
      </c>
      <c r="AX56" s="328">
        <f t="shared" si="53"/>
        <v>0</v>
      </c>
      <c r="AY56" s="328" t="b">
        <f t="shared" si="31"/>
        <v>1</v>
      </c>
    </row>
    <row r="57" ht="27" customHeight="1" spans="1:51">
      <c r="A57" s="326" t="str">
        <f>INDEX('Rate Card'!$A:$A,MATCH($S57,'Rate Card'!$F:$F,0))</f>
        <v>医学</v>
      </c>
      <c r="B57" s="327" t="str">
        <f>INDEX(二三级标准!$G:$G,MATCH($J57,二三级标准!B:B,0))</f>
        <v>次</v>
      </c>
      <c r="C57" s="327">
        <f>INDEX(注册申报明细!$E:$E,MATCH($J57,注册申报明细!$B:$B,0))</f>
        <v>0</v>
      </c>
      <c r="D57" s="327" t="str">
        <f t="shared" ref="D57:D68" si="62">J57&amp;S57</f>
        <v>A186MM</v>
      </c>
      <c r="E57" s="328"/>
      <c r="F57" s="328" t="s">
        <v>684</v>
      </c>
      <c r="G57" s="326" t="str">
        <f>INDEX('Rate Card'!$B:$B,MATCH($S57,'Rate Card'!$F:$F,0))</f>
        <v>医学</v>
      </c>
      <c r="H57" s="328" t="s">
        <v>1972</v>
      </c>
      <c r="I57" s="328" t="str">
        <f>INDEX(二三级标准!$Q:$Q,MATCH($H57,二三级标准!$O:$O,0))</f>
        <v>CDE沟通</v>
      </c>
      <c r="J57" s="328" t="s">
        <v>479</v>
      </c>
      <c r="K57" s="328" t="str">
        <f>INDEX(二三级标准!$C:$C,MATCH(注册申报底表!J57,二三级标准!$B:$B,0))</f>
        <v>会议前与申办方沟通</v>
      </c>
      <c r="L57" s="328" t="s">
        <v>2080</v>
      </c>
      <c r="M57" s="328" t="str">
        <f>INDEX(二三级标准!$M:$M,MATCH(注册申报底表!$L57,二三级标准!$L:$L,0))</f>
        <v>会议前与申办方沟通</v>
      </c>
      <c r="N57" s="328"/>
      <c r="O57" s="327">
        <f>IF($Q57=1,INDEX(注册申报明细!$E:$E,MATCH(注册申报底表!$J57,注册申报明细!$B:$B,0)),0)</f>
        <v>0</v>
      </c>
      <c r="P57" s="328" t="s">
        <v>1178</v>
      </c>
      <c r="Q57" s="329">
        <f>INDEX(注册申报明细!$D:$D,MATCH($J57,注册申报明细!$B:$B,0))</f>
        <v>0</v>
      </c>
      <c r="R57" s="330" t="s">
        <v>578</v>
      </c>
      <c r="S57" s="328" t="s">
        <v>615</v>
      </c>
      <c r="T57" s="331">
        <f>INDEX('Rate Card'!$J:$J,MATCH($S57,'Rate Card'!$F:$F,0))</f>
        <v>650</v>
      </c>
      <c r="U57" s="331">
        <f t="shared" si="52"/>
        <v>4</v>
      </c>
      <c r="V57" s="327">
        <v>4</v>
      </c>
      <c r="W57" s="328"/>
      <c r="X57" s="332">
        <f t="shared" ref="X57:X75" si="63">IF(ISBLANK($W57),$V57,$W57)</f>
        <v>4</v>
      </c>
      <c r="Y57" s="333">
        <f t="shared" ref="Y57:Y75" si="64">IFERROR(AA57/O57,0)</f>
        <v>0</v>
      </c>
      <c r="Z57" s="328">
        <f t="shared" ref="Z57:Z68" si="65">X57*O57*Q57</f>
        <v>0</v>
      </c>
      <c r="AA57" s="334">
        <f t="shared" ref="AA57:AA68" si="66">Z57*T57</f>
        <v>0</v>
      </c>
      <c r="AB57" s="334">
        <f>$Y57*(1-INDEX(项目参数!$D$5:$D$15,MATCH($R57,项目参数!$B$5:$B$15,0)))</f>
        <v>0</v>
      </c>
      <c r="AC57" s="334">
        <f>$AA57*INDEX(项目参数!$D$5:$D$15,MATCH($R57,项目参数!$B$5:$B$15,0))</f>
        <v>0</v>
      </c>
      <c r="AD57" s="334">
        <f t="shared" ref="AD57:AD68" si="67">AA57-AC57</f>
        <v>0</v>
      </c>
      <c r="AE57" s="328"/>
      <c r="AF57" s="328"/>
      <c r="AG57" s="327"/>
      <c r="AH57" s="327"/>
      <c r="AI57" s="327"/>
      <c r="AJ57" s="327"/>
      <c r="AK57" s="327"/>
      <c r="AL57" s="327"/>
      <c r="AM57" s="327"/>
      <c r="AN57" s="328"/>
      <c r="AO57" s="327"/>
      <c r="AP57" s="327"/>
      <c r="AQ57" s="327"/>
      <c r="AR57" s="327"/>
      <c r="AS57" s="327"/>
      <c r="AT57" s="327"/>
      <c r="AU57" s="327"/>
      <c r="AV57" s="328">
        <f t="shared" ref="AV57:AV75" si="68">Z57</f>
        <v>0</v>
      </c>
      <c r="AW57" s="328">
        <f t="shared" ref="AW57:AW75" si="69">V57*O57</f>
        <v>0</v>
      </c>
      <c r="AX57" s="328">
        <f t="shared" si="53"/>
        <v>0</v>
      </c>
      <c r="AY57" s="328" t="b">
        <f t="shared" si="31"/>
        <v>0</v>
      </c>
    </row>
    <row r="58" ht="27" customHeight="1" spans="1:51">
      <c r="A58" s="326" t="str">
        <f>INDEX('Rate Card'!$A:$A,MATCH($S58,'Rate Card'!$F:$F,0))</f>
        <v>医学</v>
      </c>
      <c r="B58" s="327" t="str">
        <f>INDEX(二三级标准!$G:$G,MATCH($J58,二三级标准!B:B,0))</f>
        <v>次</v>
      </c>
      <c r="C58" s="327">
        <f>INDEX(注册申报明细!$E:$E,MATCH($J58,注册申报明细!$B:$B,0))</f>
        <v>0</v>
      </c>
      <c r="D58" s="327" t="str">
        <f t="shared" si="62"/>
        <v>A186MD</v>
      </c>
      <c r="E58" s="328"/>
      <c r="F58" s="328" t="s">
        <v>684</v>
      </c>
      <c r="G58" s="326" t="str">
        <f>INDEX('Rate Card'!$B:$B,MATCH($S58,'Rate Card'!$F:$F,0))</f>
        <v>医学</v>
      </c>
      <c r="H58" s="328" t="s">
        <v>1972</v>
      </c>
      <c r="I58" s="328" t="str">
        <f>INDEX(二三级标准!$Q:$Q,MATCH($H58,二三级标准!$O:$O,0))</f>
        <v>CDE沟通</v>
      </c>
      <c r="J58" s="328" t="s">
        <v>479</v>
      </c>
      <c r="K58" s="328" t="str">
        <f>INDEX(二三级标准!$C:$C,MATCH(注册申报底表!J58,二三级标准!$B:$B,0))</f>
        <v>会议前与申办方沟通</v>
      </c>
      <c r="L58" s="328" t="s">
        <v>2080</v>
      </c>
      <c r="M58" s="328" t="str">
        <f>INDEX(二三级标准!$M:$M,MATCH(注册申报底表!$L58,二三级标准!$L:$L,0))</f>
        <v>会议前与申办方沟通</v>
      </c>
      <c r="N58" s="328"/>
      <c r="O58" s="327">
        <f>IF($Q58=1,INDEX(注册申报明细!$E:$E,MATCH(注册申报底表!$J58,注册申报明细!$B:$B,0)),0)</f>
        <v>0</v>
      </c>
      <c r="P58" s="328" t="s">
        <v>1178</v>
      </c>
      <c r="Q58" s="329">
        <f>INDEX(注册申报明细!$D:$D,MATCH($J58,注册申报明细!$B:$B,0))</f>
        <v>0</v>
      </c>
      <c r="R58" s="330" t="s">
        <v>578</v>
      </c>
      <c r="S58" s="328" t="s">
        <v>613</v>
      </c>
      <c r="T58" s="331">
        <f>INDEX('Rate Card'!$J:$J,MATCH($S58,'Rate Card'!$F:$F,0))</f>
        <v>990</v>
      </c>
      <c r="U58" s="331">
        <f t="shared" si="52"/>
        <v>4</v>
      </c>
      <c r="V58" s="327">
        <v>4</v>
      </c>
      <c r="W58" s="328"/>
      <c r="X58" s="332">
        <f t="shared" si="63"/>
        <v>4</v>
      </c>
      <c r="Y58" s="333">
        <f t="shared" si="64"/>
        <v>0</v>
      </c>
      <c r="Z58" s="328">
        <f t="shared" si="65"/>
        <v>0</v>
      </c>
      <c r="AA58" s="334">
        <f t="shared" si="66"/>
        <v>0</v>
      </c>
      <c r="AB58" s="334">
        <f>$Y58*(1-INDEX(项目参数!$D$5:$D$15,MATCH($R58,项目参数!$B$5:$B$15,0)))</f>
        <v>0</v>
      </c>
      <c r="AC58" s="334">
        <f>$AA58*INDEX(项目参数!$D$5:$D$15,MATCH($R58,项目参数!$B$5:$B$15,0))</f>
        <v>0</v>
      </c>
      <c r="AD58" s="334">
        <f t="shared" si="67"/>
        <v>0</v>
      </c>
      <c r="AE58" s="328"/>
      <c r="AF58" s="328"/>
      <c r="AG58" s="327"/>
      <c r="AH58" s="327"/>
      <c r="AI58" s="327"/>
      <c r="AJ58" s="327"/>
      <c r="AK58" s="327"/>
      <c r="AL58" s="327"/>
      <c r="AM58" s="327"/>
      <c r="AN58" s="328"/>
      <c r="AO58" s="327"/>
      <c r="AP58" s="327"/>
      <c r="AQ58" s="327"/>
      <c r="AR58" s="327"/>
      <c r="AS58" s="327"/>
      <c r="AT58" s="327"/>
      <c r="AU58" s="327"/>
      <c r="AV58" s="328">
        <f t="shared" si="68"/>
        <v>0</v>
      </c>
      <c r="AW58" s="328">
        <f t="shared" si="69"/>
        <v>0</v>
      </c>
      <c r="AX58" s="328">
        <f t="shared" si="53"/>
        <v>0</v>
      </c>
      <c r="AY58" s="328" t="b">
        <f t="shared" si="31"/>
        <v>0</v>
      </c>
    </row>
    <row r="59" ht="27" customHeight="1" spans="1:51">
      <c r="A59" s="326" t="str">
        <f>INDEX('Rate Card'!$A:$A,MATCH($S59,'Rate Card'!$F:$F,0))</f>
        <v>医学</v>
      </c>
      <c r="B59" s="327" t="str">
        <f>INDEX(二三级标准!$G:$G,MATCH($J59,二三级标准!B:B,0))</f>
        <v>次</v>
      </c>
      <c r="C59" s="327">
        <f>INDEX(注册申报明细!$E:$E,MATCH($J59,注册申报明细!$B:$B,0))</f>
        <v>0</v>
      </c>
      <c r="D59" s="327" t="str">
        <f t="shared" si="62"/>
        <v>A187MM</v>
      </c>
      <c r="E59" s="328"/>
      <c r="F59" s="328" t="s">
        <v>684</v>
      </c>
      <c r="G59" s="326" t="str">
        <f>INDEX('Rate Card'!$B:$B,MATCH($S59,'Rate Card'!$F:$F,0))</f>
        <v>医学</v>
      </c>
      <c r="H59" s="328" t="s">
        <v>1972</v>
      </c>
      <c r="I59" s="328" t="str">
        <f>INDEX(二三级标准!$Q:$Q,MATCH($H59,二三级标准!$O:$O,0))</f>
        <v>CDE沟通</v>
      </c>
      <c r="J59" s="328" t="s">
        <v>481</v>
      </c>
      <c r="K59" s="328" t="str">
        <f>INDEX(二三级标准!$C:$C,MATCH(注册申报底表!J59,二三级标准!$B:$B,0))</f>
        <v>参加和CDE的沟通会议</v>
      </c>
      <c r="L59" s="328" t="s">
        <v>2081</v>
      </c>
      <c r="M59" s="328" t="str">
        <f>INDEX(二三级标准!$M:$M,MATCH(注册申报底表!$L59,二三级标准!$L:$L,0))</f>
        <v>参加和CDE的沟通会议</v>
      </c>
      <c r="N59" s="328"/>
      <c r="O59" s="327">
        <f>IF($Q59=1,INDEX(注册申报明细!$E:$E,MATCH(注册申报底表!$J59,注册申报明细!$B:$B,0)),0)</f>
        <v>0</v>
      </c>
      <c r="P59" s="328" t="s">
        <v>1178</v>
      </c>
      <c r="Q59" s="329">
        <f>INDEX(注册申报明细!$D:$D,MATCH($J59,注册申报明细!$B:$B,0))</f>
        <v>0</v>
      </c>
      <c r="R59" s="330" t="s">
        <v>578</v>
      </c>
      <c r="S59" s="328" t="s">
        <v>615</v>
      </c>
      <c r="T59" s="331">
        <f>INDEX('Rate Card'!$J:$J,MATCH($S59,'Rate Card'!$F:$F,0))</f>
        <v>650</v>
      </c>
      <c r="U59" s="331">
        <f t="shared" si="52"/>
        <v>2</v>
      </c>
      <c r="V59" s="327">
        <v>2</v>
      </c>
      <c r="W59" s="328"/>
      <c r="X59" s="332">
        <f t="shared" si="63"/>
        <v>2</v>
      </c>
      <c r="Y59" s="333">
        <f t="shared" si="64"/>
        <v>0</v>
      </c>
      <c r="Z59" s="328">
        <f t="shared" si="65"/>
        <v>0</v>
      </c>
      <c r="AA59" s="334">
        <f t="shared" si="66"/>
        <v>0</v>
      </c>
      <c r="AB59" s="334">
        <f>$Y59*(1-INDEX(项目参数!$D$5:$D$15,MATCH($R59,项目参数!$B$5:$B$15,0)))</f>
        <v>0</v>
      </c>
      <c r="AC59" s="334">
        <f>$AA59*INDEX(项目参数!$D$5:$D$15,MATCH($R59,项目参数!$B$5:$B$15,0))</f>
        <v>0</v>
      </c>
      <c r="AD59" s="334">
        <f t="shared" si="67"/>
        <v>0</v>
      </c>
      <c r="AE59" s="328"/>
      <c r="AF59" s="328"/>
      <c r="AG59" s="327"/>
      <c r="AH59" s="327"/>
      <c r="AI59" s="327"/>
      <c r="AJ59" s="327"/>
      <c r="AK59" s="327"/>
      <c r="AL59" s="327"/>
      <c r="AM59" s="327"/>
      <c r="AN59" s="328"/>
      <c r="AO59" s="327"/>
      <c r="AP59" s="327"/>
      <c r="AQ59" s="327"/>
      <c r="AR59" s="327"/>
      <c r="AS59" s="327"/>
      <c r="AT59" s="327"/>
      <c r="AU59" s="327"/>
      <c r="AV59" s="328">
        <f t="shared" si="68"/>
        <v>0</v>
      </c>
      <c r="AW59" s="328">
        <f t="shared" si="69"/>
        <v>0</v>
      </c>
      <c r="AX59" s="328">
        <f t="shared" si="53"/>
        <v>0</v>
      </c>
      <c r="AY59" s="328" t="b">
        <f t="shared" si="31"/>
        <v>1</v>
      </c>
    </row>
    <row r="60" ht="27" customHeight="1" spans="1:51">
      <c r="A60" s="326" t="str">
        <f>INDEX('Rate Card'!$A:$A,MATCH($S60,'Rate Card'!$F:$F,0))</f>
        <v>医学</v>
      </c>
      <c r="B60" s="327" t="str">
        <f>INDEX(二三级标准!$G:$G,MATCH($J60,二三级标准!B:B,0))</f>
        <v>次</v>
      </c>
      <c r="C60" s="327">
        <f>INDEX(注册申报明细!$E:$E,MATCH($J60,注册申报明细!$B:$B,0))</f>
        <v>0</v>
      </c>
      <c r="D60" s="327" t="str">
        <f t="shared" si="62"/>
        <v>A187MD</v>
      </c>
      <c r="E60" s="328"/>
      <c r="F60" s="328" t="s">
        <v>684</v>
      </c>
      <c r="G60" s="326" t="str">
        <f>INDEX('Rate Card'!$B:$B,MATCH($S60,'Rate Card'!$F:$F,0))</f>
        <v>医学</v>
      </c>
      <c r="H60" s="328" t="s">
        <v>1972</v>
      </c>
      <c r="I60" s="328" t="str">
        <f>INDEX(二三级标准!$Q:$Q,MATCH($H60,二三级标准!$O:$O,0))</f>
        <v>CDE沟通</v>
      </c>
      <c r="J60" s="328" t="s">
        <v>481</v>
      </c>
      <c r="K60" s="328" t="str">
        <f>INDEX(二三级标准!$C:$C,MATCH(注册申报底表!J60,二三级标准!$B:$B,0))</f>
        <v>参加和CDE的沟通会议</v>
      </c>
      <c r="L60" s="328" t="s">
        <v>2081</v>
      </c>
      <c r="M60" s="328" t="str">
        <f>INDEX(二三级标准!$M:$M,MATCH(注册申报底表!$L60,二三级标准!$L:$L,0))</f>
        <v>参加和CDE的沟通会议</v>
      </c>
      <c r="N60" s="328"/>
      <c r="O60" s="327">
        <f>IF($Q60=1,INDEX(注册申报明细!$E:$E,MATCH(注册申报底表!$J60,注册申报明细!$B:$B,0)),0)</f>
        <v>0</v>
      </c>
      <c r="P60" s="328" t="s">
        <v>1178</v>
      </c>
      <c r="Q60" s="329">
        <f>INDEX(注册申报明细!$D:$D,MATCH($J60,注册申报明细!$B:$B,0))</f>
        <v>0</v>
      </c>
      <c r="R60" s="330" t="s">
        <v>578</v>
      </c>
      <c r="S60" s="328" t="s">
        <v>613</v>
      </c>
      <c r="T60" s="331">
        <f>INDEX('Rate Card'!$J:$J,MATCH($S60,'Rate Card'!$F:$F,0))</f>
        <v>990</v>
      </c>
      <c r="U60" s="331">
        <f t="shared" si="52"/>
        <v>2</v>
      </c>
      <c r="V60" s="327">
        <v>2</v>
      </c>
      <c r="W60" s="328"/>
      <c r="X60" s="332">
        <f t="shared" si="63"/>
        <v>2</v>
      </c>
      <c r="Y60" s="333">
        <f t="shared" si="64"/>
        <v>0</v>
      </c>
      <c r="Z60" s="328">
        <f t="shared" si="65"/>
        <v>0</v>
      </c>
      <c r="AA60" s="334">
        <f t="shared" si="66"/>
        <v>0</v>
      </c>
      <c r="AB60" s="334">
        <f>$Y60*(1-INDEX(项目参数!$D$5:$D$15,MATCH($R60,项目参数!$B$5:$B$15,0)))</f>
        <v>0</v>
      </c>
      <c r="AC60" s="334">
        <f>$AA60*INDEX(项目参数!$D$5:$D$15,MATCH($R60,项目参数!$B$5:$B$15,0))</f>
        <v>0</v>
      </c>
      <c r="AD60" s="334">
        <f t="shared" si="67"/>
        <v>0</v>
      </c>
      <c r="AE60" s="328"/>
      <c r="AF60" s="328"/>
      <c r="AG60" s="327"/>
      <c r="AH60" s="327"/>
      <c r="AI60" s="327"/>
      <c r="AJ60" s="327"/>
      <c r="AK60" s="327"/>
      <c r="AL60" s="327"/>
      <c r="AM60" s="327"/>
      <c r="AN60" s="328"/>
      <c r="AO60" s="327"/>
      <c r="AP60" s="327"/>
      <c r="AQ60" s="327"/>
      <c r="AR60" s="327"/>
      <c r="AS60" s="327"/>
      <c r="AT60" s="327"/>
      <c r="AU60" s="327"/>
      <c r="AV60" s="328">
        <f t="shared" si="68"/>
        <v>0</v>
      </c>
      <c r="AW60" s="328">
        <f t="shared" si="69"/>
        <v>0</v>
      </c>
      <c r="AX60" s="328">
        <f t="shared" si="53"/>
        <v>0</v>
      </c>
      <c r="AY60" s="328" t="b">
        <f t="shared" si="31"/>
        <v>1</v>
      </c>
    </row>
    <row r="61" ht="27" customHeight="1" spans="1:51">
      <c r="A61" s="326" t="str">
        <f>INDEX('Rate Card'!$A:$A,MATCH($S61,'Rate Card'!$F:$F,0))</f>
        <v>医学</v>
      </c>
      <c r="B61" s="327" t="str">
        <f>INDEX(二三级标准!$G:$G,MATCH($J61,二三级标准!B:B,0))</f>
        <v>次</v>
      </c>
      <c r="C61" s="327">
        <f>INDEX(注册申报明细!$E:$E,MATCH($J61,注册申报明细!$B:$B,0))</f>
        <v>0</v>
      </c>
      <c r="D61" s="327" t="str">
        <f t="shared" si="62"/>
        <v>A188MM</v>
      </c>
      <c r="E61" s="328"/>
      <c r="F61" s="328" t="s">
        <v>684</v>
      </c>
      <c r="G61" s="326" t="str">
        <f>INDEX('Rate Card'!$B:$B,MATCH($S61,'Rate Card'!$F:$F,0))</f>
        <v>医学</v>
      </c>
      <c r="H61" s="328" t="s">
        <v>1972</v>
      </c>
      <c r="I61" s="328" t="str">
        <f>INDEX(二三级标准!$Q:$Q,MATCH($H61,二三级标准!$O:$O,0))</f>
        <v>CDE沟通</v>
      </c>
      <c r="J61" s="328" t="s">
        <v>483</v>
      </c>
      <c r="K61" s="328" t="str">
        <f>INDEX(二三级标准!$C:$C,MATCH(注册申报底表!J61,二三级标准!$B:$B,0))</f>
        <v>医学相关资料的审核</v>
      </c>
      <c r="L61" s="328" t="s">
        <v>2082</v>
      </c>
      <c r="M61" s="328" t="str">
        <f>INDEX(二三级标准!$M:$M,MATCH(注册申报底表!$L61,二三级标准!$L:$L,0))</f>
        <v>医学相关资料的审核</v>
      </c>
      <c r="N61" s="328"/>
      <c r="O61" s="327">
        <f>IF($Q61=1,INDEX(注册申报明细!$E:$E,MATCH(注册申报底表!$J61,注册申报明细!$B:$B,0)),0)</f>
        <v>0</v>
      </c>
      <c r="P61" s="328" t="s">
        <v>1178</v>
      </c>
      <c r="Q61" s="329">
        <f>INDEX(注册申报明细!$D:$D,MATCH($J61,注册申报明细!$B:$B,0))</f>
        <v>0</v>
      </c>
      <c r="R61" s="330" t="s">
        <v>578</v>
      </c>
      <c r="S61" s="328" t="s">
        <v>615</v>
      </c>
      <c r="T61" s="331">
        <f>INDEX('Rate Card'!$J:$J,MATCH($S61,'Rate Card'!$F:$F,0))</f>
        <v>650</v>
      </c>
      <c r="U61" s="331">
        <f t="shared" si="52"/>
        <v>8</v>
      </c>
      <c r="V61" s="327">
        <v>8</v>
      </c>
      <c r="W61" s="328"/>
      <c r="X61" s="332">
        <f t="shared" si="63"/>
        <v>8</v>
      </c>
      <c r="Y61" s="333">
        <f t="shared" si="64"/>
        <v>0</v>
      </c>
      <c r="Z61" s="328">
        <f t="shared" si="65"/>
        <v>0</v>
      </c>
      <c r="AA61" s="334">
        <f t="shared" si="66"/>
        <v>0</v>
      </c>
      <c r="AB61" s="334">
        <f>$Y61*(1-INDEX(项目参数!$D$5:$D$15,MATCH($R61,项目参数!$B$5:$B$15,0)))</f>
        <v>0</v>
      </c>
      <c r="AC61" s="334">
        <f>$AA61*INDEX(项目参数!$D$5:$D$15,MATCH($R61,项目参数!$B$5:$B$15,0))</f>
        <v>0</v>
      </c>
      <c r="AD61" s="334">
        <f t="shared" si="67"/>
        <v>0</v>
      </c>
      <c r="AE61" s="328"/>
      <c r="AF61" s="328"/>
      <c r="AG61" s="327"/>
      <c r="AH61" s="327"/>
      <c r="AI61" s="327"/>
      <c r="AJ61" s="327"/>
      <c r="AK61" s="327"/>
      <c r="AL61" s="327"/>
      <c r="AM61" s="327"/>
      <c r="AN61" s="328"/>
      <c r="AO61" s="327"/>
      <c r="AP61" s="327"/>
      <c r="AQ61" s="327"/>
      <c r="AR61" s="327"/>
      <c r="AS61" s="327"/>
      <c r="AT61" s="327"/>
      <c r="AU61" s="327"/>
      <c r="AV61" s="328">
        <f t="shared" si="68"/>
        <v>0</v>
      </c>
      <c r="AW61" s="328">
        <f t="shared" si="69"/>
        <v>0</v>
      </c>
      <c r="AX61" s="328">
        <f t="shared" si="53"/>
        <v>0</v>
      </c>
      <c r="AY61" s="328" t="b">
        <f t="shared" si="31"/>
        <v>0</v>
      </c>
    </row>
    <row r="62" ht="27" customHeight="1" spans="1:51">
      <c r="A62" s="326" t="str">
        <f>INDEX('Rate Card'!$A:$A,MATCH($S62,'Rate Card'!$F:$F,0))</f>
        <v>医学</v>
      </c>
      <c r="B62" s="327" t="str">
        <f>INDEX(二三级标准!$G:$G,MATCH($J62,二三级标准!B:B,0))</f>
        <v>次</v>
      </c>
      <c r="C62" s="327">
        <f>INDEX(注册申报明细!$E:$E,MATCH($J62,注册申报明细!$B:$B,0))</f>
        <v>0</v>
      </c>
      <c r="D62" s="327" t="str">
        <f t="shared" si="62"/>
        <v>A188MD</v>
      </c>
      <c r="E62" s="328"/>
      <c r="F62" s="328" t="s">
        <v>684</v>
      </c>
      <c r="G62" s="326" t="str">
        <f>INDEX('Rate Card'!$B:$B,MATCH($S62,'Rate Card'!$F:$F,0))</f>
        <v>医学</v>
      </c>
      <c r="H62" s="328" t="s">
        <v>1972</v>
      </c>
      <c r="I62" s="328" t="str">
        <f>INDEX(二三级标准!$Q:$Q,MATCH($H62,二三级标准!$O:$O,0))</f>
        <v>CDE沟通</v>
      </c>
      <c r="J62" s="328" t="s">
        <v>483</v>
      </c>
      <c r="K62" s="328" t="str">
        <f>INDEX(二三级标准!$C:$C,MATCH(注册申报底表!J62,二三级标准!$B:$B,0))</f>
        <v>医学相关资料的审核</v>
      </c>
      <c r="L62" s="328" t="s">
        <v>2082</v>
      </c>
      <c r="M62" s="328" t="str">
        <f>INDEX(二三级标准!$M:$M,MATCH(注册申报底表!$L62,二三级标准!$L:$L,0))</f>
        <v>医学相关资料的审核</v>
      </c>
      <c r="N62" s="328"/>
      <c r="O62" s="327">
        <f>IF($Q62=1,INDEX(注册申报明细!$E:$E,MATCH(注册申报底表!$J62,注册申报明细!$B:$B,0)),0)</f>
        <v>0</v>
      </c>
      <c r="P62" s="328" t="s">
        <v>1178</v>
      </c>
      <c r="Q62" s="329">
        <f>INDEX(注册申报明细!$D:$D,MATCH($J62,注册申报明细!$B:$B,0))</f>
        <v>0</v>
      </c>
      <c r="R62" s="330" t="s">
        <v>578</v>
      </c>
      <c r="S62" s="328" t="s">
        <v>613</v>
      </c>
      <c r="T62" s="331">
        <f>INDEX('Rate Card'!$J:$J,MATCH($S62,'Rate Card'!$F:$F,0))</f>
        <v>990</v>
      </c>
      <c r="U62" s="331">
        <f t="shared" si="52"/>
        <v>2</v>
      </c>
      <c r="V62" s="327">
        <v>2</v>
      </c>
      <c r="W62" s="328"/>
      <c r="X62" s="332">
        <f t="shared" si="63"/>
        <v>2</v>
      </c>
      <c r="Y62" s="333">
        <f t="shared" si="64"/>
        <v>0</v>
      </c>
      <c r="Z62" s="328">
        <f t="shared" si="65"/>
        <v>0</v>
      </c>
      <c r="AA62" s="334">
        <f t="shared" si="66"/>
        <v>0</v>
      </c>
      <c r="AB62" s="334">
        <f>$Y62*(1-INDEX(项目参数!$D$5:$D$15,MATCH($R62,项目参数!$B$5:$B$15,0)))</f>
        <v>0</v>
      </c>
      <c r="AC62" s="334">
        <f>$AA62*INDEX(项目参数!$D$5:$D$15,MATCH($R62,项目参数!$B$5:$B$15,0))</f>
        <v>0</v>
      </c>
      <c r="AD62" s="334">
        <f t="shared" si="67"/>
        <v>0</v>
      </c>
      <c r="AE62" s="328"/>
      <c r="AF62" s="328"/>
      <c r="AG62" s="327"/>
      <c r="AH62" s="327"/>
      <c r="AI62" s="327"/>
      <c r="AJ62" s="327"/>
      <c r="AK62" s="327"/>
      <c r="AL62" s="327"/>
      <c r="AM62" s="327"/>
      <c r="AN62" s="328"/>
      <c r="AO62" s="327"/>
      <c r="AP62" s="327"/>
      <c r="AQ62" s="327"/>
      <c r="AR62" s="327"/>
      <c r="AS62" s="327"/>
      <c r="AT62" s="327"/>
      <c r="AU62" s="327"/>
      <c r="AV62" s="328">
        <f t="shared" si="68"/>
        <v>0</v>
      </c>
      <c r="AW62" s="328">
        <f t="shared" si="69"/>
        <v>0</v>
      </c>
      <c r="AX62" s="328">
        <f t="shared" si="53"/>
        <v>0</v>
      </c>
      <c r="AY62" s="328" t="b">
        <f t="shared" si="31"/>
        <v>0</v>
      </c>
    </row>
    <row r="63" ht="27" customHeight="1" spans="1:51">
      <c r="A63" s="326" t="str">
        <f>INDEX('Rate Card'!$A:$A,MATCH($S63,'Rate Card'!$F:$F,0))</f>
        <v>医学</v>
      </c>
      <c r="B63" s="327" t="str">
        <f>INDEX(二三级标准!$G:$G,MATCH($J63,二三级标准!B:B,0))</f>
        <v>份</v>
      </c>
      <c r="C63" s="327">
        <f>INDEX(注册申报明细!$E:$E,MATCH($J63,注册申报明细!$B:$B,0))</f>
        <v>0</v>
      </c>
      <c r="D63" s="327" t="str">
        <f t="shared" si="62"/>
        <v>A189MM</v>
      </c>
      <c r="E63" s="328"/>
      <c r="F63" s="328" t="s">
        <v>684</v>
      </c>
      <c r="G63" s="326" t="str">
        <f>INDEX('Rate Card'!$B:$B,MATCH($S63,'Rate Card'!$F:$F,0))</f>
        <v>医学</v>
      </c>
      <c r="H63" s="328" t="s">
        <v>1972</v>
      </c>
      <c r="I63" s="328" t="str">
        <f>INDEX(二三级标准!$Q:$Q,MATCH($H63,二三级标准!$O:$O,0))</f>
        <v>CDE沟通</v>
      </c>
      <c r="J63" s="328" t="s">
        <v>485</v>
      </c>
      <c r="K63" s="328" t="str">
        <f>INDEX(二三级标准!$C:$C,MATCH(注册申报底表!J63,二三级标准!$B:$B,0))</f>
        <v>PreIND附件1+附件2撰写</v>
      </c>
      <c r="L63" s="328" t="s">
        <v>2083</v>
      </c>
      <c r="M63" s="328" t="str">
        <f>INDEX(二三级标准!$M:$M,MATCH(注册申报底表!$L63,二三级标准!$L:$L,0))</f>
        <v>PreIND附件1+附件2撰写</v>
      </c>
      <c r="N63" s="328"/>
      <c r="O63" s="327">
        <f>IF($Q63=1,INDEX(注册申报明细!$E:$E,MATCH(注册申报底表!$J63,注册申报明细!$B:$B,0)),0)</f>
        <v>0</v>
      </c>
      <c r="P63" s="328" t="s">
        <v>1176</v>
      </c>
      <c r="Q63" s="329">
        <f>INDEX(注册申报明细!$D:$D,MATCH($J63,注册申报明细!$B:$B,0))</f>
        <v>0</v>
      </c>
      <c r="R63" s="330" t="s">
        <v>578</v>
      </c>
      <c r="S63" s="328" t="s">
        <v>615</v>
      </c>
      <c r="T63" s="331">
        <f>INDEX('Rate Card'!$J:$J,MATCH($S63,'Rate Card'!$F:$F,0))</f>
        <v>650</v>
      </c>
      <c r="U63" s="331">
        <f t="shared" ref="U63:U94" si="70">$U$1*V63</f>
        <v>16</v>
      </c>
      <c r="V63" s="327">
        <v>16</v>
      </c>
      <c r="W63" s="328"/>
      <c r="X63" s="332">
        <f t="shared" si="63"/>
        <v>16</v>
      </c>
      <c r="Y63" s="333">
        <f t="shared" si="64"/>
        <v>0</v>
      </c>
      <c r="Z63" s="328">
        <f t="shared" si="65"/>
        <v>0</v>
      </c>
      <c r="AA63" s="334">
        <f t="shared" si="66"/>
        <v>0</v>
      </c>
      <c r="AB63" s="334">
        <f>$Y63*(1-INDEX(项目参数!$D$5:$D$15,MATCH($R63,项目参数!$B$5:$B$15,0)))</f>
        <v>0</v>
      </c>
      <c r="AC63" s="334">
        <f>$AA63*INDEX(项目参数!$D$5:$D$15,MATCH($R63,项目参数!$B$5:$B$15,0))</f>
        <v>0</v>
      </c>
      <c r="AD63" s="334">
        <f t="shared" si="67"/>
        <v>0</v>
      </c>
      <c r="AE63" s="328"/>
      <c r="AF63" s="328"/>
      <c r="AG63" s="327"/>
      <c r="AH63" s="327"/>
      <c r="AI63" s="327"/>
      <c r="AJ63" s="327"/>
      <c r="AK63" s="327"/>
      <c r="AL63" s="327"/>
      <c r="AM63" s="327"/>
      <c r="AN63" s="328"/>
      <c r="AO63" s="327"/>
      <c r="AP63" s="327"/>
      <c r="AQ63" s="327"/>
      <c r="AR63" s="327"/>
      <c r="AS63" s="327"/>
      <c r="AT63" s="327"/>
      <c r="AU63" s="327"/>
      <c r="AV63" s="328">
        <f t="shared" si="68"/>
        <v>0</v>
      </c>
      <c r="AW63" s="328">
        <f t="shared" si="69"/>
        <v>0</v>
      </c>
      <c r="AX63" s="328">
        <f t="shared" ref="AX63:AX94" si="71">AW63*$U$1</f>
        <v>0</v>
      </c>
      <c r="AY63" s="328" t="b">
        <f t="shared" si="31"/>
        <v>1</v>
      </c>
    </row>
    <row r="64" ht="27" customHeight="1" spans="1:51">
      <c r="A64" s="326" t="str">
        <f>INDEX('Rate Card'!$A:$A,MATCH($S64,'Rate Card'!$F:$F,0))</f>
        <v>医学</v>
      </c>
      <c r="B64" s="327" t="str">
        <f>INDEX(二三级标准!$G:$G,MATCH($J64,二三级标准!B:B,0))</f>
        <v>份</v>
      </c>
      <c r="C64" s="327">
        <f>INDEX(注册申报明细!$E:$E,MATCH($J64,注册申报明细!$B:$B,0))</f>
        <v>0</v>
      </c>
      <c r="D64" s="327" t="str">
        <f t="shared" si="62"/>
        <v>A189MD</v>
      </c>
      <c r="E64" s="328"/>
      <c r="F64" s="328" t="s">
        <v>684</v>
      </c>
      <c r="G64" s="326" t="str">
        <f>INDEX('Rate Card'!$B:$B,MATCH($S64,'Rate Card'!$F:$F,0))</f>
        <v>医学</v>
      </c>
      <c r="H64" s="328" t="s">
        <v>1972</v>
      </c>
      <c r="I64" s="328" t="str">
        <f>INDEX(二三级标准!$Q:$Q,MATCH($H64,二三级标准!$O:$O,0))</f>
        <v>CDE沟通</v>
      </c>
      <c r="J64" s="328" t="s">
        <v>485</v>
      </c>
      <c r="K64" s="328" t="str">
        <f>INDEX(二三级标准!$C:$C,MATCH(注册申报底表!J64,二三级标准!$B:$B,0))</f>
        <v>PreIND附件1+附件2撰写</v>
      </c>
      <c r="L64" s="328" t="s">
        <v>2083</v>
      </c>
      <c r="M64" s="328" t="str">
        <f>INDEX(二三级标准!$M:$M,MATCH(注册申报底表!$L64,二三级标准!$L:$L,0))</f>
        <v>PreIND附件1+附件2撰写</v>
      </c>
      <c r="N64" s="328"/>
      <c r="O64" s="327">
        <f>IF($Q64=1,INDEX(注册申报明细!$E:$E,MATCH(注册申报底表!$J64,注册申报明细!$B:$B,0)),0)</f>
        <v>0</v>
      </c>
      <c r="P64" s="328" t="s">
        <v>1176</v>
      </c>
      <c r="Q64" s="329">
        <f>INDEX(注册申报明细!$D:$D,MATCH($J64,注册申报明细!$B:$B,0))</f>
        <v>0</v>
      </c>
      <c r="R64" s="330" t="s">
        <v>578</v>
      </c>
      <c r="S64" s="328" t="s">
        <v>613</v>
      </c>
      <c r="T64" s="331">
        <f>INDEX('Rate Card'!$J:$J,MATCH($S64,'Rate Card'!$F:$F,0))</f>
        <v>990</v>
      </c>
      <c r="U64" s="331">
        <f t="shared" si="70"/>
        <v>4</v>
      </c>
      <c r="V64" s="327">
        <v>4</v>
      </c>
      <c r="W64" s="328"/>
      <c r="X64" s="332">
        <f t="shared" si="63"/>
        <v>4</v>
      </c>
      <c r="Y64" s="333">
        <f t="shared" si="64"/>
        <v>0</v>
      </c>
      <c r="Z64" s="328">
        <f t="shared" si="65"/>
        <v>0</v>
      </c>
      <c r="AA64" s="334">
        <f t="shared" si="66"/>
        <v>0</v>
      </c>
      <c r="AB64" s="334">
        <f>$Y64*(1-INDEX(项目参数!$D$5:$D$15,MATCH($R64,项目参数!$B$5:$B$15,0)))</f>
        <v>0</v>
      </c>
      <c r="AC64" s="334">
        <f>$AA64*INDEX(项目参数!$D$5:$D$15,MATCH($R64,项目参数!$B$5:$B$15,0))</f>
        <v>0</v>
      </c>
      <c r="AD64" s="334">
        <f t="shared" si="67"/>
        <v>0</v>
      </c>
      <c r="AE64" s="328"/>
      <c r="AF64" s="328"/>
      <c r="AG64" s="327"/>
      <c r="AH64" s="327"/>
      <c r="AI64" s="327"/>
      <c r="AJ64" s="327"/>
      <c r="AK64" s="327"/>
      <c r="AL64" s="327"/>
      <c r="AM64" s="327"/>
      <c r="AN64" s="328"/>
      <c r="AO64" s="327"/>
      <c r="AP64" s="327"/>
      <c r="AQ64" s="327"/>
      <c r="AR64" s="327"/>
      <c r="AS64" s="327"/>
      <c r="AT64" s="327"/>
      <c r="AU64" s="327"/>
      <c r="AV64" s="328">
        <f t="shared" si="68"/>
        <v>0</v>
      </c>
      <c r="AW64" s="328">
        <f t="shared" si="69"/>
        <v>0</v>
      </c>
      <c r="AX64" s="328">
        <f t="shared" si="71"/>
        <v>0</v>
      </c>
      <c r="AY64" s="328" t="b">
        <f t="shared" si="31"/>
        <v>1</v>
      </c>
    </row>
    <row r="65" ht="27" customHeight="1" spans="1:51">
      <c r="A65" s="326" t="str">
        <f>INDEX('Rate Card'!$A:$A,MATCH($S65,'Rate Card'!$F:$F,0))</f>
        <v>注册</v>
      </c>
      <c r="B65" s="327" t="str">
        <f>INDEX(二三级标准!$G:$G,MATCH($J65,二三级标准!B:B,0))</f>
        <v>次</v>
      </c>
      <c r="C65" s="327">
        <f>INDEX(注册申报明细!$E:$E,MATCH($J65,注册申报明细!$B:$B,0))</f>
        <v>0</v>
      </c>
      <c r="D65" s="327" t="str">
        <f t="shared" si="62"/>
        <v>A190RAM</v>
      </c>
      <c r="E65" s="328"/>
      <c r="F65" s="328" t="s">
        <v>684</v>
      </c>
      <c r="G65" s="326" t="str">
        <f>INDEX('Rate Card'!$B:$B,MATCH($S65,'Rate Card'!$F:$F,0))</f>
        <v>注册</v>
      </c>
      <c r="H65" s="328" t="s">
        <v>1973</v>
      </c>
      <c r="I65" s="328" t="str">
        <f>INDEX(二三级标准!$Q:$Q,MATCH($H65,二三级标准!$O:$O,0))</f>
        <v>差距分析</v>
      </c>
      <c r="J65" s="328" t="s">
        <v>487</v>
      </c>
      <c r="K65" s="328" t="str">
        <f>INDEX(二三级标准!$C:$C,MATCH(注册申报底表!J65,二三级标准!$B:$B,0))</f>
        <v>现有药品研发数据&amp;进度评估</v>
      </c>
      <c r="L65" s="328" t="s">
        <v>2084</v>
      </c>
      <c r="M65" s="328" t="str">
        <f>INDEX(二三级标准!$M:$M,MATCH(注册申报底表!$L65,二三级标准!$L:$L,0))</f>
        <v>现有药品研发数据&amp;进度评估</v>
      </c>
      <c r="N65" s="328"/>
      <c r="O65" s="327">
        <f>IF($Q65=1,INDEX(注册申报明细!$E:$E,MATCH(注册申报底表!$J65,注册申报明细!$B:$B,0)),0)</f>
        <v>0</v>
      </c>
      <c r="P65" s="328" t="s">
        <v>1178</v>
      </c>
      <c r="Q65" s="329">
        <f>INDEX(注册申报明细!$D:$D,MATCH($J65,注册申报明细!$B:$B,0))</f>
        <v>0</v>
      </c>
      <c r="R65" s="328" t="str">
        <f>INDEX('Rate Card'!$D:$D,MATCH($S65,'Rate Card'!$F:$F,0))</f>
        <v>注册事务</v>
      </c>
      <c r="S65" s="328" t="s">
        <v>607</v>
      </c>
      <c r="T65" s="331">
        <f>INDEX('Rate Card'!$J:$J,MATCH($S65,'Rate Card'!$F:$F,0))</f>
        <v>650</v>
      </c>
      <c r="U65" s="331">
        <f t="shared" si="70"/>
        <v>16</v>
      </c>
      <c r="V65" s="327">
        <v>16</v>
      </c>
      <c r="W65" s="328"/>
      <c r="X65" s="332">
        <f t="shared" si="63"/>
        <v>16</v>
      </c>
      <c r="Y65" s="333">
        <f t="shared" si="64"/>
        <v>0</v>
      </c>
      <c r="Z65" s="328">
        <f t="shared" si="65"/>
        <v>0</v>
      </c>
      <c r="AA65" s="334">
        <f t="shared" si="66"/>
        <v>0</v>
      </c>
      <c r="AB65" s="334">
        <f>$Y65*(1-INDEX(项目参数!$D$5:$D$15,MATCH($R65,项目参数!$B$5:$B$15,0)))</f>
        <v>0</v>
      </c>
      <c r="AC65" s="334">
        <f>$AA65*INDEX(项目参数!$D$5:$D$15,MATCH($R65,项目参数!$B$5:$B$15,0))</f>
        <v>0</v>
      </c>
      <c r="AD65" s="334">
        <f t="shared" si="67"/>
        <v>0</v>
      </c>
      <c r="AE65" s="328"/>
      <c r="AF65" s="328"/>
      <c r="AG65" s="327"/>
      <c r="AH65" s="327"/>
      <c r="AI65" s="327"/>
      <c r="AJ65" s="327"/>
      <c r="AK65" s="327"/>
      <c r="AL65" s="327"/>
      <c r="AM65" s="327"/>
      <c r="AN65" s="328"/>
      <c r="AO65" s="327"/>
      <c r="AP65" s="327"/>
      <c r="AQ65" s="327"/>
      <c r="AR65" s="327"/>
      <c r="AS65" s="327"/>
      <c r="AT65" s="327"/>
      <c r="AU65" s="327"/>
      <c r="AV65" s="328">
        <f t="shared" si="68"/>
        <v>0</v>
      </c>
      <c r="AW65" s="328">
        <f t="shared" si="69"/>
        <v>0</v>
      </c>
      <c r="AX65" s="328">
        <f t="shared" si="71"/>
        <v>0</v>
      </c>
      <c r="AY65" s="328" t="b">
        <f t="shared" si="31"/>
        <v>0</v>
      </c>
    </row>
    <row r="66" ht="27" customHeight="1" spans="1:51">
      <c r="A66" s="326" t="str">
        <f>INDEX('Rate Card'!$A:$A,MATCH($S66,'Rate Card'!$F:$F,0))</f>
        <v>注册</v>
      </c>
      <c r="B66" s="327" t="str">
        <f>INDEX(二三级标准!$G:$G,MATCH($J66,二三级标准!B:B,0))</f>
        <v>次</v>
      </c>
      <c r="C66" s="327">
        <f>INDEX(注册申报明细!$E:$E,MATCH($J66,注册申报明细!$B:$B,0))</f>
        <v>0</v>
      </c>
      <c r="D66" s="327" t="str">
        <f t="shared" si="62"/>
        <v>A190RAD</v>
      </c>
      <c r="E66" s="328"/>
      <c r="F66" s="328" t="s">
        <v>684</v>
      </c>
      <c r="G66" s="326" t="str">
        <f>INDEX('Rate Card'!$B:$B,MATCH($S66,'Rate Card'!$F:$F,0))</f>
        <v>注册</v>
      </c>
      <c r="H66" s="328" t="s">
        <v>1973</v>
      </c>
      <c r="I66" s="328" t="str">
        <f>INDEX(二三级标准!$Q:$Q,MATCH($H66,二三级标准!$O:$O,0))</f>
        <v>差距分析</v>
      </c>
      <c r="J66" s="328" t="s">
        <v>487</v>
      </c>
      <c r="K66" s="328" t="str">
        <f>INDEX(二三级标准!$C:$C,MATCH(注册申报底表!J66,二三级标准!$B:$B,0))</f>
        <v>现有药品研发数据&amp;进度评估</v>
      </c>
      <c r="L66" s="328" t="s">
        <v>2084</v>
      </c>
      <c r="M66" s="328" t="str">
        <f>INDEX(二三级标准!$M:$M,MATCH(注册申报底表!$L66,二三级标准!$L:$L,0))</f>
        <v>现有药品研发数据&amp;进度评估</v>
      </c>
      <c r="N66" s="328"/>
      <c r="O66" s="327">
        <f>IF($Q66=1,INDEX(注册申报明细!$E:$E,MATCH(注册申报底表!$J66,注册申报明细!$B:$B,0)),0)</f>
        <v>0</v>
      </c>
      <c r="P66" s="328" t="s">
        <v>1178</v>
      </c>
      <c r="Q66" s="329">
        <f>INDEX(注册申报明细!$D:$D,MATCH($J66,注册申报明细!$B:$B,0))</f>
        <v>0</v>
      </c>
      <c r="R66" s="328" t="str">
        <f>INDEX('Rate Card'!$D:$D,MATCH($S66,'Rate Card'!$F:$F,0))</f>
        <v>注册事务</v>
      </c>
      <c r="S66" s="328" t="s">
        <v>609</v>
      </c>
      <c r="T66" s="331">
        <f>INDEX('Rate Card'!$J:$J,MATCH($S66,'Rate Card'!$F:$F,0))</f>
        <v>990</v>
      </c>
      <c r="U66" s="331">
        <f t="shared" si="70"/>
        <v>4</v>
      </c>
      <c r="V66" s="327">
        <v>4</v>
      </c>
      <c r="W66" s="328"/>
      <c r="X66" s="332">
        <f t="shared" si="63"/>
        <v>4</v>
      </c>
      <c r="Y66" s="333">
        <f t="shared" si="64"/>
        <v>0</v>
      </c>
      <c r="Z66" s="328">
        <f t="shared" si="65"/>
        <v>0</v>
      </c>
      <c r="AA66" s="334">
        <f t="shared" si="66"/>
        <v>0</v>
      </c>
      <c r="AB66" s="334">
        <f>$Y66*(1-INDEX(项目参数!$D$5:$D$15,MATCH($R66,项目参数!$B$5:$B$15,0)))</f>
        <v>0</v>
      </c>
      <c r="AC66" s="334">
        <f>$AA66*INDEX(项目参数!$D$5:$D$15,MATCH($R66,项目参数!$B$5:$B$15,0))</f>
        <v>0</v>
      </c>
      <c r="AD66" s="334">
        <f t="shared" si="67"/>
        <v>0</v>
      </c>
      <c r="AE66" s="328"/>
      <c r="AF66" s="328"/>
      <c r="AG66" s="327"/>
      <c r="AH66" s="327"/>
      <c r="AI66" s="327"/>
      <c r="AJ66" s="327"/>
      <c r="AK66" s="327"/>
      <c r="AL66" s="327"/>
      <c r="AM66" s="327"/>
      <c r="AN66" s="328"/>
      <c r="AO66" s="327"/>
      <c r="AP66" s="327"/>
      <c r="AQ66" s="327"/>
      <c r="AR66" s="327"/>
      <c r="AS66" s="327"/>
      <c r="AT66" s="327"/>
      <c r="AU66" s="327"/>
      <c r="AV66" s="328">
        <f t="shared" si="68"/>
        <v>0</v>
      </c>
      <c r="AW66" s="328">
        <f t="shared" si="69"/>
        <v>0</v>
      </c>
      <c r="AX66" s="328">
        <f t="shared" si="71"/>
        <v>0</v>
      </c>
      <c r="AY66" s="328" t="b">
        <f t="shared" si="31"/>
        <v>0</v>
      </c>
    </row>
    <row r="67" ht="27" customHeight="1" spans="1:51">
      <c r="A67" s="326" t="str">
        <f>INDEX('Rate Card'!$A:$A,MATCH($S67,'Rate Card'!$F:$F,0))</f>
        <v>注册</v>
      </c>
      <c r="B67" s="327" t="str">
        <f>INDEX(二三级标准!$G:$G,MATCH($J67,二三级标准!B:B,0))</f>
        <v>份</v>
      </c>
      <c r="C67" s="327">
        <f>INDEX(注册申报明细!$E:$E,MATCH($J67,注册申报明细!$B:$B,0))</f>
        <v>0</v>
      </c>
      <c r="D67" s="327" t="str">
        <f t="shared" si="62"/>
        <v>A191RAM</v>
      </c>
      <c r="E67" s="328"/>
      <c r="F67" s="328" t="s">
        <v>684</v>
      </c>
      <c r="G67" s="326" t="str">
        <f>INDEX('Rate Card'!$B:$B,MATCH($S67,'Rate Card'!$F:$F,0))</f>
        <v>注册</v>
      </c>
      <c r="H67" s="328" t="s">
        <v>1974</v>
      </c>
      <c r="I67" s="328" t="str">
        <f>INDEX(二三级标准!$Q:$Q,MATCH($H67,二三级标准!$O:$O,0))</f>
        <v>申报计划制定</v>
      </c>
      <c r="J67" s="328" t="s">
        <v>489</v>
      </c>
      <c r="K67" s="328" t="str">
        <f>INDEX(二三级标准!$C:$C,MATCH(注册申报底表!J67,二三级标准!$B:$B,0))</f>
        <v>申报计划书制定</v>
      </c>
      <c r="L67" s="328" t="s">
        <v>2085</v>
      </c>
      <c r="M67" s="328" t="str">
        <f>INDEX(二三级标准!$M:$M,MATCH(注册申报底表!$L67,二三级标准!$L:$L,0))</f>
        <v>申报计划书制定(包括timeline)</v>
      </c>
      <c r="N67" s="328"/>
      <c r="O67" s="327">
        <f>IF($Q67=1,INDEX(注册申报明细!$E:$E,MATCH(注册申报底表!$J67,注册申报明细!$B:$B,0)),0)</f>
        <v>0</v>
      </c>
      <c r="P67" s="328" t="s">
        <v>1176</v>
      </c>
      <c r="Q67" s="329">
        <f>INDEX(注册申报明细!$D:$D,MATCH($J67,注册申报明细!$B:$B,0))</f>
        <v>0</v>
      </c>
      <c r="R67" s="328" t="str">
        <f>INDEX('Rate Card'!$D:$D,MATCH($S67,'Rate Card'!$F:$F,0))</f>
        <v>注册事务</v>
      </c>
      <c r="S67" s="328" t="s">
        <v>607</v>
      </c>
      <c r="T67" s="331">
        <f>INDEX('Rate Card'!$J:$J,MATCH($S67,'Rate Card'!$F:$F,0))</f>
        <v>650</v>
      </c>
      <c r="U67" s="331">
        <f t="shared" si="70"/>
        <v>8</v>
      </c>
      <c r="V67" s="327">
        <v>8</v>
      </c>
      <c r="W67" s="328"/>
      <c r="X67" s="332">
        <f t="shared" si="63"/>
        <v>8</v>
      </c>
      <c r="Y67" s="333">
        <f t="shared" si="64"/>
        <v>0</v>
      </c>
      <c r="Z67" s="328">
        <f t="shared" si="65"/>
        <v>0</v>
      </c>
      <c r="AA67" s="334">
        <f t="shared" si="66"/>
        <v>0</v>
      </c>
      <c r="AB67" s="334">
        <f>$Y67*(1-INDEX(项目参数!$D$5:$D$15,MATCH($R67,项目参数!$B$5:$B$15,0)))</f>
        <v>0</v>
      </c>
      <c r="AC67" s="334">
        <f>$AA67*INDEX(项目参数!$D$5:$D$15,MATCH($R67,项目参数!$B$5:$B$15,0))</f>
        <v>0</v>
      </c>
      <c r="AD67" s="334">
        <f t="shared" si="67"/>
        <v>0</v>
      </c>
      <c r="AE67" s="328"/>
      <c r="AF67" s="328"/>
      <c r="AG67" s="327"/>
      <c r="AH67" s="327"/>
      <c r="AI67" s="327"/>
      <c r="AJ67" s="327"/>
      <c r="AK67" s="327"/>
      <c r="AL67" s="327"/>
      <c r="AM67" s="327"/>
      <c r="AN67" s="328"/>
      <c r="AO67" s="327"/>
      <c r="AP67" s="327"/>
      <c r="AQ67" s="327"/>
      <c r="AR67" s="327"/>
      <c r="AS67" s="327"/>
      <c r="AT67" s="327"/>
      <c r="AU67" s="327"/>
      <c r="AV67" s="328">
        <f t="shared" si="68"/>
        <v>0</v>
      </c>
      <c r="AW67" s="328">
        <f t="shared" si="69"/>
        <v>0</v>
      </c>
      <c r="AX67" s="328">
        <f t="shared" si="71"/>
        <v>0</v>
      </c>
      <c r="AY67" s="328" t="b">
        <f t="shared" si="31"/>
        <v>1</v>
      </c>
    </row>
    <row r="68" ht="27" customHeight="1" spans="1:51">
      <c r="A68" s="326" t="str">
        <f>INDEX('Rate Card'!$A:$A,MATCH($S68,'Rate Card'!$F:$F,0))</f>
        <v>注册</v>
      </c>
      <c r="B68" s="327" t="str">
        <f>INDEX(二三级标准!$G:$G,MATCH($J68,二三级标准!B:B,0))</f>
        <v>份</v>
      </c>
      <c r="C68" s="327">
        <f>INDEX(注册申报明细!$E:$E,MATCH($J68,注册申报明细!$B:$B,0))</f>
        <v>0</v>
      </c>
      <c r="D68" s="327" t="str">
        <f t="shared" si="62"/>
        <v>A191RAD</v>
      </c>
      <c r="E68" s="328"/>
      <c r="F68" s="328" t="s">
        <v>684</v>
      </c>
      <c r="G68" s="326" t="str">
        <f>INDEX('Rate Card'!$B:$B,MATCH($S68,'Rate Card'!$F:$F,0))</f>
        <v>注册</v>
      </c>
      <c r="H68" s="328" t="s">
        <v>1974</v>
      </c>
      <c r="I68" s="328" t="str">
        <f>INDEX(二三级标准!$Q:$Q,MATCH($H68,二三级标准!$O:$O,0))</f>
        <v>申报计划制定</v>
      </c>
      <c r="J68" s="328" t="s">
        <v>489</v>
      </c>
      <c r="K68" s="328" t="str">
        <f>INDEX(二三级标准!$C:$C,MATCH(注册申报底表!J68,二三级标准!$B:$B,0))</f>
        <v>申报计划书制定</v>
      </c>
      <c r="L68" s="328" t="s">
        <v>2085</v>
      </c>
      <c r="M68" s="328" t="str">
        <f>INDEX(二三级标准!$M:$M,MATCH(注册申报底表!$L68,二三级标准!$L:$L,0))</f>
        <v>申报计划书制定(包括timeline)</v>
      </c>
      <c r="N68" s="328"/>
      <c r="O68" s="327">
        <f>IF($Q68=1,INDEX(注册申报明细!$E:$E,MATCH(注册申报底表!$J68,注册申报明细!$B:$B,0)),0)</f>
        <v>0</v>
      </c>
      <c r="P68" s="328" t="s">
        <v>1176</v>
      </c>
      <c r="Q68" s="329">
        <f>INDEX(注册申报明细!$D:$D,MATCH($J68,注册申报明细!$B:$B,0))</f>
        <v>0</v>
      </c>
      <c r="R68" s="328" t="str">
        <f>INDEX('Rate Card'!$D:$D,MATCH($S68,'Rate Card'!$F:$F,0))</f>
        <v>注册事务</v>
      </c>
      <c r="S68" s="328" t="s">
        <v>609</v>
      </c>
      <c r="T68" s="331">
        <f>INDEX('Rate Card'!$J:$J,MATCH($S68,'Rate Card'!$F:$F,0))</f>
        <v>990</v>
      </c>
      <c r="U68" s="331">
        <f t="shared" si="70"/>
        <v>4</v>
      </c>
      <c r="V68" s="327">
        <v>4</v>
      </c>
      <c r="W68" s="328"/>
      <c r="X68" s="332">
        <f t="shared" si="63"/>
        <v>4</v>
      </c>
      <c r="Y68" s="333">
        <f t="shared" si="64"/>
        <v>0</v>
      </c>
      <c r="Z68" s="328">
        <f t="shared" si="65"/>
        <v>0</v>
      </c>
      <c r="AA68" s="334">
        <f t="shared" si="66"/>
        <v>0</v>
      </c>
      <c r="AB68" s="334">
        <f>$Y68*(1-INDEX(项目参数!$D$5:$D$15,MATCH($R68,项目参数!$B$5:$B$15,0)))</f>
        <v>0</v>
      </c>
      <c r="AC68" s="334">
        <f>$AA68*INDEX(项目参数!$D$5:$D$15,MATCH($R68,项目参数!$B$5:$B$15,0))</f>
        <v>0</v>
      </c>
      <c r="AD68" s="334">
        <f t="shared" si="67"/>
        <v>0</v>
      </c>
      <c r="AE68" s="328"/>
      <c r="AF68" s="328"/>
      <c r="AG68" s="327"/>
      <c r="AH68" s="327"/>
      <c r="AI68" s="327"/>
      <c r="AJ68" s="327"/>
      <c r="AK68" s="327"/>
      <c r="AL68" s="327"/>
      <c r="AM68" s="327"/>
      <c r="AN68" s="328"/>
      <c r="AO68" s="327"/>
      <c r="AP68" s="327"/>
      <c r="AQ68" s="327"/>
      <c r="AR68" s="327"/>
      <c r="AS68" s="327"/>
      <c r="AT68" s="327"/>
      <c r="AU68" s="327"/>
      <c r="AV68" s="328">
        <f t="shared" si="68"/>
        <v>0</v>
      </c>
      <c r="AW68" s="328">
        <f t="shared" si="69"/>
        <v>0</v>
      </c>
      <c r="AX68" s="328">
        <f t="shared" si="71"/>
        <v>0</v>
      </c>
      <c r="AY68" s="328" t="b">
        <f t="shared" ref="AY68:AY99" si="72">IF(J68&lt;&gt;J67,IF(AY67=TRUE,FALSE,TRUE),AY67)</f>
        <v>1</v>
      </c>
    </row>
    <row r="69" ht="27" customHeight="1" spans="1:51">
      <c r="A69" s="326" t="str">
        <f>INDEX('Rate Card'!$A:$A,MATCH($S69,'Rate Card'!$F:$F,0))</f>
        <v>注册</v>
      </c>
      <c r="B69" s="327" t="str">
        <f>INDEX(二三级标准!$G:$G,MATCH($J69,二三级标准!B:B,0))</f>
        <v>次</v>
      </c>
      <c r="C69" s="327">
        <f>INDEX(注册申报明细!$E:$E,MATCH($J69,注册申报明细!$B:$B,0))</f>
        <v>0</v>
      </c>
      <c r="D69" s="327" t="str">
        <f t="shared" ref="D69:D71" si="73">J69&amp;S69</f>
        <v>A206RAM</v>
      </c>
      <c r="E69" s="328"/>
      <c r="F69" s="328" t="s">
        <v>684</v>
      </c>
      <c r="G69" s="326" t="str">
        <f>INDEX('Rate Card'!$B:$B,MATCH($S69,'Rate Card'!$F:$F,0))</f>
        <v>注册</v>
      </c>
      <c r="H69" s="328" t="s">
        <v>1975</v>
      </c>
      <c r="I69" s="328" t="str">
        <f>INDEX(二三级标准!$Q:$Q,MATCH($H69,二三级标准!$O:$O,0))</f>
        <v>申报材料(CTD)撰写和审核</v>
      </c>
      <c r="J69" s="328" t="s">
        <v>519</v>
      </c>
      <c r="K69" s="328" t="str">
        <f>INDEX(二三级标准!$C:$C,MATCH(注册申报底表!J69,二三级标准!$B:$B,0))</f>
        <v>非临床综述撰写M2.4</v>
      </c>
      <c r="L69" s="328" t="s">
        <v>2086</v>
      </c>
      <c r="M69" s="328" t="str">
        <f>INDEX(二三级标准!$M:$M,MATCH(注册申报底表!$L69,二三级标准!$L:$L,0))</f>
        <v>非临床综述撰写M2.4</v>
      </c>
      <c r="N69" s="328"/>
      <c r="O69" s="327">
        <f>IF($Q69=1,INDEX(注册申报明细!$E:$E,MATCH(注册申报底表!$J69,注册申报明细!$B:$B,0)),0)</f>
        <v>0</v>
      </c>
      <c r="P69" s="328" t="s">
        <v>1178</v>
      </c>
      <c r="Q69" s="329">
        <f>INDEX(注册申报明细!$D:$D,MATCH($J69,注册申报明细!$B:$B,0))</f>
        <v>0</v>
      </c>
      <c r="R69" s="328" t="str">
        <f>INDEX('Rate Card'!$D:$D,MATCH($S69,'Rate Card'!$F:$F,0))</f>
        <v>注册事务</v>
      </c>
      <c r="S69" s="328" t="s">
        <v>607</v>
      </c>
      <c r="T69" s="331">
        <f>INDEX('Rate Card'!$J:$J,MATCH($S69,'Rate Card'!$F:$F,0))</f>
        <v>650</v>
      </c>
      <c r="U69" s="331">
        <f t="shared" si="70"/>
        <v>48</v>
      </c>
      <c r="V69" s="327">
        <v>48</v>
      </c>
      <c r="W69" s="328"/>
      <c r="X69" s="332">
        <f t="shared" si="63"/>
        <v>48</v>
      </c>
      <c r="Y69" s="333">
        <f t="shared" si="64"/>
        <v>0</v>
      </c>
      <c r="Z69" s="328">
        <f t="shared" ref="Z69:Z71" si="74">X69*O69*Q69</f>
        <v>0</v>
      </c>
      <c r="AA69" s="334">
        <f t="shared" ref="AA69:AA71" si="75">Z69*T69</f>
        <v>0</v>
      </c>
      <c r="AB69" s="334">
        <f>$Y69*(1-INDEX(项目参数!$D$5:$D$15,MATCH($R69,项目参数!$B$5:$B$15,0)))</f>
        <v>0</v>
      </c>
      <c r="AC69" s="334">
        <f>$AA69*INDEX(项目参数!$D$5:$D$15,MATCH($R69,项目参数!$B$5:$B$15,0))</f>
        <v>0</v>
      </c>
      <c r="AD69" s="334">
        <f t="shared" ref="AD69:AD71" si="76">AA69-AC69</f>
        <v>0</v>
      </c>
      <c r="AE69" s="328"/>
      <c r="AF69" s="328"/>
      <c r="AG69" s="327"/>
      <c r="AH69" s="327"/>
      <c r="AI69" s="327"/>
      <c r="AJ69" s="327"/>
      <c r="AK69" s="327"/>
      <c r="AL69" s="327"/>
      <c r="AM69" s="327"/>
      <c r="AN69" s="328"/>
      <c r="AO69" s="327"/>
      <c r="AP69" s="327"/>
      <c r="AQ69" s="327"/>
      <c r="AR69" s="327"/>
      <c r="AS69" s="327"/>
      <c r="AT69" s="327"/>
      <c r="AU69" s="327"/>
      <c r="AV69" s="328">
        <f t="shared" si="68"/>
        <v>0</v>
      </c>
      <c r="AW69" s="328">
        <f t="shared" si="69"/>
        <v>0</v>
      </c>
      <c r="AX69" s="328">
        <f t="shared" si="71"/>
        <v>0</v>
      </c>
      <c r="AY69" s="328" t="b">
        <f t="shared" si="72"/>
        <v>0</v>
      </c>
    </row>
    <row r="70" ht="27" customHeight="1" spans="1:51">
      <c r="A70" s="326" t="str">
        <f>INDEX('Rate Card'!$A:$A,MATCH($S70,'Rate Card'!$F:$F,0))</f>
        <v>注册</v>
      </c>
      <c r="B70" s="327" t="str">
        <f>INDEX(二三级标准!$G:$G,MATCH($J70,二三级标准!B:B,0))</f>
        <v>次</v>
      </c>
      <c r="C70" s="327">
        <f>INDEX(注册申报明细!$E:$E,MATCH($J70,注册申报明细!$B:$B,0))</f>
        <v>0</v>
      </c>
      <c r="D70" s="327" t="str">
        <f t="shared" ref="D70" si="77">J70&amp;S70</f>
        <v>A206RAD</v>
      </c>
      <c r="E70" s="328"/>
      <c r="F70" s="328" t="s">
        <v>684</v>
      </c>
      <c r="G70" s="326" t="str">
        <f>INDEX('Rate Card'!$B:$B,MATCH($S70,'Rate Card'!$F:$F,0))</f>
        <v>注册</v>
      </c>
      <c r="H70" s="328" t="s">
        <v>1975</v>
      </c>
      <c r="I70" s="328" t="str">
        <f>INDEX(二三级标准!$Q:$Q,MATCH($H70,二三级标准!$O:$O,0))</f>
        <v>申报材料(CTD)撰写和审核</v>
      </c>
      <c r="J70" s="328" t="s">
        <v>519</v>
      </c>
      <c r="K70" s="328" t="str">
        <f>INDEX(二三级标准!$C:$C,MATCH(注册申报底表!J70,二三级标准!$B:$B,0))</f>
        <v>非临床综述撰写M2.4</v>
      </c>
      <c r="L70" s="328" t="s">
        <v>2086</v>
      </c>
      <c r="M70" s="328" t="str">
        <f>INDEX(二三级标准!$M:$M,MATCH(注册申报底表!$L70,二三级标准!$L:$L,0))</f>
        <v>非临床综述撰写M2.4</v>
      </c>
      <c r="N70" s="328"/>
      <c r="O70" s="327">
        <f>IF($Q70=1,INDEX(注册申报明细!$E:$E,MATCH(注册申报底表!$J70,注册申报明细!$B:$B,0)),0)</f>
        <v>0</v>
      </c>
      <c r="P70" s="328" t="s">
        <v>1178</v>
      </c>
      <c r="Q70" s="329">
        <f>INDEX(注册申报明细!$D:$D,MATCH($J70,注册申报明细!$B:$B,0))</f>
        <v>0</v>
      </c>
      <c r="R70" s="328" t="str">
        <f>INDEX('Rate Card'!$D:$D,MATCH($S70,'Rate Card'!$F:$F,0))</f>
        <v>注册事务</v>
      </c>
      <c r="S70" s="328" t="s">
        <v>609</v>
      </c>
      <c r="T70" s="331">
        <f>INDEX('Rate Card'!$J:$J,MATCH($S70,'Rate Card'!$F:$F,0))</f>
        <v>990</v>
      </c>
      <c r="U70" s="331">
        <f t="shared" si="70"/>
        <v>12</v>
      </c>
      <c r="V70" s="327">
        <v>12</v>
      </c>
      <c r="W70" s="328"/>
      <c r="X70" s="332">
        <f t="shared" si="63"/>
        <v>12</v>
      </c>
      <c r="Y70" s="333">
        <f t="shared" si="64"/>
        <v>0</v>
      </c>
      <c r="Z70" s="328">
        <f t="shared" ref="Z70" si="78">X70*O70*Q70</f>
        <v>0</v>
      </c>
      <c r="AA70" s="334">
        <f t="shared" ref="AA70" si="79">Z70*T70</f>
        <v>0</v>
      </c>
      <c r="AB70" s="334">
        <f>$Y70*(1-INDEX(项目参数!$D$5:$D$15,MATCH($R70,项目参数!$B$5:$B$15,0)))</f>
        <v>0</v>
      </c>
      <c r="AC70" s="334">
        <f>$AA70*INDEX(项目参数!$D$5:$D$15,MATCH($R70,项目参数!$B$5:$B$15,0))</f>
        <v>0</v>
      </c>
      <c r="AD70" s="334">
        <f t="shared" ref="AD70" si="80">AA70-AC70</f>
        <v>0</v>
      </c>
      <c r="AE70" s="328"/>
      <c r="AF70" s="328"/>
      <c r="AG70" s="327"/>
      <c r="AH70" s="327"/>
      <c r="AI70" s="327"/>
      <c r="AJ70" s="327"/>
      <c r="AK70" s="327"/>
      <c r="AL70" s="327"/>
      <c r="AM70" s="327"/>
      <c r="AN70" s="328"/>
      <c r="AO70" s="327"/>
      <c r="AP70" s="327"/>
      <c r="AQ70" s="327"/>
      <c r="AR70" s="327"/>
      <c r="AS70" s="327"/>
      <c r="AT70" s="327"/>
      <c r="AU70" s="327"/>
      <c r="AV70" s="328">
        <f t="shared" si="68"/>
        <v>0</v>
      </c>
      <c r="AW70" s="328">
        <f t="shared" si="69"/>
        <v>0</v>
      </c>
      <c r="AX70" s="328">
        <f t="shared" si="71"/>
        <v>0</v>
      </c>
      <c r="AY70" s="328" t="b">
        <f t="shared" si="72"/>
        <v>0</v>
      </c>
    </row>
    <row r="71" ht="27" customHeight="1" spans="1:51">
      <c r="A71" s="326" t="str">
        <f>INDEX('Rate Card'!$A:$A,MATCH($S71,'Rate Card'!$F:$F,0))</f>
        <v>注册</v>
      </c>
      <c r="B71" s="327" t="str">
        <f>INDEX(二三级标准!$G:$G,MATCH($J71,二三级标准!B:B,0))</f>
        <v>次</v>
      </c>
      <c r="C71" s="327">
        <f>INDEX(注册申报明细!$E:$E,MATCH($J71,注册申报明细!$B:$B,0))</f>
        <v>0</v>
      </c>
      <c r="D71" s="327" t="str">
        <f t="shared" si="73"/>
        <v>A207RAM</v>
      </c>
      <c r="E71" s="328"/>
      <c r="F71" s="328" t="s">
        <v>684</v>
      </c>
      <c r="G71" s="326" t="str">
        <f>INDEX('Rate Card'!$B:$B,MATCH($S71,'Rate Card'!$F:$F,0))</f>
        <v>注册</v>
      </c>
      <c r="H71" s="328" t="s">
        <v>1975</v>
      </c>
      <c r="I71" s="328" t="str">
        <f>INDEX(二三级标准!$Q:$Q,MATCH($H71,二三级标准!$O:$O,0))</f>
        <v>申报材料(CTD)撰写和审核</v>
      </c>
      <c r="J71" s="328" t="s">
        <v>521</v>
      </c>
      <c r="K71" s="328" t="str">
        <f>INDEX(二三级标准!$C:$C,MATCH(注册申报底表!J71,二三级标准!$B:$B,0))</f>
        <v>非临床总结撰写M2.6</v>
      </c>
      <c r="L71" s="328" t="s">
        <v>2087</v>
      </c>
      <c r="M71" s="328" t="str">
        <f>INDEX(二三级标准!$M:$M,MATCH(注册申报底表!$L71,二三级标准!$L:$L,0))</f>
        <v>非临床总结撰写M2.6</v>
      </c>
      <c r="N71" s="328"/>
      <c r="O71" s="327">
        <f>IF($Q71=1,INDEX(注册申报明细!$E:$E,MATCH(注册申报底表!$J71,注册申报明细!$B:$B,0)),0)</f>
        <v>0</v>
      </c>
      <c r="P71" s="328" t="s">
        <v>1178</v>
      </c>
      <c r="Q71" s="329">
        <f>INDEX(注册申报明细!$D:$D,MATCH($J71,注册申报明细!$B:$B,0))</f>
        <v>0</v>
      </c>
      <c r="R71" s="328" t="str">
        <f>INDEX('Rate Card'!$D:$D,MATCH($S71,'Rate Card'!$F:$F,0))</f>
        <v>注册事务</v>
      </c>
      <c r="S71" s="328" t="s">
        <v>607</v>
      </c>
      <c r="T71" s="331">
        <f>INDEX('Rate Card'!$J:$J,MATCH($S71,'Rate Card'!$F:$F,0))</f>
        <v>650</v>
      </c>
      <c r="U71" s="331">
        <f t="shared" si="70"/>
        <v>92</v>
      </c>
      <c r="V71" s="327">
        <v>92</v>
      </c>
      <c r="W71" s="328"/>
      <c r="X71" s="332">
        <f t="shared" si="63"/>
        <v>92</v>
      </c>
      <c r="Y71" s="333">
        <f t="shared" si="64"/>
        <v>0</v>
      </c>
      <c r="Z71" s="328">
        <f t="shared" si="74"/>
        <v>0</v>
      </c>
      <c r="AA71" s="334">
        <f t="shared" si="75"/>
        <v>0</v>
      </c>
      <c r="AB71" s="334">
        <f>$Y71*(1-INDEX(项目参数!$D$5:$D$15,MATCH($R71,项目参数!$B$5:$B$15,0)))</f>
        <v>0</v>
      </c>
      <c r="AC71" s="334">
        <f>$AA71*INDEX(项目参数!$D$5:$D$15,MATCH($R71,项目参数!$B$5:$B$15,0))</f>
        <v>0</v>
      </c>
      <c r="AD71" s="334">
        <f t="shared" si="76"/>
        <v>0</v>
      </c>
      <c r="AE71" s="328"/>
      <c r="AF71" s="328"/>
      <c r="AG71" s="327"/>
      <c r="AH71" s="327"/>
      <c r="AI71" s="327"/>
      <c r="AJ71" s="327"/>
      <c r="AK71" s="327"/>
      <c r="AL71" s="327"/>
      <c r="AM71" s="327"/>
      <c r="AN71" s="328"/>
      <c r="AO71" s="327"/>
      <c r="AP71" s="327"/>
      <c r="AQ71" s="327"/>
      <c r="AR71" s="327"/>
      <c r="AS71" s="327"/>
      <c r="AT71" s="327"/>
      <c r="AU71" s="327"/>
      <c r="AV71" s="328">
        <f t="shared" si="68"/>
        <v>0</v>
      </c>
      <c r="AW71" s="328">
        <f t="shared" si="69"/>
        <v>0</v>
      </c>
      <c r="AX71" s="328">
        <f t="shared" si="71"/>
        <v>0</v>
      </c>
      <c r="AY71" s="328" t="b">
        <f t="shared" si="72"/>
        <v>1</v>
      </c>
    </row>
    <row r="72" ht="27" customHeight="1" spans="1:51">
      <c r="A72" s="326" t="str">
        <f>INDEX('Rate Card'!$A:$A,MATCH($S72,'Rate Card'!$F:$F,0))</f>
        <v>注册</v>
      </c>
      <c r="B72" s="327" t="str">
        <f>INDEX(二三级标准!$G:$G,MATCH($J72,二三级标准!B:B,0))</f>
        <v>次</v>
      </c>
      <c r="C72" s="327">
        <f>INDEX(注册申报明细!$E:$E,MATCH($J72,注册申报明细!$B:$B,0))</f>
        <v>0</v>
      </c>
      <c r="D72" s="327" t="str">
        <f t="shared" ref="D72:D75" si="81">J72&amp;S72</f>
        <v>A207RAD</v>
      </c>
      <c r="E72" s="328"/>
      <c r="F72" s="328" t="s">
        <v>684</v>
      </c>
      <c r="G72" s="326" t="str">
        <f>INDEX('Rate Card'!$B:$B,MATCH($S72,'Rate Card'!$F:$F,0))</f>
        <v>注册</v>
      </c>
      <c r="H72" s="328" t="s">
        <v>1975</v>
      </c>
      <c r="I72" s="328" t="str">
        <f>INDEX(二三级标准!$Q:$Q,MATCH($H72,二三级标准!$O:$O,0))</f>
        <v>申报材料(CTD)撰写和审核</v>
      </c>
      <c r="J72" s="328" t="s">
        <v>521</v>
      </c>
      <c r="K72" s="328" t="str">
        <f>INDEX(二三级标准!$C:$C,MATCH(注册申报底表!J72,二三级标准!$B:$B,0))</f>
        <v>非临床总结撰写M2.6</v>
      </c>
      <c r="L72" s="328" t="s">
        <v>2087</v>
      </c>
      <c r="M72" s="328" t="str">
        <f>INDEX(二三级标准!$M:$M,MATCH(注册申报底表!$L72,二三级标准!$L:$L,0))</f>
        <v>非临床总结撰写M2.6</v>
      </c>
      <c r="N72" s="328"/>
      <c r="O72" s="327">
        <f>IF($Q72=1,INDEX(注册申报明细!$E:$E,MATCH(注册申报底表!$J72,注册申报明细!$B:$B,0)),0)</f>
        <v>0</v>
      </c>
      <c r="P72" s="328" t="s">
        <v>1178</v>
      </c>
      <c r="Q72" s="329">
        <f>INDEX(注册申报明细!$D:$D,MATCH($J72,注册申报明细!$B:$B,0))</f>
        <v>0</v>
      </c>
      <c r="R72" s="328" t="str">
        <f>INDEX('Rate Card'!$D:$D,MATCH($S72,'Rate Card'!$F:$F,0))</f>
        <v>注册事务</v>
      </c>
      <c r="S72" s="328" t="s">
        <v>609</v>
      </c>
      <c r="T72" s="331">
        <f>INDEX('Rate Card'!$J:$J,MATCH($S72,'Rate Card'!$F:$F,0))</f>
        <v>990</v>
      </c>
      <c r="U72" s="331">
        <f t="shared" si="70"/>
        <v>24</v>
      </c>
      <c r="V72" s="327">
        <v>24</v>
      </c>
      <c r="W72" s="328"/>
      <c r="X72" s="332">
        <f t="shared" si="63"/>
        <v>24</v>
      </c>
      <c r="Y72" s="333">
        <f t="shared" si="64"/>
        <v>0</v>
      </c>
      <c r="Z72" s="328">
        <f t="shared" ref="Z72:Z75" si="82">X72*O72*Q72</f>
        <v>0</v>
      </c>
      <c r="AA72" s="334">
        <f t="shared" ref="AA72:AA75" si="83">Z72*T72</f>
        <v>0</v>
      </c>
      <c r="AB72" s="334">
        <f>$Y72*(1-INDEX(项目参数!$D$5:$D$15,MATCH($R72,项目参数!$B$5:$B$15,0)))</f>
        <v>0</v>
      </c>
      <c r="AC72" s="334">
        <f>$AA72*INDEX(项目参数!$D$5:$D$15,MATCH($R72,项目参数!$B$5:$B$15,0))</f>
        <v>0</v>
      </c>
      <c r="AD72" s="334">
        <f t="shared" ref="AD72:AD75" si="84">AA72-AC72</f>
        <v>0</v>
      </c>
      <c r="AE72" s="328"/>
      <c r="AF72" s="328"/>
      <c r="AG72" s="327"/>
      <c r="AH72" s="327"/>
      <c r="AI72" s="327"/>
      <c r="AJ72" s="327"/>
      <c r="AK72" s="327"/>
      <c r="AL72" s="327"/>
      <c r="AM72" s="327"/>
      <c r="AN72" s="328"/>
      <c r="AO72" s="327"/>
      <c r="AP72" s="327"/>
      <c r="AQ72" s="327"/>
      <c r="AR72" s="327"/>
      <c r="AS72" s="327"/>
      <c r="AT72" s="327"/>
      <c r="AU72" s="327"/>
      <c r="AV72" s="328">
        <f t="shared" si="68"/>
        <v>0</v>
      </c>
      <c r="AW72" s="328">
        <f t="shared" si="69"/>
        <v>0</v>
      </c>
      <c r="AX72" s="328">
        <f t="shared" si="71"/>
        <v>0</v>
      </c>
      <c r="AY72" s="328" t="b">
        <f t="shared" si="72"/>
        <v>1</v>
      </c>
    </row>
    <row r="73" ht="27" customHeight="1" spans="1:51">
      <c r="A73" s="326" t="str">
        <f>INDEX('Rate Card'!$A:$A,MATCH($S73,'Rate Card'!$F:$F,0))</f>
        <v>注册</v>
      </c>
      <c r="B73" s="327" t="str">
        <f>INDEX(二三级标准!$G:$G,MATCH($J73,二三级标准!B:B,0))</f>
        <v>次</v>
      </c>
      <c r="C73" s="327">
        <f>INDEX(注册申报明细!$E:$E,MATCH($J73,注册申报明细!$B:$B,0))</f>
        <v>0</v>
      </c>
      <c r="D73" s="327" t="str">
        <f t="shared" si="81"/>
        <v>A192RAM</v>
      </c>
      <c r="E73" s="328"/>
      <c r="F73" s="328" t="s">
        <v>684</v>
      </c>
      <c r="G73" s="326" t="str">
        <f>INDEX('Rate Card'!$B:$B,MATCH($S73,'Rate Card'!$F:$F,0))</f>
        <v>注册</v>
      </c>
      <c r="H73" s="328" t="s">
        <v>1975</v>
      </c>
      <c r="I73" s="328" t="str">
        <f>INDEX(二三级标准!$Q:$Q,MATCH($H73,二三级标准!$O:$O,0))</f>
        <v>申报材料(CTD)撰写和审核</v>
      </c>
      <c r="J73" s="328" t="s">
        <v>491</v>
      </c>
      <c r="K73" s="328" t="str">
        <f>INDEX(二三级标准!$C:$C,MATCH(注册申报底表!J73,二三级标准!$B:$B,0))</f>
        <v>CTD文件M1审核</v>
      </c>
      <c r="L73" s="328" t="s">
        <v>2088</v>
      </c>
      <c r="M73" s="328" t="str">
        <f>INDEX(二三级标准!$M:$M,MATCH(注册申报底表!$L73,二三级标准!$L:$L,0))</f>
        <v>CTD文件M1审核</v>
      </c>
      <c r="N73" s="328"/>
      <c r="O73" s="327">
        <f>IF($Q73=1,INDEX(注册申报明细!$E:$E,MATCH(注册申报底表!$J73,注册申报明细!$B:$B,0)),0)</f>
        <v>0</v>
      </c>
      <c r="P73" s="328" t="s">
        <v>1178</v>
      </c>
      <c r="Q73" s="329">
        <f>INDEX(注册申报明细!$D:$D,MATCH($J73,注册申报明细!$B:$B,0))</f>
        <v>0</v>
      </c>
      <c r="R73" s="328" t="str">
        <f>INDEX('Rate Card'!$D:$D,MATCH($S73,'Rate Card'!$F:$F,0))</f>
        <v>注册事务</v>
      </c>
      <c r="S73" s="328" t="s">
        <v>607</v>
      </c>
      <c r="T73" s="331">
        <f>INDEX('Rate Card'!$J:$J,MATCH($S73,'Rate Card'!$F:$F,0))</f>
        <v>650</v>
      </c>
      <c r="U73" s="331">
        <f t="shared" si="70"/>
        <v>15</v>
      </c>
      <c r="V73" s="327">
        <v>15</v>
      </c>
      <c r="W73" s="328"/>
      <c r="X73" s="332">
        <f t="shared" si="63"/>
        <v>15</v>
      </c>
      <c r="Y73" s="333">
        <f t="shared" si="64"/>
        <v>0</v>
      </c>
      <c r="Z73" s="328">
        <f t="shared" si="82"/>
        <v>0</v>
      </c>
      <c r="AA73" s="334">
        <f t="shared" si="83"/>
        <v>0</v>
      </c>
      <c r="AB73" s="334">
        <f>$Y73*(1-INDEX(项目参数!$D$5:$D$15,MATCH($R73,项目参数!$B$5:$B$15,0)))</f>
        <v>0</v>
      </c>
      <c r="AC73" s="334">
        <f>$AA73*INDEX(项目参数!$D$5:$D$15,MATCH($R73,项目参数!$B$5:$B$15,0))</f>
        <v>0</v>
      </c>
      <c r="AD73" s="334">
        <f t="shared" si="84"/>
        <v>0</v>
      </c>
      <c r="AE73" s="328"/>
      <c r="AF73" s="328"/>
      <c r="AG73" s="327"/>
      <c r="AH73" s="327"/>
      <c r="AI73" s="327"/>
      <c r="AJ73" s="327"/>
      <c r="AK73" s="327"/>
      <c r="AL73" s="327"/>
      <c r="AM73" s="327"/>
      <c r="AN73" s="328"/>
      <c r="AO73" s="327"/>
      <c r="AP73" s="327"/>
      <c r="AQ73" s="327"/>
      <c r="AR73" s="327"/>
      <c r="AS73" s="327"/>
      <c r="AT73" s="327"/>
      <c r="AU73" s="327"/>
      <c r="AV73" s="328">
        <f t="shared" si="68"/>
        <v>0</v>
      </c>
      <c r="AW73" s="328">
        <f t="shared" si="69"/>
        <v>0</v>
      </c>
      <c r="AX73" s="328">
        <f t="shared" si="71"/>
        <v>0</v>
      </c>
      <c r="AY73" s="328" t="b">
        <f t="shared" si="72"/>
        <v>0</v>
      </c>
    </row>
    <row r="74" ht="27" customHeight="1" spans="1:51">
      <c r="A74" s="326" t="str">
        <f>INDEX('Rate Card'!$A:$A,MATCH($S74,'Rate Card'!$F:$F,0))</f>
        <v>注册</v>
      </c>
      <c r="B74" s="327" t="str">
        <f>INDEX(二三级标准!$G:$G,MATCH($J74,二三级标准!B:B,0))</f>
        <v>次</v>
      </c>
      <c r="C74" s="327">
        <f>INDEX(注册申报明细!$E:$E,MATCH($J74,注册申报明细!$B:$B,0))</f>
        <v>0</v>
      </c>
      <c r="D74" s="327" t="str">
        <f t="shared" si="81"/>
        <v>A192RAD</v>
      </c>
      <c r="E74" s="328"/>
      <c r="F74" s="328" t="s">
        <v>684</v>
      </c>
      <c r="G74" s="326" t="str">
        <f>INDEX('Rate Card'!$B:$B,MATCH($S74,'Rate Card'!$F:$F,0))</f>
        <v>注册</v>
      </c>
      <c r="H74" s="328" t="s">
        <v>1975</v>
      </c>
      <c r="I74" s="328" t="str">
        <f>INDEX(二三级标准!$Q:$Q,MATCH($H74,二三级标准!$O:$O,0))</f>
        <v>申报材料(CTD)撰写和审核</v>
      </c>
      <c r="J74" s="328" t="s">
        <v>491</v>
      </c>
      <c r="K74" s="328" t="str">
        <f>INDEX(二三级标准!$C:$C,MATCH(注册申报底表!J74,二三级标准!$B:$B,0))</f>
        <v>CTD文件M1审核</v>
      </c>
      <c r="L74" s="328" t="s">
        <v>2088</v>
      </c>
      <c r="M74" s="328" t="str">
        <f>INDEX(二三级标准!$M:$M,MATCH(注册申报底表!$L74,二三级标准!$L:$L,0))</f>
        <v>CTD文件M1审核</v>
      </c>
      <c r="N74" s="328"/>
      <c r="O74" s="327">
        <f>IF($Q74=1,INDEX(注册申报明细!$E:$E,MATCH(注册申报底表!$J74,注册申报明细!$B:$B,0)),0)</f>
        <v>0</v>
      </c>
      <c r="P74" s="328" t="s">
        <v>1178</v>
      </c>
      <c r="Q74" s="329">
        <f>INDEX(注册申报明细!$D:$D,MATCH($J74,注册申报明细!$B:$B,0))</f>
        <v>0</v>
      </c>
      <c r="R74" s="328" t="str">
        <f>INDEX('Rate Card'!$D:$D,MATCH($S74,'Rate Card'!$F:$F,0))</f>
        <v>注册事务</v>
      </c>
      <c r="S74" s="328" t="s">
        <v>609</v>
      </c>
      <c r="T74" s="331">
        <f>INDEX('Rate Card'!$J:$J,MATCH($S74,'Rate Card'!$F:$F,0))</f>
        <v>990</v>
      </c>
      <c r="U74" s="331">
        <f t="shared" si="70"/>
        <v>5</v>
      </c>
      <c r="V74" s="327">
        <v>5</v>
      </c>
      <c r="W74" s="328"/>
      <c r="X74" s="332">
        <f t="shared" si="63"/>
        <v>5</v>
      </c>
      <c r="Y74" s="333">
        <f t="shared" si="64"/>
        <v>0</v>
      </c>
      <c r="Z74" s="328">
        <f t="shared" si="82"/>
        <v>0</v>
      </c>
      <c r="AA74" s="334">
        <f t="shared" si="83"/>
        <v>0</v>
      </c>
      <c r="AB74" s="334">
        <f>$Y74*(1-INDEX(项目参数!$D$5:$D$15,MATCH($R74,项目参数!$B$5:$B$15,0)))</f>
        <v>0</v>
      </c>
      <c r="AC74" s="334">
        <f>$AA74*INDEX(项目参数!$D$5:$D$15,MATCH($R74,项目参数!$B$5:$B$15,0))</f>
        <v>0</v>
      </c>
      <c r="AD74" s="334">
        <f t="shared" si="84"/>
        <v>0</v>
      </c>
      <c r="AE74" s="328"/>
      <c r="AF74" s="328"/>
      <c r="AG74" s="327"/>
      <c r="AH74" s="327"/>
      <c r="AI74" s="327"/>
      <c r="AJ74" s="327"/>
      <c r="AK74" s="327"/>
      <c r="AL74" s="327"/>
      <c r="AM74" s="327"/>
      <c r="AN74" s="328"/>
      <c r="AO74" s="327"/>
      <c r="AP74" s="327"/>
      <c r="AQ74" s="327"/>
      <c r="AR74" s="327"/>
      <c r="AS74" s="327"/>
      <c r="AT74" s="327"/>
      <c r="AU74" s="327"/>
      <c r="AV74" s="328">
        <f t="shared" si="68"/>
        <v>0</v>
      </c>
      <c r="AW74" s="328">
        <f t="shared" si="69"/>
        <v>0</v>
      </c>
      <c r="AX74" s="328">
        <f t="shared" si="71"/>
        <v>0</v>
      </c>
      <c r="AY74" s="328" t="b">
        <f t="shared" si="72"/>
        <v>0</v>
      </c>
    </row>
    <row r="75" ht="27" customHeight="1" spans="1:51">
      <c r="A75" s="326" t="str">
        <f>INDEX('Rate Card'!$A:$A,MATCH($S75,'Rate Card'!$F:$F,0))</f>
        <v>注册</v>
      </c>
      <c r="B75" s="327" t="str">
        <f>INDEX(二三级标准!$G:$G,MATCH($J75,二三级标准!B:B,0))</f>
        <v>次</v>
      </c>
      <c r="C75" s="327">
        <f>INDEX(注册申报明细!$E:$E,MATCH($J75,注册申报明细!$B:$B,0))</f>
        <v>0</v>
      </c>
      <c r="D75" s="327" t="str">
        <f t="shared" si="81"/>
        <v>A193RAM</v>
      </c>
      <c r="E75" s="328"/>
      <c r="F75" s="328" t="s">
        <v>684</v>
      </c>
      <c r="G75" s="326" t="str">
        <f>INDEX('Rate Card'!$B:$B,MATCH($S75,'Rate Card'!$F:$F,0))</f>
        <v>注册</v>
      </c>
      <c r="H75" s="328" t="s">
        <v>1975</v>
      </c>
      <c r="I75" s="328" t="str">
        <f>INDEX(二三级标准!$Q:$Q,MATCH($H75,二三级标准!$O:$O,0))</f>
        <v>申报材料(CTD)撰写和审核</v>
      </c>
      <c r="J75" s="328" t="s">
        <v>493</v>
      </c>
      <c r="K75" s="328" t="str">
        <f>INDEX(二三级标准!$C:$C,MATCH(注册申报底表!J75,二三级标准!$B:$B,0))</f>
        <v>CTD文件M2审核</v>
      </c>
      <c r="L75" s="328" t="s">
        <v>2089</v>
      </c>
      <c r="M75" s="328" t="str">
        <f>INDEX(二三级标准!$M:$M,MATCH(注册申报底表!$L75,二三级标准!$L:$L,0))</f>
        <v>CTD文件M2审核</v>
      </c>
      <c r="N75" s="328"/>
      <c r="O75" s="327">
        <f>IF($Q75=1,INDEX(注册申报明细!$E:$E,MATCH(注册申报底表!$J75,注册申报明细!$B:$B,0)),0)</f>
        <v>0</v>
      </c>
      <c r="P75" s="328" t="s">
        <v>1178</v>
      </c>
      <c r="Q75" s="329">
        <f>INDEX(注册申报明细!$D:$D,MATCH($J75,注册申报明细!$B:$B,0))</f>
        <v>0</v>
      </c>
      <c r="R75" s="328" t="str">
        <f>INDEX('Rate Card'!$D:$D,MATCH($S75,'Rate Card'!$F:$F,0))</f>
        <v>注册事务</v>
      </c>
      <c r="S75" s="328" t="s">
        <v>607</v>
      </c>
      <c r="T75" s="331">
        <f>INDEX('Rate Card'!$J:$J,MATCH($S75,'Rate Card'!$F:$F,0))</f>
        <v>650</v>
      </c>
      <c r="U75" s="331">
        <f t="shared" si="70"/>
        <v>15</v>
      </c>
      <c r="V75" s="327">
        <v>15</v>
      </c>
      <c r="W75" s="328"/>
      <c r="X75" s="332">
        <f t="shared" si="63"/>
        <v>15</v>
      </c>
      <c r="Y75" s="333">
        <f t="shared" si="64"/>
        <v>0</v>
      </c>
      <c r="Z75" s="328">
        <f t="shared" si="82"/>
        <v>0</v>
      </c>
      <c r="AA75" s="334">
        <f t="shared" si="83"/>
        <v>0</v>
      </c>
      <c r="AB75" s="334">
        <f>$Y75*(1-INDEX(项目参数!$D$5:$D$15,MATCH($R75,项目参数!$B$5:$B$15,0)))</f>
        <v>0</v>
      </c>
      <c r="AC75" s="334">
        <f>$AA75*INDEX(项目参数!$D$5:$D$15,MATCH($R75,项目参数!$B$5:$B$15,0))</f>
        <v>0</v>
      </c>
      <c r="AD75" s="334">
        <f t="shared" si="84"/>
        <v>0</v>
      </c>
      <c r="AE75" s="328"/>
      <c r="AF75" s="328"/>
      <c r="AG75" s="327"/>
      <c r="AH75" s="327"/>
      <c r="AI75" s="327"/>
      <c r="AJ75" s="327"/>
      <c r="AK75" s="327"/>
      <c r="AL75" s="327"/>
      <c r="AM75" s="327"/>
      <c r="AN75" s="328"/>
      <c r="AO75" s="327"/>
      <c r="AP75" s="327"/>
      <c r="AQ75" s="327"/>
      <c r="AR75" s="327"/>
      <c r="AS75" s="327"/>
      <c r="AT75" s="327"/>
      <c r="AU75" s="327"/>
      <c r="AV75" s="328">
        <f t="shared" si="68"/>
        <v>0</v>
      </c>
      <c r="AW75" s="328">
        <f t="shared" si="69"/>
        <v>0</v>
      </c>
      <c r="AX75" s="328">
        <f t="shared" si="71"/>
        <v>0</v>
      </c>
      <c r="AY75" s="328" t="b">
        <f t="shared" si="72"/>
        <v>1</v>
      </c>
    </row>
    <row r="76" ht="27" customHeight="1" spans="1:51">
      <c r="A76" s="326" t="str">
        <f>INDEX('Rate Card'!$A:$A,MATCH($S76,'Rate Card'!$F:$F,0))</f>
        <v>注册</v>
      </c>
      <c r="B76" s="327" t="str">
        <f>INDEX(二三级标准!$G:$G,MATCH($J76,二三级标准!B:B,0))</f>
        <v>次</v>
      </c>
      <c r="C76" s="327">
        <f>INDEX(注册申报明细!$E:$E,MATCH($J76,注册申报明细!$B:$B,0))</f>
        <v>0</v>
      </c>
      <c r="D76" s="327" t="str">
        <f t="shared" ref="D76:D82" si="85">J76&amp;S76</f>
        <v>A193RAD</v>
      </c>
      <c r="E76" s="328"/>
      <c r="F76" s="328" t="s">
        <v>684</v>
      </c>
      <c r="G76" s="326" t="str">
        <f>INDEX('Rate Card'!$B:$B,MATCH($S76,'Rate Card'!$F:$F,0))</f>
        <v>注册</v>
      </c>
      <c r="H76" s="328" t="s">
        <v>1975</v>
      </c>
      <c r="I76" s="328" t="str">
        <f>INDEX(二三级标准!$Q:$Q,MATCH($H76,二三级标准!$O:$O,0))</f>
        <v>申报材料(CTD)撰写和审核</v>
      </c>
      <c r="J76" s="328" t="s">
        <v>493</v>
      </c>
      <c r="K76" s="328" t="str">
        <f>INDEX(二三级标准!$C:$C,MATCH(注册申报底表!J76,二三级标准!$B:$B,0))</f>
        <v>CTD文件M2审核</v>
      </c>
      <c r="L76" s="328" t="s">
        <v>2089</v>
      </c>
      <c r="M76" s="328" t="str">
        <f>INDEX(二三级标准!$M:$M,MATCH(注册申报底表!$L76,二三级标准!$L:$L,0))</f>
        <v>CTD文件M2审核</v>
      </c>
      <c r="N76" s="328"/>
      <c r="O76" s="327">
        <f>IF($Q76=1,INDEX(注册申报明细!$E:$E,MATCH(注册申报底表!$J76,注册申报明细!$B:$B,0)),0)</f>
        <v>0</v>
      </c>
      <c r="P76" s="328" t="s">
        <v>1178</v>
      </c>
      <c r="Q76" s="329">
        <f>INDEX(注册申报明细!$D:$D,MATCH($J76,注册申报明细!$B:$B,0))</f>
        <v>0</v>
      </c>
      <c r="R76" s="328" t="str">
        <f>INDEX('Rate Card'!$D:$D,MATCH($S76,'Rate Card'!$F:$F,0))</f>
        <v>注册事务</v>
      </c>
      <c r="S76" s="328" t="s">
        <v>609</v>
      </c>
      <c r="T76" s="331">
        <f>INDEX('Rate Card'!$J:$J,MATCH($S76,'Rate Card'!$F:$F,0))</f>
        <v>990</v>
      </c>
      <c r="U76" s="331">
        <f t="shared" si="70"/>
        <v>5</v>
      </c>
      <c r="V76" s="327">
        <v>5</v>
      </c>
      <c r="W76" s="328"/>
      <c r="X76" s="332">
        <f t="shared" ref="X76:X82" si="86">IF(ISBLANK($W76),$V76,$W76)</f>
        <v>5</v>
      </c>
      <c r="Y76" s="333">
        <f t="shared" ref="Y76:Y82" si="87">IFERROR(AA76/O76,0)</f>
        <v>0</v>
      </c>
      <c r="Z76" s="328">
        <f t="shared" ref="Z76:Z82" si="88">X76*O76*Q76</f>
        <v>0</v>
      </c>
      <c r="AA76" s="334">
        <f t="shared" ref="AA76:AA82" si="89">Z76*T76</f>
        <v>0</v>
      </c>
      <c r="AB76" s="334">
        <f>$Y76*(1-INDEX(项目参数!$D$5:$D$15,MATCH($R76,项目参数!$B$5:$B$15,0)))</f>
        <v>0</v>
      </c>
      <c r="AC76" s="334">
        <f>$AA76*INDEX(项目参数!$D$5:$D$15,MATCH($R76,项目参数!$B$5:$B$15,0))</f>
        <v>0</v>
      </c>
      <c r="AD76" s="334">
        <f t="shared" ref="AD76:AD82" si="90">AA76-AC76</f>
        <v>0</v>
      </c>
      <c r="AE76" s="328"/>
      <c r="AF76" s="328"/>
      <c r="AG76" s="327"/>
      <c r="AH76" s="327"/>
      <c r="AI76" s="327"/>
      <c r="AJ76" s="327"/>
      <c r="AK76" s="327"/>
      <c r="AL76" s="327"/>
      <c r="AM76" s="327"/>
      <c r="AN76" s="328"/>
      <c r="AO76" s="327"/>
      <c r="AP76" s="327"/>
      <c r="AQ76" s="327"/>
      <c r="AR76" s="327"/>
      <c r="AS76" s="327"/>
      <c r="AT76" s="327"/>
      <c r="AU76" s="327"/>
      <c r="AV76" s="328">
        <f t="shared" ref="AV76:AV82" si="91">Z76</f>
        <v>0</v>
      </c>
      <c r="AW76" s="328">
        <f t="shared" ref="AW76:AW82" si="92">V76*O76</f>
        <v>0</v>
      </c>
      <c r="AX76" s="328">
        <f t="shared" si="71"/>
        <v>0</v>
      </c>
      <c r="AY76" s="328" t="b">
        <f t="shared" si="72"/>
        <v>1</v>
      </c>
    </row>
    <row r="77" ht="27" customHeight="1" spans="1:51">
      <c r="A77" s="326" t="str">
        <f>INDEX('Rate Card'!$A:$A,MATCH($S77,'Rate Card'!$F:$F,0))</f>
        <v>注册</v>
      </c>
      <c r="B77" s="327" t="str">
        <f>INDEX(二三级标准!$G:$G,MATCH($J77,二三级标准!B:B,0))</f>
        <v>次</v>
      </c>
      <c r="C77" s="327">
        <f>INDEX(注册申报明细!$E:$E,MATCH($J77,注册申报明细!$B:$B,0))</f>
        <v>0</v>
      </c>
      <c r="D77" s="327" t="str">
        <f t="shared" si="85"/>
        <v>A194RAM</v>
      </c>
      <c r="E77" s="328"/>
      <c r="F77" s="328" t="s">
        <v>684</v>
      </c>
      <c r="G77" s="326" t="str">
        <f>INDEX('Rate Card'!$B:$B,MATCH($S77,'Rate Card'!$F:$F,0))</f>
        <v>注册</v>
      </c>
      <c r="H77" s="328" t="s">
        <v>1975</v>
      </c>
      <c r="I77" s="328" t="str">
        <f>INDEX(二三级标准!$Q:$Q,MATCH($H77,二三级标准!$O:$O,0))</f>
        <v>申报材料(CTD)撰写和审核</v>
      </c>
      <c r="J77" s="328" t="s">
        <v>495</v>
      </c>
      <c r="K77" s="328" t="str">
        <f>INDEX(二三级标准!$C:$C,MATCH(注册申报底表!J77,二三级标准!$B:$B,0))</f>
        <v>CTD文件M3审核</v>
      </c>
      <c r="L77" s="328" t="s">
        <v>2090</v>
      </c>
      <c r="M77" s="328" t="str">
        <f>INDEX(二三级标准!$M:$M,MATCH(注册申报底表!$L77,二三级标准!$L:$L,0))</f>
        <v>CTD文件M3审核</v>
      </c>
      <c r="N77" s="328"/>
      <c r="O77" s="327">
        <f>IF($Q77=1,INDEX(注册申报明细!$E:$E,MATCH(注册申报底表!$J77,注册申报明细!$B:$B,0)),0)</f>
        <v>0</v>
      </c>
      <c r="P77" s="328" t="s">
        <v>1178</v>
      </c>
      <c r="Q77" s="329">
        <f>INDEX(注册申报明细!$D:$D,MATCH($J77,注册申报明细!$B:$B,0))</f>
        <v>0</v>
      </c>
      <c r="R77" s="328" t="str">
        <f>INDEX('Rate Card'!$D:$D,MATCH($S77,'Rate Card'!$F:$F,0))</f>
        <v>注册事务</v>
      </c>
      <c r="S77" s="328" t="s">
        <v>607</v>
      </c>
      <c r="T77" s="331">
        <f>INDEX('Rate Card'!$J:$J,MATCH($S77,'Rate Card'!$F:$F,0))</f>
        <v>650</v>
      </c>
      <c r="U77" s="331">
        <f t="shared" si="70"/>
        <v>15</v>
      </c>
      <c r="V77" s="327">
        <v>15</v>
      </c>
      <c r="W77" s="328"/>
      <c r="X77" s="332">
        <f t="shared" si="86"/>
        <v>15</v>
      </c>
      <c r="Y77" s="333">
        <f t="shared" si="87"/>
        <v>0</v>
      </c>
      <c r="Z77" s="328">
        <f t="shared" si="88"/>
        <v>0</v>
      </c>
      <c r="AA77" s="334">
        <f t="shared" si="89"/>
        <v>0</v>
      </c>
      <c r="AB77" s="334">
        <f>$Y77*(1-INDEX(项目参数!$D$5:$D$15,MATCH($R77,项目参数!$B$5:$B$15,0)))</f>
        <v>0</v>
      </c>
      <c r="AC77" s="334">
        <f>$AA77*INDEX(项目参数!$D$5:$D$15,MATCH($R77,项目参数!$B$5:$B$15,0))</f>
        <v>0</v>
      </c>
      <c r="AD77" s="334">
        <f t="shared" si="90"/>
        <v>0</v>
      </c>
      <c r="AE77" s="328"/>
      <c r="AF77" s="328"/>
      <c r="AG77" s="327"/>
      <c r="AH77" s="327"/>
      <c r="AI77" s="327"/>
      <c r="AJ77" s="327"/>
      <c r="AK77" s="327"/>
      <c r="AL77" s="327"/>
      <c r="AM77" s="327"/>
      <c r="AN77" s="328"/>
      <c r="AO77" s="327"/>
      <c r="AP77" s="327"/>
      <c r="AQ77" s="327"/>
      <c r="AR77" s="327"/>
      <c r="AS77" s="327"/>
      <c r="AT77" s="327"/>
      <c r="AU77" s="327"/>
      <c r="AV77" s="328">
        <f t="shared" si="91"/>
        <v>0</v>
      </c>
      <c r="AW77" s="328">
        <f t="shared" si="92"/>
        <v>0</v>
      </c>
      <c r="AX77" s="328">
        <f t="shared" si="71"/>
        <v>0</v>
      </c>
      <c r="AY77" s="328" t="b">
        <f t="shared" si="72"/>
        <v>0</v>
      </c>
    </row>
    <row r="78" ht="27" customHeight="1" spans="1:51">
      <c r="A78" s="326" t="str">
        <f>INDEX('Rate Card'!$A:$A,MATCH($S78,'Rate Card'!$F:$F,0))</f>
        <v>注册</v>
      </c>
      <c r="B78" s="327" t="str">
        <f>INDEX(二三级标准!$G:$G,MATCH($J78,二三级标准!B:B,0))</f>
        <v>次</v>
      </c>
      <c r="C78" s="327">
        <f>INDEX(注册申报明细!$E:$E,MATCH($J78,注册申报明细!$B:$B,0))</f>
        <v>0</v>
      </c>
      <c r="D78" s="327" t="str">
        <f t="shared" si="85"/>
        <v>A194RAD</v>
      </c>
      <c r="E78" s="328"/>
      <c r="F78" s="328" t="s">
        <v>684</v>
      </c>
      <c r="G78" s="326" t="str">
        <f>INDEX('Rate Card'!$B:$B,MATCH($S78,'Rate Card'!$F:$F,0))</f>
        <v>注册</v>
      </c>
      <c r="H78" s="328" t="s">
        <v>1975</v>
      </c>
      <c r="I78" s="328" t="str">
        <f>INDEX(二三级标准!$Q:$Q,MATCH($H78,二三级标准!$O:$O,0))</f>
        <v>申报材料(CTD)撰写和审核</v>
      </c>
      <c r="J78" s="328" t="s">
        <v>495</v>
      </c>
      <c r="K78" s="328" t="str">
        <f>INDEX(二三级标准!$C:$C,MATCH(注册申报底表!J78,二三级标准!$B:$B,0))</f>
        <v>CTD文件M3审核</v>
      </c>
      <c r="L78" s="328" t="s">
        <v>2090</v>
      </c>
      <c r="M78" s="328" t="str">
        <f>INDEX(二三级标准!$M:$M,MATCH(注册申报底表!$L78,二三级标准!$L:$L,0))</f>
        <v>CTD文件M3审核</v>
      </c>
      <c r="N78" s="328"/>
      <c r="O78" s="327">
        <f>IF($Q78=1,INDEX(注册申报明细!$E:$E,MATCH(注册申报底表!$J78,注册申报明细!$B:$B,0)),0)</f>
        <v>0</v>
      </c>
      <c r="P78" s="328" t="s">
        <v>1178</v>
      </c>
      <c r="Q78" s="329">
        <f>INDEX(注册申报明细!$D:$D,MATCH($J78,注册申报明细!$B:$B,0))</f>
        <v>0</v>
      </c>
      <c r="R78" s="328" t="str">
        <f>INDEX('Rate Card'!$D:$D,MATCH($S78,'Rate Card'!$F:$F,0))</f>
        <v>注册事务</v>
      </c>
      <c r="S78" s="328" t="s">
        <v>609</v>
      </c>
      <c r="T78" s="331">
        <f>INDEX('Rate Card'!$J:$J,MATCH($S78,'Rate Card'!$F:$F,0))</f>
        <v>990</v>
      </c>
      <c r="U78" s="331">
        <f t="shared" si="70"/>
        <v>5</v>
      </c>
      <c r="V78" s="327">
        <v>5</v>
      </c>
      <c r="W78" s="328"/>
      <c r="X78" s="332">
        <f t="shared" si="86"/>
        <v>5</v>
      </c>
      <c r="Y78" s="333">
        <f t="shared" si="87"/>
        <v>0</v>
      </c>
      <c r="Z78" s="328">
        <f t="shared" si="88"/>
        <v>0</v>
      </c>
      <c r="AA78" s="334">
        <f t="shared" si="89"/>
        <v>0</v>
      </c>
      <c r="AB78" s="334">
        <f>$Y78*(1-INDEX(项目参数!$D$5:$D$15,MATCH($R78,项目参数!$B$5:$B$15,0)))</f>
        <v>0</v>
      </c>
      <c r="AC78" s="334">
        <f>$AA78*INDEX(项目参数!$D$5:$D$15,MATCH($R78,项目参数!$B$5:$B$15,0))</f>
        <v>0</v>
      </c>
      <c r="AD78" s="334">
        <f t="shared" si="90"/>
        <v>0</v>
      </c>
      <c r="AE78" s="328"/>
      <c r="AF78" s="328"/>
      <c r="AG78" s="327"/>
      <c r="AH78" s="328"/>
      <c r="AI78" s="328"/>
      <c r="AJ78" s="328"/>
      <c r="AK78" s="328"/>
      <c r="AL78" s="328"/>
      <c r="AM78" s="328"/>
      <c r="AN78" s="328"/>
      <c r="AO78" s="337"/>
      <c r="AP78" s="328"/>
      <c r="AQ78" s="328"/>
      <c r="AR78" s="328"/>
      <c r="AS78" s="328"/>
      <c r="AT78" s="328"/>
      <c r="AU78" s="328"/>
      <c r="AV78" s="328">
        <f t="shared" si="91"/>
        <v>0</v>
      </c>
      <c r="AW78" s="328">
        <f t="shared" si="92"/>
        <v>0</v>
      </c>
      <c r="AX78" s="328">
        <f t="shared" si="71"/>
        <v>0</v>
      </c>
      <c r="AY78" s="328" t="b">
        <f t="shared" si="72"/>
        <v>0</v>
      </c>
    </row>
    <row r="79" ht="27" customHeight="1" spans="1:51">
      <c r="A79" s="326" t="str">
        <f>INDEX('Rate Card'!$A:$A,MATCH($S79,'Rate Card'!$F:$F,0))</f>
        <v>注册</v>
      </c>
      <c r="B79" s="327" t="str">
        <f>INDEX(二三级标准!$G:$G,MATCH($J79,二三级标准!B:B,0))</f>
        <v>次</v>
      </c>
      <c r="C79" s="327">
        <f>INDEX(注册申报明细!$E:$E,MATCH($J79,注册申报明细!$B:$B,0))</f>
        <v>0</v>
      </c>
      <c r="D79" s="327" t="str">
        <f t="shared" si="85"/>
        <v>A195RAM</v>
      </c>
      <c r="E79" s="328"/>
      <c r="F79" s="328" t="s">
        <v>684</v>
      </c>
      <c r="G79" s="326" t="str">
        <f>INDEX('Rate Card'!$B:$B,MATCH($S79,'Rate Card'!$F:$F,0))</f>
        <v>注册</v>
      </c>
      <c r="H79" s="328" t="s">
        <v>1975</v>
      </c>
      <c r="I79" s="328" t="str">
        <f>INDEX(二三级标准!$Q:$Q,MATCH($H79,二三级标准!$O:$O,0))</f>
        <v>申报材料(CTD)撰写和审核</v>
      </c>
      <c r="J79" s="328" t="s">
        <v>497</v>
      </c>
      <c r="K79" s="328" t="str">
        <f>INDEX(二三级标准!$C:$C,MATCH(注册申报底表!J79,二三级标准!$B:$B,0))</f>
        <v>CTD文件M4审核</v>
      </c>
      <c r="L79" s="328" t="s">
        <v>2091</v>
      </c>
      <c r="M79" s="328" t="str">
        <f>INDEX(二三级标准!$M:$M,MATCH(注册申报底表!$L79,二三级标准!$L:$L,0))</f>
        <v>CTD文件M4审核</v>
      </c>
      <c r="N79" s="328"/>
      <c r="O79" s="327">
        <f>IF($Q79=1,INDEX(注册申报明细!$E:$E,MATCH(注册申报底表!$J79,注册申报明细!$B:$B,0)),0)</f>
        <v>0</v>
      </c>
      <c r="P79" s="328" t="s">
        <v>1178</v>
      </c>
      <c r="Q79" s="329">
        <f>INDEX(注册申报明细!$D:$D,MATCH($J79,注册申报明细!$B:$B,0))</f>
        <v>0</v>
      </c>
      <c r="R79" s="328" t="str">
        <f>INDEX('Rate Card'!$D:$D,MATCH($S79,'Rate Card'!$F:$F,0))</f>
        <v>注册事务</v>
      </c>
      <c r="S79" s="328" t="s">
        <v>607</v>
      </c>
      <c r="T79" s="331">
        <f>INDEX('Rate Card'!$J:$J,MATCH($S79,'Rate Card'!$F:$F,0))</f>
        <v>650</v>
      </c>
      <c r="U79" s="331">
        <f t="shared" si="70"/>
        <v>15</v>
      </c>
      <c r="V79" s="327">
        <v>15</v>
      </c>
      <c r="W79" s="328"/>
      <c r="X79" s="332">
        <f t="shared" si="86"/>
        <v>15</v>
      </c>
      <c r="Y79" s="333">
        <f t="shared" si="87"/>
        <v>0</v>
      </c>
      <c r="Z79" s="328">
        <f t="shared" si="88"/>
        <v>0</v>
      </c>
      <c r="AA79" s="334">
        <f t="shared" si="89"/>
        <v>0</v>
      </c>
      <c r="AB79" s="334">
        <f>$Y79*(1-INDEX(项目参数!$D$5:$D$15,MATCH($R79,项目参数!$B$5:$B$15,0)))</f>
        <v>0</v>
      </c>
      <c r="AC79" s="334">
        <f>$AA79*INDEX(项目参数!$D$5:$D$15,MATCH($R79,项目参数!$B$5:$B$15,0))</f>
        <v>0</v>
      </c>
      <c r="AD79" s="334">
        <f t="shared" si="90"/>
        <v>0</v>
      </c>
      <c r="AE79" s="328"/>
      <c r="AF79" s="328"/>
      <c r="AG79" s="327"/>
      <c r="AH79" s="328"/>
      <c r="AI79" s="328"/>
      <c r="AJ79" s="328"/>
      <c r="AK79" s="328"/>
      <c r="AL79" s="328"/>
      <c r="AM79" s="328"/>
      <c r="AN79" s="328"/>
      <c r="AO79" s="337"/>
      <c r="AP79" s="328"/>
      <c r="AQ79" s="328"/>
      <c r="AR79" s="328"/>
      <c r="AS79" s="328"/>
      <c r="AT79" s="328"/>
      <c r="AU79" s="328"/>
      <c r="AV79" s="328">
        <f t="shared" si="91"/>
        <v>0</v>
      </c>
      <c r="AW79" s="328">
        <f t="shared" si="92"/>
        <v>0</v>
      </c>
      <c r="AX79" s="328">
        <f t="shared" si="71"/>
        <v>0</v>
      </c>
      <c r="AY79" s="328" t="b">
        <f t="shared" si="72"/>
        <v>1</v>
      </c>
    </row>
    <row r="80" ht="27" customHeight="1" spans="1:51">
      <c r="A80" s="326" t="str">
        <f>INDEX('Rate Card'!$A:$A,MATCH($S80,'Rate Card'!$F:$F,0))</f>
        <v>注册</v>
      </c>
      <c r="B80" s="327" t="str">
        <f>INDEX(二三级标准!$G:$G,MATCH($J80,二三级标准!B:B,0))</f>
        <v>次</v>
      </c>
      <c r="C80" s="327">
        <f>INDEX(注册申报明细!$E:$E,MATCH($J80,注册申报明细!$B:$B,0))</f>
        <v>0</v>
      </c>
      <c r="D80" s="327" t="str">
        <f t="shared" si="85"/>
        <v>A195RAD</v>
      </c>
      <c r="E80" s="328"/>
      <c r="F80" s="328" t="s">
        <v>684</v>
      </c>
      <c r="G80" s="326" t="str">
        <f>INDEX('Rate Card'!$B:$B,MATCH($S80,'Rate Card'!$F:$F,0))</f>
        <v>注册</v>
      </c>
      <c r="H80" s="328" t="s">
        <v>1975</v>
      </c>
      <c r="I80" s="328" t="str">
        <f>INDEX(二三级标准!$Q:$Q,MATCH($H80,二三级标准!$O:$O,0))</f>
        <v>申报材料(CTD)撰写和审核</v>
      </c>
      <c r="J80" s="328" t="s">
        <v>497</v>
      </c>
      <c r="K80" s="328" t="str">
        <f>INDEX(二三级标准!$C:$C,MATCH(注册申报底表!J80,二三级标准!$B:$B,0))</f>
        <v>CTD文件M4审核</v>
      </c>
      <c r="L80" s="328" t="s">
        <v>2091</v>
      </c>
      <c r="M80" s="328" t="str">
        <f>INDEX(二三级标准!$M:$M,MATCH(注册申报底表!$L80,二三级标准!$L:$L,0))</f>
        <v>CTD文件M4审核</v>
      </c>
      <c r="N80" s="328"/>
      <c r="O80" s="327">
        <f>IF($Q80=1,INDEX(注册申报明细!$E:$E,MATCH(注册申报底表!$J80,注册申报明细!$B:$B,0)),0)</f>
        <v>0</v>
      </c>
      <c r="P80" s="328" t="s">
        <v>1178</v>
      </c>
      <c r="Q80" s="329">
        <f>INDEX(注册申报明细!$D:$D,MATCH($J80,注册申报明细!$B:$B,0))</f>
        <v>0</v>
      </c>
      <c r="R80" s="328" t="str">
        <f>INDEX('Rate Card'!$D:$D,MATCH($S80,'Rate Card'!$F:$F,0))</f>
        <v>注册事务</v>
      </c>
      <c r="S80" s="328" t="s">
        <v>609</v>
      </c>
      <c r="T80" s="331">
        <f>INDEX('Rate Card'!$J:$J,MATCH($S80,'Rate Card'!$F:$F,0))</f>
        <v>990</v>
      </c>
      <c r="U80" s="331">
        <f t="shared" si="70"/>
        <v>5</v>
      </c>
      <c r="V80" s="327">
        <v>5</v>
      </c>
      <c r="W80" s="328"/>
      <c r="X80" s="332">
        <f t="shared" si="86"/>
        <v>5</v>
      </c>
      <c r="Y80" s="333">
        <f t="shared" si="87"/>
        <v>0</v>
      </c>
      <c r="Z80" s="328">
        <f t="shared" si="88"/>
        <v>0</v>
      </c>
      <c r="AA80" s="334">
        <f t="shared" si="89"/>
        <v>0</v>
      </c>
      <c r="AB80" s="334">
        <f>$Y80*(1-INDEX(项目参数!$D$5:$D$15,MATCH($R80,项目参数!$B$5:$B$15,0)))</f>
        <v>0</v>
      </c>
      <c r="AC80" s="334">
        <f>$AA80*INDEX(项目参数!$D$5:$D$15,MATCH($R80,项目参数!$B$5:$B$15,0))</f>
        <v>0</v>
      </c>
      <c r="AD80" s="334">
        <f t="shared" si="90"/>
        <v>0</v>
      </c>
      <c r="AE80" s="328"/>
      <c r="AF80" s="328"/>
      <c r="AG80" s="327"/>
      <c r="AH80" s="327"/>
      <c r="AI80" s="327"/>
      <c r="AJ80" s="327"/>
      <c r="AK80" s="327"/>
      <c r="AL80" s="327"/>
      <c r="AM80" s="327"/>
      <c r="AN80" s="328"/>
      <c r="AO80" s="327"/>
      <c r="AP80" s="327"/>
      <c r="AQ80" s="327"/>
      <c r="AR80" s="327"/>
      <c r="AS80" s="327"/>
      <c r="AT80" s="327"/>
      <c r="AU80" s="327"/>
      <c r="AV80" s="328">
        <f t="shared" si="91"/>
        <v>0</v>
      </c>
      <c r="AW80" s="328">
        <f t="shared" si="92"/>
        <v>0</v>
      </c>
      <c r="AX80" s="328">
        <f t="shared" si="71"/>
        <v>0</v>
      </c>
      <c r="AY80" s="328" t="b">
        <f t="shared" si="72"/>
        <v>1</v>
      </c>
    </row>
    <row r="81" ht="27" customHeight="1" spans="1:51">
      <c r="A81" s="326" t="str">
        <f>INDEX('Rate Card'!$A:$A,MATCH($S81,'Rate Card'!$F:$F,0))</f>
        <v>注册</v>
      </c>
      <c r="B81" s="327" t="str">
        <f>INDEX(二三级标准!$G:$G,MATCH($J81,二三级标准!B:B,0))</f>
        <v>次</v>
      </c>
      <c r="C81" s="327">
        <f>INDEX(注册申报明细!$E:$E,MATCH($J81,注册申报明细!$B:$B,0))</f>
        <v>0</v>
      </c>
      <c r="D81" s="327" t="str">
        <f t="shared" si="85"/>
        <v>A282RAM</v>
      </c>
      <c r="E81" s="328"/>
      <c r="F81" s="328" t="s">
        <v>684</v>
      </c>
      <c r="G81" s="326" t="str">
        <f>INDEX('Rate Card'!$B:$B,MATCH($S81,'Rate Card'!$F:$F,0))</f>
        <v>注册</v>
      </c>
      <c r="H81" s="328" t="s">
        <v>1975</v>
      </c>
      <c r="I81" s="328" t="str">
        <f>INDEX(二三级标准!$Q:$Q,MATCH($H81,二三级标准!$O:$O,0))</f>
        <v>申报材料(CTD)撰写和审核</v>
      </c>
      <c r="J81" s="328" t="s">
        <v>1976</v>
      </c>
      <c r="K81" s="328" t="str">
        <f>INDEX(二三级标准!$C:$C,MATCH(注册申报底表!J81,二三级标准!$B:$B,0))</f>
        <v>CTD文件M5审核</v>
      </c>
      <c r="L81" s="328" t="s">
        <v>2092</v>
      </c>
      <c r="M81" s="328" t="str">
        <f>INDEX(二三级标准!$M:$M,MATCH(注册申报底表!$L81,二三级标准!$L:$L,0))</f>
        <v>CTD文件M5审核</v>
      </c>
      <c r="N81" s="328"/>
      <c r="O81" s="327">
        <f>IF($Q81=1,INDEX(注册申报明细!$E:$E,MATCH(注册申报底表!$J81,注册申报明细!$B:$B,0)),0)</f>
        <v>0</v>
      </c>
      <c r="P81" s="328" t="s">
        <v>1178</v>
      </c>
      <c r="Q81" s="329">
        <f>INDEX(注册申报明细!$D:$D,MATCH($J81,注册申报明细!$B:$B,0))</f>
        <v>0</v>
      </c>
      <c r="R81" s="328" t="str">
        <f>INDEX('Rate Card'!$D:$D,MATCH($S81,'Rate Card'!$F:$F,0))</f>
        <v>注册事务</v>
      </c>
      <c r="S81" s="328" t="s">
        <v>607</v>
      </c>
      <c r="T81" s="331">
        <f>INDEX('Rate Card'!$J:$J,MATCH($S81,'Rate Card'!$F:$F,0))</f>
        <v>650</v>
      </c>
      <c r="U81" s="331">
        <f t="shared" si="70"/>
        <v>15</v>
      </c>
      <c r="V81" s="327">
        <v>15</v>
      </c>
      <c r="W81" s="328"/>
      <c r="X81" s="332">
        <f t="shared" si="86"/>
        <v>15</v>
      </c>
      <c r="Y81" s="333">
        <f t="shared" si="87"/>
        <v>0</v>
      </c>
      <c r="Z81" s="328">
        <f t="shared" si="88"/>
        <v>0</v>
      </c>
      <c r="AA81" s="334">
        <f t="shared" si="89"/>
        <v>0</v>
      </c>
      <c r="AB81" s="334">
        <f>$Y81*(1-INDEX(项目参数!$D$5:$D$15,MATCH($R81,项目参数!$B$5:$B$15,0)))</f>
        <v>0</v>
      </c>
      <c r="AC81" s="334">
        <f>$AA81*INDEX(项目参数!$D$5:$D$15,MATCH($R81,项目参数!$B$5:$B$15,0))</f>
        <v>0</v>
      </c>
      <c r="AD81" s="334">
        <f t="shared" si="90"/>
        <v>0</v>
      </c>
      <c r="AE81" s="328"/>
      <c r="AF81" s="328"/>
      <c r="AG81" s="327"/>
      <c r="AH81" s="328"/>
      <c r="AI81" s="328"/>
      <c r="AJ81" s="328"/>
      <c r="AK81" s="328"/>
      <c r="AL81" s="328"/>
      <c r="AM81" s="328"/>
      <c r="AN81" s="328"/>
      <c r="AO81" s="337"/>
      <c r="AP81" s="328"/>
      <c r="AQ81" s="328"/>
      <c r="AR81" s="328"/>
      <c r="AS81" s="328"/>
      <c r="AT81" s="328"/>
      <c r="AU81" s="328"/>
      <c r="AV81" s="328">
        <f t="shared" si="91"/>
        <v>0</v>
      </c>
      <c r="AW81" s="328">
        <f t="shared" si="92"/>
        <v>0</v>
      </c>
      <c r="AX81" s="328">
        <f t="shared" si="71"/>
        <v>0</v>
      </c>
      <c r="AY81" s="328" t="b">
        <f t="shared" si="72"/>
        <v>0</v>
      </c>
    </row>
    <row r="82" ht="27" customHeight="1" spans="1:51">
      <c r="A82" s="326" t="str">
        <f>INDEX('Rate Card'!$A:$A,MATCH($S82,'Rate Card'!$F:$F,0))</f>
        <v>注册</v>
      </c>
      <c r="B82" s="327" t="str">
        <f>INDEX(二三级标准!$G:$G,MATCH($J82,二三级标准!B:B,0))</f>
        <v>次</v>
      </c>
      <c r="C82" s="327">
        <f>INDEX(注册申报明细!$E:$E,MATCH($J82,注册申报明细!$B:$B,0))</f>
        <v>0</v>
      </c>
      <c r="D82" s="327" t="str">
        <f t="shared" si="85"/>
        <v>A282RAD</v>
      </c>
      <c r="E82" s="328"/>
      <c r="F82" s="328" t="s">
        <v>684</v>
      </c>
      <c r="G82" s="326" t="str">
        <f>INDEX('Rate Card'!$B:$B,MATCH($S82,'Rate Card'!$F:$F,0))</f>
        <v>注册</v>
      </c>
      <c r="H82" s="328" t="s">
        <v>1975</v>
      </c>
      <c r="I82" s="328" t="str">
        <f>INDEX(二三级标准!$Q:$Q,MATCH($H82,二三级标准!$O:$O,0))</f>
        <v>申报材料(CTD)撰写和审核</v>
      </c>
      <c r="J82" s="328" t="s">
        <v>1976</v>
      </c>
      <c r="K82" s="328" t="str">
        <f>INDEX(二三级标准!$C:$C,MATCH(注册申报底表!J82,二三级标准!$B:$B,0))</f>
        <v>CTD文件M5审核</v>
      </c>
      <c r="L82" s="328" t="s">
        <v>2092</v>
      </c>
      <c r="M82" s="328" t="str">
        <f>INDEX(二三级标准!$M:$M,MATCH(注册申报底表!$L82,二三级标准!$L:$L,0))</f>
        <v>CTD文件M5审核</v>
      </c>
      <c r="N82" s="328"/>
      <c r="O82" s="327">
        <f>IF($Q82=1,INDEX(注册申报明细!$E:$E,MATCH(注册申报底表!$J82,注册申报明细!$B:$B,0)),0)</f>
        <v>0</v>
      </c>
      <c r="P82" s="328" t="s">
        <v>1178</v>
      </c>
      <c r="Q82" s="329">
        <f>INDEX(注册申报明细!$D:$D,MATCH($J82,注册申报明细!$B:$B,0))</f>
        <v>0</v>
      </c>
      <c r="R82" s="328" t="str">
        <f>INDEX('Rate Card'!$D:$D,MATCH($S82,'Rate Card'!$F:$F,0))</f>
        <v>注册事务</v>
      </c>
      <c r="S82" s="328" t="s">
        <v>609</v>
      </c>
      <c r="T82" s="331">
        <f>INDEX('Rate Card'!$J:$J,MATCH($S82,'Rate Card'!$F:$F,0))</f>
        <v>990</v>
      </c>
      <c r="U82" s="331">
        <f t="shared" si="70"/>
        <v>5</v>
      </c>
      <c r="V82" s="327">
        <v>5</v>
      </c>
      <c r="W82" s="328"/>
      <c r="X82" s="332">
        <f t="shared" si="86"/>
        <v>5</v>
      </c>
      <c r="Y82" s="333">
        <f t="shared" si="87"/>
        <v>0</v>
      </c>
      <c r="Z82" s="328">
        <f t="shared" si="88"/>
        <v>0</v>
      </c>
      <c r="AA82" s="334">
        <f t="shared" si="89"/>
        <v>0</v>
      </c>
      <c r="AB82" s="334">
        <f>$Y82*(1-INDEX(项目参数!$D$5:$D$15,MATCH($R82,项目参数!$B$5:$B$15,0)))</f>
        <v>0</v>
      </c>
      <c r="AC82" s="334">
        <f>$AA82*INDEX(项目参数!$D$5:$D$15,MATCH($R82,项目参数!$B$5:$B$15,0))</f>
        <v>0</v>
      </c>
      <c r="AD82" s="334">
        <f t="shared" si="90"/>
        <v>0</v>
      </c>
      <c r="AE82" s="328"/>
      <c r="AF82" s="328"/>
      <c r="AG82" s="327"/>
      <c r="AH82" s="327"/>
      <c r="AI82" s="327"/>
      <c r="AJ82" s="327"/>
      <c r="AK82" s="327"/>
      <c r="AL82" s="327"/>
      <c r="AM82" s="327"/>
      <c r="AN82" s="328"/>
      <c r="AO82" s="327"/>
      <c r="AP82" s="327"/>
      <c r="AQ82" s="327"/>
      <c r="AR82" s="327"/>
      <c r="AS82" s="327"/>
      <c r="AT82" s="327"/>
      <c r="AU82" s="327"/>
      <c r="AV82" s="328">
        <f t="shared" si="91"/>
        <v>0</v>
      </c>
      <c r="AW82" s="328">
        <f t="shared" si="92"/>
        <v>0</v>
      </c>
      <c r="AX82" s="328">
        <f t="shared" si="71"/>
        <v>0</v>
      </c>
      <c r="AY82" s="328" t="b">
        <f t="shared" si="72"/>
        <v>0</v>
      </c>
    </row>
    <row r="83" ht="27" customHeight="1" spans="1:51">
      <c r="A83" s="326" t="str">
        <f>INDEX('Rate Card'!$A:$A,MATCH($S83,'Rate Card'!$F:$F,0))</f>
        <v>注册</v>
      </c>
      <c r="B83" s="327" t="str">
        <f>INDEX(二三级标准!$G:$G,MATCH($J83,二三级标准!B:B,0))</f>
        <v>次</v>
      </c>
      <c r="C83" s="327">
        <f>INDEX(注册申报明细!$E:$E,MATCH($J83,注册申报明细!$B:$B,0))</f>
        <v>0</v>
      </c>
      <c r="D83" s="327" t="str">
        <f t="shared" ref="D83:D105" si="93">J83&amp;S83</f>
        <v>A196RAM</v>
      </c>
      <c r="E83" s="328"/>
      <c r="F83" s="328" t="s">
        <v>684</v>
      </c>
      <c r="G83" s="326" t="str">
        <f>INDEX('Rate Card'!$B:$B,MATCH($S83,'Rate Card'!$F:$F,0))</f>
        <v>注册</v>
      </c>
      <c r="H83" s="328" t="s">
        <v>1977</v>
      </c>
      <c r="I83" s="328" t="str">
        <f>INDEX(二三级标准!$Q:$Q,MATCH($H83,二三级标准!$O:$O,0))</f>
        <v>pre-IND申请</v>
      </c>
      <c r="J83" s="328" t="s">
        <v>499</v>
      </c>
      <c r="K83" s="328" t="str">
        <f>INDEX(二三级标准!$C:$C,MATCH(注册申报底表!J83,二三级标准!$B:$B,0))</f>
        <v>pre-IND申请材料撰写</v>
      </c>
      <c r="L83" s="328" t="s">
        <v>2093</v>
      </c>
      <c r="M83" s="328" t="str">
        <f>INDEX(二三级标准!$M:$M,MATCH(注册申报底表!$L83,二三级标准!$L:$L,0))</f>
        <v>pre-IND申请材料撰写</v>
      </c>
      <c r="N83" s="328"/>
      <c r="O83" s="327">
        <f>IF($Q83=1,INDEX(注册申报明细!$E:$E,MATCH(注册申报底表!$J83,注册申报明细!$B:$B,0)),0)</f>
        <v>0</v>
      </c>
      <c r="P83" s="328" t="s">
        <v>1178</v>
      </c>
      <c r="Q83" s="329">
        <f>INDEX(注册申报明细!$D:$D,MATCH($J83,注册申报明细!$B:$B,0))</f>
        <v>0</v>
      </c>
      <c r="R83" s="328" t="str">
        <f>INDEX('Rate Card'!$D:$D,MATCH($S83,'Rate Card'!$F:$F,0))</f>
        <v>注册事务</v>
      </c>
      <c r="S83" s="328" t="s">
        <v>607</v>
      </c>
      <c r="T83" s="331">
        <f>INDEX('Rate Card'!$J:$J,MATCH($S83,'Rate Card'!$F:$F,0))</f>
        <v>650</v>
      </c>
      <c r="U83" s="331">
        <f t="shared" si="70"/>
        <v>24</v>
      </c>
      <c r="V83" s="327">
        <v>24</v>
      </c>
      <c r="W83" s="328"/>
      <c r="X83" s="332">
        <f t="shared" ref="X83:X105" si="94">IF(ISBLANK($W83),$V83,$W83)</f>
        <v>24</v>
      </c>
      <c r="Y83" s="333">
        <f t="shared" ref="Y83:Y105" si="95">IFERROR(AA83/O83,0)</f>
        <v>0</v>
      </c>
      <c r="Z83" s="328">
        <f t="shared" ref="Z83:Z105" si="96">X83*O83*Q83</f>
        <v>0</v>
      </c>
      <c r="AA83" s="334">
        <f t="shared" ref="AA83:AA105" si="97">Z83*T83</f>
        <v>0</v>
      </c>
      <c r="AB83" s="334">
        <f>$Y83*(1-INDEX(项目参数!$D$5:$D$15,MATCH($R83,项目参数!$B$5:$B$15,0)))</f>
        <v>0</v>
      </c>
      <c r="AC83" s="334">
        <f>$AA83*INDEX(项目参数!$D$5:$D$15,MATCH($R83,项目参数!$B$5:$B$15,0))</f>
        <v>0</v>
      </c>
      <c r="AD83" s="334">
        <f t="shared" ref="AD83:AD105" si="98">AA83-AC83</f>
        <v>0</v>
      </c>
      <c r="AE83" s="328"/>
      <c r="AF83" s="328"/>
      <c r="AG83" s="327"/>
      <c r="AH83" s="327"/>
      <c r="AI83" s="327"/>
      <c r="AJ83" s="327"/>
      <c r="AK83" s="327"/>
      <c r="AL83" s="327"/>
      <c r="AM83" s="327"/>
      <c r="AN83" s="328"/>
      <c r="AO83" s="327"/>
      <c r="AP83" s="327"/>
      <c r="AQ83" s="327"/>
      <c r="AR83" s="327"/>
      <c r="AS83" s="327"/>
      <c r="AT83" s="327"/>
      <c r="AU83" s="327"/>
      <c r="AV83" s="328">
        <f t="shared" ref="AV83:AV105" si="99">Z83</f>
        <v>0</v>
      </c>
      <c r="AW83" s="328">
        <f t="shared" ref="AW83:AW105" si="100">V83*O83</f>
        <v>0</v>
      </c>
      <c r="AX83" s="328">
        <f t="shared" si="71"/>
        <v>0</v>
      </c>
      <c r="AY83" s="328" t="b">
        <f t="shared" si="72"/>
        <v>1</v>
      </c>
    </row>
    <row r="84" ht="27" customHeight="1" spans="1:51">
      <c r="A84" s="326" t="str">
        <f>INDEX('Rate Card'!$A:$A,MATCH($S84,'Rate Card'!$F:$F,0))</f>
        <v>注册</v>
      </c>
      <c r="B84" s="327" t="str">
        <f>INDEX(二三级标准!$G:$G,MATCH($J84,二三级标准!B:B,0))</f>
        <v>次</v>
      </c>
      <c r="C84" s="327">
        <f>INDEX(注册申报明细!$E:$E,MATCH($J84,注册申报明细!$B:$B,0))</f>
        <v>0</v>
      </c>
      <c r="D84" s="327" t="str">
        <f t="shared" si="93"/>
        <v>A196RAD</v>
      </c>
      <c r="E84" s="328"/>
      <c r="F84" s="328" t="s">
        <v>684</v>
      </c>
      <c r="G84" s="326" t="str">
        <f>INDEX('Rate Card'!$B:$B,MATCH($S84,'Rate Card'!$F:$F,0))</f>
        <v>注册</v>
      </c>
      <c r="H84" s="328" t="s">
        <v>1977</v>
      </c>
      <c r="I84" s="328" t="str">
        <f>INDEX(二三级标准!$Q:$Q,MATCH($H84,二三级标准!$O:$O,0))</f>
        <v>pre-IND申请</v>
      </c>
      <c r="J84" s="328" t="s">
        <v>499</v>
      </c>
      <c r="K84" s="328" t="str">
        <f>INDEX(二三级标准!$C:$C,MATCH(注册申报底表!J84,二三级标准!$B:$B,0))</f>
        <v>pre-IND申请材料撰写</v>
      </c>
      <c r="L84" s="328" t="s">
        <v>2094</v>
      </c>
      <c r="M84" s="328" t="str">
        <f>INDEX(二三级标准!$M:$M,MATCH(注册申报底表!$L84,二三级标准!$L:$L,0))</f>
        <v>pre-IND申请材料审核</v>
      </c>
      <c r="N84" s="328"/>
      <c r="O84" s="327">
        <f>IF($Q84=1,INDEX(注册申报明细!$E:$E,MATCH(注册申报底表!$J84,注册申报明细!$B:$B,0)),0)</f>
        <v>0</v>
      </c>
      <c r="P84" s="328" t="s">
        <v>1178</v>
      </c>
      <c r="Q84" s="329">
        <f>INDEX(注册申报明细!$D:$D,MATCH($J84,注册申报明细!$B:$B,0))</f>
        <v>0</v>
      </c>
      <c r="R84" s="328" t="str">
        <f>INDEX('Rate Card'!$D:$D,MATCH($S84,'Rate Card'!$F:$F,0))</f>
        <v>注册事务</v>
      </c>
      <c r="S84" s="328" t="s">
        <v>609</v>
      </c>
      <c r="T84" s="331">
        <f>INDEX('Rate Card'!$J:$J,MATCH($S84,'Rate Card'!$F:$F,0))</f>
        <v>990</v>
      </c>
      <c r="U84" s="331">
        <f t="shared" si="70"/>
        <v>6</v>
      </c>
      <c r="V84" s="327">
        <v>6</v>
      </c>
      <c r="W84" s="328"/>
      <c r="X84" s="332">
        <f t="shared" si="94"/>
        <v>6</v>
      </c>
      <c r="Y84" s="333">
        <f t="shared" si="95"/>
        <v>0</v>
      </c>
      <c r="Z84" s="328">
        <f t="shared" si="96"/>
        <v>0</v>
      </c>
      <c r="AA84" s="334">
        <f t="shared" si="97"/>
        <v>0</v>
      </c>
      <c r="AB84" s="334">
        <f>$Y84*(1-INDEX(项目参数!$D$5:$D$15,MATCH($R84,项目参数!$B$5:$B$15,0)))</f>
        <v>0</v>
      </c>
      <c r="AC84" s="334">
        <f>$AA84*INDEX(项目参数!$D$5:$D$15,MATCH($R84,项目参数!$B$5:$B$15,0))</f>
        <v>0</v>
      </c>
      <c r="AD84" s="334">
        <f t="shared" si="98"/>
        <v>0</v>
      </c>
      <c r="AE84" s="328"/>
      <c r="AF84" s="328"/>
      <c r="AG84" s="327"/>
      <c r="AH84" s="327"/>
      <c r="AI84" s="327"/>
      <c r="AJ84" s="327"/>
      <c r="AK84" s="327"/>
      <c r="AL84" s="327"/>
      <c r="AM84" s="327"/>
      <c r="AN84" s="328"/>
      <c r="AO84" s="327"/>
      <c r="AP84" s="327"/>
      <c r="AQ84" s="327"/>
      <c r="AR84" s="327"/>
      <c r="AS84" s="327"/>
      <c r="AT84" s="327"/>
      <c r="AU84" s="327"/>
      <c r="AV84" s="328">
        <f t="shared" si="99"/>
        <v>0</v>
      </c>
      <c r="AW84" s="328">
        <f t="shared" si="100"/>
        <v>0</v>
      </c>
      <c r="AX84" s="328">
        <f t="shared" si="71"/>
        <v>0</v>
      </c>
      <c r="AY84" s="328" t="b">
        <f t="shared" si="72"/>
        <v>1</v>
      </c>
    </row>
    <row r="85" ht="27" customHeight="1" spans="1:51">
      <c r="A85" s="326" t="str">
        <f>INDEX('Rate Card'!$A:$A,MATCH($S85,'Rate Card'!$F:$F,0))</f>
        <v>注册</v>
      </c>
      <c r="B85" s="327" t="str">
        <f>INDEX(二三级标准!$G:$G,MATCH($J85,二三级标准!B:B,0))</f>
        <v>次</v>
      </c>
      <c r="C85" s="327">
        <f>INDEX(注册申报明细!$E:$E,MATCH($J85,注册申报明细!$B:$B,0))</f>
        <v>0</v>
      </c>
      <c r="D85" s="327" t="str">
        <f t="shared" si="93"/>
        <v>A197RAM</v>
      </c>
      <c r="E85" s="328"/>
      <c r="F85" s="328" t="s">
        <v>684</v>
      </c>
      <c r="G85" s="326" t="str">
        <f>INDEX('Rate Card'!$B:$B,MATCH($S85,'Rate Card'!$F:$F,0))</f>
        <v>注册</v>
      </c>
      <c r="H85" s="328" t="s">
        <v>1977</v>
      </c>
      <c r="I85" s="328" t="str">
        <f>INDEX(二三级标准!$Q:$Q,MATCH($H85,二三级标准!$O:$O,0))</f>
        <v>pre-IND申请</v>
      </c>
      <c r="J85" s="328" t="s">
        <v>501</v>
      </c>
      <c r="K85" s="328" t="str">
        <f>INDEX(二三级标准!$C:$C,MATCH(注册申报底表!J85,二三级标准!$B:$B,0))</f>
        <v>pre-IND会议前与申办方沟通</v>
      </c>
      <c r="L85" s="328" t="s">
        <v>2095</v>
      </c>
      <c r="M85" s="328" t="str">
        <f>INDEX(二三级标准!$M:$M,MATCH(注册申报底表!$L85,二三级标准!$L:$L,0))</f>
        <v>pre-IND会议前与申办方沟通</v>
      </c>
      <c r="N85" s="328"/>
      <c r="O85" s="327">
        <f>IF($Q85=1,INDEX(注册申报明细!$E:$E,MATCH(注册申报底表!$J85,注册申报明细!$B:$B,0)),0)</f>
        <v>0</v>
      </c>
      <c r="P85" s="328" t="s">
        <v>1178</v>
      </c>
      <c r="Q85" s="329">
        <f>INDEX(注册申报明细!$D:$D,MATCH($J85,注册申报明细!$B:$B,0))</f>
        <v>0</v>
      </c>
      <c r="R85" s="328" t="str">
        <f>INDEX('Rate Card'!$D:$D,MATCH($S85,'Rate Card'!$F:$F,0))</f>
        <v>注册事务</v>
      </c>
      <c r="S85" s="328" t="s">
        <v>607</v>
      </c>
      <c r="T85" s="331">
        <f>INDEX('Rate Card'!$J:$J,MATCH($S85,'Rate Card'!$F:$F,0))</f>
        <v>650</v>
      </c>
      <c r="U85" s="331">
        <f t="shared" si="70"/>
        <v>8</v>
      </c>
      <c r="V85" s="327">
        <v>8</v>
      </c>
      <c r="W85" s="328"/>
      <c r="X85" s="332">
        <f t="shared" si="94"/>
        <v>8</v>
      </c>
      <c r="Y85" s="333">
        <f t="shared" si="95"/>
        <v>0</v>
      </c>
      <c r="Z85" s="328">
        <f t="shared" si="96"/>
        <v>0</v>
      </c>
      <c r="AA85" s="334">
        <f t="shared" si="97"/>
        <v>0</v>
      </c>
      <c r="AB85" s="334">
        <f>$Y85*(1-INDEX(项目参数!$D$5:$D$15,MATCH($R85,项目参数!$B$5:$B$15,0)))</f>
        <v>0</v>
      </c>
      <c r="AC85" s="334">
        <f>$AA85*INDEX(项目参数!$D$5:$D$15,MATCH($R85,项目参数!$B$5:$B$15,0))</f>
        <v>0</v>
      </c>
      <c r="AD85" s="334">
        <f t="shared" si="98"/>
        <v>0</v>
      </c>
      <c r="AE85" s="328"/>
      <c r="AF85" s="328"/>
      <c r="AG85" s="327"/>
      <c r="AH85" s="327"/>
      <c r="AI85" s="327"/>
      <c r="AJ85" s="327"/>
      <c r="AK85" s="327"/>
      <c r="AL85" s="327"/>
      <c r="AM85" s="327"/>
      <c r="AN85" s="328"/>
      <c r="AO85" s="327"/>
      <c r="AP85" s="327"/>
      <c r="AQ85" s="327"/>
      <c r="AR85" s="327"/>
      <c r="AS85" s="327"/>
      <c r="AT85" s="327"/>
      <c r="AU85" s="327"/>
      <c r="AV85" s="328">
        <f t="shared" si="99"/>
        <v>0</v>
      </c>
      <c r="AW85" s="328">
        <f t="shared" si="100"/>
        <v>0</v>
      </c>
      <c r="AX85" s="328">
        <f t="shared" si="71"/>
        <v>0</v>
      </c>
      <c r="AY85" s="328" t="b">
        <f t="shared" si="72"/>
        <v>0</v>
      </c>
    </row>
    <row r="86" ht="27" customHeight="1" spans="1:51">
      <c r="A86" s="326" t="str">
        <f>INDEX('Rate Card'!$A:$A,MATCH($S86,'Rate Card'!$F:$F,0))</f>
        <v>注册</v>
      </c>
      <c r="B86" s="327" t="str">
        <f>INDEX(二三级标准!$G:$G,MATCH($J86,二三级标准!B:B,0))</f>
        <v>次</v>
      </c>
      <c r="C86" s="327">
        <f>INDEX(注册申报明细!$E:$E,MATCH($J86,注册申报明细!$B:$B,0))</f>
        <v>0</v>
      </c>
      <c r="D86" s="327" t="str">
        <f t="shared" si="93"/>
        <v>A197RAD</v>
      </c>
      <c r="E86" s="328"/>
      <c r="F86" s="328" t="s">
        <v>684</v>
      </c>
      <c r="G86" s="326" t="str">
        <f>INDEX('Rate Card'!$B:$B,MATCH($S86,'Rate Card'!$F:$F,0))</f>
        <v>注册</v>
      </c>
      <c r="H86" s="328" t="s">
        <v>1977</v>
      </c>
      <c r="I86" s="328" t="str">
        <f>INDEX(二三级标准!$Q:$Q,MATCH($H86,二三级标准!$O:$O,0))</f>
        <v>pre-IND申请</v>
      </c>
      <c r="J86" s="328" t="s">
        <v>501</v>
      </c>
      <c r="K86" s="328" t="str">
        <f>INDEX(二三级标准!$C:$C,MATCH(注册申报底表!J86,二三级标准!$B:$B,0))</f>
        <v>pre-IND会议前与申办方沟通</v>
      </c>
      <c r="L86" s="328" t="s">
        <v>2095</v>
      </c>
      <c r="M86" s="328" t="str">
        <f>INDEX(二三级标准!$M:$M,MATCH(注册申报底表!$L86,二三级标准!$L:$L,0))</f>
        <v>pre-IND会议前与申办方沟通</v>
      </c>
      <c r="N86" s="328"/>
      <c r="O86" s="327">
        <f>IF($Q86=1,INDEX(注册申报明细!$E:$E,MATCH(注册申报底表!$J86,注册申报明细!$B:$B,0)),0)</f>
        <v>0</v>
      </c>
      <c r="P86" s="328" t="s">
        <v>1178</v>
      </c>
      <c r="Q86" s="329">
        <f>INDEX(注册申报明细!$D:$D,MATCH($J86,注册申报明细!$B:$B,0))</f>
        <v>0</v>
      </c>
      <c r="R86" s="328" t="str">
        <f>INDEX('Rate Card'!$D:$D,MATCH($S86,'Rate Card'!$F:$F,0))</f>
        <v>注册事务</v>
      </c>
      <c r="S86" s="328" t="s">
        <v>609</v>
      </c>
      <c r="T86" s="331">
        <f>INDEX('Rate Card'!$J:$J,MATCH($S86,'Rate Card'!$F:$F,0))</f>
        <v>990</v>
      </c>
      <c r="U86" s="331">
        <f t="shared" si="70"/>
        <v>4</v>
      </c>
      <c r="V86" s="327">
        <v>4</v>
      </c>
      <c r="W86" s="328"/>
      <c r="X86" s="332">
        <f t="shared" si="94"/>
        <v>4</v>
      </c>
      <c r="Y86" s="333">
        <f t="shared" si="95"/>
        <v>0</v>
      </c>
      <c r="Z86" s="328">
        <f t="shared" si="96"/>
        <v>0</v>
      </c>
      <c r="AA86" s="334">
        <f t="shared" si="97"/>
        <v>0</v>
      </c>
      <c r="AB86" s="334">
        <f>$Y86*(1-INDEX(项目参数!$D$5:$D$15,MATCH($R86,项目参数!$B$5:$B$15,0)))</f>
        <v>0</v>
      </c>
      <c r="AC86" s="334">
        <f>$AA86*INDEX(项目参数!$D$5:$D$15,MATCH($R86,项目参数!$B$5:$B$15,0))</f>
        <v>0</v>
      </c>
      <c r="AD86" s="334">
        <f t="shared" si="98"/>
        <v>0</v>
      </c>
      <c r="AE86" s="328"/>
      <c r="AF86" s="328"/>
      <c r="AG86" s="327"/>
      <c r="AH86" s="327"/>
      <c r="AI86" s="327"/>
      <c r="AJ86" s="327"/>
      <c r="AK86" s="327"/>
      <c r="AL86" s="327"/>
      <c r="AM86" s="327"/>
      <c r="AN86" s="328"/>
      <c r="AO86" s="327"/>
      <c r="AP86" s="327"/>
      <c r="AQ86" s="327"/>
      <c r="AR86" s="327"/>
      <c r="AS86" s="327"/>
      <c r="AT86" s="327"/>
      <c r="AU86" s="327"/>
      <c r="AV86" s="328">
        <f t="shared" si="99"/>
        <v>0</v>
      </c>
      <c r="AW86" s="328">
        <f t="shared" si="100"/>
        <v>0</v>
      </c>
      <c r="AX86" s="328">
        <f t="shared" si="71"/>
        <v>0</v>
      </c>
      <c r="AY86" s="328" t="b">
        <f t="shared" si="72"/>
        <v>0</v>
      </c>
    </row>
    <row r="87" ht="27" customHeight="1" spans="1:51">
      <c r="A87" s="326" t="str">
        <f>INDEX('Rate Card'!$A:$A,MATCH($S87,'Rate Card'!$F:$F,0))</f>
        <v>注册</v>
      </c>
      <c r="B87" s="327" t="str">
        <f>INDEX(二三级标准!$G:$G,MATCH($J87,二三级标准!B:B,0))</f>
        <v>次</v>
      </c>
      <c r="C87" s="327">
        <f>INDEX(注册申报明细!$E:$E,MATCH($J87,注册申报明细!$B:$B,0))</f>
        <v>0</v>
      </c>
      <c r="D87" s="327" t="str">
        <f t="shared" si="93"/>
        <v>A198RAD</v>
      </c>
      <c r="E87" s="328"/>
      <c r="F87" s="328" t="s">
        <v>684</v>
      </c>
      <c r="G87" s="326" t="str">
        <f>INDEX('Rate Card'!$B:$B,MATCH($S87,'Rate Card'!$F:$F,0))</f>
        <v>注册</v>
      </c>
      <c r="H87" s="328" t="s">
        <v>1977</v>
      </c>
      <c r="I87" s="328" t="str">
        <f>INDEX(二三级标准!$Q:$Q,MATCH($H87,二三级标准!$O:$O,0))</f>
        <v>pre-IND申请</v>
      </c>
      <c r="J87" s="328" t="s">
        <v>503</v>
      </c>
      <c r="K87" s="328" t="str">
        <f>INDEX(二三级标准!$C:$C,MATCH(注册申报底表!J87,二三级标准!$B:$B,0))</f>
        <v>参加pre-IND会议</v>
      </c>
      <c r="L87" s="328" t="s">
        <v>2096</v>
      </c>
      <c r="M87" s="328" t="str">
        <f>INDEX(二三级标准!$M:$M,MATCH(注册申报底表!$L87,二三级标准!$L:$L,0))</f>
        <v>参加pre-IND会议</v>
      </c>
      <c r="N87" s="328"/>
      <c r="O87" s="327">
        <f>IF($Q87=1,INDEX(注册申报明细!$E:$E,MATCH(注册申报底表!$J87,注册申报明细!$B:$B,0)),0)</f>
        <v>0</v>
      </c>
      <c r="P87" s="328" t="s">
        <v>1178</v>
      </c>
      <c r="Q87" s="329">
        <f>INDEX(注册申报明细!$D:$D,MATCH($J87,注册申报明细!$B:$B,0))</f>
        <v>0</v>
      </c>
      <c r="R87" s="328" t="str">
        <f>INDEX('Rate Card'!$D:$D,MATCH($S87,'Rate Card'!$F:$F,0))</f>
        <v>注册事务</v>
      </c>
      <c r="S87" s="328" t="s">
        <v>609</v>
      </c>
      <c r="T87" s="331">
        <f>INDEX('Rate Card'!$J:$J,MATCH($S87,'Rate Card'!$F:$F,0))</f>
        <v>990</v>
      </c>
      <c r="U87" s="331">
        <f t="shared" si="70"/>
        <v>4</v>
      </c>
      <c r="V87" s="327">
        <v>4</v>
      </c>
      <c r="W87" s="328"/>
      <c r="X87" s="332">
        <f t="shared" si="94"/>
        <v>4</v>
      </c>
      <c r="Y87" s="333">
        <f t="shared" si="95"/>
        <v>0</v>
      </c>
      <c r="Z87" s="328">
        <f t="shared" si="96"/>
        <v>0</v>
      </c>
      <c r="AA87" s="334">
        <f t="shared" si="97"/>
        <v>0</v>
      </c>
      <c r="AB87" s="334">
        <f>$Y87*(1-INDEX(项目参数!$D$5:$D$15,MATCH($R87,项目参数!$B$5:$B$15,0)))</f>
        <v>0</v>
      </c>
      <c r="AC87" s="334">
        <f>$AA87*INDEX(项目参数!$D$5:$D$15,MATCH($R87,项目参数!$B$5:$B$15,0))</f>
        <v>0</v>
      </c>
      <c r="AD87" s="334">
        <f t="shared" si="98"/>
        <v>0</v>
      </c>
      <c r="AE87" s="328"/>
      <c r="AF87" s="328"/>
      <c r="AG87" s="327"/>
      <c r="AH87" s="327"/>
      <c r="AI87" s="327"/>
      <c r="AJ87" s="327"/>
      <c r="AK87" s="327"/>
      <c r="AL87" s="327"/>
      <c r="AM87" s="327"/>
      <c r="AN87" s="328"/>
      <c r="AO87" s="327"/>
      <c r="AP87" s="327"/>
      <c r="AQ87" s="327"/>
      <c r="AR87" s="327"/>
      <c r="AS87" s="327"/>
      <c r="AT87" s="327"/>
      <c r="AU87" s="327"/>
      <c r="AV87" s="328">
        <f t="shared" si="99"/>
        <v>0</v>
      </c>
      <c r="AW87" s="328">
        <f t="shared" si="100"/>
        <v>0</v>
      </c>
      <c r="AX87" s="328">
        <f t="shared" si="71"/>
        <v>0</v>
      </c>
      <c r="AY87" s="328" t="b">
        <f t="shared" si="72"/>
        <v>1</v>
      </c>
    </row>
    <row r="88" ht="27" customHeight="1" spans="1:51">
      <c r="A88" s="326" t="str">
        <f>INDEX('Rate Card'!$A:$A,MATCH($S88,'Rate Card'!$F:$F,0))</f>
        <v>注册</v>
      </c>
      <c r="B88" s="327" t="str">
        <f>INDEX(二三级标准!$G:$G,MATCH($J88,二三级标准!B:B,0))</f>
        <v>次</v>
      </c>
      <c r="C88" s="327">
        <f>INDEX(注册申报明细!$E:$E,MATCH($J88,注册申报明细!$B:$B,0))</f>
        <v>0</v>
      </c>
      <c r="D88" s="327" t="str">
        <f t="shared" si="93"/>
        <v>A199RAM</v>
      </c>
      <c r="E88" s="328"/>
      <c r="F88" s="328" t="s">
        <v>684</v>
      </c>
      <c r="G88" s="326" t="str">
        <f>INDEX('Rate Card'!$B:$B,MATCH($S88,'Rate Card'!$F:$F,0))</f>
        <v>注册</v>
      </c>
      <c r="H88" s="328" t="s">
        <v>1978</v>
      </c>
      <c r="I88" s="328" t="str">
        <f>INDEX(二三级标准!$Q:$Q,MATCH($H88,二三级标准!$O:$O,0))</f>
        <v>申报材料审核</v>
      </c>
      <c r="J88" s="328" t="s">
        <v>505</v>
      </c>
      <c r="K88" s="328" t="str">
        <f>INDEX(二三级标准!$C:$C,MATCH(注册申报底表!J88,二三级标准!$B:$B,0))</f>
        <v>pre-IND问题回复</v>
      </c>
      <c r="L88" s="328" t="s">
        <v>2097</v>
      </c>
      <c r="M88" s="328" t="str">
        <f>INDEX(二三级标准!$M:$M,MATCH(注册申报底表!$L88,二三级标准!$L:$L,0))</f>
        <v>pre-IND问题回复</v>
      </c>
      <c r="N88" s="328"/>
      <c r="O88" s="327">
        <f>IF($Q88=1,INDEX(注册申报明细!$E:$E,MATCH(注册申报底表!$J88,注册申报明细!$B:$B,0)),0)</f>
        <v>0</v>
      </c>
      <c r="P88" s="328" t="s">
        <v>1178</v>
      </c>
      <c r="Q88" s="329">
        <f>INDEX(注册申报明细!$D:$D,MATCH($J88,注册申报明细!$B:$B,0))</f>
        <v>0</v>
      </c>
      <c r="R88" s="328" t="str">
        <f>INDEX('Rate Card'!$D:$D,MATCH($S88,'Rate Card'!$F:$F,0))</f>
        <v>注册事务</v>
      </c>
      <c r="S88" s="328" t="s">
        <v>607</v>
      </c>
      <c r="T88" s="331">
        <f>INDEX('Rate Card'!$J:$J,MATCH($S88,'Rate Card'!$F:$F,0))</f>
        <v>650</v>
      </c>
      <c r="U88" s="331">
        <f t="shared" si="70"/>
        <v>16</v>
      </c>
      <c r="V88" s="327">
        <v>16</v>
      </c>
      <c r="W88" s="328"/>
      <c r="X88" s="332">
        <f t="shared" si="94"/>
        <v>16</v>
      </c>
      <c r="Y88" s="333">
        <f t="shared" si="95"/>
        <v>0</v>
      </c>
      <c r="Z88" s="328">
        <f t="shared" si="96"/>
        <v>0</v>
      </c>
      <c r="AA88" s="334">
        <f t="shared" si="97"/>
        <v>0</v>
      </c>
      <c r="AB88" s="334">
        <f>$Y88*(1-INDEX(项目参数!$D$5:$D$15,MATCH($R88,项目参数!$B$5:$B$15,0)))</f>
        <v>0</v>
      </c>
      <c r="AC88" s="334">
        <f>$AA88*INDEX(项目参数!$D$5:$D$15,MATCH($R88,项目参数!$B$5:$B$15,0))</f>
        <v>0</v>
      </c>
      <c r="AD88" s="334">
        <f t="shared" si="98"/>
        <v>0</v>
      </c>
      <c r="AE88" s="328"/>
      <c r="AF88" s="328"/>
      <c r="AG88" s="327"/>
      <c r="AH88" s="327"/>
      <c r="AI88" s="327"/>
      <c r="AJ88" s="327"/>
      <c r="AK88" s="327"/>
      <c r="AL88" s="327"/>
      <c r="AM88" s="327"/>
      <c r="AN88" s="328"/>
      <c r="AO88" s="327"/>
      <c r="AP88" s="327"/>
      <c r="AQ88" s="327"/>
      <c r="AR88" s="327"/>
      <c r="AS88" s="327"/>
      <c r="AT88" s="327"/>
      <c r="AU88" s="327"/>
      <c r="AV88" s="328">
        <f t="shared" si="99"/>
        <v>0</v>
      </c>
      <c r="AW88" s="328">
        <f t="shared" si="100"/>
        <v>0</v>
      </c>
      <c r="AX88" s="328">
        <f t="shared" si="71"/>
        <v>0</v>
      </c>
      <c r="AY88" s="328" t="b">
        <f t="shared" si="72"/>
        <v>0</v>
      </c>
    </row>
    <row r="89" ht="27" customHeight="1" spans="1:51">
      <c r="A89" s="326" t="str">
        <f>INDEX('Rate Card'!$A:$A,MATCH($S89,'Rate Card'!$F:$F,0))</f>
        <v>注册</v>
      </c>
      <c r="B89" s="327" t="str">
        <f>INDEX(二三级标准!$G:$G,MATCH($J89,二三级标准!B:B,0))</f>
        <v>次</v>
      </c>
      <c r="C89" s="327">
        <f>INDEX(注册申报明细!$E:$E,MATCH($J89,注册申报明细!$B:$B,0))</f>
        <v>0</v>
      </c>
      <c r="D89" s="327" t="str">
        <f t="shared" si="93"/>
        <v>A199RAD</v>
      </c>
      <c r="E89" s="328"/>
      <c r="F89" s="328" t="s">
        <v>684</v>
      </c>
      <c r="G89" s="326" t="str">
        <f>INDEX('Rate Card'!$B:$B,MATCH($S89,'Rate Card'!$F:$F,0))</f>
        <v>注册</v>
      </c>
      <c r="H89" s="328" t="s">
        <v>1978</v>
      </c>
      <c r="I89" s="328" t="str">
        <f>INDEX(二三级标准!$Q:$Q,MATCH($H89,二三级标准!$O:$O,0))</f>
        <v>申报材料审核</v>
      </c>
      <c r="J89" s="328" t="s">
        <v>505</v>
      </c>
      <c r="K89" s="328" t="str">
        <f>INDEX(二三级标准!$C:$C,MATCH(注册申报底表!J89,二三级标准!$B:$B,0))</f>
        <v>pre-IND问题回复</v>
      </c>
      <c r="L89" s="328" t="s">
        <v>2097</v>
      </c>
      <c r="M89" s="328" t="str">
        <f>INDEX(二三级标准!$M:$M,MATCH(注册申报底表!$L89,二三级标准!$L:$L,0))</f>
        <v>pre-IND问题回复</v>
      </c>
      <c r="N89" s="328"/>
      <c r="O89" s="327">
        <f>IF($Q89=1,INDEX(注册申报明细!$E:$E,MATCH(注册申报底表!$J89,注册申报明细!$B:$B,0)),0)</f>
        <v>0</v>
      </c>
      <c r="P89" s="328" t="s">
        <v>1178</v>
      </c>
      <c r="Q89" s="329">
        <f>INDEX(注册申报明细!$D:$D,MATCH($J89,注册申报明细!$B:$B,0))</f>
        <v>0</v>
      </c>
      <c r="R89" s="328" t="str">
        <f>INDEX('Rate Card'!$D:$D,MATCH($S89,'Rate Card'!$F:$F,0))</f>
        <v>注册事务</v>
      </c>
      <c r="S89" s="328" t="s">
        <v>609</v>
      </c>
      <c r="T89" s="331">
        <f>INDEX('Rate Card'!$J:$J,MATCH($S89,'Rate Card'!$F:$F,0))</f>
        <v>990</v>
      </c>
      <c r="U89" s="331">
        <f t="shared" si="70"/>
        <v>4</v>
      </c>
      <c r="V89" s="327">
        <v>4</v>
      </c>
      <c r="W89" s="328"/>
      <c r="X89" s="332">
        <f t="shared" si="94"/>
        <v>4</v>
      </c>
      <c r="Y89" s="333">
        <f t="shared" si="95"/>
        <v>0</v>
      </c>
      <c r="Z89" s="328">
        <f t="shared" si="96"/>
        <v>0</v>
      </c>
      <c r="AA89" s="334">
        <f t="shared" si="97"/>
        <v>0</v>
      </c>
      <c r="AB89" s="334">
        <f>$Y89*(1-INDEX(项目参数!$D$5:$D$15,MATCH($R89,项目参数!$B$5:$B$15,0)))</f>
        <v>0</v>
      </c>
      <c r="AC89" s="334">
        <f>$AA89*INDEX(项目参数!$D$5:$D$15,MATCH($R89,项目参数!$B$5:$B$15,0))</f>
        <v>0</v>
      </c>
      <c r="AD89" s="334">
        <f t="shared" si="98"/>
        <v>0</v>
      </c>
      <c r="AE89" s="328"/>
      <c r="AF89" s="328"/>
      <c r="AG89" s="327"/>
      <c r="AH89" s="327"/>
      <c r="AI89" s="327"/>
      <c r="AJ89" s="327"/>
      <c r="AK89" s="327"/>
      <c r="AL89" s="327"/>
      <c r="AM89" s="327"/>
      <c r="AN89" s="328"/>
      <c r="AO89" s="327"/>
      <c r="AP89" s="327"/>
      <c r="AQ89" s="327"/>
      <c r="AR89" s="327"/>
      <c r="AS89" s="327"/>
      <c r="AT89" s="327"/>
      <c r="AU89" s="327"/>
      <c r="AV89" s="328">
        <f t="shared" si="99"/>
        <v>0</v>
      </c>
      <c r="AW89" s="328">
        <f t="shared" si="100"/>
        <v>0</v>
      </c>
      <c r="AX89" s="328">
        <f t="shared" si="71"/>
        <v>0</v>
      </c>
      <c r="AY89" s="328" t="b">
        <f t="shared" si="72"/>
        <v>0</v>
      </c>
    </row>
    <row r="90" ht="27" customHeight="1" spans="1:51">
      <c r="A90" s="326" t="str">
        <f>INDEX('Rate Card'!$A:$A,MATCH($S90,'Rate Card'!$F:$F,0))</f>
        <v>注册</v>
      </c>
      <c r="B90" s="327" t="str">
        <f>INDEX(二三级标准!$G:$G,MATCH($J90,二三级标准!B:B,0))</f>
        <v>次</v>
      </c>
      <c r="C90" s="327">
        <f>INDEX(注册申报明细!$E:$E,MATCH($J90,注册申报明细!$B:$B,0))</f>
        <v>0</v>
      </c>
      <c r="D90" s="327" t="str">
        <f t="shared" si="93"/>
        <v>A200RAM</v>
      </c>
      <c r="E90" s="328"/>
      <c r="F90" s="328" t="s">
        <v>684</v>
      </c>
      <c r="G90" s="326" t="str">
        <f>INDEX('Rate Card'!$B:$B,MATCH($S90,'Rate Card'!$F:$F,0))</f>
        <v>注册</v>
      </c>
      <c r="H90" s="328" t="s">
        <v>1978</v>
      </c>
      <c r="I90" s="328" t="str">
        <f>INDEX(二三级标准!$Q:$Q,MATCH($H90,二三级标准!$O:$O,0))</f>
        <v>申报材料审核</v>
      </c>
      <c r="J90" s="328" t="s">
        <v>507</v>
      </c>
      <c r="K90" s="328" t="str">
        <f>INDEX(二三级标准!$C:$C,MATCH(注册申报底表!J90,二三级标准!$B:$B,0))</f>
        <v>CTD文件M1更新后二次审核</v>
      </c>
      <c r="L90" s="328" t="s">
        <v>2098</v>
      </c>
      <c r="M90" s="328" t="str">
        <f>INDEX(二三级标准!$M:$M,MATCH(注册申报底表!$L90,二三级标准!$L:$L,0))</f>
        <v>CTD文件M1更新后二次审核</v>
      </c>
      <c r="N90" s="328"/>
      <c r="O90" s="327">
        <f>IF($Q90=1,INDEX(注册申报明细!$E:$E,MATCH(注册申报底表!$J90,注册申报明细!$B:$B,0)),0)</f>
        <v>0</v>
      </c>
      <c r="P90" s="328" t="s">
        <v>1178</v>
      </c>
      <c r="Q90" s="329">
        <f>INDEX(注册申报明细!$D:$D,MATCH($J90,注册申报明细!$B:$B,0))</f>
        <v>0</v>
      </c>
      <c r="R90" s="328" t="str">
        <f>INDEX('Rate Card'!$D:$D,MATCH($S90,'Rate Card'!$F:$F,0))</f>
        <v>注册事务</v>
      </c>
      <c r="S90" s="328" t="s">
        <v>607</v>
      </c>
      <c r="T90" s="331">
        <f>INDEX('Rate Card'!$J:$J,MATCH($S90,'Rate Card'!$F:$F,0))</f>
        <v>650</v>
      </c>
      <c r="U90" s="331">
        <f t="shared" si="70"/>
        <v>5</v>
      </c>
      <c r="V90" s="327">
        <v>5</v>
      </c>
      <c r="W90" s="328"/>
      <c r="X90" s="332">
        <f t="shared" si="94"/>
        <v>5</v>
      </c>
      <c r="Y90" s="333">
        <f t="shared" si="95"/>
        <v>0</v>
      </c>
      <c r="Z90" s="328">
        <f t="shared" si="96"/>
        <v>0</v>
      </c>
      <c r="AA90" s="334">
        <f t="shared" si="97"/>
        <v>0</v>
      </c>
      <c r="AB90" s="334">
        <f>$Y90*(1-INDEX(项目参数!$D$5:$D$15,MATCH($R90,项目参数!$B$5:$B$15,0)))</f>
        <v>0</v>
      </c>
      <c r="AC90" s="334">
        <f>$AA90*INDEX(项目参数!$D$5:$D$15,MATCH($R90,项目参数!$B$5:$B$15,0))</f>
        <v>0</v>
      </c>
      <c r="AD90" s="334">
        <f t="shared" si="98"/>
        <v>0</v>
      </c>
      <c r="AE90" s="328"/>
      <c r="AF90" s="328"/>
      <c r="AG90" s="327"/>
      <c r="AH90" s="327"/>
      <c r="AI90" s="327"/>
      <c r="AJ90" s="327"/>
      <c r="AK90" s="327"/>
      <c r="AL90" s="327"/>
      <c r="AM90" s="327"/>
      <c r="AN90" s="328"/>
      <c r="AO90" s="327"/>
      <c r="AP90" s="327"/>
      <c r="AQ90" s="327"/>
      <c r="AR90" s="327"/>
      <c r="AS90" s="327"/>
      <c r="AT90" s="327"/>
      <c r="AU90" s="327"/>
      <c r="AV90" s="328">
        <f t="shared" si="99"/>
        <v>0</v>
      </c>
      <c r="AW90" s="328">
        <f t="shared" si="100"/>
        <v>0</v>
      </c>
      <c r="AX90" s="328">
        <f t="shared" si="71"/>
        <v>0</v>
      </c>
      <c r="AY90" s="328" t="b">
        <f t="shared" si="72"/>
        <v>1</v>
      </c>
    </row>
    <row r="91" ht="27" customHeight="1" spans="1:51">
      <c r="A91" s="326" t="str">
        <f>INDEX('Rate Card'!$A:$A,MATCH($S91,'Rate Card'!$F:$F,0))</f>
        <v>注册</v>
      </c>
      <c r="B91" s="327" t="str">
        <f>INDEX(二三级标准!$G:$G,MATCH($J91,二三级标准!B:B,0))</f>
        <v>次</v>
      </c>
      <c r="C91" s="327">
        <f>INDEX(注册申报明细!$E:$E,MATCH($J91,注册申报明细!$B:$B,0))</f>
        <v>0</v>
      </c>
      <c r="D91" s="327" t="str">
        <f t="shared" si="93"/>
        <v>A200RAD</v>
      </c>
      <c r="E91" s="328"/>
      <c r="F91" s="328" t="s">
        <v>684</v>
      </c>
      <c r="G91" s="326" t="str">
        <f>INDEX('Rate Card'!$B:$B,MATCH($S91,'Rate Card'!$F:$F,0))</f>
        <v>注册</v>
      </c>
      <c r="H91" s="328" t="s">
        <v>1978</v>
      </c>
      <c r="I91" s="328" t="str">
        <f>INDEX(二三级标准!$Q:$Q,MATCH($H91,二三级标准!$O:$O,0))</f>
        <v>申报材料审核</v>
      </c>
      <c r="J91" s="328" t="s">
        <v>507</v>
      </c>
      <c r="K91" s="328" t="str">
        <f>INDEX(二三级标准!$C:$C,MATCH(注册申报底表!J91,二三级标准!$B:$B,0))</f>
        <v>CTD文件M1更新后二次审核</v>
      </c>
      <c r="L91" s="328" t="s">
        <v>2098</v>
      </c>
      <c r="M91" s="328" t="str">
        <f>INDEX(二三级标准!$M:$M,MATCH(注册申报底表!$L91,二三级标准!$L:$L,0))</f>
        <v>CTD文件M1更新后二次审核</v>
      </c>
      <c r="N91" s="328"/>
      <c r="O91" s="327">
        <f>IF($Q91=1,INDEX(注册申报明细!$E:$E,MATCH(注册申报底表!$J91,注册申报明细!$B:$B,0)),0)</f>
        <v>0</v>
      </c>
      <c r="P91" s="328" t="s">
        <v>1178</v>
      </c>
      <c r="Q91" s="329">
        <f>INDEX(注册申报明细!$D:$D,MATCH($J91,注册申报明细!$B:$B,0))</f>
        <v>0</v>
      </c>
      <c r="R91" s="328" t="str">
        <f>INDEX('Rate Card'!$D:$D,MATCH($S91,'Rate Card'!$F:$F,0))</f>
        <v>注册事务</v>
      </c>
      <c r="S91" s="328" t="s">
        <v>609</v>
      </c>
      <c r="T91" s="331">
        <f>INDEX('Rate Card'!$J:$J,MATCH($S91,'Rate Card'!$F:$F,0))</f>
        <v>990</v>
      </c>
      <c r="U91" s="331">
        <f t="shared" si="70"/>
        <v>2.5</v>
      </c>
      <c r="V91" s="327">
        <v>2.5</v>
      </c>
      <c r="W91" s="328"/>
      <c r="X91" s="332">
        <f t="shared" si="94"/>
        <v>2.5</v>
      </c>
      <c r="Y91" s="333">
        <f t="shared" si="95"/>
        <v>0</v>
      </c>
      <c r="Z91" s="328">
        <f t="shared" si="96"/>
        <v>0</v>
      </c>
      <c r="AA91" s="334">
        <f t="shared" si="97"/>
        <v>0</v>
      </c>
      <c r="AB91" s="334">
        <f>$Y91*(1-INDEX(项目参数!$D$5:$D$15,MATCH($R91,项目参数!$B$5:$B$15,0)))</f>
        <v>0</v>
      </c>
      <c r="AC91" s="334">
        <f>$AA91*INDEX(项目参数!$D$5:$D$15,MATCH($R91,项目参数!$B$5:$B$15,0))</f>
        <v>0</v>
      </c>
      <c r="AD91" s="334">
        <f t="shared" si="98"/>
        <v>0</v>
      </c>
      <c r="AE91" s="328"/>
      <c r="AF91" s="328"/>
      <c r="AG91" s="327"/>
      <c r="AH91" s="327"/>
      <c r="AI91" s="327"/>
      <c r="AJ91" s="327"/>
      <c r="AK91" s="327"/>
      <c r="AL91" s="327"/>
      <c r="AM91" s="327"/>
      <c r="AN91" s="328"/>
      <c r="AO91" s="327"/>
      <c r="AP91" s="327"/>
      <c r="AQ91" s="327"/>
      <c r="AR91" s="327"/>
      <c r="AS91" s="327"/>
      <c r="AT91" s="327"/>
      <c r="AU91" s="327"/>
      <c r="AV91" s="328">
        <f t="shared" si="99"/>
        <v>0</v>
      </c>
      <c r="AW91" s="328">
        <f t="shared" si="100"/>
        <v>0</v>
      </c>
      <c r="AX91" s="328">
        <f t="shared" si="71"/>
        <v>0</v>
      </c>
      <c r="AY91" s="328" t="b">
        <f t="shared" si="72"/>
        <v>1</v>
      </c>
    </row>
    <row r="92" ht="27" customHeight="1" spans="1:51">
      <c r="A92" s="326" t="str">
        <f>INDEX('Rate Card'!$A:$A,MATCH($S92,'Rate Card'!$F:$F,0))</f>
        <v>注册</v>
      </c>
      <c r="B92" s="327" t="str">
        <f>INDEX(二三级标准!$G:$G,MATCH($J92,二三级标准!B:B,0))</f>
        <v>次</v>
      </c>
      <c r="C92" s="327">
        <f>INDEX(注册申报明细!$E:$E,MATCH($J92,注册申报明细!$B:$B,0))</f>
        <v>0</v>
      </c>
      <c r="D92" s="327" t="str">
        <f t="shared" si="93"/>
        <v>A201RAM</v>
      </c>
      <c r="E92" s="328"/>
      <c r="F92" s="328" t="s">
        <v>684</v>
      </c>
      <c r="G92" s="326" t="str">
        <f>INDEX('Rate Card'!$B:$B,MATCH($S92,'Rate Card'!$F:$F,0))</f>
        <v>注册</v>
      </c>
      <c r="H92" s="328" t="s">
        <v>1978</v>
      </c>
      <c r="I92" s="328" t="str">
        <f>INDEX(二三级标准!$Q:$Q,MATCH($H92,二三级标准!$O:$O,0))</f>
        <v>申报材料审核</v>
      </c>
      <c r="J92" s="328" t="s">
        <v>509</v>
      </c>
      <c r="K92" s="328" t="str">
        <f>INDEX(二三级标准!$C:$C,MATCH(注册申报底表!J92,二三级标准!$B:$B,0))</f>
        <v>CTD文件M2更新后二次审核</v>
      </c>
      <c r="L92" s="328" t="s">
        <v>2099</v>
      </c>
      <c r="M92" s="328" t="str">
        <f>INDEX(二三级标准!$M:$M,MATCH(注册申报底表!$L92,二三级标准!$L:$L,0))</f>
        <v>CTD文件M2更新后二次审核</v>
      </c>
      <c r="N92" s="328"/>
      <c r="O92" s="327">
        <f>IF($Q92=1,INDEX(注册申报明细!$E:$E,MATCH(注册申报底表!$J92,注册申报明细!$B:$B,0)),0)</f>
        <v>0</v>
      </c>
      <c r="P92" s="328" t="s">
        <v>1178</v>
      </c>
      <c r="Q92" s="329">
        <f>INDEX(注册申报明细!$D:$D,MATCH($J92,注册申报明细!$B:$B,0))</f>
        <v>0</v>
      </c>
      <c r="R92" s="328" t="str">
        <f>INDEX('Rate Card'!$D:$D,MATCH($S92,'Rate Card'!$F:$F,0))</f>
        <v>注册事务</v>
      </c>
      <c r="S92" s="328" t="s">
        <v>607</v>
      </c>
      <c r="T92" s="331">
        <f>INDEX('Rate Card'!$J:$J,MATCH($S92,'Rate Card'!$F:$F,0))</f>
        <v>650</v>
      </c>
      <c r="U92" s="331">
        <f t="shared" si="70"/>
        <v>5</v>
      </c>
      <c r="V92" s="327">
        <v>5</v>
      </c>
      <c r="W92" s="328"/>
      <c r="X92" s="332">
        <f t="shared" si="94"/>
        <v>5</v>
      </c>
      <c r="Y92" s="333">
        <f t="shared" si="95"/>
        <v>0</v>
      </c>
      <c r="Z92" s="328">
        <f t="shared" si="96"/>
        <v>0</v>
      </c>
      <c r="AA92" s="334">
        <f t="shared" si="97"/>
        <v>0</v>
      </c>
      <c r="AB92" s="334">
        <f>$Y92*(1-INDEX(项目参数!$D$5:$D$15,MATCH($R92,项目参数!$B$5:$B$15,0)))</f>
        <v>0</v>
      </c>
      <c r="AC92" s="334">
        <f>$AA92*INDEX(项目参数!$D$5:$D$15,MATCH($R92,项目参数!$B$5:$B$15,0))</f>
        <v>0</v>
      </c>
      <c r="AD92" s="334">
        <f t="shared" si="98"/>
        <v>0</v>
      </c>
      <c r="AE92" s="328"/>
      <c r="AF92" s="328"/>
      <c r="AG92" s="327"/>
      <c r="AH92" s="327"/>
      <c r="AI92" s="327"/>
      <c r="AJ92" s="327"/>
      <c r="AK92" s="327"/>
      <c r="AL92" s="327"/>
      <c r="AM92" s="327"/>
      <c r="AN92" s="328"/>
      <c r="AO92" s="327"/>
      <c r="AP92" s="327"/>
      <c r="AQ92" s="327"/>
      <c r="AR92" s="327"/>
      <c r="AS92" s="327"/>
      <c r="AT92" s="327"/>
      <c r="AU92" s="327"/>
      <c r="AV92" s="328">
        <f t="shared" si="99"/>
        <v>0</v>
      </c>
      <c r="AW92" s="328">
        <f t="shared" si="100"/>
        <v>0</v>
      </c>
      <c r="AX92" s="328">
        <f t="shared" si="71"/>
        <v>0</v>
      </c>
      <c r="AY92" s="328" t="b">
        <f t="shared" si="72"/>
        <v>0</v>
      </c>
    </row>
    <row r="93" ht="27" customHeight="1" spans="1:51">
      <c r="A93" s="326" t="str">
        <f>INDEX('Rate Card'!$A:$A,MATCH($S93,'Rate Card'!$F:$F,0))</f>
        <v>注册</v>
      </c>
      <c r="B93" s="327" t="str">
        <f>INDEX(二三级标准!$G:$G,MATCH($J93,二三级标准!B:B,0))</f>
        <v>次</v>
      </c>
      <c r="C93" s="327">
        <f>INDEX(注册申报明细!$E:$E,MATCH($J93,注册申报明细!$B:$B,0))</f>
        <v>0</v>
      </c>
      <c r="D93" s="327" t="str">
        <f t="shared" si="93"/>
        <v>A201RAD</v>
      </c>
      <c r="E93" s="328"/>
      <c r="F93" s="328" t="s">
        <v>684</v>
      </c>
      <c r="G93" s="326" t="str">
        <f>INDEX('Rate Card'!$B:$B,MATCH($S93,'Rate Card'!$F:$F,0))</f>
        <v>注册</v>
      </c>
      <c r="H93" s="328" t="s">
        <v>1978</v>
      </c>
      <c r="I93" s="328" t="str">
        <f>INDEX(二三级标准!$Q:$Q,MATCH($H93,二三级标准!$O:$O,0))</f>
        <v>申报材料审核</v>
      </c>
      <c r="J93" s="328" t="s">
        <v>509</v>
      </c>
      <c r="K93" s="328" t="str">
        <f>INDEX(二三级标准!$C:$C,MATCH(注册申报底表!J93,二三级标准!$B:$B,0))</f>
        <v>CTD文件M2更新后二次审核</v>
      </c>
      <c r="L93" s="328" t="s">
        <v>2099</v>
      </c>
      <c r="M93" s="328" t="str">
        <f>INDEX(二三级标准!$M:$M,MATCH(注册申报底表!$L93,二三级标准!$L:$L,0))</f>
        <v>CTD文件M2更新后二次审核</v>
      </c>
      <c r="N93" s="328"/>
      <c r="O93" s="327">
        <f>IF($Q93=1,INDEX(注册申报明细!$E:$E,MATCH(注册申报底表!$J93,注册申报明细!$B:$B,0)),0)</f>
        <v>0</v>
      </c>
      <c r="P93" s="328" t="s">
        <v>1178</v>
      </c>
      <c r="Q93" s="329">
        <f>INDEX(注册申报明细!$D:$D,MATCH($J93,注册申报明细!$B:$B,0))</f>
        <v>0</v>
      </c>
      <c r="R93" s="328" t="str">
        <f>INDEX('Rate Card'!$D:$D,MATCH($S93,'Rate Card'!$F:$F,0))</f>
        <v>注册事务</v>
      </c>
      <c r="S93" s="328" t="s">
        <v>609</v>
      </c>
      <c r="T93" s="331">
        <f>INDEX('Rate Card'!$J:$J,MATCH($S93,'Rate Card'!$F:$F,0))</f>
        <v>990</v>
      </c>
      <c r="U93" s="331">
        <f t="shared" ref="U93:U105" si="101">$U$1*V93</f>
        <v>2.5</v>
      </c>
      <c r="V93" s="327">
        <v>2.5</v>
      </c>
      <c r="W93" s="328"/>
      <c r="X93" s="332">
        <f t="shared" si="94"/>
        <v>2.5</v>
      </c>
      <c r="Y93" s="333">
        <f t="shared" si="95"/>
        <v>0</v>
      </c>
      <c r="Z93" s="328">
        <f t="shared" si="96"/>
        <v>0</v>
      </c>
      <c r="AA93" s="334">
        <f t="shared" si="97"/>
        <v>0</v>
      </c>
      <c r="AB93" s="334">
        <f>$Y93*(1-INDEX(项目参数!$D$5:$D$15,MATCH($R93,项目参数!$B$5:$B$15,0)))</f>
        <v>0</v>
      </c>
      <c r="AC93" s="334">
        <f>$AA93*INDEX(项目参数!$D$5:$D$15,MATCH($R93,项目参数!$B$5:$B$15,0))</f>
        <v>0</v>
      </c>
      <c r="AD93" s="334">
        <f t="shared" si="98"/>
        <v>0</v>
      </c>
      <c r="AE93" s="328"/>
      <c r="AF93" s="328"/>
      <c r="AG93" s="327"/>
      <c r="AH93" s="327"/>
      <c r="AI93" s="327"/>
      <c r="AJ93" s="327"/>
      <c r="AK93" s="327"/>
      <c r="AL93" s="327"/>
      <c r="AM93" s="327"/>
      <c r="AN93" s="328"/>
      <c r="AO93" s="327"/>
      <c r="AP93" s="327"/>
      <c r="AQ93" s="327"/>
      <c r="AR93" s="327"/>
      <c r="AS93" s="327"/>
      <c r="AT93" s="327"/>
      <c r="AU93" s="327"/>
      <c r="AV93" s="328">
        <f t="shared" si="99"/>
        <v>0</v>
      </c>
      <c r="AW93" s="328">
        <f t="shared" si="100"/>
        <v>0</v>
      </c>
      <c r="AX93" s="328">
        <f t="shared" ref="AX93:AX105" si="102">AW93*$U$1</f>
        <v>0</v>
      </c>
      <c r="AY93" s="328" t="b">
        <f t="shared" si="72"/>
        <v>0</v>
      </c>
    </row>
    <row r="94" ht="27" customHeight="1" spans="1:51">
      <c r="A94" s="326" t="str">
        <f>INDEX('Rate Card'!$A:$A,MATCH($S94,'Rate Card'!$F:$F,0))</f>
        <v>注册</v>
      </c>
      <c r="B94" s="327" t="str">
        <f>INDEX(二三级标准!$G:$G,MATCH($J94,二三级标准!B:B,0))</f>
        <v>次</v>
      </c>
      <c r="C94" s="327">
        <f>INDEX(注册申报明细!$E:$E,MATCH($J94,注册申报明细!$B:$B,0))</f>
        <v>0</v>
      </c>
      <c r="D94" s="327" t="str">
        <f t="shared" si="93"/>
        <v>A202RAM</v>
      </c>
      <c r="E94" s="328"/>
      <c r="F94" s="328" t="s">
        <v>684</v>
      </c>
      <c r="G94" s="326" t="str">
        <f>INDEX('Rate Card'!$B:$B,MATCH($S94,'Rate Card'!$F:$F,0))</f>
        <v>注册</v>
      </c>
      <c r="H94" s="328" t="s">
        <v>1978</v>
      </c>
      <c r="I94" s="328" t="str">
        <f>INDEX(二三级标准!$Q:$Q,MATCH($H94,二三级标准!$O:$O,0))</f>
        <v>申报材料审核</v>
      </c>
      <c r="J94" s="328" t="s">
        <v>511</v>
      </c>
      <c r="K94" s="328" t="str">
        <f>INDEX(二三级标准!$C:$C,MATCH(注册申报底表!J94,二三级标准!$B:$B,0))</f>
        <v>CTD文件M3更新后二次审核</v>
      </c>
      <c r="L94" s="328" t="s">
        <v>2100</v>
      </c>
      <c r="M94" s="328" t="str">
        <f>INDEX(二三级标准!$M:$M,MATCH(注册申报底表!$L94,二三级标准!$L:$L,0))</f>
        <v>CTD文件M3更新后二次审核</v>
      </c>
      <c r="N94" s="328"/>
      <c r="O94" s="327">
        <f>IF($Q94=1,INDEX(注册申报明细!$E:$E,MATCH(注册申报底表!$J94,注册申报明细!$B:$B,0)),0)</f>
        <v>0</v>
      </c>
      <c r="P94" s="328" t="s">
        <v>1178</v>
      </c>
      <c r="Q94" s="329">
        <f>INDEX(注册申报明细!$D:$D,MATCH($J94,注册申报明细!$B:$B,0))</f>
        <v>0</v>
      </c>
      <c r="R94" s="328" t="str">
        <f>INDEX('Rate Card'!$D:$D,MATCH($S94,'Rate Card'!$F:$F,0))</f>
        <v>注册事务</v>
      </c>
      <c r="S94" s="328" t="s">
        <v>607</v>
      </c>
      <c r="T94" s="331">
        <f>INDEX('Rate Card'!$J:$J,MATCH($S94,'Rate Card'!$F:$F,0))</f>
        <v>650</v>
      </c>
      <c r="U94" s="331">
        <f t="shared" si="101"/>
        <v>12</v>
      </c>
      <c r="V94" s="327">
        <v>12</v>
      </c>
      <c r="W94" s="328"/>
      <c r="X94" s="332">
        <f t="shared" si="94"/>
        <v>12</v>
      </c>
      <c r="Y94" s="333">
        <f t="shared" si="95"/>
        <v>0</v>
      </c>
      <c r="Z94" s="328">
        <f t="shared" si="96"/>
        <v>0</v>
      </c>
      <c r="AA94" s="334">
        <f t="shared" si="97"/>
        <v>0</v>
      </c>
      <c r="AB94" s="334">
        <f>$Y94*(1-INDEX(项目参数!$D$5:$D$15,MATCH($R94,项目参数!$B$5:$B$15,0)))</f>
        <v>0</v>
      </c>
      <c r="AC94" s="334">
        <f>$AA94*INDEX(项目参数!$D$5:$D$15,MATCH($R94,项目参数!$B$5:$B$15,0))</f>
        <v>0</v>
      </c>
      <c r="AD94" s="334">
        <f t="shared" si="98"/>
        <v>0</v>
      </c>
      <c r="AE94" s="328"/>
      <c r="AF94" s="328"/>
      <c r="AG94" s="327"/>
      <c r="AH94" s="328"/>
      <c r="AI94" s="328"/>
      <c r="AJ94" s="328"/>
      <c r="AK94" s="328"/>
      <c r="AL94" s="328"/>
      <c r="AM94" s="328"/>
      <c r="AN94" s="328"/>
      <c r="AO94" s="327"/>
      <c r="AP94" s="328"/>
      <c r="AQ94" s="328"/>
      <c r="AR94" s="328"/>
      <c r="AS94" s="328"/>
      <c r="AT94" s="328"/>
      <c r="AU94" s="328"/>
      <c r="AV94" s="328">
        <f t="shared" si="99"/>
        <v>0</v>
      </c>
      <c r="AW94" s="328">
        <f t="shared" si="100"/>
        <v>0</v>
      </c>
      <c r="AX94" s="328">
        <f t="shared" si="102"/>
        <v>0</v>
      </c>
      <c r="AY94" s="328" t="b">
        <f t="shared" si="72"/>
        <v>1</v>
      </c>
    </row>
    <row r="95" ht="27" customHeight="1" spans="1:51">
      <c r="A95" s="326" t="str">
        <f>INDEX('Rate Card'!$A:$A,MATCH($S95,'Rate Card'!$F:$F,0))</f>
        <v>注册</v>
      </c>
      <c r="B95" s="327" t="str">
        <f>INDEX(二三级标准!$G:$G,MATCH($J95,二三级标准!B:B,0))</f>
        <v>次</v>
      </c>
      <c r="C95" s="327">
        <f>INDEX(注册申报明细!$E:$E,MATCH($J95,注册申报明细!$B:$B,0))</f>
        <v>0</v>
      </c>
      <c r="D95" s="327" t="str">
        <f t="shared" si="93"/>
        <v>A202RAD</v>
      </c>
      <c r="E95" s="328"/>
      <c r="F95" s="328" t="s">
        <v>684</v>
      </c>
      <c r="G95" s="326" t="str">
        <f>INDEX('Rate Card'!$B:$B,MATCH($S95,'Rate Card'!$F:$F,0))</f>
        <v>注册</v>
      </c>
      <c r="H95" s="328" t="s">
        <v>1978</v>
      </c>
      <c r="I95" s="328" t="str">
        <f>INDEX(二三级标准!$Q:$Q,MATCH($H95,二三级标准!$O:$O,0))</f>
        <v>申报材料审核</v>
      </c>
      <c r="J95" s="328" t="s">
        <v>511</v>
      </c>
      <c r="K95" s="328" t="str">
        <f>INDEX(二三级标准!$C:$C,MATCH(注册申报底表!J95,二三级标准!$B:$B,0))</f>
        <v>CTD文件M3更新后二次审核</v>
      </c>
      <c r="L95" s="328" t="s">
        <v>2100</v>
      </c>
      <c r="M95" s="328" t="str">
        <f>INDEX(二三级标准!$M:$M,MATCH(注册申报底表!$L95,二三级标准!$L:$L,0))</f>
        <v>CTD文件M3更新后二次审核</v>
      </c>
      <c r="N95" s="328"/>
      <c r="O95" s="327">
        <f>IF($Q95=1,INDEX(注册申报明细!$E:$E,MATCH(注册申报底表!$J95,注册申报明细!$B:$B,0)),0)</f>
        <v>0</v>
      </c>
      <c r="P95" s="328" t="s">
        <v>1178</v>
      </c>
      <c r="Q95" s="329">
        <f>INDEX(注册申报明细!$D:$D,MATCH($J95,注册申报明细!$B:$B,0))</f>
        <v>0</v>
      </c>
      <c r="R95" s="328" t="str">
        <f>INDEX('Rate Card'!$D:$D,MATCH($S95,'Rate Card'!$F:$F,0))</f>
        <v>注册事务</v>
      </c>
      <c r="S95" s="328" t="s">
        <v>609</v>
      </c>
      <c r="T95" s="331">
        <f>INDEX('Rate Card'!$J:$J,MATCH($S95,'Rate Card'!$F:$F,0))</f>
        <v>990</v>
      </c>
      <c r="U95" s="331">
        <f t="shared" si="101"/>
        <v>2</v>
      </c>
      <c r="V95" s="327">
        <v>2</v>
      </c>
      <c r="W95" s="328"/>
      <c r="X95" s="332">
        <f t="shared" si="94"/>
        <v>2</v>
      </c>
      <c r="Y95" s="333">
        <f t="shared" si="95"/>
        <v>0</v>
      </c>
      <c r="Z95" s="328">
        <f t="shared" si="96"/>
        <v>0</v>
      </c>
      <c r="AA95" s="334">
        <f t="shared" si="97"/>
        <v>0</v>
      </c>
      <c r="AB95" s="334">
        <f>$Y95*(1-INDEX(项目参数!$D$5:$D$15,MATCH($R95,项目参数!$B$5:$B$15,0)))</f>
        <v>0</v>
      </c>
      <c r="AC95" s="334">
        <f>$AA95*INDEX(项目参数!$D$5:$D$15,MATCH($R95,项目参数!$B$5:$B$15,0))</f>
        <v>0</v>
      </c>
      <c r="AD95" s="334">
        <f t="shared" si="98"/>
        <v>0</v>
      </c>
      <c r="AE95" s="328"/>
      <c r="AF95" s="328"/>
      <c r="AG95" s="327"/>
      <c r="AH95" s="328"/>
      <c r="AI95" s="328"/>
      <c r="AJ95" s="328"/>
      <c r="AK95" s="328"/>
      <c r="AL95" s="328"/>
      <c r="AM95" s="328"/>
      <c r="AN95" s="328"/>
      <c r="AO95" s="327"/>
      <c r="AP95" s="328"/>
      <c r="AQ95" s="328"/>
      <c r="AR95" s="328"/>
      <c r="AS95" s="328"/>
      <c r="AT95" s="328"/>
      <c r="AU95" s="328"/>
      <c r="AV95" s="328">
        <f t="shared" si="99"/>
        <v>0</v>
      </c>
      <c r="AW95" s="328">
        <f t="shared" si="100"/>
        <v>0</v>
      </c>
      <c r="AX95" s="328">
        <f t="shared" si="102"/>
        <v>0</v>
      </c>
      <c r="AY95" s="328" t="b">
        <f t="shared" si="72"/>
        <v>1</v>
      </c>
    </row>
    <row r="96" ht="27" customHeight="1" spans="1:51">
      <c r="A96" s="326" t="str">
        <f>INDEX('Rate Card'!$A:$A,MATCH($S96,'Rate Card'!$F:$F,0))</f>
        <v>注册</v>
      </c>
      <c r="B96" s="327" t="str">
        <f>INDEX(二三级标准!$G:$G,MATCH($J96,二三级标准!B:B,0))</f>
        <v>次</v>
      </c>
      <c r="C96" s="327">
        <f>INDEX(注册申报明细!$E:$E,MATCH($J96,注册申报明细!$B:$B,0))</f>
        <v>0</v>
      </c>
      <c r="D96" s="327" t="str">
        <f t="shared" si="93"/>
        <v>A203RAM</v>
      </c>
      <c r="E96" s="328"/>
      <c r="F96" s="328" t="s">
        <v>684</v>
      </c>
      <c r="G96" s="326" t="str">
        <f>INDEX('Rate Card'!$B:$B,MATCH($S96,'Rate Card'!$F:$F,0))</f>
        <v>注册</v>
      </c>
      <c r="H96" s="328" t="s">
        <v>1978</v>
      </c>
      <c r="I96" s="328" t="str">
        <f>INDEX(二三级标准!$Q:$Q,MATCH($H96,二三级标准!$O:$O,0))</f>
        <v>申报材料审核</v>
      </c>
      <c r="J96" s="328" t="s">
        <v>513</v>
      </c>
      <c r="K96" s="328" t="str">
        <f>INDEX(二三级标准!$C:$C,MATCH(注册申报底表!J96,二三级标准!$B:$B,0))</f>
        <v>CTD文件M4更新后二次审核</v>
      </c>
      <c r="L96" s="328" t="s">
        <v>2101</v>
      </c>
      <c r="M96" s="328" t="str">
        <f>INDEX(二三级标准!$M:$M,MATCH(注册申报底表!$L96,二三级标准!$L:$L,0))</f>
        <v>CTD文件M4更新后二次审核</v>
      </c>
      <c r="N96" s="328"/>
      <c r="O96" s="327">
        <f>IF($Q96=1,INDEX(注册申报明细!$E:$E,MATCH(注册申报底表!$J96,注册申报明细!$B:$B,0)),0)</f>
        <v>0</v>
      </c>
      <c r="P96" s="328" t="s">
        <v>1178</v>
      </c>
      <c r="Q96" s="329">
        <f>INDEX(注册申报明细!$D:$D,MATCH($J96,注册申报明细!$B:$B,0))</f>
        <v>0</v>
      </c>
      <c r="R96" s="328" t="str">
        <f>INDEX('Rate Card'!$D:$D,MATCH($S96,'Rate Card'!$F:$F,0))</f>
        <v>注册事务</v>
      </c>
      <c r="S96" s="328" t="s">
        <v>607</v>
      </c>
      <c r="T96" s="331">
        <f>INDEX('Rate Card'!$J:$J,MATCH($S96,'Rate Card'!$F:$F,0))</f>
        <v>650</v>
      </c>
      <c r="U96" s="331">
        <f t="shared" si="101"/>
        <v>5</v>
      </c>
      <c r="V96" s="327">
        <v>5</v>
      </c>
      <c r="W96" s="328"/>
      <c r="X96" s="332">
        <f t="shared" si="94"/>
        <v>5</v>
      </c>
      <c r="Y96" s="333">
        <f t="shared" si="95"/>
        <v>0</v>
      </c>
      <c r="Z96" s="328">
        <f t="shared" si="96"/>
        <v>0</v>
      </c>
      <c r="AA96" s="334">
        <f t="shared" si="97"/>
        <v>0</v>
      </c>
      <c r="AB96" s="334">
        <f>$Y96*(1-INDEX(项目参数!$D$5:$D$15,MATCH($R96,项目参数!$B$5:$B$15,0)))</f>
        <v>0</v>
      </c>
      <c r="AC96" s="334">
        <f>$AA96*INDEX(项目参数!$D$5:$D$15,MATCH($R96,项目参数!$B$5:$B$15,0))</f>
        <v>0</v>
      </c>
      <c r="AD96" s="334">
        <f t="shared" si="98"/>
        <v>0</v>
      </c>
      <c r="AE96" s="328"/>
      <c r="AF96" s="328"/>
      <c r="AG96" s="327"/>
      <c r="AH96" s="328"/>
      <c r="AI96" s="328"/>
      <c r="AJ96" s="328"/>
      <c r="AK96" s="328"/>
      <c r="AL96" s="328"/>
      <c r="AM96" s="328"/>
      <c r="AN96" s="328"/>
      <c r="AO96" s="327"/>
      <c r="AP96" s="328"/>
      <c r="AQ96" s="328"/>
      <c r="AR96" s="328"/>
      <c r="AS96" s="328"/>
      <c r="AT96" s="328"/>
      <c r="AU96" s="328"/>
      <c r="AV96" s="328">
        <f t="shared" si="99"/>
        <v>0</v>
      </c>
      <c r="AW96" s="328">
        <f t="shared" si="100"/>
        <v>0</v>
      </c>
      <c r="AX96" s="328">
        <f t="shared" si="102"/>
        <v>0</v>
      </c>
      <c r="AY96" s="328" t="b">
        <f t="shared" si="72"/>
        <v>0</v>
      </c>
    </row>
    <row r="97" ht="27" customHeight="1" spans="1:51">
      <c r="A97" s="326" t="str">
        <f>INDEX('Rate Card'!$A:$A,MATCH($S97,'Rate Card'!$F:$F,0))</f>
        <v>注册</v>
      </c>
      <c r="B97" s="327" t="str">
        <f>INDEX(二三级标准!$G:$G,MATCH($J97,二三级标准!B:B,0))</f>
        <v>次</v>
      </c>
      <c r="C97" s="327">
        <f>INDEX(注册申报明细!$E:$E,MATCH($J97,注册申报明细!$B:$B,0))</f>
        <v>0</v>
      </c>
      <c r="D97" s="327" t="str">
        <f t="shared" si="93"/>
        <v>A203RAD</v>
      </c>
      <c r="E97" s="328"/>
      <c r="F97" s="328" t="s">
        <v>684</v>
      </c>
      <c r="G97" s="326" t="str">
        <f>INDEX('Rate Card'!$B:$B,MATCH($S97,'Rate Card'!$F:$F,0))</f>
        <v>注册</v>
      </c>
      <c r="H97" s="328" t="s">
        <v>1978</v>
      </c>
      <c r="I97" s="328" t="str">
        <f>INDEX(二三级标准!$Q:$Q,MATCH($H97,二三级标准!$O:$O,0))</f>
        <v>申报材料审核</v>
      </c>
      <c r="J97" s="328" t="s">
        <v>513</v>
      </c>
      <c r="K97" s="328" t="str">
        <f>INDEX(二三级标准!$C:$C,MATCH(注册申报底表!J97,二三级标准!$B:$B,0))</f>
        <v>CTD文件M4更新后二次审核</v>
      </c>
      <c r="L97" s="328" t="s">
        <v>2101</v>
      </c>
      <c r="M97" s="328" t="str">
        <f>INDEX(二三级标准!$M:$M,MATCH(注册申报底表!$L97,二三级标准!$L:$L,0))</f>
        <v>CTD文件M4更新后二次审核</v>
      </c>
      <c r="N97" s="328"/>
      <c r="O97" s="327">
        <f>IF($Q97=1,INDEX(注册申报明细!$E:$E,MATCH(注册申报底表!$J97,注册申报明细!$B:$B,0)),0)</f>
        <v>0</v>
      </c>
      <c r="P97" s="328" t="s">
        <v>1178</v>
      </c>
      <c r="Q97" s="329">
        <f>INDEX(注册申报明细!$D:$D,MATCH($J97,注册申报明细!$B:$B,0))</f>
        <v>0</v>
      </c>
      <c r="R97" s="328" t="str">
        <f>INDEX('Rate Card'!$D:$D,MATCH($S97,'Rate Card'!$F:$F,0))</f>
        <v>注册事务</v>
      </c>
      <c r="S97" s="328" t="s">
        <v>609</v>
      </c>
      <c r="T97" s="331">
        <f>INDEX('Rate Card'!$J:$J,MATCH($S97,'Rate Card'!$F:$F,0))</f>
        <v>990</v>
      </c>
      <c r="U97" s="331">
        <f t="shared" si="101"/>
        <v>2.5</v>
      </c>
      <c r="V97" s="327">
        <v>2.5</v>
      </c>
      <c r="W97" s="328"/>
      <c r="X97" s="332">
        <f t="shared" si="94"/>
        <v>2.5</v>
      </c>
      <c r="Y97" s="333">
        <f t="shared" si="95"/>
        <v>0</v>
      </c>
      <c r="Z97" s="328">
        <f t="shared" si="96"/>
        <v>0</v>
      </c>
      <c r="AA97" s="334">
        <f t="shared" si="97"/>
        <v>0</v>
      </c>
      <c r="AB97" s="334">
        <f>$Y97*(1-INDEX(项目参数!$D$5:$D$15,MATCH($R97,项目参数!$B$5:$B$15,0)))</f>
        <v>0</v>
      </c>
      <c r="AC97" s="334">
        <f>$AA97*INDEX(项目参数!$D$5:$D$15,MATCH($R97,项目参数!$B$5:$B$15,0))</f>
        <v>0</v>
      </c>
      <c r="AD97" s="334">
        <f t="shared" si="98"/>
        <v>0</v>
      </c>
      <c r="AE97" s="328"/>
      <c r="AF97" s="328"/>
      <c r="AG97" s="327"/>
      <c r="AH97" s="328"/>
      <c r="AI97" s="328"/>
      <c r="AJ97" s="328"/>
      <c r="AK97" s="328"/>
      <c r="AL97" s="328"/>
      <c r="AM97" s="328"/>
      <c r="AN97" s="328"/>
      <c r="AO97" s="327"/>
      <c r="AP97" s="328"/>
      <c r="AQ97" s="328"/>
      <c r="AR97" s="328"/>
      <c r="AS97" s="328"/>
      <c r="AT97" s="328"/>
      <c r="AU97" s="328"/>
      <c r="AV97" s="328">
        <f t="shared" si="99"/>
        <v>0</v>
      </c>
      <c r="AW97" s="328">
        <f t="shared" si="100"/>
        <v>0</v>
      </c>
      <c r="AX97" s="328">
        <f t="shared" si="102"/>
        <v>0</v>
      </c>
      <c r="AY97" s="328" t="b">
        <f t="shared" si="72"/>
        <v>0</v>
      </c>
    </row>
    <row r="98" ht="27" customHeight="1" spans="1:51">
      <c r="A98" s="326" t="str">
        <f>INDEX('Rate Card'!$A:$A,MATCH($S98,'Rate Card'!$F:$F,0))</f>
        <v>注册</v>
      </c>
      <c r="B98" s="327" t="str">
        <f>INDEX(二三级标准!$G:$G,MATCH($J98,二三级标准!B:B,0))</f>
        <v>次</v>
      </c>
      <c r="C98" s="327">
        <f>INDEX(注册申报明细!$E:$E,MATCH($J98,注册申报明细!$B:$B,0))</f>
        <v>0</v>
      </c>
      <c r="D98" s="327" t="str">
        <f t="shared" si="93"/>
        <v>A283RAM</v>
      </c>
      <c r="E98" s="328"/>
      <c r="F98" s="328" t="s">
        <v>684</v>
      </c>
      <c r="G98" s="326" t="str">
        <f>INDEX('Rate Card'!$B:$B,MATCH($S98,'Rate Card'!$F:$F,0))</f>
        <v>注册</v>
      </c>
      <c r="H98" s="328" t="s">
        <v>1978</v>
      </c>
      <c r="I98" s="328" t="str">
        <f>INDEX(二三级标准!$Q:$Q,MATCH($H98,二三级标准!$O:$O,0))</f>
        <v>申报材料审核</v>
      </c>
      <c r="J98" s="328" t="s">
        <v>1979</v>
      </c>
      <c r="K98" s="328" t="str">
        <f>INDEX(二三级标准!$C:$C,MATCH(注册申报底表!J98,二三级标准!$B:$B,0))</f>
        <v>CTD文件M5更新后二次审核</v>
      </c>
      <c r="L98" s="328" t="s">
        <v>2102</v>
      </c>
      <c r="M98" s="328" t="str">
        <f>INDEX(二三级标准!$M:$M,MATCH(注册申报底表!$L98,二三级标准!$L:$L,0))</f>
        <v>CTD文件M5更新后二次审核</v>
      </c>
      <c r="N98" s="328"/>
      <c r="O98" s="327">
        <f>IF($Q98=1,INDEX(注册申报明细!$E:$E,MATCH(注册申报底表!$J98,注册申报明细!$B:$B,0)),0)</f>
        <v>0</v>
      </c>
      <c r="P98" s="328" t="s">
        <v>1178</v>
      </c>
      <c r="Q98" s="329">
        <f>INDEX(注册申报明细!$D:$D,MATCH($J98,注册申报明细!$B:$B,0))</f>
        <v>0</v>
      </c>
      <c r="R98" s="328" t="str">
        <f>INDEX('Rate Card'!$D:$D,MATCH($S98,'Rate Card'!$F:$F,0))</f>
        <v>注册事务</v>
      </c>
      <c r="S98" s="328" t="s">
        <v>607</v>
      </c>
      <c r="T98" s="331">
        <f>INDEX('Rate Card'!$J:$J,MATCH($S98,'Rate Card'!$F:$F,0))</f>
        <v>650</v>
      </c>
      <c r="U98" s="331">
        <f t="shared" si="101"/>
        <v>5</v>
      </c>
      <c r="V98" s="327">
        <v>5</v>
      </c>
      <c r="W98" s="328"/>
      <c r="X98" s="332">
        <f t="shared" si="94"/>
        <v>5</v>
      </c>
      <c r="Y98" s="333">
        <f t="shared" si="95"/>
        <v>0</v>
      </c>
      <c r="Z98" s="328">
        <f t="shared" si="96"/>
        <v>0</v>
      </c>
      <c r="AA98" s="334">
        <f t="shared" si="97"/>
        <v>0</v>
      </c>
      <c r="AB98" s="334">
        <f>$Y98*(1-INDEX(项目参数!$D$5:$D$15,MATCH($R98,项目参数!$B$5:$B$15,0)))</f>
        <v>0</v>
      </c>
      <c r="AC98" s="334">
        <f>$AA98*INDEX(项目参数!$D$5:$D$15,MATCH($R98,项目参数!$B$5:$B$15,0))</f>
        <v>0</v>
      </c>
      <c r="AD98" s="334">
        <f t="shared" si="98"/>
        <v>0</v>
      </c>
      <c r="AE98" s="328"/>
      <c r="AF98" s="328"/>
      <c r="AG98" s="327"/>
      <c r="AH98" s="328"/>
      <c r="AI98" s="328"/>
      <c r="AJ98" s="328"/>
      <c r="AK98" s="328"/>
      <c r="AL98" s="328"/>
      <c r="AM98" s="328"/>
      <c r="AN98" s="328"/>
      <c r="AO98" s="327"/>
      <c r="AP98" s="328"/>
      <c r="AQ98" s="328"/>
      <c r="AR98" s="328"/>
      <c r="AS98" s="328"/>
      <c r="AT98" s="328"/>
      <c r="AU98" s="328"/>
      <c r="AV98" s="328">
        <f t="shared" si="99"/>
        <v>0</v>
      </c>
      <c r="AW98" s="328">
        <f t="shared" si="100"/>
        <v>0</v>
      </c>
      <c r="AX98" s="328">
        <f t="shared" si="102"/>
        <v>0</v>
      </c>
      <c r="AY98" s="328" t="b">
        <f t="shared" si="72"/>
        <v>1</v>
      </c>
    </row>
    <row r="99" ht="27" customHeight="1" spans="1:51">
      <c r="A99" s="326" t="str">
        <f>INDEX('Rate Card'!$A:$A,MATCH($S99,'Rate Card'!$F:$F,0))</f>
        <v>注册</v>
      </c>
      <c r="B99" s="327" t="str">
        <f>INDEX(二三级标准!$G:$G,MATCH($J99,二三级标准!B:B,0))</f>
        <v>次</v>
      </c>
      <c r="C99" s="327">
        <f>INDEX(注册申报明细!$E:$E,MATCH($J99,注册申报明细!$B:$B,0))</f>
        <v>0</v>
      </c>
      <c r="D99" s="327" t="str">
        <f t="shared" si="93"/>
        <v>A283RAD</v>
      </c>
      <c r="E99" s="328"/>
      <c r="F99" s="328" t="s">
        <v>684</v>
      </c>
      <c r="G99" s="326" t="str">
        <f>INDEX('Rate Card'!$B:$B,MATCH($S99,'Rate Card'!$F:$F,0))</f>
        <v>注册</v>
      </c>
      <c r="H99" s="328" t="s">
        <v>1978</v>
      </c>
      <c r="I99" s="328" t="str">
        <f>INDEX(二三级标准!$Q:$Q,MATCH($H99,二三级标准!$O:$O,0))</f>
        <v>申报材料审核</v>
      </c>
      <c r="J99" s="328" t="s">
        <v>1979</v>
      </c>
      <c r="K99" s="328" t="str">
        <f>INDEX(二三级标准!$C:$C,MATCH(注册申报底表!J99,二三级标准!$B:$B,0))</f>
        <v>CTD文件M5更新后二次审核</v>
      </c>
      <c r="L99" s="328" t="s">
        <v>2102</v>
      </c>
      <c r="M99" s="328" t="str">
        <f>INDEX(二三级标准!$M:$M,MATCH(注册申报底表!$L99,二三级标准!$L:$L,0))</f>
        <v>CTD文件M5更新后二次审核</v>
      </c>
      <c r="N99" s="328"/>
      <c r="O99" s="327">
        <f>IF($Q99=1,INDEX(注册申报明细!$E:$E,MATCH(注册申报底表!$J99,注册申报明细!$B:$B,0)),0)</f>
        <v>0</v>
      </c>
      <c r="P99" s="328" t="s">
        <v>1178</v>
      </c>
      <c r="Q99" s="329">
        <f>INDEX(注册申报明细!$D:$D,MATCH($J99,注册申报明细!$B:$B,0))</f>
        <v>0</v>
      </c>
      <c r="R99" s="328" t="str">
        <f>INDEX('Rate Card'!$D:$D,MATCH($S99,'Rate Card'!$F:$F,0))</f>
        <v>注册事务</v>
      </c>
      <c r="S99" s="328" t="s">
        <v>609</v>
      </c>
      <c r="T99" s="331">
        <f>INDEX('Rate Card'!$J:$J,MATCH($S99,'Rate Card'!$F:$F,0))</f>
        <v>990</v>
      </c>
      <c r="U99" s="331">
        <f t="shared" si="101"/>
        <v>2.5</v>
      </c>
      <c r="V99" s="327">
        <v>2.5</v>
      </c>
      <c r="W99" s="328"/>
      <c r="X99" s="332">
        <f t="shared" si="94"/>
        <v>2.5</v>
      </c>
      <c r="Y99" s="333">
        <f t="shared" si="95"/>
        <v>0</v>
      </c>
      <c r="Z99" s="328">
        <f t="shared" si="96"/>
        <v>0</v>
      </c>
      <c r="AA99" s="334">
        <f t="shared" si="97"/>
        <v>0</v>
      </c>
      <c r="AB99" s="334">
        <f>$Y99*(1-INDEX(项目参数!$D$5:$D$15,MATCH($R99,项目参数!$B$5:$B$15,0)))</f>
        <v>0</v>
      </c>
      <c r="AC99" s="334">
        <f>$AA99*INDEX(项目参数!$D$5:$D$15,MATCH($R99,项目参数!$B$5:$B$15,0))</f>
        <v>0</v>
      </c>
      <c r="AD99" s="334">
        <f t="shared" si="98"/>
        <v>0</v>
      </c>
      <c r="AE99" s="328"/>
      <c r="AF99" s="328"/>
      <c r="AG99" s="327"/>
      <c r="AH99" s="328"/>
      <c r="AI99" s="328"/>
      <c r="AJ99" s="328"/>
      <c r="AK99" s="328"/>
      <c r="AL99" s="328"/>
      <c r="AM99" s="328"/>
      <c r="AN99" s="328"/>
      <c r="AO99" s="327"/>
      <c r="AP99" s="328"/>
      <c r="AQ99" s="328"/>
      <c r="AR99" s="328"/>
      <c r="AS99" s="328"/>
      <c r="AT99" s="328"/>
      <c r="AU99" s="328"/>
      <c r="AV99" s="328">
        <f t="shared" si="99"/>
        <v>0</v>
      </c>
      <c r="AW99" s="328">
        <f t="shared" si="100"/>
        <v>0</v>
      </c>
      <c r="AX99" s="328">
        <f t="shared" si="102"/>
        <v>0</v>
      </c>
      <c r="AY99" s="328" t="b">
        <f t="shared" si="72"/>
        <v>1</v>
      </c>
    </row>
    <row r="100" ht="27" customHeight="1" spans="1:51">
      <c r="A100" s="326" t="str">
        <f>INDEX('Rate Card'!$A:$A,MATCH($S100,'Rate Card'!$F:$F,0))</f>
        <v>注册</v>
      </c>
      <c r="B100" s="327" t="str">
        <f>INDEX(二三级标准!$G:$G,MATCH($J100,二三级标准!B:B,0))</f>
        <v>次</v>
      </c>
      <c r="C100" s="327">
        <f>INDEX(注册申报明细!$E:$E,MATCH($J100,注册申报明细!$B:$B,0))</f>
        <v>0</v>
      </c>
      <c r="D100" s="327" t="str">
        <f t="shared" si="93"/>
        <v>A204RAM</v>
      </c>
      <c r="E100" s="328"/>
      <c r="F100" s="328" t="s">
        <v>684</v>
      </c>
      <c r="G100" s="326" t="str">
        <f>INDEX('Rate Card'!$B:$B,MATCH($S100,'Rate Card'!$F:$F,0))</f>
        <v>注册</v>
      </c>
      <c r="H100" s="328" t="s">
        <v>1980</v>
      </c>
      <c r="I100" s="328" t="str">
        <f>INDEX(二三级标准!$Q:$Q,MATCH($H100,二三级标准!$O:$O,0))</f>
        <v>IND递交</v>
      </c>
      <c r="J100" s="328" t="s">
        <v>515</v>
      </c>
      <c r="K100" s="328" t="str">
        <f>INDEX(二三级标准!$C:$C,MATCH(注册申报底表!J100,二三级标准!$B:$B,0))</f>
        <v>IND递交</v>
      </c>
      <c r="L100" s="328" t="s">
        <v>2103</v>
      </c>
      <c r="M100" s="328" t="str">
        <f>INDEX(二三级标准!$M:$M,MATCH(注册申报底表!$L100,二三级标准!$L:$L,0))</f>
        <v>IND递交</v>
      </c>
      <c r="N100" s="328"/>
      <c r="O100" s="327">
        <f>IF($Q100=1,INDEX(注册申报明细!$E:$E,MATCH(注册申报底表!$J100,注册申报明细!$B:$B,0)),0)</f>
        <v>0</v>
      </c>
      <c r="P100" s="328" t="s">
        <v>1178</v>
      </c>
      <c r="Q100" s="329">
        <f>INDEX(注册申报明细!$D:$D,MATCH($J100,注册申报明细!$B:$B,0))</f>
        <v>0</v>
      </c>
      <c r="R100" s="328" t="str">
        <f>INDEX('Rate Card'!$D:$D,MATCH($S100,'Rate Card'!$F:$F,0))</f>
        <v>注册事务</v>
      </c>
      <c r="S100" s="328" t="s">
        <v>607</v>
      </c>
      <c r="T100" s="331">
        <f>INDEX('Rate Card'!$J:$J,MATCH($S100,'Rate Card'!$F:$F,0))</f>
        <v>650</v>
      </c>
      <c r="U100" s="331">
        <f t="shared" si="101"/>
        <v>32</v>
      </c>
      <c r="V100" s="336">
        <v>32</v>
      </c>
      <c r="W100" s="328"/>
      <c r="X100" s="332">
        <f t="shared" si="94"/>
        <v>32</v>
      </c>
      <c r="Y100" s="333">
        <f t="shared" si="95"/>
        <v>0</v>
      </c>
      <c r="Z100" s="328">
        <f t="shared" si="96"/>
        <v>0</v>
      </c>
      <c r="AA100" s="334">
        <f t="shared" si="97"/>
        <v>0</v>
      </c>
      <c r="AB100" s="334">
        <f>$Y100*(1-INDEX(项目参数!$D$5:$D$15,MATCH($R100,项目参数!$B$5:$B$15,0)))</f>
        <v>0</v>
      </c>
      <c r="AC100" s="334">
        <f>$AA100*INDEX(项目参数!$D$5:$D$15,MATCH($R100,项目参数!$B$5:$B$15,0))</f>
        <v>0</v>
      </c>
      <c r="AD100" s="334">
        <f t="shared" si="98"/>
        <v>0</v>
      </c>
      <c r="AE100" s="328"/>
      <c r="AF100" s="328"/>
      <c r="AG100" s="327"/>
      <c r="AH100" s="328"/>
      <c r="AI100" s="328"/>
      <c r="AJ100" s="328"/>
      <c r="AK100" s="328"/>
      <c r="AL100" s="328"/>
      <c r="AM100" s="328"/>
      <c r="AN100" s="328"/>
      <c r="AO100" s="327"/>
      <c r="AP100" s="328"/>
      <c r="AQ100" s="328"/>
      <c r="AR100" s="328"/>
      <c r="AS100" s="328"/>
      <c r="AT100" s="328"/>
      <c r="AU100" s="328"/>
      <c r="AV100" s="328">
        <f t="shared" si="99"/>
        <v>0</v>
      </c>
      <c r="AW100" s="328">
        <f t="shared" si="100"/>
        <v>0</v>
      </c>
      <c r="AX100" s="328">
        <f t="shared" si="102"/>
        <v>0</v>
      </c>
      <c r="AY100" s="328" t="b">
        <f t="shared" ref="AY100:AY131" si="103">IF(J100&lt;&gt;J99,IF(AY99=TRUE,FALSE,TRUE),AY99)</f>
        <v>0</v>
      </c>
    </row>
    <row r="101" ht="27" customHeight="1" spans="1:51">
      <c r="A101" s="326" t="str">
        <f>INDEX('Rate Card'!$A:$A,MATCH($S101,'Rate Card'!$F:$F,0))</f>
        <v>注册</v>
      </c>
      <c r="B101" s="327" t="str">
        <f>INDEX(二三级标准!$G:$G,MATCH($J101,二三级标准!B:B,0))</f>
        <v>次</v>
      </c>
      <c r="C101" s="327">
        <f>INDEX(注册申报明细!$E:$E,MATCH($J101,注册申报明细!$B:$B,0))</f>
        <v>0</v>
      </c>
      <c r="D101" s="327" t="str">
        <f t="shared" si="93"/>
        <v>A204RAD</v>
      </c>
      <c r="E101" s="328"/>
      <c r="F101" s="328" t="s">
        <v>684</v>
      </c>
      <c r="G101" s="326" t="str">
        <f>INDEX('Rate Card'!$B:$B,MATCH($S101,'Rate Card'!$F:$F,0))</f>
        <v>注册</v>
      </c>
      <c r="H101" s="328" t="s">
        <v>1980</v>
      </c>
      <c r="I101" s="328" t="str">
        <f>INDEX(二三级标准!$Q:$Q,MATCH($H101,二三级标准!$O:$O,0))</f>
        <v>IND递交</v>
      </c>
      <c r="J101" s="328" t="s">
        <v>515</v>
      </c>
      <c r="K101" s="328" t="str">
        <f>INDEX(二三级标准!$C:$C,MATCH(注册申报底表!J101,二三级标准!$B:$B,0))</f>
        <v>IND递交</v>
      </c>
      <c r="L101" s="328" t="s">
        <v>2103</v>
      </c>
      <c r="M101" s="328" t="str">
        <f>INDEX(二三级标准!$M:$M,MATCH(注册申报底表!$L101,二三级标准!$L:$L,0))</f>
        <v>IND递交</v>
      </c>
      <c r="N101" s="328"/>
      <c r="O101" s="327">
        <f>IF($Q101=1,INDEX(注册申报明细!$E:$E,MATCH(注册申报底表!$J101,注册申报明细!$B:$B,0)),0)</f>
        <v>0</v>
      </c>
      <c r="P101" s="328" t="s">
        <v>1178</v>
      </c>
      <c r="Q101" s="329">
        <f>INDEX(注册申报明细!$D:$D,MATCH($J101,注册申报明细!$B:$B,0))</f>
        <v>0</v>
      </c>
      <c r="R101" s="328" t="str">
        <f>INDEX('Rate Card'!$D:$D,MATCH($S101,'Rate Card'!$F:$F,0))</f>
        <v>注册事务</v>
      </c>
      <c r="S101" s="328" t="s">
        <v>609</v>
      </c>
      <c r="T101" s="331">
        <f>INDEX('Rate Card'!$J:$J,MATCH($S101,'Rate Card'!$F:$F,0))</f>
        <v>990</v>
      </c>
      <c r="U101" s="331">
        <f t="shared" si="101"/>
        <v>4</v>
      </c>
      <c r="V101" s="336">
        <v>4</v>
      </c>
      <c r="W101" s="328"/>
      <c r="X101" s="332">
        <f t="shared" si="94"/>
        <v>4</v>
      </c>
      <c r="Y101" s="333">
        <f t="shared" si="95"/>
        <v>0</v>
      </c>
      <c r="Z101" s="328">
        <f t="shared" si="96"/>
        <v>0</v>
      </c>
      <c r="AA101" s="334">
        <f t="shared" si="97"/>
        <v>0</v>
      </c>
      <c r="AB101" s="334">
        <f>$Y101*(1-INDEX(项目参数!$D$5:$D$15,MATCH($R101,项目参数!$B$5:$B$15,0)))</f>
        <v>0</v>
      </c>
      <c r="AC101" s="334">
        <f>$AA101*INDEX(项目参数!$D$5:$D$15,MATCH($R101,项目参数!$B$5:$B$15,0))</f>
        <v>0</v>
      </c>
      <c r="AD101" s="334">
        <f t="shared" si="98"/>
        <v>0</v>
      </c>
      <c r="AE101" s="328"/>
      <c r="AF101" s="328"/>
      <c r="AG101" s="327"/>
      <c r="AH101" s="328"/>
      <c r="AI101" s="328"/>
      <c r="AJ101" s="328"/>
      <c r="AK101" s="328"/>
      <c r="AL101" s="328"/>
      <c r="AM101" s="328"/>
      <c r="AN101" s="328"/>
      <c r="AO101" s="327"/>
      <c r="AP101" s="328"/>
      <c r="AQ101" s="328"/>
      <c r="AR101" s="328"/>
      <c r="AS101" s="328"/>
      <c r="AT101" s="328"/>
      <c r="AU101" s="328"/>
      <c r="AV101" s="328">
        <f t="shared" si="99"/>
        <v>0</v>
      </c>
      <c r="AW101" s="328">
        <f t="shared" si="100"/>
        <v>0</v>
      </c>
      <c r="AX101" s="328">
        <f t="shared" si="102"/>
        <v>0</v>
      </c>
      <c r="AY101" s="328" t="b">
        <f t="shared" si="103"/>
        <v>0</v>
      </c>
    </row>
    <row r="102" ht="27" customHeight="1" spans="1:51">
      <c r="A102" s="326" t="str">
        <f>INDEX('Rate Card'!$A:$A,MATCH($S102,'Rate Card'!$F:$F,0))</f>
        <v>注册</v>
      </c>
      <c r="B102" s="327" t="str">
        <f>INDEX(二三级标准!$G:$G,MATCH($J102,二三级标准!B:B,0))</f>
        <v>次</v>
      </c>
      <c r="C102" s="327">
        <f>INDEX(注册申报明细!$E:$E,MATCH($J102,注册申报明细!$B:$B,0))</f>
        <v>0</v>
      </c>
      <c r="D102" s="327" t="str">
        <f t="shared" si="93"/>
        <v>A205RAM</v>
      </c>
      <c r="E102" s="328"/>
      <c r="F102" s="328" t="s">
        <v>684</v>
      </c>
      <c r="G102" s="326" t="str">
        <f>INDEX('Rate Card'!$B:$B,MATCH($S102,'Rate Card'!$F:$F,0))</f>
        <v>注册</v>
      </c>
      <c r="H102" s="328" t="s">
        <v>1982</v>
      </c>
      <c r="I102" s="328" t="str">
        <f>INDEX(二三级标准!$Q:$Q,MATCH($H102,二三级标准!$O:$O,0))</f>
        <v>IND通知书解析</v>
      </c>
      <c r="J102" s="328" t="s">
        <v>517</v>
      </c>
      <c r="K102" s="328" t="str">
        <f>INDEX(二三级标准!$C:$C,MATCH(注册申报底表!J102,二三级标准!$B:$B,0))</f>
        <v>IND通知书解析</v>
      </c>
      <c r="L102" s="328" t="s">
        <v>2104</v>
      </c>
      <c r="M102" s="328" t="str">
        <f>INDEX(二三级标准!$M:$M,MATCH(注册申报底表!$L102,二三级标准!$L:$L,0))</f>
        <v>IND通知书解析</v>
      </c>
      <c r="N102" s="328"/>
      <c r="O102" s="327">
        <f>IF($Q102=1,INDEX(注册申报明细!$E:$E,MATCH(注册申报底表!$J102,注册申报明细!$B:$B,0)),0)</f>
        <v>0</v>
      </c>
      <c r="P102" s="328" t="s">
        <v>1178</v>
      </c>
      <c r="Q102" s="329">
        <f>INDEX(注册申报明细!$D:$D,MATCH($J102,注册申报明细!$B:$B,0))</f>
        <v>0</v>
      </c>
      <c r="R102" s="328" t="str">
        <f>INDEX('Rate Card'!$D:$D,MATCH($S102,'Rate Card'!$F:$F,0))</f>
        <v>注册事务</v>
      </c>
      <c r="S102" s="328" t="s">
        <v>607</v>
      </c>
      <c r="T102" s="331">
        <f>INDEX('Rate Card'!$J:$J,MATCH($S102,'Rate Card'!$F:$F,0))</f>
        <v>650</v>
      </c>
      <c r="U102" s="331">
        <f t="shared" si="101"/>
        <v>3</v>
      </c>
      <c r="V102" s="327">
        <v>3</v>
      </c>
      <c r="W102" s="328"/>
      <c r="X102" s="332">
        <f t="shared" si="94"/>
        <v>3</v>
      </c>
      <c r="Y102" s="333">
        <f t="shared" si="95"/>
        <v>0</v>
      </c>
      <c r="Z102" s="328">
        <f t="shared" si="96"/>
        <v>0</v>
      </c>
      <c r="AA102" s="334">
        <f t="shared" si="97"/>
        <v>0</v>
      </c>
      <c r="AB102" s="334">
        <f>$Y102*(1-INDEX(项目参数!$D$5:$D$15,MATCH($R102,项目参数!$B$5:$B$15,0)))</f>
        <v>0</v>
      </c>
      <c r="AC102" s="334">
        <f>$AA102*INDEX(项目参数!$D$5:$D$15,MATCH($R102,项目参数!$B$5:$B$15,0))</f>
        <v>0</v>
      </c>
      <c r="AD102" s="334">
        <f t="shared" si="98"/>
        <v>0</v>
      </c>
      <c r="AE102" s="328"/>
      <c r="AF102" s="328"/>
      <c r="AG102" s="327"/>
      <c r="AH102" s="327"/>
      <c r="AI102" s="327"/>
      <c r="AJ102" s="327"/>
      <c r="AK102" s="327"/>
      <c r="AL102" s="327"/>
      <c r="AM102" s="327"/>
      <c r="AN102" s="328"/>
      <c r="AO102" s="327"/>
      <c r="AP102" s="327"/>
      <c r="AQ102" s="327"/>
      <c r="AR102" s="327"/>
      <c r="AS102" s="327"/>
      <c r="AT102" s="327"/>
      <c r="AU102" s="327"/>
      <c r="AV102" s="328">
        <f t="shared" si="99"/>
        <v>0</v>
      </c>
      <c r="AW102" s="328">
        <f t="shared" si="100"/>
        <v>0</v>
      </c>
      <c r="AX102" s="328">
        <f t="shared" si="102"/>
        <v>0</v>
      </c>
      <c r="AY102" s="328" t="b">
        <f t="shared" si="103"/>
        <v>1</v>
      </c>
    </row>
    <row r="103" ht="27" customHeight="1" spans="1:51">
      <c r="A103" s="326" t="str">
        <f>INDEX('Rate Card'!$A:$A,MATCH($S103,'Rate Card'!$F:$F,0))</f>
        <v>注册</v>
      </c>
      <c r="B103" s="327" t="str">
        <f>INDEX(二三级标准!$G:$G,MATCH($J103,二三级标准!B:B,0))</f>
        <v>次</v>
      </c>
      <c r="C103" s="327">
        <f>INDEX(注册申报明细!$E:$E,MATCH($J103,注册申报明细!$B:$B,0))</f>
        <v>0</v>
      </c>
      <c r="D103" s="327" t="str">
        <f t="shared" si="93"/>
        <v>A205RAD</v>
      </c>
      <c r="E103" s="328"/>
      <c r="F103" s="328" t="s">
        <v>684</v>
      </c>
      <c r="G103" s="326" t="str">
        <f>INDEX('Rate Card'!$B:$B,MATCH($S103,'Rate Card'!$F:$F,0))</f>
        <v>注册</v>
      </c>
      <c r="H103" s="328" t="s">
        <v>1982</v>
      </c>
      <c r="I103" s="328" t="str">
        <f>INDEX(二三级标准!$Q:$Q,MATCH($H103,二三级标准!$O:$O,0))</f>
        <v>IND通知书解析</v>
      </c>
      <c r="J103" s="328" t="s">
        <v>517</v>
      </c>
      <c r="K103" s="328" t="str">
        <f>INDEX(二三级标准!$C:$C,MATCH(注册申报底表!J103,二三级标准!$B:$B,0))</f>
        <v>IND通知书解析</v>
      </c>
      <c r="L103" s="328" t="s">
        <v>2104</v>
      </c>
      <c r="M103" s="328" t="str">
        <f>INDEX(二三级标准!$M:$M,MATCH(注册申报底表!$L103,二三级标准!$L:$L,0))</f>
        <v>IND通知书解析</v>
      </c>
      <c r="N103" s="328"/>
      <c r="O103" s="327">
        <f>IF($Q103=1,INDEX(注册申报明细!$E:$E,MATCH(注册申报底表!$J103,注册申报明细!$B:$B,0)),0)</f>
        <v>0</v>
      </c>
      <c r="P103" s="328" t="s">
        <v>1178</v>
      </c>
      <c r="Q103" s="329">
        <f>INDEX(注册申报明细!$D:$D,MATCH($J103,注册申报明细!$B:$B,0))</f>
        <v>0</v>
      </c>
      <c r="R103" s="328" t="str">
        <f>INDEX('Rate Card'!$D:$D,MATCH($S103,'Rate Card'!$F:$F,0))</f>
        <v>注册事务</v>
      </c>
      <c r="S103" s="328" t="s">
        <v>609</v>
      </c>
      <c r="T103" s="331">
        <f>INDEX('Rate Card'!$J:$J,MATCH($S103,'Rate Card'!$F:$F,0))</f>
        <v>990</v>
      </c>
      <c r="U103" s="331">
        <f t="shared" si="101"/>
        <v>0.5</v>
      </c>
      <c r="V103" s="327">
        <v>0.5</v>
      </c>
      <c r="W103" s="328"/>
      <c r="X103" s="332">
        <f t="shared" si="94"/>
        <v>0.5</v>
      </c>
      <c r="Y103" s="333">
        <f t="shared" si="95"/>
        <v>0</v>
      </c>
      <c r="Z103" s="328">
        <f t="shared" si="96"/>
        <v>0</v>
      </c>
      <c r="AA103" s="334">
        <f t="shared" si="97"/>
        <v>0</v>
      </c>
      <c r="AB103" s="334">
        <f>$Y103*(1-INDEX(项目参数!$D$5:$D$15,MATCH($R103,项目参数!$B$5:$B$15,0)))</f>
        <v>0</v>
      </c>
      <c r="AC103" s="334">
        <f>$AA103*INDEX(项目参数!$D$5:$D$15,MATCH($R103,项目参数!$B$5:$B$15,0))</f>
        <v>0</v>
      </c>
      <c r="AD103" s="334">
        <f t="shared" si="98"/>
        <v>0</v>
      </c>
      <c r="AE103" s="328"/>
      <c r="AF103" s="328"/>
      <c r="AG103" s="327"/>
      <c r="AH103" s="327"/>
      <c r="AI103" s="327"/>
      <c r="AJ103" s="327"/>
      <c r="AK103" s="327"/>
      <c r="AL103" s="327"/>
      <c r="AM103" s="327"/>
      <c r="AN103" s="328"/>
      <c r="AO103" s="327"/>
      <c r="AP103" s="327"/>
      <c r="AQ103" s="327"/>
      <c r="AR103" s="327"/>
      <c r="AS103" s="327"/>
      <c r="AT103" s="327"/>
      <c r="AU103" s="327"/>
      <c r="AV103" s="328">
        <f t="shared" si="99"/>
        <v>0</v>
      </c>
      <c r="AW103" s="328">
        <f t="shared" si="100"/>
        <v>0</v>
      </c>
      <c r="AX103" s="328">
        <f t="shared" si="102"/>
        <v>0</v>
      </c>
      <c r="AY103" s="328" t="b">
        <f t="shared" si="103"/>
        <v>1</v>
      </c>
    </row>
    <row r="104" ht="27" customHeight="1" spans="1:51">
      <c r="A104" s="326" t="str">
        <f>INDEX('Rate Card'!$A:$A,MATCH($S104,'Rate Card'!$F:$F,0))</f>
        <v>注册</v>
      </c>
      <c r="B104" s="327" t="str">
        <f>INDEX(二三级标准!$G:$G,MATCH($J104,二三级标准!B:B,0))</f>
        <v>份</v>
      </c>
      <c r="C104" s="327">
        <f>INDEX(注册申报明细!$E:$E,MATCH($J104,注册申报明细!$B:$B,0))</f>
        <v>0</v>
      </c>
      <c r="D104" s="327" t="str">
        <f t="shared" si="93"/>
        <v>A289RAM</v>
      </c>
      <c r="E104" s="328"/>
      <c r="F104" s="328" t="s">
        <v>684</v>
      </c>
      <c r="G104" s="326" t="str">
        <f>INDEX('Rate Card'!$B:$B,MATCH($S104,'Rate Card'!$F:$F,0))</f>
        <v>注册</v>
      </c>
      <c r="H104" s="328" t="s">
        <v>1983</v>
      </c>
      <c r="I104" s="328" t="str">
        <f>INDEX(二三级标准!$Q:$Q,MATCH($H104,二三级标准!$O:$O,0))</f>
        <v>NDA申报资料准备</v>
      </c>
      <c r="J104" s="328" t="s">
        <v>1985</v>
      </c>
      <c r="K104" s="328" t="str">
        <f>INDEX(二三级标准!$C:$C,MATCH(注册申报底表!J104,二三级标准!$B:$B,0))</f>
        <v>1.0 说明函</v>
      </c>
      <c r="L104" s="328" t="s">
        <v>2105</v>
      </c>
      <c r="M104" s="328" t="str">
        <f>INDEX(二三级标准!$M:$M,MATCH(注册申报底表!$L104,二三级标准!$L:$L,0))</f>
        <v>1.0 说明函撰写</v>
      </c>
      <c r="N104" s="328"/>
      <c r="O104" s="327">
        <f>IF($Q104=1,INDEX(注册申报明细!$E:$E,MATCH(注册申报底表!$J104,注册申报明细!$B:$B,0)),0)</f>
        <v>0</v>
      </c>
      <c r="P104" s="328" t="str">
        <f t="shared" ref="P104:P115" si="104">B104</f>
        <v>份</v>
      </c>
      <c r="Q104" s="329">
        <f>INDEX(注册申报明细!$D:$D,MATCH($J104,注册申报明细!$B:$B,0))</f>
        <v>0</v>
      </c>
      <c r="R104" s="328" t="str">
        <f>INDEX('Rate Card'!$D:$D,MATCH($S104,'Rate Card'!$F:$F,0))</f>
        <v>注册事务</v>
      </c>
      <c r="S104" s="328" t="s">
        <v>607</v>
      </c>
      <c r="T104" s="331">
        <f>INDEX('Rate Card'!$J:$J,MATCH($S104,'Rate Card'!$F:$F,0))</f>
        <v>650</v>
      </c>
      <c r="U104" s="331">
        <f t="shared" si="101"/>
        <v>16</v>
      </c>
      <c r="V104" s="327">
        <v>16</v>
      </c>
      <c r="W104" s="328"/>
      <c r="X104" s="332">
        <f t="shared" si="94"/>
        <v>16</v>
      </c>
      <c r="Y104" s="333">
        <f t="shared" si="95"/>
        <v>0</v>
      </c>
      <c r="Z104" s="328">
        <f t="shared" si="96"/>
        <v>0</v>
      </c>
      <c r="AA104" s="334">
        <f t="shared" si="97"/>
        <v>0</v>
      </c>
      <c r="AB104" s="334">
        <f>$Y104*(1-INDEX(项目参数!$D$5:$D$15,MATCH($R104,项目参数!$B$5:$B$15,0)))</f>
        <v>0</v>
      </c>
      <c r="AC104" s="334">
        <f>$AA104*INDEX(项目参数!$D$5:$D$15,MATCH($R104,项目参数!$B$5:$B$15,0))</f>
        <v>0</v>
      </c>
      <c r="AD104" s="334">
        <f t="shared" si="98"/>
        <v>0</v>
      </c>
      <c r="AE104" s="328"/>
      <c r="AF104" s="328"/>
      <c r="AG104" s="327"/>
      <c r="AH104" s="327"/>
      <c r="AI104" s="327"/>
      <c r="AJ104" s="327"/>
      <c r="AK104" s="327"/>
      <c r="AL104" s="327"/>
      <c r="AM104" s="327"/>
      <c r="AN104" s="328"/>
      <c r="AO104" s="327"/>
      <c r="AP104" s="327"/>
      <c r="AQ104" s="327"/>
      <c r="AR104" s="327"/>
      <c r="AS104" s="327"/>
      <c r="AT104" s="327"/>
      <c r="AU104" s="327"/>
      <c r="AV104" s="328">
        <f t="shared" si="99"/>
        <v>0</v>
      </c>
      <c r="AW104" s="328">
        <f t="shared" si="100"/>
        <v>0</v>
      </c>
      <c r="AX104" s="328">
        <f t="shared" si="102"/>
        <v>0</v>
      </c>
      <c r="AY104" s="328" t="b">
        <f t="shared" si="103"/>
        <v>0</v>
      </c>
    </row>
    <row r="105" ht="27" customHeight="1" spans="1:51">
      <c r="A105" s="326" t="str">
        <f>INDEX('Rate Card'!$A:$A,MATCH($S105,'Rate Card'!$F:$F,0))</f>
        <v>注册</v>
      </c>
      <c r="B105" s="327" t="str">
        <f>INDEX(二三级标准!$G:$G,MATCH($J105,二三级标准!B:B,0))</f>
        <v>份</v>
      </c>
      <c r="C105" s="327">
        <f>INDEX(注册申报明细!$E:$E,MATCH($J105,注册申报明细!$B:$B,0))</f>
        <v>0</v>
      </c>
      <c r="D105" s="327" t="str">
        <f t="shared" si="93"/>
        <v>A289RAD</v>
      </c>
      <c r="E105" s="328"/>
      <c r="F105" s="328" t="s">
        <v>684</v>
      </c>
      <c r="G105" s="326" t="str">
        <f>INDEX('Rate Card'!$B:$B,MATCH($S105,'Rate Card'!$F:$F,0))</f>
        <v>注册</v>
      </c>
      <c r="H105" s="328" t="s">
        <v>1983</v>
      </c>
      <c r="I105" s="328" t="str">
        <f>INDEX(二三级标准!$Q:$Q,MATCH($H105,二三级标准!$O:$O,0))</f>
        <v>NDA申报资料准备</v>
      </c>
      <c r="J105" s="328" t="s">
        <v>1985</v>
      </c>
      <c r="K105" s="328" t="str">
        <f>INDEX(二三级标准!$C:$C,MATCH(注册申报底表!J105,二三级标准!$B:$B,0))</f>
        <v>1.0 说明函</v>
      </c>
      <c r="L105" s="328" t="s">
        <v>2106</v>
      </c>
      <c r="M105" s="328" t="str">
        <f>INDEX(二三级标准!$M:$M,MATCH(注册申报底表!$L105,二三级标准!$L:$L,0))</f>
        <v>1.0 说明函审核</v>
      </c>
      <c r="N105" s="328"/>
      <c r="O105" s="327">
        <f>IF($Q105=1,INDEX(注册申报明细!$E:$E,MATCH(注册申报底表!$J105,注册申报明细!$B:$B,0)),0)</f>
        <v>0</v>
      </c>
      <c r="P105" s="328" t="str">
        <f t="shared" si="104"/>
        <v>份</v>
      </c>
      <c r="Q105" s="329">
        <f>INDEX(注册申报明细!$D:$D,MATCH($J105,注册申报明细!$B:$B,0))</f>
        <v>0</v>
      </c>
      <c r="R105" s="328" t="str">
        <f>INDEX('Rate Card'!$D:$D,MATCH($S105,'Rate Card'!$F:$F,0))</f>
        <v>注册事务</v>
      </c>
      <c r="S105" s="328" t="s">
        <v>609</v>
      </c>
      <c r="T105" s="331">
        <f>INDEX('Rate Card'!$J:$J,MATCH($S105,'Rate Card'!$F:$F,0))</f>
        <v>990</v>
      </c>
      <c r="U105" s="331">
        <f t="shared" si="101"/>
        <v>2</v>
      </c>
      <c r="V105" s="327">
        <v>2</v>
      </c>
      <c r="W105" s="328"/>
      <c r="X105" s="332">
        <f t="shared" si="94"/>
        <v>2</v>
      </c>
      <c r="Y105" s="333">
        <f t="shared" si="95"/>
        <v>0</v>
      </c>
      <c r="Z105" s="328">
        <f t="shared" si="96"/>
        <v>0</v>
      </c>
      <c r="AA105" s="334">
        <f t="shared" si="97"/>
        <v>0</v>
      </c>
      <c r="AB105" s="334">
        <f>$Y105*(1-INDEX(项目参数!$D$5:$D$15,MATCH($R105,项目参数!$B$5:$B$15,0)))</f>
        <v>0</v>
      </c>
      <c r="AC105" s="334">
        <f>$AA105*INDEX(项目参数!$D$5:$D$15,MATCH($R105,项目参数!$B$5:$B$15,0))</f>
        <v>0</v>
      </c>
      <c r="AD105" s="334">
        <f t="shared" si="98"/>
        <v>0</v>
      </c>
      <c r="AE105" s="328"/>
      <c r="AF105" s="328"/>
      <c r="AG105" s="327"/>
      <c r="AH105" s="327"/>
      <c r="AI105" s="327"/>
      <c r="AJ105" s="327"/>
      <c r="AK105" s="327"/>
      <c r="AL105" s="327"/>
      <c r="AM105" s="327"/>
      <c r="AN105" s="328"/>
      <c r="AO105" s="327"/>
      <c r="AP105" s="327"/>
      <c r="AQ105" s="327"/>
      <c r="AR105" s="327"/>
      <c r="AS105" s="327"/>
      <c r="AT105" s="327"/>
      <c r="AU105" s="327"/>
      <c r="AV105" s="328">
        <f t="shared" si="99"/>
        <v>0</v>
      </c>
      <c r="AW105" s="328">
        <f t="shared" si="100"/>
        <v>0</v>
      </c>
      <c r="AX105" s="328">
        <f t="shared" si="102"/>
        <v>0</v>
      </c>
      <c r="AY105" s="328" t="b">
        <f t="shared" si="103"/>
        <v>0</v>
      </c>
    </row>
    <row r="106" ht="27" customHeight="1" spans="1:51">
      <c r="A106" s="326" t="str">
        <f>INDEX('Rate Card'!$A:$A,MATCH($S106,'Rate Card'!$F:$F,0))</f>
        <v>注册</v>
      </c>
      <c r="B106" s="327" t="str">
        <f>INDEX(二三级标准!$G:$G,MATCH($J106,二三级标准!B:B,0))</f>
        <v>份</v>
      </c>
      <c r="C106" s="327">
        <f>INDEX(注册申报明细!$E:$E,MATCH($J106,注册申报明细!$B:$B,0))</f>
        <v>0</v>
      </c>
      <c r="D106" s="327" t="str">
        <f t="shared" ref="D106:D111" si="105">J106&amp;S106</f>
        <v>A290RAM</v>
      </c>
      <c r="E106" s="328"/>
      <c r="F106" s="328" t="s">
        <v>684</v>
      </c>
      <c r="G106" s="326" t="str">
        <f>INDEX('Rate Card'!$B:$B,MATCH($S106,'Rate Card'!$F:$F,0))</f>
        <v>注册</v>
      </c>
      <c r="H106" s="328" t="s">
        <v>1983</v>
      </c>
      <c r="I106" s="328" t="str">
        <f>INDEX(二三级标准!$Q:$Q,MATCH($H106,二三级标准!$O:$O,0))</f>
        <v>NDA申报资料准备</v>
      </c>
      <c r="J106" s="328" t="s">
        <v>1986</v>
      </c>
      <c r="K106" s="328" t="str">
        <f>INDEX(二三级标准!$C:$C,MATCH(注册申报底表!J106,二三级标准!$B:$B,0))</f>
        <v>1.1 目录</v>
      </c>
      <c r="L106" s="328" t="s">
        <v>2107</v>
      </c>
      <c r="M106" s="328" t="str">
        <f>INDEX(二三级标准!$M:$M,MATCH(注册申报底表!$L106,二三级标准!$L:$L,0))</f>
        <v>1.1 目录撰写</v>
      </c>
      <c r="N106" s="328"/>
      <c r="O106" s="327">
        <f>IF($Q106=1,INDEX(注册申报明细!$E:$E,MATCH(注册申报底表!$J106,注册申报明细!$B:$B,0)),0)</f>
        <v>0</v>
      </c>
      <c r="P106" s="328" t="str">
        <f t="shared" si="104"/>
        <v>份</v>
      </c>
      <c r="Q106" s="329">
        <f>INDEX(注册申报明细!$D:$D,MATCH($J106,注册申报明细!$B:$B,0))</f>
        <v>0</v>
      </c>
      <c r="R106" s="328" t="str">
        <f>INDEX('Rate Card'!$D:$D,MATCH($S106,'Rate Card'!$F:$F,0))</f>
        <v>注册事务</v>
      </c>
      <c r="S106" s="328" t="s">
        <v>607</v>
      </c>
      <c r="T106" s="331">
        <f>INDEX('Rate Card'!$J:$J,MATCH($S106,'Rate Card'!$F:$F,0))</f>
        <v>650</v>
      </c>
      <c r="U106" s="331">
        <f t="shared" ref="U106:U111" si="106">$U$1*V106</f>
        <v>2</v>
      </c>
      <c r="V106" s="327">
        <v>2</v>
      </c>
      <c r="W106" s="328"/>
      <c r="X106" s="332">
        <f t="shared" ref="X106:X111" si="107">IF(ISBLANK($W106),$V106,$W106)</f>
        <v>2</v>
      </c>
      <c r="Y106" s="333">
        <f t="shared" ref="Y106:Y111" si="108">IFERROR(AA106/O106,0)</f>
        <v>0</v>
      </c>
      <c r="Z106" s="328">
        <f t="shared" ref="Z106:Z111" si="109">X106*O106*Q106</f>
        <v>0</v>
      </c>
      <c r="AA106" s="334">
        <f t="shared" ref="AA106:AA111" si="110">Z106*T106</f>
        <v>0</v>
      </c>
      <c r="AB106" s="334">
        <f>$Y106*(1-INDEX(项目参数!$D$5:$D$15,MATCH($R106,项目参数!$B$5:$B$15,0)))</f>
        <v>0</v>
      </c>
      <c r="AC106" s="334">
        <f>$AA106*INDEX(项目参数!$D$5:$D$15,MATCH($R106,项目参数!$B$5:$B$15,0))</f>
        <v>0</v>
      </c>
      <c r="AD106" s="334">
        <f t="shared" ref="AD106:AD111" si="111">AA106-AC106</f>
        <v>0</v>
      </c>
      <c r="AE106" s="328"/>
      <c r="AF106" s="328"/>
      <c r="AG106" s="327"/>
      <c r="AH106" s="327"/>
      <c r="AI106" s="327"/>
      <c r="AJ106" s="327"/>
      <c r="AK106" s="327"/>
      <c r="AL106" s="327"/>
      <c r="AM106" s="327"/>
      <c r="AN106" s="328"/>
      <c r="AO106" s="327"/>
      <c r="AP106" s="327"/>
      <c r="AQ106" s="327"/>
      <c r="AR106" s="327"/>
      <c r="AS106" s="327"/>
      <c r="AT106" s="327"/>
      <c r="AU106" s="327"/>
      <c r="AV106" s="328">
        <f t="shared" ref="AV106:AV111" si="112">Z106</f>
        <v>0</v>
      </c>
      <c r="AW106" s="328">
        <f t="shared" ref="AW106:AW111" si="113">V106*O106</f>
        <v>0</v>
      </c>
      <c r="AX106" s="328">
        <f t="shared" ref="AX106:AX111" si="114">AW106*$U$1</f>
        <v>0</v>
      </c>
      <c r="AY106" s="328" t="b">
        <f t="shared" si="103"/>
        <v>1</v>
      </c>
    </row>
    <row r="107" ht="27" customHeight="1" spans="1:51">
      <c r="A107" s="326" t="str">
        <f>INDEX('Rate Card'!$A:$A,MATCH($S107,'Rate Card'!$F:$F,0))</f>
        <v>注册</v>
      </c>
      <c r="B107" s="327" t="str">
        <f>INDEX(二三级标准!$G:$G,MATCH($J107,二三级标准!B:B,0))</f>
        <v>份</v>
      </c>
      <c r="C107" s="327">
        <f>INDEX(注册申报明细!$E:$E,MATCH($J107,注册申报明细!$B:$B,0))</f>
        <v>0</v>
      </c>
      <c r="D107" s="327" t="str">
        <f t="shared" si="105"/>
        <v>A290RAD</v>
      </c>
      <c r="E107" s="328"/>
      <c r="F107" s="328" t="s">
        <v>684</v>
      </c>
      <c r="G107" s="326" t="str">
        <f>INDEX('Rate Card'!$B:$B,MATCH($S107,'Rate Card'!$F:$F,0))</f>
        <v>注册</v>
      </c>
      <c r="H107" s="328" t="s">
        <v>1983</v>
      </c>
      <c r="I107" s="328" t="str">
        <f>INDEX(二三级标准!$Q:$Q,MATCH($H107,二三级标准!$O:$O,0))</f>
        <v>NDA申报资料准备</v>
      </c>
      <c r="J107" s="328" t="s">
        <v>1986</v>
      </c>
      <c r="K107" s="328" t="str">
        <f>INDEX(二三级标准!$C:$C,MATCH(注册申报底表!J107,二三级标准!$B:$B,0))</f>
        <v>1.1 目录</v>
      </c>
      <c r="L107" s="328" t="s">
        <v>2108</v>
      </c>
      <c r="M107" s="328" t="str">
        <f>INDEX(二三级标准!$M:$M,MATCH(注册申报底表!$L107,二三级标准!$L:$L,0))</f>
        <v>1.1 目录审核</v>
      </c>
      <c r="N107" s="328"/>
      <c r="O107" s="327">
        <f>IF($Q107=1,INDEX(注册申报明细!$E:$E,MATCH(注册申报底表!$J107,注册申报明细!$B:$B,0)),0)</f>
        <v>0</v>
      </c>
      <c r="P107" s="328" t="str">
        <f t="shared" si="104"/>
        <v>份</v>
      </c>
      <c r="Q107" s="329">
        <f>INDEX(注册申报明细!$D:$D,MATCH($J107,注册申报明细!$B:$B,0))</f>
        <v>0</v>
      </c>
      <c r="R107" s="328" t="str">
        <f>INDEX('Rate Card'!$D:$D,MATCH($S107,'Rate Card'!$F:$F,0))</f>
        <v>注册事务</v>
      </c>
      <c r="S107" s="328" t="s">
        <v>609</v>
      </c>
      <c r="T107" s="331">
        <f>INDEX('Rate Card'!$J:$J,MATCH($S107,'Rate Card'!$F:$F,0))</f>
        <v>990</v>
      </c>
      <c r="U107" s="331">
        <f t="shared" si="106"/>
        <v>1</v>
      </c>
      <c r="V107" s="327">
        <v>1</v>
      </c>
      <c r="W107" s="328"/>
      <c r="X107" s="332">
        <f t="shared" si="107"/>
        <v>1</v>
      </c>
      <c r="Y107" s="333">
        <f t="shared" si="108"/>
        <v>0</v>
      </c>
      <c r="Z107" s="328">
        <f t="shared" si="109"/>
        <v>0</v>
      </c>
      <c r="AA107" s="334">
        <f t="shared" si="110"/>
        <v>0</v>
      </c>
      <c r="AB107" s="334">
        <f>$Y107*(1-INDEX(项目参数!$D$5:$D$15,MATCH($R107,项目参数!$B$5:$B$15,0)))</f>
        <v>0</v>
      </c>
      <c r="AC107" s="334">
        <f>$AA107*INDEX(项目参数!$D$5:$D$15,MATCH($R107,项目参数!$B$5:$B$15,0))</f>
        <v>0</v>
      </c>
      <c r="AD107" s="334">
        <f t="shared" si="111"/>
        <v>0</v>
      </c>
      <c r="AE107" s="328"/>
      <c r="AF107" s="328"/>
      <c r="AG107" s="327"/>
      <c r="AH107" s="327"/>
      <c r="AI107" s="327"/>
      <c r="AJ107" s="327"/>
      <c r="AK107" s="327"/>
      <c r="AL107" s="327"/>
      <c r="AM107" s="327"/>
      <c r="AN107" s="328"/>
      <c r="AO107" s="327"/>
      <c r="AP107" s="327"/>
      <c r="AQ107" s="327"/>
      <c r="AR107" s="327"/>
      <c r="AS107" s="327"/>
      <c r="AT107" s="327"/>
      <c r="AU107" s="327"/>
      <c r="AV107" s="328">
        <f t="shared" si="112"/>
        <v>0</v>
      </c>
      <c r="AW107" s="328">
        <f t="shared" si="113"/>
        <v>0</v>
      </c>
      <c r="AX107" s="328">
        <f t="shared" si="114"/>
        <v>0</v>
      </c>
      <c r="AY107" s="328" t="b">
        <f t="shared" si="103"/>
        <v>1</v>
      </c>
    </row>
    <row r="108" ht="27" customHeight="1" spans="1:51">
      <c r="A108" s="326" t="str">
        <f>INDEX('Rate Card'!$A:$A,MATCH($S108,'Rate Card'!$F:$F,0))</f>
        <v>注册</v>
      </c>
      <c r="B108" s="327" t="str">
        <f>INDEX(二三级标准!$G:$G,MATCH($J108,二三级标准!B:B,0))</f>
        <v>份</v>
      </c>
      <c r="C108" s="327">
        <f>INDEX(注册申报明细!$E:$E,MATCH($J108,注册申报明细!$B:$B,0))</f>
        <v>0</v>
      </c>
      <c r="D108" s="327" t="str">
        <f t="shared" si="105"/>
        <v>A291RAM</v>
      </c>
      <c r="E108" s="328"/>
      <c r="F108" s="328" t="s">
        <v>684</v>
      </c>
      <c r="G108" s="326" t="str">
        <f>INDEX('Rate Card'!$B:$B,MATCH($S108,'Rate Card'!$F:$F,0))</f>
        <v>注册</v>
      </c>
      <c r="H108" s="328" t="s">
        <v>1983</v>
      </c>
      <c r="I108" s="328" t="str">
        <f>INDEX(二三级标准!$Q:$Q,MATCH($H108,二三级标准!$O:$O,0))</f>
        <v>NDA申报资料准备</v>
      </c>
      <c r="J108" s="328" t="s">
        <v>1987</v>
      </c>
      <c r="K108" s="328" t="str">
        <f>INDEX(二三级标准!$C:$C,MATCH(注册申报底表!J108,二三级标准!$B:$B,0))</f>
        <v>1.2 申请表</v>
      </c>
      <c r="L108" s="328" t="s">
        <v>2109</v>
      </c>
      <c r="M108" s="328" t="str">
        <f>INDEX(二三级标准!$M:$M,MATCH(注册申报底表!$L108,二三级标准!$L:$L,0))</f>
        <v>1.2 申请表撰写</v>
      </c>
      <c r="N108" s="328"/>
      <c r="O108" s="327">
        <f>IF($Q108=1,INDEX(注册申报明细!$E:$E,MATCH(注册申报底表!$J108,注册申报明细!$B:$B,0)),0)</f>
        <v>0</v>
      </c>
      <c r="P108" s="328" t="str">
        <f t="shared" si="104"/>
        <v>份</v>
      </c>
      <c r="Q108" s="329">
        <f>INDEX(注册申报明细!$D:$D,MATCH($J108,注册申报明细!$B:$B,0))</f>
        <v>0</v>
      </c>
      <c r="R108" s="328" t="str">
        <f>INDEX('Rate Card'!$D:$D,MATCH($S108,'Rate Card'!$F:$F,0))</f>
        <v>注册事务</v>
      </c>
      <c r="S108" s="328" t="s">
        <v>607</v>
      </c>
      <c r="T108" s="331">
        <f>INDEX('Rate Card'!$J:$J,MATCH($S108,'Rate Card'!$F:$F,0))</f>
        <v>650</v>
      </c>
      <c r="U108" s="331">
        <f t="shared" si="106"/>
        <v>12</v>
      </c>
      <c r="V108" s="327">
        <v>12</v>
      </c>
      <c r="W108" s="328"/>
      <c r="X108" s="332">
        <f t="shared" si="107"/>
        <v>12</v>
      </c>
      <c r="Y108" s="333">
        <f t="shared" si="108"/>
        <v>0</v>
      </c>
      <c r="Z108" s="328">
        <f t="shared" si="109"/>
        <v>0</v>
      </c>
      <c r="AA108" s="334">
        <f t="shared" si="110"/>
        <v>0</v>
      </c>
      <c r="AB108" s="334">
        <f>$Y108*(1-INDEX(项目参数!$D$5:$D$15,MATCH($R108,项目参数!$B$5:$B$15,0)))</f>
        <v>0</v>
      </c>
      <c r="AC108" s="334">
        <f>$AA108*INDEX(项目参数!$D$5:$D$15,MATCH($R108,项目参数!$B$5:$B$15,0))</f>
        <v>0</v>
      </c>
      <c r="AD108" s="334">
        <f t="shared" si="111"/>
        <v>0</v>
      </c>
      <c r="AE108" s="328"/>
      <c r="AF108" s="328"/>
      <c r="AG108" s="327"/>
      <c r="AH108" s="327"/>
      <c r="AI108" s="327"/>
      <c r="AJ108" s="327"/>
      <c r="AK108" s="327"/>
      <c r="AL108" s="327"/>
      <c r="AM108" s="327"/>
      <c r="AN108" s="328"/>
      <c r="AO108" s="327"/>
      <c r="AP108" s="327"/>
      <c r="AQ108" s="327"/>
      <c r="AR108" s="327"/>
      <c r="AS108" s="327"/>
      <c r="AT108" s="327"/>
      <c r="AU108" s="327"/>
      <c r="AV108" s="328">
        <f t="shared" si="112"/>
        <v>0</v>
      </c>
      <c r="AW108" s="328">
        <f t="shared" si="113"/>
        <v>0</v>
      </c>
      <c r="AX108" s="328">
        <f t="shared" si="114"/>
        <v>0</v>
      </c>
      <c r="AY108" s="328" t="b">
        <f t="shared" si="103"/>
        <v>0</v>
      </c>
    </row>
    <row r="109" ht="27" customHeight="1" spans="1:51">
      <c r="A109" s="326" t="str">
        <f>INDEX('Rate Card'!$A:$A,MATCH($S109,'Rate Card'!$F:$F,0))</f>
        <v>注册</v>
      </c>
      <c r="B109" s="327" t="str">
        <f>INDEX(二三级标准!$G:$G,MATCH($J109,二三级标准!B:B,0))</f>
        <v>份</v>
      </c>
      <c r="C109" s="327">
        <f>INDEX(注册申报明细!$E:$E,MATCH($J109,注册申报明细!$B:$B,0))</f>
        <v>0</v>
      </c>
      <c r="D109" s="327" t="str">
        <f t="shared" si="105"/>
        <v>A291RAD</v>
      </c>
      <c r="E109" s="328"/>
      <c r="F109" s="328" t="s">
        <v>684</v>
      </c>
      <c r="G109" s="326" t="str">
        <f>INDEX('Rate Card'!$B:$B,MATCH($S109,'Rate Card'!$F:$F,0))</f>
        <v>注册</v>
      </c>
      <c r="H109" s="328" t="s">
        <v>1983</v>
      </c>
      <c r="I109" s="328" t="str">
        <f>INDEX(二三级标准!$Q:$Q,MATCH($H109,二三级标准!$O:$O,0))</f>
        <v>NDA申报资料准备</v>
      </c>
      <c r="J109" s="328" t="s">
        <v>1987</v>
      </c>
      <c r="K109" s="328" t="str">
        <f>INDEX(二三级标准!$C:$C,MATCH(注册申报底表!J109,二三级标准!$B:$B,0))</f>
        <v>1.2 申请表</v>
      </c>
      <c r="L109" s="328" t="s">
        <v>2110</v>
      </c>
      <c r="M109" s="328" t="str">
        <f>INDEX(二三级标准!$M:$M,MATCH(注册申报底表!$L109,二三级标准!$L:$L,0))</f>
        <v>1.2 申请表审核</v>
      </c>
      <c r="N109" s="328"/>
      <c r="O109" s="327">
        <f>IF($Q109=1,INDEX(注册申报明细!$E:$E,MATCH(注册申报底表!$J109,注册申报明细!$B:$B,0)),0)</f>
        <v>0</v>
      </c>
      <c r="P109" s="328" t="str">
        <f t="shared" si="104"/>
        <v>份</v>
      </c>
      <c r="Q109" s="329">
        <f>INDEX(注册申报明细!$D:$D,MATCH($J109,注册申报明细!$B:$B,0))</f>
        <v>0</v>
      </c>
      <c r="R109" s="328" t="str">
        <f>INDEX('Rate Card'!$D:$D,MATCH($S109,'Rate Card'!$F:$F,0))</f>
        <v>注册事务</v>
      </c>
      <c r="S109" s="328" t="s">
        <v>609</v>
      </c>
      <c r="T109" s="331">
        <f>INDEX('Rate Card'!$J:$J,MATCH($S109,'Rate Card'!$F:$F,0))</f>
        <v>990</v>
      </c>
      <c r="U109" s="331">
        <f t="shared" si="106"/>
        <v>4</v>
      </c>
      <c r="V109" s="327">
        <v>4</v>
      </c>
      <c r="W109" s="328"/>
      <c r="X109" s="332">
        <f t="shared" si="107"/>
        <v>4</v>
      </c>
      <c r="Y109" s="333">
        <f t="shared" si="108"/>
        <v>0</v>
      </c>
      <c r="Z109" s="328">
        <f t="shared" si="109"/>
        <v>0</v>
      </c>
      <c r="AA109" s="334">
        <f t="shared" si="110"/>
        <v>0</v>
      </c>
      <c r="AB109" s="334">
        <f>$Y109*(1-INDEX(项目参数!$D$5:$D$15,MATCH($R109,项目参数!$B$5:$B$15,0)))</f>
        <v>0</v>
      </c>
      <c r="AC109" s="334">
        <f>$AA109*INDEX(项目参数!$D$5:$D$15,MATCH($R109,项目参数!$B$5:$B$15,0))</f>
        <v>0</v>
      </c>
      <c r="AD109" s="334">
        <f t="shared" si="111"/>
        <v>0</v>
      </c>
      <c r="AE109" s="328"/>
      <c r="AF109" s="328"/>
      <c r="AG109" s="327"/>
      <c r="AH109" s="327"/>
      <c r="AI109" s="327"/>
      <c r="AJ109" s="327"/>
      <c r="AK109" s="327"/>
      <c r="AL109" s="327"/>
      <c r="AM109" s="327"/>
      <c r="AN109" s="328"/>
      <c r="AO109" s="327"/>
      <c r="AP109" s="327"/>
      <c r="AQ109" s="327"/>
      <c r="AR109" s="327"/>
      <c r="AS109" s="327"/>
      <c r="AT109" s="327"/>
      <c r="AU109" s="327"/>
      <c r="AV109" s="328">
        <f t="shared" si="112"/>
        <v>0</v>
      </c>
      <c r="AW109" s="328">
        <f t="shared" si="113"/>
        <v>0</v>
      </c>
      <c r="AX109" s="328">
        <f t="shared" si="114"/>
        <v>0</v>
      </c>
      <c r="AY109" s="328" t="b">
        <f t="shared" si="103"/>
        <v>0</v>
      </c>
    </row>
    <row r="110" ht="27" customHeight="1" spans="1:51">
      <c r="A110" s="326" t="str">
        <f>INDEX('Rate Card'!$A:$A,MATCH($S110,'Rate Card'!$F:$F,0))</f>
        <v>注册</v>
      </c>
      <c r="B110" s="327" t="str">
        <f>INDEX(二三级标准!$G:$G,MATCH($J110,二三级标准!B:B,0))</f>
        <v>份</v>
      </c>
      <c r="C110" s="327">
        <f>INDEX(注册申报明细!$E:$E,MATCH($J110,注册申报明细!$B:$B,0))</f>
        <v>0</v>
      </c>
      <c r="D110" s="327" t="str">
        <f t="shared" si="105"/>
        <v>A292RAM</v>
      </c>
      <c r="E110" s="328"/>
      <c r="F110" s="328" t="s">
        <v>684</v>
      </c>
      <c r="G110" s="326" t="str">
        <f>INDEX('Rate Card'!$B:$B,MATCH($S110,'Rate Card'!$F:$F,0))</f>
        <v>注册</v>
      </c>
      <c r="H110" s="328" t="s">
        <v>1983</v>
      </c>
      <c r="I110" s="328" t="str">
        <f>INDEX(二三级标准!$Q:$Q,MATCH($H110,二三级标准!$O:$O,0))</f>
        <v>NDA申报资料准备</v>
      </c>
      <c r="J110" s="328" t="s">
        <v>1988</v>
      </c>
      <c r="K110" s="328" t="str">
        <f>INDEX(二三级标准!$C:$C,MATCH(注册申报底表!J110,二三级标准!$B:$B,0))</f>
        <v>1.3 产品信息相关材料</v>
      </c>
      <c r="L110" s="328" t="s">
        <v>2111</v>
      </c>
      <c r="M110" s="328" t="str">
        <f>INDEX(二三级标准!$M:$M,MATCH(注册申报底表!$L110,二三级标准!$L:$L,0))</f>
        <v>1.3 产品信息相关材料撰写</v>
      </c>
      <c r="N110" s="328"/>
      <c r="O110" s="327">
        <f>IF($Q110=1,INDEX(注册申报明细!$E:$E,MATCH(注册申报底表!$J110,注册申报明细!$B:$B,0)),0)</f>
        <v>0</v>
      </c>
      <c r="P110" s="328" t="str">
        <f t="shared" si="104"/>
        <v>份</v>
      </c>
      <c r="Q110" s="329">
        <f>INDEX(注册申报明细!$D:$D,MATCH($J110,注册申报明细!$B:$B,0))</f>
        <v>0</v>
      </c>
      <c r="R110" s="328" t="str">
        <f>INDEX('Rate Card'!$D:$D,MATCH($S110,'Rate Card'!$F:$F,0))</f>
        <v>注册事务</v>
      </c>
      <c r="S110" s="328" t="s">
        <v>607</v>
      </c>
      <c r="T110" s="331">
        <f>INDEX('Rate Card'!$J:$J,MATCH($S110,'Rate Card'!$F:$F,0))</f>
        <v>650</v>
      </c>
      <c r="U110" s="331">
        <f t="shared" si="106"/>
        <v>48</v>
      </c>
      <c r="V110" s="327">
        <v>48</v>
      </c>
      <c r="W110" s="328"/>
      <c r="X110" s="332">
        <f t="shared" si="107"/>
        <v>48</v>
      </c>
      <c r="Y110" s="333">
        <f t="shared" si="108"/>
        <v>0</v>
      </c>
      <c r="Z110" s="328">
        <f t="shared" si="109"/>
        <v>0</v>
      </c>
      <c r="AA110" s="334">
        <f t="shared" si="110"/>
        <v>0</v>
      </c>
      <c r="AB110" s="334">
        <f>$Y110*(1-INDEX(项目参数!$D$5:$D$15,MATCH($R110,项目参数!$B$5:$B$15,0)))</f>
        <v>0</v>
      </c>
      <c r="AC110" s="334">
        <f>$AA110*INDEX(项目参数!$D$5:$D$15,MATCH($R110,项目参数!$B$5:$B$15,0))</f>
        <v>0</v>
      </c>
      <c r="AD110" s="334">
        <f t="shared" si="111"/>
        <v>0</v>
      </c>
      <c r="AE110" s="328"/>
      <c r="AF110" s="328"/>
      <c r="AG110" s="327"/>
      <c r="AH110" s="327"/>
      <c r="AI110" s="327"/>
      <c r="AJ110" s="327"/>
      <c r="AK110" s="327"/>
      <c r="AL110" s="327"/>
      <c r="AM110" s="327"/>
      <c r="AN110" s="328"/>
      <c r="AO110" s="327"/>
      <c r="AP110" s="327"/>
      <c r="AQ110" s="327"/>
      <c r="AR110" s="327"/>
      <c r="AS110" s="327"/>
      <c r="AT110" s="327"/>
      <c r="AU110" s="327"/>
      <c r="AV110" s="328">
        <f t="shared" si="112"/>
        <v>0</v>
      </c>
      <c r="AW110" s="328">
        <f t="shared" si="113"/>
        <v>0</v>
      </c>
      <c r="AX110" s="328">
        <f t="shared" si="114"/>
        <v>0</v>
      </c>
      <c r="AY110" s="328" t="b">
        <f t="shared" si="103"/>
        <v>1</v>
      </c>
    </row>
    <row r="111" ht="27" customHeight="1" spans="1:51">
      <c r="A111" s="326" t="str">
        <f>INDEX('Rate Card'!$A:$A,MATCH($S111,'Rate Card'!$F:$F,0))</f>
        <v>注册</v>
      </c>
      <c r="B111" s="327" t="str">
        <f>INDEX(二三级标准!$G:$G,MATCH($J111,二三级标准!B:B,0))</f>
        <v>份</v>
      </c>
      <c r="C111" s="327">
        <f>INDEX(注册申报明细!$E:$E,MATCH($J111,注册申报明细!$B:$B,0))</f>
        <v>0</v>
      </c>
      <c r="D111" s="327" t="str">
        <f t="shared" si="105"/>
        <v>A292RAD</v>
      </c>
      <c r="E111" s="328"/>
      <c r="F111" s="328" t="s">
        <v>684</v>
      </c>
      <c r="G111" s="326" t="str">
        <f>INDEX('Rate Card'!$B:$B,MATCH($S111,'Rate Card'!$F:$F,0))</f>
        <v>注册</v>
      </c>
      <c r="H111" s="328" t="s">
        <v>1983</v>
      </c>
      <c r="I111" s="328" t="str">
        <f>INDEX(二三级标准!$Q:$Q,MATCH($H111,二三级标准!$O:$O,0))</f>
        <v>NDA申报资料准备</v>
      </c>
      <c r="J111" s="328" t="s">
        <v>1988</v>
      </c>
      <c r="K111" s="328" t="str">
        <f>INDEX(二三级标准!$C:$C,MATCH(注册申报底表!J111,二三级标准!$B:$B,0))</f>
        <v>1.3 产品信息相关材料</v>
      </c>
      <c r="L111" s="328" t="s">
        <v>2112</v>
      </c>
      <c r="M111" s="328" t="str">
        <f>INDEX(二三级标准!$M:$M,MATCH(注册申报底表!$L111,二三级标准!$L:$L,0))</f>
        <v>1.3 产品信息相关材料审核</v>
      </c>
      <c r="N111" s="328"/>
      <c r="O111" s="327">
        <f>IF($Q111=1,INDEX(注册申报明细!$E:$E,MATCH(注册申报底表!$J111,注册申报明细!$B:$B,0)),0)</f>
        <v>0</v>
      </c>
      <c r="P111" s="328" t="str">
        <f t="shared" si="104"/>
        <v>份</v>
      </c>
      <c r="Q111" s="329">
        <f>INDEX(注册申报明细!$D:$D,MATCH($J111,注册申报明细!$B:$B,0))</f>
        <v>0</v>
      </c>
      <c r="R111" s="328" t="str">
        <f>INDEX('Rate Card'!$D:$D,MATCH($S111,'Rate Card'!$F:$F,0))</f>
        <v>注册事务</v>
      </c>
      <c r="S111" s="328" t="s">
        <v>609</v>
      </c>
      <c r="T111" s="331">
        <f>INDEX('Rate Card'!$J:$J,MATCH($S111,'Rate Card'!$F:$F,0))</f>
        <v>990</v>
      </c>
      <c r="U111" s="331">
        <f t="shared" si="106"/>
        <v>6</v>
      </c>
      <c r="V111" s="327">
        <v>6</v>
      </c>
      <c r="W111" s="328"/>
      <c r="X111" s="332">
        <f t="shared" si="107"/>
        <v>6</v>
      </c>
      <c r="Y111" s="333">
        <f t="shared" si="108"/>
        <v>0</v>
      </c>
      <c r="Z111" s="328">
        <f t="shared" si="109"/>
        <v>0</v>
      </c>
      <c r="AA111" s="334">
        <f t="shared" si="110"/>
        <v>0</v>
      </c>
      <c r="AB111" s="334">
        <f>$Y111*(1-INDEX(项目参数!$D$5:$D$15,MATCH($R111,项目参数!$B$5:$B$15,0)))</f>
        <v>0</v>
      </c>
      <c r="AC111" s="334">
        <f>$AA111*INDEX(项目参数!$D$5:$D$15,MATCH($R111,项目参数!$B$5:$B$15,0))</f>
        <v>0</v>
      </c>
      <c r="AD111" s="334">
        <f t="shared" si="111"/>
        <v>0</v>
      </c>
      <c r="AE111" s="328"/>
      <c r="AF111" s="328"/>
      <c r="AG111" s="327"/>
      <c r="AH111" s="327"/>
      <c r="AI111" s="327"/>
      <c r="AJ111" s="327"/>
      <c r="AK111" s="327"/>
      <c r="AL111" s="327"/>
      <c r="AM111" s="327"/>
      <c r="AN111" s="328"/>
      <c r="AO111" s="327"/>
      <c r="AP111" s="327"/>
      <c r="AQ111" s="327"/>
      <c r="AR111" s="327"/>
      <c r="AS111" s="327"/>
      <c r="AT111" s="327"/>
      <c r="AU111" s="327"/>
      <c r="AV111" s="328">
        <f t="shared" si="112"/>
        <v>0</v>
      </c>
      <c r="AW111" s="328">
        <f t="shared" si="113"/>
        <v>0</v>
      </c>
      <c r="AX111" s="328">
        <f t="shared" si="114"/>
        <v>0</v>
      </c>
      <c r="AY111" s="328" t="b">
        <f t="shared" si="103"/>
        <v>1</v>
      </c>
    </row>
    <row r="112" ht="27" customHeight="1" spans="1:51">
      <c r="A112" s="326" t="str">
        <f>INDEX('Rate Card'!$A:$A,MATCH($S112,'Rate Card'!$F:$F,0))</f>
        <v>注册</v>
      </c>
      <c r="B112" s="327" t="str">
        <f>INDEX(二三级标准!$G:$G,MATCH($J112,二三级标准!B:B,0))</f>
        <v>份</v>
      </c>
      <c r="C112" s="327">
        <f>INDEX(注册申报明细!$E:$E,MATCH($J112,注册申报明细!$B:$B,0))</f>
        <v>0</v>
      </c>
      <c r="D112" s="327" t="str">
        <f t="shared" ref="D112:D125" si="115">J112&amp;S112</f>
        <v>A293RAM</v>
      </c>
      <c r="E112" s="328"/>
      <c r="F112" s="328" t="s">
        <v>684</v>
      </c>
      <c r="G112" s="326" t="str">
        <f>INDEX('Rate Card'!$B:$B,MATCH($S112,'Rate Card'!$F:$F,0))</f>
        <v>注册</v>
      </c>
      <c r="H112" s="328" t="s">
        <v>1983</v>
      </c>
      <c r="I112" s="328" t="str">
        <f>INDEX(二三级标准!$Q:$Q,MATCH($H112,二三级标准!$O:$O,0))</f>
        <v>NDA申报资料准备</v>
      </c>
      <c r="J112" s="328" t="s">
        <v>1989</v>
      </c>
      <c r="K112" s="328" t="str">
        <f>INDEX(二三级标准!$C:$C,MATCH(注册申报底表!J112,二三级标准!$B:$B,0))</f>
        <v>1.4 申请状态</v>
      </c>
      <c r="L112" s="328" t="s">
        <v>2113</v>
      </c>
      <c r="M112" s="328" t="str">
        <f>INDEX(二三级标准!$M:$M,MATCH(注册申报底表!$L112,二三级标准!$L:$L,0))</f>
        <v>1.4 申请状态撰写</v>
      </c>
      <c r="N112" s="328"/>
      <c r="O112" s="327">
        <f>IF($Q112=1,INDEX(注册申报明细!$E:$E,MATCH(注册申报底表!$J112,注册申报明细!$B:$B,0)),0)</f>
        <v>0</v>
      </c>
      <c r="P112" s="328" t="str">
        <f t="shared" si="104"/>
        <v>份</v>
      </c>
      <c r="Q112" s="329">
        <f>INDEX(注册申报明细!$D:$D,MATCH($J112,注册申报明细!$B:$B,0))</f>
        <v>0</v>
      </c>
      <c r="R112" s="328" t="str">
        <f>INDEX('Rate Card'!$D:$D,MATCH($S112,'Rate Card'!$F:$F,0))</f>
        <v>注册事务</v>
      </c>
      <c r="S112" s="328" t="s">
        <v>607</v>
      </c>
      <c r="T112" s="331">
        <f>INDEX('Rate Card'!$J:$J,MATCH($S112,'Rate Card'!$F:$F,0))</f>
        <v>650</v>
      </c>
      <c r="U112" s="331">
        <f t="shared" ref="U112:U125" si="116">$U$1*V112</f>
        <v>0.5</v>
      </c>
      <c r="V112" s="327">
        <v>0.5</v>
      </c>
      <c r="W112" s="328"/>
      <c r="X112" s="332">
        <f t="shared" ref="X112:X125" si="117">IF(ISBLANK($W112),$V112,$W112)</f>
        <v>0.5</v>
      </c>
      <c r="Y112" s="333">
        <f t="shared" ref="Y112:Y125" si="118">IFERROR(AA112/O112,0)</f>
        <v>0</v>
      </c>
      <c r="Z112" s="328">
        <f t="shared" ref="Z112:Z125" si="119">X112*O112*Q112</f>
        <v>0</v>
      </c>
      <c r="AA112" s="334">
        <f t="shared" ref="AA112:AA125" si="120">Z112*T112</f>
        <v>0</v>
      </c>
      <c r="AB112" s="334">
        <f>$Y112*(1-INDEX(项目参数!$D$5:$D$15,MATCH($R112,项目参数!$B$5:$B$15,0)))</f>
        <v>0</v>
      </c>
      <c r="AC112" s="334">
        <f>$AA112*INDEX(项目参数!$D$5:$D$15,MATCH($R112,项目参数!$B$5:$B$15,0))</f>
        <v>0</v>
      </c>
      <c r="AD112" s="334">
        <f t="shared" ref="AD112:AD125" si="121">AA112-AC112</f>
        <v>0</v>
      </c>
      <c r="AE112" s="328"/>
      <c r="AF112" s="328"/>
      <c r="AG112" s="327"/>
      <c r="AH112" s="327"/>
      <c r="AI112" s="327"/>
      <c r="AJ112" s="327"/>
      <c r="AK112" s="327"/>
      <c r="AL112" s="327"/>
      <c r="AM112" s="327"/>
      <c r="AN112" s="328"/>
      <c r="AO112" s="327"/>
      <c r="AP112" s="327"/>
      <c r="AQ112" s="327"/>
      <c r="AR112" s="327"/>
      <c r="AS112" s="327"/>
      <c r="AT112" s="327"/>
      <c r="AU112" s="327"/>
      <c r="AV112" s="328">
        <f t="shared" ref="AV112:AV125" si="122">Z112</f>
        <v>0</v>
      </c>
      <c r="AW112" s="328">
        <f t="shared" ref="AW112:AW125" si="123">V112*O112</f>
        <v>0</v>
      </c>
      <c r="AX112" s="328">
        <f t="shared" ref="AX112:AX125" si="124">AW112*$U$1</f>
        <v>0</v>
      </c>
      <c r="AY112" s="328" t="b">
        <f t="shared" si="103"/>
        <v>0</v>
      </c>
    </row>
    <row r="113" ht="27" customHeight="1" spans="1:51">
      <c r="A113" s="326" t="str">
        <f>INDEX('Rate Card'!$A:$A,MATCH($S113,'Rate Card'!$F:$F,0))</f>
        <v>注册</v>
      </c>
      <c r="B113" s="327" t="str">
        <f>INDEX(二三级标准!$G:$G,MATCH($J113,二三级标准!B:B,0))</f>
        <v>份</v>
      </c>
      <c r="C113" s="327">
        <f>INDEX(注册申报明细!$E:$E,MATCH($J113,注册申报明细!$B:$B,0))</f>
        <v>0</v>
      </c>
      <c r="D113" s="327" t="str">
        <f t="shared" si="115"/>
        <v>A293RAD</v>
      </c>
      <c r="E113" s="328"/>
      <c r="F113" s="328" t="s">
        <v>684</v>
      </c>
      <c r="G113" s="326" t="str">
        <f>INDEX('Rate Card'!$B:$B,MATCH($S113,'Rate Card'!$F:$F,0))</f>
        <v>注册</v>
      </c>
      <c r="H113" s="328" t="s">
        <v>1983</v>
      </c>
      <c r="I113" s="328" t="str">
        <f>INDEX(二三级标准!$Q:$Q,MATCH($H113,二三级标准!$O:$O,0))</f>
        <v>NDA申报资料准备</v>
      </c>
      <c r="J113" s="328" t="s">
        <v>1989</v>
      </c>
      <c r="K113" s="328" t="str">
        <f>INDEX(二三级标准!$C:$C,MATCH(注册申报底表!J113,二三级标准!$B:$B,0))</f>
        <v>1.4 申请状态</v>
      </c>
      <c r="L113" s="328" t="s">
        <v>2114</v>
      </c>
      <c r="M113" s="328" t="str">
        <f>INDEX(二三级标准!$M:$M,MATCH(注册申报底表!$L113,二三级标准!$L:$L,0))</f>
        <v>1.4 申请状态审核</v>
      </c>
      <c r="N113" s="328"/>
      <c r="O113" s="327">
        <f>IF($Q113=1,INDEX(注册申报明细!$E:$E,MATCH(注册申报底表!$J113,注册申报明细!$B:$B,0)),0)</f>
        <v>0</v>
      </c>
      <c r="P113" s="328" t="str">
        <f t="shared" si="104"/>
        <v>份</v>
      </c>
      <c r="Q113" s="329">
        <f>INDEX(注册申报明细!$D:$D,MATCH($J113,注册申报明细!$B:$B,0))</f>
        <v>0</v>
      </c>
      <c r="R113" s="328" t="str">
        <f>INDEX('Rate Card'!$D:$D,MATCH($S113,'Rate Card'!$F:$F,0))</f>
        <v>注册事务</v>
      </c>
      <c r="S113" s="328" t="s">
        <v>609</v>
      </c>
      <c r="T113" s="331">
        <f>INDEX('Rate Card'!$J:$J,MATCH($S113,'Rate Card'!$F:$F,0))</f>
        <v>990</v>
      </c>
      <c r="U113" s="331">
        <f t="shared" si="116"/>
        <v>0.1</v>
      </c>
      <c r="V113" s="327">
        <v>0.1</v>
      </c>
      <c r="W113" s="328"/>
      <c r="X113" s="332">
        <f t="shared" si="117"/>
        <v>0.1</v>
      </c>
      <c r="Y113" s="333">
        <f t="shared" si="118"/>
        <v>0</v>
      </c>
      <c r="Z113" s="328">
        <f t="shared" si="119"/>
        <v>0</v>
      </c>
      <c r="AA113" s="334">
        <f t="shared" si="120"/>
        <v>0</v>
      </c>
      <c r="AB113" s="334">
        <f>$Y113*(1-INDEX(项目参数!$D$5:$D$15,MATCH($R113,项目参数!$B$5:$B$15,0)))</f>
        <v>0</v>
      </c>
      <c r="AC113" s="334">
        <f>$AA113*INDEX(项目参数!$D$5:$D$15,MATCH($R113,项目参数!$B$5:$B$15,0))</f>
        <v>0</v>
      </c>
      <c r="AD113" s="334">
        <f t="shared" si="121"/>
        <v>0</v>
      </c>
      <c r="AE113" s="328"/>
      <c r="AF113" s="328"/>
      <c r="AG113" s="327"/>
      <c r="AH113" s="327"/>
      <c r="AI113" s="327"/>
      <c r="AJ113" s="327"/>
      <c r="AK113" s="327"/>
      <c r="AL113" s="327"/>
      <c r="AM113" s="327"/>
      <c r="AN113" s="328"/>
      <c r="AO113" s="327"/>
      <c r="AP113" s="327"/>
      <c r="AQ113" s="327"/>
      <c r="AR113" s="327"/>
      <c r="AS113" s="327"/>
      <c r="AT113" s="327"/>
      <c r="AU113" s="327"/>
      <c r="AV113" s="328">
        <f t="shared" si="122"/>
        <v>0</v>
      </c>
      <c r="AW113" s="328">
        <f t="shared" si="123"/>
        <v>0</v>
      </c>
      <c r="AX113" s="328">
        <f t="shared" si="124"/>
        <v>0</v>
      </c>
      <c r="AY113" s="328" t="b">
        <f t="shared" si="103"/>
        <v>0</v>
      </c>
    </row>
    <row r="114" ht="27" customHeight="1" spans="1:51">
      <c r="A114" s="326" t="str">
        <f>INDEX('Rate Card'!$A:$A,MATCH($S114,'Rate Card'!$F:$F,0))</f>
        <v>注册</v>
      </c>
      <c r="B114" s="327" t="str">
        <f>INDEX(二三级标准!$G:$G,MATCH($J114,二三级标准!B:B,0))</f>
        <v>份</v>
      </c>
      <c r="C114" s="327">
        <f>INDEX(注册申报明细!$E:$E,MATCH($J114,注册申报明细!$B:$B,0))</f>
        <v>0</v>
      </c>
      <c r="D114" s="327" t="str">
        <f t="shared" si="115"/>
        <v>A294RAM</v>
      </c>
      <c r="E114" s="328"/>
      <c r="F114" s="328" t="s">
        <v>684</v>
      </c>
      <c r="G114" s="326" t="str">
        <f>INDEX('Rate Card'!$B:$B,MATCH($S114,'Rate Card'!$F:$F,0))</f>
        <v>注册</v>
      </c>
      <c r="H114" s="328" t="s">
        <v>1983</v>
      </c>
      <c r="I114" s="328" t="str">
        <f>INDEX(二三级标准!$Q:$Q,MATCH($H114,二三级标准!$O:$O,0))</f>
        <v>NDA申报资料准备</v>
      </c>
      <c r="J114" s="328" t="s">
        <v>1990</v>
      </c>
      <c r="K114" s="328" t="str">
        <f>INDEX(二三级标准!$C:$C,MATCH(注册申报底表!J114,二三级标准!$B:$B,0))</f>
        <v>1.5 加快上市注册程序申请</v>
      </c>
      <c r="L114" s="328" t="s">
        <v>2115</v>
      </c>
      <c r="M114" s="328" t="str">
        <f>INDEX(二三级标准!$M:$M,MATCH(注册申报底表!$L114,二三级标准!$L:$L,0))</f>
        <v>1.5 加快上市注册程序申请撰写</v>
      </c>
      <c r="N114" s="328"/>
      <c r="O114" s="327">
        <f>IF($Q114=1,INDEX(注册申报明细!$E:$E,MATCH(注册申报底表!$J114,注册申报明细!$B:$B,0)),0)</f>
        <v>0</v>
      </c>
      <c r="P114" s="328" t="str">
        <f t="shared" si="104"/>
        <v>份</v>
      </c>
      <c r="Q114" s="329">
        <f>INDEX(注册申报明细!$D:$D,MATCH($J114,注册申报明细!$B:$B,0))</f>
        <v>0</v>
      </c>
      <c r="R114" s="328" t="str">
        <f>INDEX('Rate Card'!$D:$D,MATCH($S114,'Rate Card'!$F:$F,0))</f>
        <v>注册事务</v>
      </c>
      <c r="S114" s="328" t="s">
        <v>607</v>
      </c>
      <c r="T114" s="331">
        <f>INDEX('Rate Card'!$J:$J,MATCH($S114,'Rate Card'!$F:$F,0))</f>
        <v>650</v>
      </c>
      <c r="U114" s="331">
        <f t="shared" si="116"/>
        <v>0.5</v>
      </c>
      <c r="V114" s="327">
        <v>0.5</v>
      </c>
      <c r="W114" s="328"/>
      <c r="X114" s="332">
        <f t="shared" si="117"/>
        <v>0.5</v>
      </c>
      <c r="Y114" s="333">
        <f t="shared" si="118"/>
        <v>0</v>
      </c>
      <c r="Z114" s="328">
        <f t="shared" si="119"/>
        <v>0</v>
      </c>
      <c r="AA114" s="334">
        <f t="shared" si="120"/>
        <v>0</v>
      </c>
      <c r="AB114" s="334">
        <f>$Y114*(1-INDEX(项目参数!$D$5:$D$15,MATCH($R114,项目参数!$B$5:$B$15,0)))</f>
        <v>0</v>
      </c>
      <c r="AC114" s="334">
        <f>$AA114*INDEX(项目参数!$D$5:$D$15,MATCH($R114,项目参数!$B$5:$B$15,0))</f>
        <v>0</v>
      </c>
      <c r="AD114" s="334">
        <f t="shared" si="121"/>
        <v>0</v>
      </c>
      <c r="AE114" s="328"/>
      <c r="AF114" s="328"/>
      <c r="AG114" s="327"/>
      <c r="AH114" s="327"/>
      <c r="AI114" s="327"/>
      <c r="AJ114" s="327"/>
      <c r="AK114" s="327"/>
      <c r="AL114" s="327"/>
      <c r="AM114" s="327"/>
      <c r="AN114" s="328"/>
      <c r="AO114" s="327"/>
      <c r="AP114" s="327"/>
      <c r="AQ114" s="327"/>
      <c r="AR114" s="327"/>
      <c r="AS114" s="327"/>
      <c r="AT114" s="327"/>
      <c r="AU114" s="327"/>
      <c r="AV114" s="328">
        <f t="shared" si="122"/>
        <v>0</v>
      </c>
      <c r="AW114" s="328">
        <f t="shared" si="123"/>
        <v>0</v>
      </c>
      <c r="AX114" s="328">
        <f t="shared" si="124"/>
        <v>0</v>
      </c>
      <c r="AY114" s="328" t="b">
        <f t="shared" si="103"/>
        <v>1</v>
      </c>
    </row>
    <row r="115" ht="27" customHeight="1" spans="1:51">
      <c r="A115" s="326" t="str">
        <f>INDEX('Rate Card'!$A:$A,MATCH($S115,'Rate Card'!$F:$F,0))</f>
        <v>注册</v>
      </c>
      <c r="B115" s="327" t="str">
        <f>INDEX(二三级标准!$G:$G,MATCH($J115,二三级标准!B:B,0))</f>
        <v>份</v>
      </c>
      <c r="C115" s="327">
        <f>INDEX(注册申报明细!$E:$E,MATCH($J115,注册申报明细!$B:$B,0))</f>
        <v>0</v>
      </c>
      <c r="D115" s="327" t="str">
        <f t="shared" si="115"/>
        <v>A294RAD</v>
      </c>
      <c r="E115" s="328"/>
      <c r="F115" s="328" t="s">
        <v>684</v>
      </c>
      <c r="G115" s="326" t="str">
        <f>INDEX('Rate Card'!$B:$B,MATCH($S115,'Rate Card'!$F:$F,0))</f>
        <v>注册</v>
      </c>
      <c r="H115" s="328" t="s">
        <v>1983</v>
      </c>
      <c r="I115" s="328" t="str">
        <f>INDEX(二三级标准!$Q:$Q,MATCH($H115,二三级标准!$O:$O,0))</f>
        <v>NDA申报资料准备</v>
      </c>
      <c r="J115" s="328" t="s">
        <v>1990</v>
      </c>
      <c r="K115" s="328" t="str">
        <f>INDEX(二三级标准!$C:$C,MATCH(注册申报底表!J115,二三级标准!$B:$B,0))</f>
        <v>1.5 加快上市注册程序申请</v>
      </c>
      <c r="L115" s="328" t="s">
        <v>2116</v>
      </c>
      <c r="M115" s="328" t="str">
        <f>INDEX(二三级标准!$M:$M,MATCH(注册申报底表!$L115,二三级标准!$L:$L,0))</f>
        <v>1.5 加快上市注册程序申请审核</v>
      </c>
      <c r="N115" s="328"/>
      <c r="O115" s="327">
        <f>IF($Q115=1,INDEX(注册申报明细!$E:$E,MATCH(注册申报底表!$J115,注册申报明细!$B:$B,0)),0)</f>
        <v>0</v>
      </c>
      <c r="P115" s="328" t="str">
        <f t="shared" si="104"/>
        <v>份</v>
      </c>
      <c r="Q115" s="329">
        <f>INDEX(注册申报明细!$D:$D,MATCH($J115,注册申报明细!$B:$B,0))</f>
        <v>0</v>
      </c>
      <c r="R115" s="328" t="str">
        <f>INDEX('Rate Card'!$D:$D,MATCH($S115,'Rate Card'!$F:$F,0))</f>
        <v>注册事务</v>
      </c>
      <c r="S115" s="328" t="s">
        <v>609</v>
      </c>
      <c r="T115" s="331">
        <f>INDEX('Rate Card'!$J:$J,MATCH($S115,'Rate Card'!$F:$F,0))</f>
        <v>990</v>
      </c>
      <c r="U115" s="331">
        <f t="shared" si="116"/>
        <v>0.1</v>
      </c>
      <c r="V115" s="327">
        <v>0.1</v>
      </c>
      <c r="W115" s="328"/>
      <c r="X115" s="332">
        <f t="shared" si="117"/>
        <v>0.1</v>
      </c>
      <c r="Y115" s="333">
        <f t="shared" si="118"/>
        <v>0</v>
      </c>
      <c r="Z115" s="328">
        <f t="shared" si="119"/>
        <v>0</v>
      </c>
      <c r="AA115" s="334">
        <f t="shared" si="120"/>
        <v>0</v>
      </c>
      <c r="AB115" s="334">
        <f>$Y115*(1-INDEX(项目参数!$D$5:$D$15,MATCH($R115,项目参数!$B$5:$B$15,0)))</f>
        <v>0</v>
      </c>
      <c r="AC115" s="334">
        <f>$AA115*INDEX(项目参数!$D$5:$D$15,MATCH($R115,项目参数!$B$5:$B$15,0))</f>
        <v>0</v>
      </c>
      <c r="AD115" s="334">
        <f t="shared" si="121"/>
        <v>0</v>
      </c>
      <c r="AE115" s="328"/>
      <c r="AF115" s="328"/>
      <c r="AG115" s="327"/>
      <c r="AH115" s="327"/>
      <c r="AI115" s="327"/>
      <c r="AJ115" s="327"/>
      <c r="AK115" s="327"/>
      <c r="AL115" s="327"/>
      <c r="AM115" s="327"/>
      <c r="AN115" s="328"/>
      <c r="AO115" s="327"/>
      <c r="AP115" s="327"/>
      <c r="AQ115" s="327"/>
      <c r="AR115" s="327"/>
      <c r="AS115" s="327"/>
      <c r="AT115" s="327"/>
      <c r="AU115" s="327"/>
      <c r="AV115" s="328">
        <f t="shared" si="122"/>
        <v>0</v>
      </c>
      <c r="AW115" s="328">
        <f t="shared" si="123"/>
        <v>0</v>
      </c>
      <c r="AX115" s="328">
        <f t="shared" si="124"/>
        <v>0</v>
      </c>
      <c r="AY115" s="328" t="b">
        <f t="shared" si="103"/>
        <v>1</v>
      </c>
    </row>
    <row r="116" ht="27" customHeight="1" spans="1:51">
      <c r="A116" s="326" t="str">
        <f>INDEX('Rate Card'!$A:$A,MATCH($S116,'Rate Card'!$F:$F,0))</f>
        <v>注册</v>
      </c>
      <c r="B116" s="327" t="str">
        <f>INDEX(二三级标准!$G:$G,MATCH($J116,二三级标准!B:B,0))</f>
        <v>份</v>
      </c>
      <c r="C116" s="327">
        <f>INDEX(注册申报明细!$E:$E,MATCH($J116,注册申报明细!$B:$B,0))</f>
        <v>0</v>
      </c>
      <c r="D116" s="327" t="str">
        <f t="shared" si="115"/>
        <v>A295RAM</v>
      </c>
      <c r="E116" s="328"/>
      <c r="F116" s="328" t="s">
        <v>684</v>
      </c>
      <c r="G116" s="326" t="str">
        <f>INDEX('Rate Card'!$B:$B,MATCH($S116,'Rate Card'!$F:$F,0))</f>
        <v>注册</v>
      </c>
      <c r="H116" s="328" t="s">
        <v>1983</v>
      </c>
      <c r="I116" s="328" t="str">
        <f>INDEX(二三级标准!$Q:$Q,MATCH($H116,二三级标准!$O:$O,0))</f>
        <v>NDA申报资料准备</v>
      </c>
      <c r="J116" s="328" t="s">
        <v>1991</v>
      </c>
      <c r="K116" s="328" t="str">
        <f>INDEX(二三级标准!$C:$C,MATCH(注册申报底表!J116,二三级标准!$B:$B,0))</f>
        <v>1.6 沟通交流会议</v>
      </c>
      <c r="L116" s="328" t="s">
        <v>2117</v>
      </c>
      <c r="M116" s="328" t="str">
        <f>INDEX(二三级标准!$M:$M,MATCH(注册申报底表!$L116,二三级标准!$L:$L,0))</f>
        <v>1.6 沟通交流会议撰写</v>
      </c>
      <c r="N116" s="328"/>
      <c r="O116" s="327">
        <f>IF($Q116=1,INDEX(注册申报明细!$E:$E,MATCH(注册申报底表!$J116,注册申报明细!$B:$B,0)),0)</f>
        <v>0</v>
      </c>
      <c r="P116" s="328" t="str">
        <f t="shared" ref="P116:P123" si="125">B116</f>
        <v>份</v>
      </c>
      <c r="Q116" s="329">
        <f>INDEX(注册申报明细!$D:$D,MATCH($J116,注册申报明细!$B:$B,0))</f>
        <v>0</v>
      </c>
      <c r="R116" s="328" t="str">
        <f>INDEX('Rate Card'!$D:$D,MATCH($S116,'Rate Card'!$F:$F,0))</f>
        <v>注册事务</v>
      </c>
      <c r="S116" s="328" t="s">
        <v>607</v>
      </c>
      <c r="T116" s="331">
        <f>INDEX('Rate Card'!$J:$J,MATCH($S116,'Rate Card'!$F:$F,0))</f>
        <v>650</v>
      </c>
      <c r="U116" s="331">
        <f t="shared" si="116"/>
        <v>12</v>
      </c>
      <c r="V116" s="327">
        <v>12</v>
      </c>
      <c r="W116" s="328"/>
      <c r="X116" s="332">
        <f t="shared" si="117"/>
        <v>12</v>
      </c>
      <c r="Y116" s="333">
        <f t="shared" si="118"/>
        <v>0</v>
      </c>
      <c r="Z116" s="328">
        <f t="shared" si="119"/>
        <v>0</v>
      </c>
      <c r="AA116" s="334">
        <f t="shared" si="120"/>
        <v>0</v>
      </c>
      <c r="AB116" s="334">
        <f>$Y116*(1-INDEX(项目参数!$D$5:$D$15,MATCH($R116,项目参数!$B$5:$B$15,0)))</f>
        <v>0</v>
      </c>
      <c r="AC116" s="334">
        <f>$AA116*INDEX(项目参数!$D$5:$D$15,MATCH($R116,项目参数!$B$5:$B$15,0))</f>
        <v>0</v>
      </c>
      <c r="AD116" s="334">
        <f t="shared" si="121"/>
        <v>0</v>
      </c>
      <c r="AE116" s="328"/>
      <c r="AF116" s="328"/>
      <c r="AG116" s="327"/>
      <c r="AH116" s="327"/>
      <c r="AI116" s="327"/>
      <c r="AJ116" s="327"/>
      <c r="AK116" s="327"/>
      <c r="AL116" s="327"/>
      <c r="AM116" s="327"/>
      <c r="AN116" s="328"/>
      <c r="AO116" s="327"/>
      <c r="AP116" s="327"/>
      <c r="AQ116" s="327"/>
      <c r="AR116" s="327"/>
      <c r="AS116" s="327"/>
      <c r="AT116" s="327"/>
      <c r="AU116" s="327"/>
      <c r="AV116" s="328">
        <f t="shared" si="122"/>
        <v>0</v>
      </c>
      <c r="AW116" s="328">
        <f t="shared" si="123"/>
        <v>0</v>
      </c>
      <c r="AX116" s="328">
        <f t="shared" si="124"/>
        <v>0</v>
      </c>
      <c r="AY116" s="328" t="b">
        <f t="shared" si="103"/>
        <v>0</v>
      </c>
    </row>
    <row r="117" ht="27" customHeight="1" spans="1:51">
      <c r="A117" s="326" t="str">
        <f>INDEX('Rate Card'!$A:$A,MATCH($S117,'Rate Card'!$F:$F,0))</f>
        <v>注册</v>
      </c>
      <c r="B117" s="327" t="str">
        <f>INDEX(二三级标准!$G:$G,MATCH($J117,二三级标准!B:B,0))</f>
        <v>份</v>
      </c>
      <c r="C117" s="327">
        <f>INDEX(注册申报明细!$E:$E,MATCH($J117,注册申报明细!$B:$B,0))</f>
        <v>0</v>
      </c>
      <c r="D117" s="327" t="str">
        <f t="shared" si="115"/>
        <v>A295RAD</v>
      </c>
      <c r="E117" s="328"/>
      <c r="F117" s="328" t="s">
        <v>684</v>
      </c>
      <c r="G117" s="326" t="str">
        <f>INDEX('Rate Card'!$B:$B,MATCH($S117,'Rate Card'!$F:$F,0))</f>
        <v>注册</v>
      </c>
      <c r="H117" s="328" t="s">
        <v>1983</v>
      </c>
      <c r="I117" s="328" t="str">
        <f>INDEX(二三级标准!$Q:$Q,MATCH($H117,二三级标准!$O:$O,0))</f>
        <v>NDA申报资料准备</v>
      </c>
      <c r="J117" s="328" t="s">
        <v>1991</v>
      </c>
      <c r="K117" s="328" t="str">
        <f>INDEX(二三级标准!$C:$C,MATCH(注册申报底表!J117,二三级标准!$B:$B,0))</f>
        <v>1.6 沟通交流会议</v>
      </c>
      <c r="L117" s="328" t="s">
        <v>2118</v>
      </c>
      <c r="M117" s="328" t="str">
        <f>INDEX(二三级标准!$M:$M,MATCH(注册申报底表!$L117,二三级标准!$L:$L,0))</f>
        <v>1.6 沟通交流会议审核</v>
      </c>
      <c r="N117" s="328"/>
      <c r="O117" s="327">
        <f>IF($Q117=1,INDEX(注册申报明细!$E:$E,MATCH(注册申报底表!$J117,注册申报明细!$B:$B,0)),0)</f>
        <v>0</v>
      </c>
      <c r="P117" s="328" t="str">
        <f t="shared" si="125"/>
        <v>份</v>
      </c>
      <c r="Q117" s="329">
        <f>INDEX(注册申报明细!$D:$D,MATCH($J117,注册申报明细!$B:$B,0))</f>
        <v>0</v>
      </c>
      <c r="R117" s="328" t="str">
        <f>INDEX('Rate Card'!$D:$D,MATCH($S117,'Rate Card'!$F:$F,0))</f>
        <v>注册事务</v>
      </c>
      <c r="S117" s="328" t="s">
        <v>609</v>
      </c>
      <c r="T117" s="331">
        <f>INDEX('Rate Card'!$J:$J,MATCH($S117,'Rate Card'!$F:$F,0))</f>
        <v>990</v>
      </c>
      <c r="U117" s="331">
        <f t="shared" si="116"/>
        <v>2</v>
      </c>
      <c r="V117" s="327">
        <v>2</v>
      </c>
      <c r="W117" s="328"/>
      <c r="X117" s="332">
        <f t="shared" si="117"/>
        <v>2</v>
      </c>
      <c r="Y117" s="333">
        <f t="shared" si="118"/>
        <v>0</v>
      </c>
      <c r="Z117" s="328">
        <f t="shared" si="119"/>
        <v>0</v>
      </c>
      <c r="AA117" s="334">
        <f t="shared" si="120"/>
        <v>0</v>
      </c>
      <c r="AB117" s="334">
        <f>$Y117*(1-INDEX(项目参数!$D$5:$D$15,MATCH($R117,项目参数!$B$5:$B$15,0)))</f>
        <v>0</v>
      </c>
      <c r="AC117" s="334">
        <f>$AA117*INDEX(项目参数!$D$5:$D$15,MATCH($R117,项目参数!$B$5:$B$15,0))</f>
        <v>0</v>
      </c>
      <c r="AD117" s="334">
        <f t="shared" si="121"/>
        <v>0</v>
      </c>
      <c r="AE117" s="328"/>
      <c r="AF117" s="328"/>
      <c r="AG117" s="327"/>
      <c r="AH117" s="327"/>
      <c r="AI117" s="327"/>
      <c r="AJ117" s="327"/>
      <c r="AK117" s="327"/>
      <c r="AL117" s="327"/>
      <c r="AM117" s="327"/>
      <c r="AN117" s="328"/>
      <c r="AO117" s="327"/>
      <c r="AP117" s="327"/>
      <c r="AQ117" s="327"/>
      <c r="AR117" s="327"/>
      <c r="AS117" s="327"/>
      <c r="AT117" s="327"/>
      <c r="AU117" s="327"/>
      <c r="AV117" s="328">
        <f t="shared" si="122"/>
        <v>0</v>
      </c>
      <c r="AW117" s="328">
        <f t="shared" si="123"/>
        <v>0</v>
      </c>
      <c r="AX117" s="328">
        <f t="shared" si="124"/>
        <v>0</v>
      </c>
      <c r="AY117" s="328" t="b">
        <f t="shared" si="103"/>
        <v>0</v>
      </c>
    </row>
    <row r="118" ht="27" customHeight="1" spans="1:51">
      <c r="A118" s="326" t="str">
        <f>INDEX('Rate Card'!$A:$A,MATCH($S118,'Rate Card'!$F:$F,0))</f>
        <v>注册</v>
      </c>
      <c r="B118" s="327" t="str">
        <f>INDEX(二三级标准!$G:$G,MATCH($J118,二三级标准!B:B,0))</f>
        <v>份</v>
      </c>
      <c r="C118" s="327">
        <f>INDEX(注册申报明细!$E:$E,MATCH($J118,注册申报明细!$B:$B,0))</f>
        <v>0</v>
      </c>
      <c r="D118" s="327" t="str">
        <f t="shared" si="115"/>
        <v>A296RAM</v>
      </c>
      <c r="E118" s="328"/>
      <c r="F118" s="328" t="s">
        <v>684</v>
      </c>
      <c r="G118" s="326" t="str">
        <f>INDEX('Rate Card'!$B:$B,MATCH($S118,'Rate Card'!$F:$F,0))</f>
        <v>注册</v>
      </c>
      <c r="H118" s="328" t="s">
        <v>1983</v>
      </c>
      <c r="I118" s="328" t="str">
        <f>INDEX(二三级标准!$Q:$Q,MATCH($H118,二三级标准!$O:$O,0))</f>
        <v>NDA申报资料准备</v>
      </c>
      <c r="J118" s="328" t="s">
        <v>1992</v>
      </c>
      <c r="K118" s="328" t="str">
        <f>INDEX(二三级标准!$C:$C,MATCH(注册申报底表!J118,二三级标准!$B:$B,0))</f>
        <v>1.7 临床试验过程管理信息</v>
      </c>
      <c r="L118" s="328" t="s">
        <v>2119</v>
      </c>
      <c r="M118" s="328" t="str">
        <f>INDEX(二三级标准!$M:$M,MATCH(注册申报底表!$L118,二三级标准!$L:$L,0))</f>
        <v>1.7 临床试验过程管理信息撰写</v>
      </c>
      <c r="N118" s="328"/>
      <c r="O118" s="327">
        <f>IF($Q118=1,INDEX(注册申报明细!$E:$E,MATCH(注册申报底表!$J118,注册申报明细!$B:$B,0)),0)</f>
        <v>0</v>
      </c>
      <c r="P118" s="328" t="str">
        <f t="shared" si="125"/>
        <v>份</v>
      </c>
      <c r="Q118" s="329">
        <f>INDEX(注册申报明细!$D:$D,MATCH($J118,注册申报明细!$B:$B,0))</f>
        <v>0</v>
      </c>
      <c r="R118" s="328" t="str">
        <f>INDEX('Rate Card'!$D:$D,MATCH($S118,'Rate Card'!$F:$F,0))</f>
        <v>注册事务</v>
      </c>
      <c r="S118" s="328" t="s">
        <v>607</v>
      </c>
      <c r="T118" s="331">
        <f>INDEX('Rate Card'!$J:$J,MATCH($S118,'Rate Card'!$F:$F,0))</f>
        <v>650</v>
      </c>
      <c r="U118" s="331">
        <f t="shared" si="116"/>
        <v>0.5</v>
      </c>
      <c r="V118" s="327">
        <v>0.5</v>
      </c>
      <c r="W118" s="328"/>
      <c r="X118" s="332">
        <f t="shared" si="117"/>
        <v>0.5</v>
      </c>
      <c r="Y118" s="333">
        <f t="shared" si="118"/>
        <v>0</v>
      </c>
      <c r="Z118" s="328">
        <f t="shared" si="119"/>
        <v>0</v>
      </c>
      <c r="AA118" s="334">
        <f t="shared" si="120"/>
        <v>0</v>
      </c>
      <c r="AB118" s="334">
        <f>$Y118*(1-INDEX(项目参数!$D$5:$D$15,MATCH($R118,项目参数!$B$5:$B$15,0)))</f>
        <v>0</v>
      </c>
      <c r="AC118" s="334">
        <f>$AA118*INDEX(项目参数!$D$5:$D$15,MATCH($R118,项目参数!$B$5:$B$15,0))</f>
        <v>0</v>
      </c>
      <c r="AD118" s="334">
        <f t="shared" si="121"/>
        <v>0</v>
      </c>
      <c r="AE118" s="328"/>
      <c r="AF118" s="328"/>
      <c r="AG118" s="327"/>
      <c r="AH118" s="327"/>
      <c r="AI118" s="327"/>
      <c r="AJ118" s="327"/>
      <c r="AK118" s="327"/>
      <c r="AL118" s="327"/>
      <c r="AM118" s="327"/>
      <c r="AN118" s="328"/>
      <c r="AO118" s="327"/>
      <c r="AP118" s="327"/>
      <c r="AQ118" s="327"/>
      <c r="AR118" s="327"/>
      <c r="AS118" s="327"/>
      <c r="AT118" s="327"/>
      <c r="AU118" s="327"/>
      <c r="AV118" s="328">
        <f t="shared" si="122"/>
        <v>0</v>
      </c>
      <c r="AW118" s="328">
        <f t="shared" si="123"/>
        <v>0</v>
      </c>
      <c r="AX118" s="328">
        <f t="shared" si="124"/>
        <v>0</v>
      </c>
      <c r="AY118" s="328" t="b">
        <f t="shared" si="103"/>
        <v>1</v>
      </c>
    </row>
    <row r="119" ht="27" customHeight="1" spans="1:51">
      <c r="A119" s="326" t="str">
        <f>INDEX('Rate Card'!$A:$A,MATCH($S119,'Rate Card'!$F:$F,0))</f>
        <v>注册</v>
      </c>
      <c r="B119" s="327" t="str">
        <f>INDEX(二三级标准!$G:$G,MATCH($J119,二三级标准!B:B,0))</f>
        <v>份</v>
      </c>
      <c r="C119" s="327">
        <f>INDEX(注册申报明细!$E:$E,MATCH($J119,注册申报明细!$B:$B,0))</f>
        <v>0</v>
      </c>
      <c r="D119" s="327" t="str">
        <f t="shared" si="115"/>
        <v>A296RAD</v>
      </c>
      <c r="E119" s="328"/>
      <c r="F119" s="328" t="s">
        <v>684</v>
      </c>
      <c r="G119" s="326" t="str">
        <f>INDEX('Rate Card'!$B:$B,MATCH($S119,'Rate Card'!$F:$F,0))</f>
        <v>注册</v>
      </c>
      <c r="H119" s="328" t="s">
        <v>1983</v>
      </c>
      <c r="I119" s="328" t="str">
        <f>INDEX(二三级标准!$Q:$Q,MATCH($H119,二三级标准!$O:$O,0))</f>
        <v>NDA申报资料准备</v>
      </c>
      <c r="J119" s="328" t="s">
        <v>1992</v>
      </c>
      <c r="K119" s="328" t="str">
        <f>INDEX(二三级标准!$C:$C,MATCH(注册申报底表!J119,二三级标准!$B:$B,0))</f>
        <v>1.7 临床试验过程管理信息</v>
      </c>
      <c r="L119" s="328" t="s">
        <v>2120</v>
      </c>
      <c r="M119" s="328" t="str">
        <f>INDEX(二三级标准!$M:$M,MATCH(注册申报底表!$L119,二三级标准!$L:$L,0))</f>
        <v>1.7 临床试验过程管理信息审核</v>
      </c>
      <c r="N119" s="328"/>
      <c r="O119" s="327">
        <f>IF($Q119=1,INDEX(注册申报明细!$E:$E,MATCH(注册申报底表!$J119,注册申报明细!$B:$B,0)),0)</f>
        <v>0</v>
      </c>
      <c r="P119" s="328" t="str">
        <f t="shared" si="125"/>
        <v>份</v>
      </c>
      <c r="Q119" s="329">
        <f>INDEX(注册申报明细!$D:$D,MATCH($J119,注册申报明细!$B:$B,0))</f>
        <v>0</v>
      </c>
      <c r="R119" s="328" t="str">
        <f>INDEX('Rate Card'!$D:$D,MATCH($S119,'Rate Card'!$F:$F,0))</f>
        <v>注册事务</v>
      </c>
      <c r="S119" s="328" t="s">
        <v>609</v>
      </c>
      <c r="T119" s="331">
        <f>INDEX('Rate Card'!$J:$J,MATCH($S119,'Rate Card'!$F:$F,0))</f>
        <v>990</v>
      </c>
      <c r="U119" s="331">
        <f t="shared" si="116"/>
        <v>0.1</v>
      </c>
      <c r="V119" s="327">
        <v>0.1</v>
      </c>
      <c r="W119" s="328"/>
      <c r="X119" s="332">
        <f t="shared" si="117"/>
        <v>0.1</v>
      </c>
      <c r="Y119" s="333">
        <f t="shared" si="118"/>
        <v>0</v>
      </c>
      <c r="Z119" s="328">
        <f t="shared" si="119"/>
        <v>0</v>
      </c>
      <c r="AA119" s="334">
        <f t="shared" si="120"/>
        <v>0</v>
      </c>
      <c r="AB119" s="334">
        <f>$Y119*(1-INDEX(项目参数!$D$5:$D$15,MATCH($R119,项目参数!$B$5:$B$15,0)))</f>
        <v>0</v>
      </c>
      <c r="AC119" s="334">
        <f>$AA119*INDEX(项目参数!$D$5:$D$15,MATCH($R119,项目参数!$B$5:$B$15,0))</f>
        <v>0</v>
      </c>
      <c r="AD119" s="334">
        <f t="shared" si="121"/>
        <v>0</v>
      </c>
      <c r="AE119" s="328"/>
      <c r="AF119" s="328"/>
      <c r="AG119" s="327"/>
      <c r="AH119" s="327"/>
      <c r="AI119" s="327"/>
      <c r="AJ119" s="327"/>
      <c r="AK119" s="327"/>
      <c r="AL119" s="327"/>
      <c r="AM119" s="327"/>
      <c r="AN119" s="328"/>
      <c r="AO119" s="327"/>
      <c r="AP119" s="327"/>
      <c r="AQ119" s="327"/>
      <c r="AR119" s="327"/>
      <c r="AS119" s="327"/>
      <c r="AT119" s="327"/>
      <c r="AU119" s="327"/>
      <c r="AV119" s="328">
        <f t="shared" si="122"/>
        <v>0</v>
      </c>
      <c r="AW119" s="328">
        <f t="shared" si="123"/>
        <v>0</v>
      </c>
      <c r="AX119" s="328">
        <f t="shared" si="124"/>
        <v>0</v>
      </c>
      <c r="AY119" s="328" t="b">
        <f t="shared" si="103"/>
        <v>1</v>
      </c>
    </row>
    <row r="120" ht="27" customHeight="1" spans="1:51">
      <c r="A120" s="326" t="str">
        <f>INDEX('Rate Card'!$A:$A,MATCH($S120,'Rate Card'!$F:$F,0))</f>
        <v>注册</v>
      </c>
      <c r="B120" s="327" t="str">
        <f>INDEX(二三级标准!$G:$G,MATCH($J120,二三级标准!B:B,0))</f>
        <v>份</v>
      </c>
      <c r="C120" s="327">
        <f>INDEX(注册申报明细!$E:$E,MATCH($J120,注册申报明细!$B:$B,0))</f>
        <v>0</v>
      </c>
      <c r="D120" s="327" t="str">
        <f t="shared" si="115"/>
        <v>A297RAM</v>
      </c>
      <c r="E120" s="328"/>
      <c r="F120" s="328" t="s">
        <v>684</v>
      </c>
      <c r="G120" s="326" t="str">
        <f>INDEX('Rate Card'!$B:$B,MATCH($S120,'Rate Card'!$F:$F,0))</f>
        <v>注册</v>
      </c>
      <c r="H120" s="328" t="s">
        <v>1983</v>
      </c>
      <c r="I120" s="328" t="str">
        <f>INDEX(二三级标准!$Q:$Q,MATCH($H120,二三级标准!$O:$O,0))</f>
        <v>NDA申报资料准备</v>
      </c>
      <c r="J120" s="328" t="s">
        <v>1993</v>
      </c>
      <c r="K120" s="328" t="str">
        <f>INDEX(二三级标准!$C:$C,MATCH(注册申报底表!J120,二三级标准!$B:$B,0))</f>
        <v>1.8 药物警戒与风险管理</v>
      </c>
      <c r="L120" s="328" t="s">
        <v>2121</v>
      </c>
      <c r="M120" s="328" t="str">
        <f>INDEX(二三级标准!$M:$M,MATCH(注册申报底表!$L120,二三级标准!$L:$L,0))</f>
        <v>1.8 药物警戒与风险管理撰写</v>
      </c>
      <c r="N120" s="328"/>
      <c r="O120" s="327">
        <f>IF($Q120=1,INDEX(注册申报明细!$E:$E,MATCH(注册申报底表!$J120,注册申报明细!$B:$B,0)),0)</f>
        <v>0</v>
      </c>
      <c r="P120" s="328" t="str">
        <f t="shared" si="125"/>
        <v>份</v>
      </c>
      <c r="Q120" s="329">
        <f>INDEX(注册申报明细!$D:$D,MATCH($J120,注册申报明细!$B:$B,0))</f>
        <v>0</v>
      </c>
      <c r="R120" s="328" t="str">
        <f>INDEX('Rate Card'!$D:$D,MATCH($S120,'Rate Card'!$F:$F,0))</f>
        <v>注册事务</v>
      </c>
      <c r="S120" s="328" t="s">
        <v>607</v>
      </c>
      <c r="T120" s="331">
        <f>INDEX('Rate Card'!$J:$J,MATCH($S120,'Rate Card'!$F:$F,0))</f>
        <v>650</v>
      </c>
      <c r="U120" s="331">
        <f t="shared" si="116"/>
        <v>6</v>
      </c>
      <c r="V120" s="327">
        <v>6</v>
      </c>
      <c r="W120" s="328"/>
      <c r="X120" s="332">
        <f t="shared" si="117"/>
        <v>6</v>
      </c>
      <c r="Y120" s="333">
        <f t="shared" si="118"/>
        <v>0</v>
      </c>
      <c r="Z120" s="328">
        <f t="shared" si="119"/>
        <v>0</v>
      </c>
      <c r="AA120" s="334">
        <f t="shared" si="120"/>
        <v>0</v>
      </c>
      <c r="AB120" s="334">
        <f>$Y120*(1-INDEX(项目参数!$D$5:$D$15,MATCH($R120,项目参数!$B$5:$B$15,0)))</f>
        <v>0</v>
      </c>
      <c r="AC120" s="334">
        <f>$AA120*INDEX(项目参数!$D$5:$D$15,MATCH($R120,项目参数!$B$5:$B$15,0))</f>
        <v>0</v>
      </c>
      <c r="AD120" s="334">
        <f t="shared" si="121"/>
        <v>0</v>
      </c>
      <c r="AE120" s="328"/>
      <c r="AF120" s="328"/>
      <c r="AG120" s="327"/>
      <c r="AH120" s="327"/>
      <c r="AI120" s="327"/>
      <c r="AJ120" s="327"/>
      <c r="AK120" s="327"/>
      <c r="AL120" s="327"/>
      <c r="AM120" s="327"/>
      <c r="AN120" s="328"/>
      <c r="AO120" s="327"/>
      <c r="AP120" s="327"/>
      <c r="AQ120" s="327"/>
      <c r="AR120" s="327"/>
      <c r="AS120" s="327"/>
      <c r="AT120" s="327"/>
      <c r="AU120" s="327"/>
      <c r="AV120" s="328">
        <f t="shared" si="122"/>
        <v>0</v>
      </c>
      <c r="AW120" s="328">
        <f t="shared" si="123"/>
        <v>0</v>
      </c>
      <c r="AX120" s="328">
        <f t="shared" si="124"/>
        <v>0</v>
      </c>
      <c r="AY120" s="328" t="b">
        <f t="shared" si="103"/>
        <v>0</v>
      </c>
    </row>
    <row r="121" ht="27" customHeight="1" spans="1:51">
      <c r="A121" s="326" t="str">
        <f>INDEX('Rate Card'!$A:$A,MATCH($S121,'Rate Card'!$F:$F,0))</f>
        <v>药物警戒</v>
      </c>
      <c r="B121" s="327" t="str">
        <f>INDEX(二三级标准!$G:$G,MATCH($J121,二三级标准!B:B,0))</f>
        <v>份</v>
      </c>
      <c r="C121" s="327">
        <f>INDEX(注册申报明细!$E:$E,MATCH($J121,注册申报明细!$B:$B,0))</f>
        <v>0</v>
      </c>
      <c r="D121" s="327" t="str">
        <f t="shared" si="115"/>
        <v>A297PVP</v>
      </c>
      <c r="E121" s="328"/>
      <c r="F121" s="328" t="s">
        <v>684</v>
      </c>
      <c r="G121" s="326" t="str">
        <f>INDEX('Rate Card'!$B:$B,MATCH($S121,'Rate Card'!$F:$F,0))</f>
        <v>药物警戒</v>
      </c>
      <c r="H121" s="328" t="s">
        <v>1983</v>
      </c>
      <c r="I121" s="328" t="str">
        <f>INDEX(二三级标准!$Q:$Q,MATCH($H121,二三级标准!$O:$O,0))</f>
        <v>NDA申报资料准备</v>
      </c>
      <c r="J121" s="328" t="s">
        <v>1993</v>
      </c>
      <c r="K121" s="328" t="str">
        <f>INDEX(二三级标准!$C:$C,MATCH(注册申报底表!J121,二三级标准!$B:$B,0))</f>
        <v>1.8 药物警戒与风险管理</v>
      </c>
      <c r="L121" s="328" t="s">
        <v>2121</v>
      </c>
      <c r="M121" s="328" t="str">
        <f>INDEX(二三级标准!$M:$M,MATCH(注册申报底表!$L121,二三级标准!$L:$L,0))</f>
        <v>1.8 药物警戒与风险管理撰写</v>
      </c>
      <c r="N121" s="328"/>
      <c r="O121" s="327">
        <f>IF($Q121=1,INDEX(注册申报明细!$E:$E,MATCH(注册申报底表!$J121,注册申报明细!$B:$B,0)),0)</f>
        <v>0</v>
      </c>
      <c r="P121" s="328" t="str">
        <f t="shared" si="125"/>
        <v>份</v>
      </c>
      <c r="Q121" s="329">
        <v>0</v>
      </c>
      <c r="R121" s="328" t="str">
        <f>INDEX('Rate Card'!$D:$D,MATCH($S121,'Rate Card'!$F:$F,0))</f>
        <v>药物警戒</v>
      </c>
      <c r="S121" s="328" t="s">
        <v>622</v>
      </c>
      <c r="T121" s="331">
        <f>INDEX('Rate Card'!$J:$J,MATCH($S121,'Rate Card'!$F:$F,0))</f>
        <v>700</v>
      </c>
      <c r="U121" s="331">
        <f t="shared" si="116"/>
        <v>48</v>
      </c>
      <c r="V121" s="327">
        <v>48</v>
      </c>
      <c r="W121" s="328"/>
      <c r="X121" s="332">
        <f t="shared" si="117"/>
        <v>48</v>
      </c>
      <c r="Y121" s="333">
        <f t="shared" si="118"/>
        <v>0</v>
      </c>
      <c r="Z121" s="328">
        <f t="shared" si="119"/>
        <v>0</v>
      </c>
      <c r="AA121" s="334">
        <f t="shared" si="120"/>
        <v>0</v>
      </c>
      <c r="AB121" s="334">
        <f>$Y121*(1-INDEX(项目参数!$D$5:$D$15,MATCH($R121,项目参数!$B$5:$B$15,0)))</f>
        <v>0</v>
      </c>
      <c r="AC121" s="334">
        <f>$AA121*INDEX(项目参数!$D$5:$D$15,MATCH($R121,项目参数!$B$5:$B$15,0))</f>
        <v>0</v>
      </c>
      <c r="AD121" s="334">
        <f t="shared" si="121"/>
        <v>0</v>
      </c>
      <c r="AE121" s="328"/>
      <c r="AF121" s="328"/>
      <c r="AG121" s="327"/>
      <c r="AH121" s="327"/>
      <c r="AI121" s="327"/>
      <c r="AJ121" s="327"/>
      <c r="AK121" s="327"/>
      <c r="AL121" s="327"/>
      <c r="AM121" s="327"/>
      <c r="AN121" s="328"/>
      <c r="AO121" s="327"/>
      <c r="AP121" s="327"/>
      <c r="AQ121" s="327"/>
      <c r="AR121" s="327"/>
      <c r="AS121" s="327"/>
      <c r="AT121" s="327"/>
      <c r="AU121" s="327"/>
      <c r="AV121" s="328">
        <f t="shared" si="122"/>
        <v>0</v>
      </c>
      <c r="AW121" s="328">
        <f t="shared" si="123"/>
        <v>0</v>
      </c>
      <c r="AX121" s="328">
        <f t="shared" si="124"/>
        <v>0</v>
      </c>
      <c r="AY121" s="328" t="b">
        <f t="shared" si="103"/>
        <v>0</v>
      </c>
    </row>
    <row r="122" ht="27" customHeight="1" spans="1:51">
      <c r="A122" s="326" t="str">
        <f>INDEX('Rate Card'!$A:$A,MATCH($S122,'Rate Card'!$F:$F,0))</f>
        <v>药物警戒</v>
      </c>
      <c r="B122" s="327" t="str">
        <f>INDEX(二三级标准!$G:$G,MATCH($J122,二三级标准!B:B,0))</f>
        <v>份</v>
      </c>
      <c r="C122" s="327">
        <f>INDEX(注册申报明细!$E:$E,MATCH($J122,注册申报明细!$B:$B,0))</f>
        <v>0</v>
      </c>
      <c r="D122" s="327" t="str">
        <f t="shared" si="115"/>
        <v>A297PVM</v>
      </c>
      <c r="E122" s="328"/>
      <c r="F122" s="328" t="s">
        <v>684</v>
      </c>
      <c r="G122" s="326" t="str">
        <f>INDEX('Rate Card'!$B:$B,MATCH($S122,'Rate Card'!$F:$F,0))</f>
        <v>药物警戒</v>
      </c>
      <c r="H122" s="328" t="s">
        <v>1983</v>
      </c>
      <c r="I122" s="328" t="str">
        <f>INDEX(二三级标准!$Q:$Q,MATCH($H122,二三级标准!$O:$O,0))</f>
        <v>NDA申报资料准备</v>
      </c>
      <c r="J122" s="328" t="s">
        <v>1993</v>
      </c>
      <c r="K122" s="328" t="str">
        <f>INDEX(二三级标准!$C:$C,MATCH(注册申报底表!J122,二三级标准!$B:$B,0))</f>
        <v>1.8 药物警戒与风险管理</v>
      </c>
      <c r="L122" s="328" t="s">
        <v>2121</v>
      </c>
      <c r="M122" s="328" t="str">
        <f>INDEX(二三级标准!$M:$M,MATCH(注册申报底表!$L122,二三级标准!$L:$L,0))</f>
        <v>1.8 药物警戒与风险管理撰写</v>
      </c>
      <c r="N122" s="328"/>
      <c r="O122" s="327">
        <f>IF($Q122=1,INDEX(注册申报明细!$E:$E,MATCH(注册申报底表!$J122,注册申报明细!$B:$B,0)),0)</f>
        <v>0</v>
      </c>
      <c r="P122" s="328" t="str">
        <f t="shared" si="125"/>
        <v>份</v>
      </c>
      <c r="Q122" s="329">
        <v>0</v>
      </c>
      <c r="R122" s="328" t="str">
        <f>INDEX('Rate Card'!$D:$D,MATCH($S122,'Rate Card'!$F:$F,0))</f>
        <v>药物警戒</v>
      </c>
      <c r="S122" s="328" t="s">
        <v>620</v>
      </c>
      <c r="T122" s="331">
        <f>INDEX('Rate Card'!$J:$J,MATCH($S122,'Rate Card'!$F:$F,0))</f>
        <v>500</v>
      </c>
      <c r="U122" s="331">
        <f t="shared" si="116"/>
        <v>10</v>
      </c>
      <c r="V122" s="327">
        <v>10</v>
      </c>
      <c r="W122" s="328"/>
      <c r="X122" s="332">
        <f t="shared" si="117"/>
        <v>10</v>
      </c>
      <c r="Y122" s="333">
        <f t="shared" si="118"/>
        <v>0</v>
      </c>
      <c r="Z122" s="328">
        <f t="shared" si="119"/>
        <v>0</v>
      </c>
      <c r="AA122" s="334">
        <f t="shared" si="120"/>
        <v>0</v>
      </c>
      <c r="AB122" s="334">
        <f>$Y122*(1-INDEX(项目参数!$D$5:$D$15,MATCH($R122,项目参数!$B$5:$B$15,0)))</f>
        <v>0</v>
      </c>
      <c r="AC122" s="334">
        <f>$AA122*INDEX(项目参数!$D$5:$D$15,MATCH($R122,项目参数!$B$5:$B$15,0))</f>
        <v>0</v>
      </c>
      <c r="AD122" s="334">
        <f t="shared" si="121"/>
        <v>0</v>
      </c>
      <c r="AE122" s="328"/>
      <c r="AF122" s="328"/>
      <c r="AG122" s="327"/>
      <c r="AH122" s="327"/>
      <c r="AI122" s="327"/>
      <c r="AJ122" s="327"/>
      <c r="AK122" s="327"/>
      <c r="AL122" s="327"/>
      <c r="AM122" s="327"/>
      <c r="AN122" s="328"/>
      <c r="AO122" s="327"/>
      <c r="AP122" s="327"/>
      <c r="AQ122" s="327"/>
      <c r="AR122" s="327"/>
      <c r="AS122" s="327"/>
      <c r="AT122" s="327"/>
      <c r="AU122" s="327"/>
      <c r="AV122" s="328">
        <f t="shared" si="122"/>
        <v>0</v>
      </c>
      <c r="AW122" s="328">
        <f t="shared" si="123"/>
        <v>0</v>
      </c>
      <c r="AX122" s="328">
        <f t="shared" si="124"/>
        <v>0</v>
      </c>
      <c r="AY122" s="328" t="b">
        <f t="shared" si="103"/>
        <v>0</v>
      </c>
    </row>
    <row r="123" ht="27" customHeight="1" spans="1:51">
      <c r="A123" s="326" t="str">
        <f>INDEX('Rate Card'!$A:$A,MATCH($S123,'Rate Card'!$F:$F,0))</f>
        <v>注册</v>
      </c>
      <c r="B123" s="327" t="str">
        <f>INDEX(二三级标准!$G:$G,MATCH($J123,二三级标准!B:B,0))</f>
        <v>份</v>
      </c>
      <c r="C123" s="327">
        <f>INDEX(注册申报明细!$E:$E,MATCH($J123,注册申报明细!$B:$B,0))</f>
        <v>0</v>
      </c>
      <c r="D123" s="327" t="str">
        <f t="shared" si="115"/>
        <v>A297RAD</v>
      </c>
      <c r="E123" s="328"/>
      <c r="F123" s="328" t="s">
        <v>684</v>
      </c>
      <c r="G123" s="326" t="str">
        <f>INDEX('Rate Card'!$B:$B,MATCH($S123,'Rate Card'!$F:$F,0))</f>
        <v>注册</v>
      </c>
      <c r="H123" s="328" t="s">
        <v>1983</v>
      </c>
      <c r="I123" s="328" t="str">
        <f>INDEX(二三级标准!$Q:$Q,MATCH($H123,二三级标准!$O:$O,0))</f>
        <v>NDA申报资料准备</v>
      </c>
      <c r="J123" s="328" t="s">
        <v>1993</v>
      </c>
      <c r="K123" s="328" t="str">
        <f>INDEX(二三级标准!$C:$C,MATCH(注册申报底表!J123,二三级标准!$B:$B,0))</f>
        <v>1.8 药物警戒与风险管理</v>
      </c>
      <c r="L123" s="328" t="s">
        <v>2122</v>
      </c>
      <c r="M123" s="328" t="str">
        <f>INDEX(二三级标准!$M:$M,MATCH(注册申报底表!$L123,二三级标准!$L:$L,0))</f>
        <v>1.8 药物警戒与风险管理审核</v>
      </c>
      <c r="N123" s="328"/>
      <c r="O123" s="327">
        <f>IF($Q123=1,INDEX(注册申报明细!$E:$E,MATCH(注册申报底表!$J123,注册申报明细!$B:$B,0)),0)</f>
        <v>0</v>
      </c>
      <c r="P123" s="328" t="str">
        <f t="shared" ref="P123:P168" si="126">B123</f>
        <v>份</v>
      </c>
      <c r="Q123" s="329">
        <f>INDEX(注册申报明细!$D:$D,MATCH($J123,注册申报明细!$B:$B,0))</f>
        <v>0</v>
      </c>
      <c r="R123" s="328" t="str">
        <f>INDEX('Rate Card'!$D:$D,MATCH($S123,'Rate Card'!$F:$F,0))</f>
        <v>注册事务</v>
      </c>
      <c r="S123" s="328" t="s">
        <v>609</v>
      </c>
      <c r="T123" s="331">
        <f>INDEX('Rate Card'!$J:$J,MATCH($S123,'Rate Card'!$F:$F,0))</f>
        <v>990</v>
      </c>
      <c r="U123" s="331">
        <f t="shared" si="116"/>
        <v>1</v>
      </c>
      <c r="V123" s="327">
        <v>1</v>
      </c>
      <c r="W123" s="328"/>
      <c r="X123" s="332">
        <f t="shared" si="117"/>
        <v>1</v>
      </c>
      <c r="Y123" s="333">
        <f t="shared" si="118"/>
        <v>0</v>
      </c>
      <c r="Z123" s="328">
        <f t="shared" si="119"/>
        <v>0</v>
      </c>
      <c r="AA123" s="334">
        <f t="shared" si="120"/>
        <v>0</v>
      </c>
      <c r="AB123" s="334">
        <f>$Y123*(1-INDEX(项目参数!$D$5:$D$15,MATCH($R123,项目参数!$B$5:$B$15,0)))</f>
        <v>0</v>
      </c>
      <c r="AC123" s="334">
        <f>$AA123*INDEX(项目参数!$D$5:$D$15,MATCH($R123,项目参数!$B$5:$B$15,0))</f>
        <v>0</v>
      </c>
      <c r="AD123" s="334">
        <f t="shared" si="121"/>
        <v>0</v>
      </c>
      <c r="AE123" s="328"/>
      <c r="AF123" s="328"/>
      <c r="AG123" s="327"/>
      <c r="AH123" s="327"/>
      <c r="AI123" s="327"/>
      <c r="AJ123" s="327"/>
      <c r="AK123" s="327"/>
      <c r="AL123" s="327"/>
      <c r="AM123" s="327"/>
      <c r="AN123" s="328"/>
      <c r="AO123" s="327"/>
      <c r="AP123" s="327"/>
      <c r="AQ123" s="327"/>
      <c r="AR123" s="327"/>
      <c r="AS123" s="327"/>
      <c r="AT123" s="327"/>
      <c r="AU123" s="327"/>
      <c r="AV123" s="328">
        <f t="shared" si="122"/>
        <v>0</v>
      </c>
      <c r="AW123" s="328">
        <f t="shared" si="123"/>
        <v>0</v>
      </c>
      <c r="AX123" s="328">
        <f t="shared" si="124"/>
        <v>0</v>
      </c>
      <c r="AY123" s="328" t="b">
        <f t="shared" si="103"/>
        <v>0</v>
      </c>
    </row>
    <row r="124" ht="27" customHeight="1" spans="1:51">
      <c r="A124" s="326" t="str">
        <f>INDEX('Rate Card'!$A:$A,MATCH($S124,'Rate Card'!$F:$F,0))</f>
        <v>注册</v>
      </c>
      <c r="B124" s="327" t="str">
        <f>INDEX(二三级标准!$G:$G,MATCH($J124,二三级标准!B:B,0))</f>
        <v>份</v>
      </c>
      <c r="C124" s="327">
        <f>INDEX(注册申报明细!$E:$E,MATCH($J124,注册申报明细!$B:$B,0))</f>
        <v>0</v>
      </c>
      <c r="D124" s="327" t="str">
        <f t="shared" si="115"/>
        <v>A298RAM</v>
      </c>
      <c r="E124" s="328"/>
      <c r="F124" s="328" t="s">
        <v>684</v>
      </c>
      <c r="G124" s="326" t="str">
        <f>INDEX('Rate Card'!$B:$B,MATCH($S124,'Rate Card'!$F:$F,0))</f>
        <v>注册</v>
      </c>
      <c r="H124" s="328" t="s">
        <v>1983</v>
      </c>
      <c r="I124" s="328" t="str">
        <f>INDEX(二三级标准!$Q:$Q,MATCH($H124,二三级标准!$O:$O,0))</f>
        <v>NDA申报资料准备</v>
      </c>
      <c r="J124" s="328" t="s">
        <v>1994</v>
      </c>
      <c r="K124" s="328" t="str">
        <f>INDEX(二三级标准!$C:$C,MATCH(注册申报底表!J124,二三级标准!$B:$B,0))</f>
        <v>1.9 上市后研究</v>
      </c>
      <c r="L124" s="328" t="s">
        <v>2123</v>
      </c>
      <c r="M124" s="328" t="str">
        <f>INDEX(二三级标准!$M:$M,MATCH(注册申报底表!$L124,二三级标准!$L:$L,0))</f>
        <v>1.9 上市后研究撰写</v>
      </c>
      <c r="N124" s="328"/>
      <c r="O124" s="327">
        <f>IF($Q124=1,INDEX(注册申报明细!$E:$E,MATCH(注册申报底表!$J124,注册申报明细!$B:$B,0)),0)</f>
        <v>0</v>
      </c>
      <c r="P124" s="328" t="str">
        <f t="shared" si="126"/>
        <v>份</v>
      </c>
      <c r="Q124" s="329">
        <f>INDEX(注册申报明细!$D:$D,MATCH($J124,注册申报明细!$B:$B,0))</f>
        <v>0</v>
      </c>
      <c r="R124" s="328" t="str">
        <f>INDEX('Rate Card'!$D:$D,MATCH($S124,'Rate Card'!$F:$F,0))</f>
        <v>注册事务</v>
      </c>
      <c r="S124" s="328" t="s">
        <v>607</v>
      </c>
      <c r="T124" s="331">
        <f>INDEX('Rate Card'!$J:$J,MATCH($S124,'Rate Card'!$F:$F,0))</f>
        <v>650</v>
      </c>
      <c r="U124" s="331">
        <f t="shared" si="116"/>
        <v>0.5</v>
      </c>
      <c r="V124" s="327">
        <v>0.5</v>
      </c>
      <c r="W124" s="328"/>
      <c r="X124" s="332">
        <f t="shared" si="117"/>
        <v>0.5</v>
      </c>
      <c r="Y124" s="333">
        <f t="shared" si="118"/>
        <v>0</v>
      </c>
      <c r="Z124" s="328">
        <f t="shared" si="119"/>
        <v>0</v>
      </c>
      <c r="AA124" s="334">
        <f t="shared" si="120"/>
        <v>0</v>
      </c>
      <c r="AB124" s="334">
        <f>$Y124*(1-INDEX(项目参数!$D$5:$D$15,MATCH($R124,项目参数!$B$5:$B$15,0)))</f>
        <v>0</v>
      </c>
      <c r="AC124" s="334">
        <f>$AA124*INDEX(项目参数!$D$5:$D$15,MATCH($R124,项目参数!$B$5:$B$15,0))</f>
        <v>0</v>
      </c>
      <c r="AD124" s="334">
        <f t="shared" si="121"/>
        <v>0</v>
      </c>
      <c r="AE124" s="328"/>
      <c r="AF124" s="328"/>
      <c r="AG124" s="327"/>
      <c r="AH124" s="327"/>
      <c r="AI124" s="327"/>
      <c r="AJ124" s="327"/>
      <c r="AK124" s="327"/>
      <c r="AL124" s="327"/>
      <c r="AM124" s="327"/>
      <c r="AN124" s="328"/>
      <c r="AO124" s="327"/>
      <c r="AP124" s="327"/>
      <c r="AQ124" s="327"/>
      <c r="AR124" s="327"/>
      <c r="AS124" s="327"/>
      <c r="AT124" s="327"/>
      <c r="AU124" s="327"/>
      <c r="AV124" s="328">
        <f t="shared" si="122"/>
        <v>0</v>
      </c>
      <c r="AW124" s="328">
        <f t="shared" si="123"/>
        <v>0</v>
      </c>
      <c r="AX124" s="328">
        <f t="shared" si="124"/>
        <v>0</v>
      </c>
      <c r="AY124" s="328" t="b">
        <f t="shared" si="103"/>
        <v>1</v>
      </c>
    </row>
    <row r="125" ht="27" customHeight="1" spans="1:51">
      <c r="A125" s="326" t="str">
        <f>INDEX('Rate Card'!$A:$A,MATCH($S125,'Rate Card'!$F:$F,0))</f>
        <v>注册</v>
      </c>
      <c r="B125" s="327" t="str">
        <f>INDEX(二三级标准!$G:$G,MATCH($J125,二三级标准!B:B,0))</f>
        <v>份</v>
      </c>
      <c r="C125" s="327">
        <f>INDEX(注册申报明细!$E:$E,MATCH($J125,注册申报明细!$B:$B,0))</f>
        <v>0</v>
      </c>
      <c r="D125" s="327" t="str">
        <f t="shared" si="115"/>
        <v>A298RAD</v>
      </c>
      <c r="E125" s="328"/>
      <c r="F125" s="328" t="s">
        <v>684</v>
      </c>
      <c r="G125" s="326" t="str">
        <f>INDEX('Rate Card'!$B:$B,MATCH($S125,'Rate Card'!$F:$F,0))</f>
        <v>注册</v>
      </c>
      <c r="H125" s="328" t="s">
        <v>1983</v>
      </c>
      <c r="I125" s="328" t="str">
        <f>INDEX(二三级标准!$Q:$Q,MATCH($H125,二三级标准!$O:$O,0))</f>
        <v>NDA申报资料准备</v>
      </c>
      <c r="J125" s="328" t="s">
        <v>1994</v>
      </c>
      <c r="K125" s="328" t="str">
        <f>INDEX(二三级标准!$C:$C,MATCH(注册申报底表!J125,二三级标准!$B:$B,0))</f>
        <v>1.9 上市后研究</v>
      </c>
      <c r="L125" s="328" t="s">
        <v>2124</v>
      </c>
      <c r="M125" s="328" t="str">
        <f>INDEX(二三级标准!$M:$M,MATCH(注册申报底表!$L125,二三级标准!$L:$L,0))</f>
        <v>1.9 上市后研究审核</v>
      </c>
      <c r="N125" s="328"/>
      <c r="O125" s="327">
        <f>IF($Q125=1,INDEX(注册申报明细!$E:$E,MATCH(注册申报底表!$J125,注册申报明细!$B:$B,0)),0)</f>
        <v>0</v>
      </c>
      <c r="P125" s="328" t="str">
        <f t="shared" si="126"/>
        <v>份</v>
      </c>
      <c r="Q125" s="329">
        <f>INDEX(注册申报明细!$D:$D,MATCH($J125,注册申报明细!$B:$B,0))</f>
        <v>0</v>
      </c>
      <c r="R125" s="328" t="str">
        <f>INDEX('Rate Card'!$D:$D,MATCH($S125,'Rate Card'!$F:$F,0))</f>
        <v>注册事务</v>
      </c>
      <c r="S125" s="328" t="s">
        <v>609</v>
      </c>
      <c r="T125" s="331">
        <f>INDEX('Rate Card'!$J:$J,MATCH($S125,'Rate Card'!$F:$F,0))</f>
        <v>990</v>
      </c>
      <c r="U125" s="331">
        <f t="shared" si="116"/>
        <v>0.1</v>
      </c>
      <c r="V125" s="327">
        <v>0.1</v>
      </c>
      <c r="W125" s="328"/>
      <c r="X125" s="332">
        <f t="shared" si="117"/>
        <v>0.1</v>
      </c>
      <c r="Y125" s="333">
        <f t="shared" si="118"/>
        <v>0</v>
      </c>
      <c r="Z125" s="328">
        <f t="shared" si="119"/>
        <v>0</v>
      </c>
      <c r="AA125" s="334">
        <f t="shared" si="120"/>
        <v>0</v>
      </c>
      <c r="AB125" s="334">
        <f>$Y125*(1-INDEX(项目参数!$D$5:$D$15,MATCH($R125,项目参数!$B$5:$B$15,0)))</f>
        <v>0</v>
      </c>
      <c r="AC125" s="334">
        <f>$AA125*INDEX(项目参数!$D$5:$D$15,MATCH($R125,项目参数!$B$5:$B$15,0))</f>
        <v>0</v>
      </c>
      <c r="AD125" s="334">
        <f t="shared" si="121"/>
        <v>0</v>
      </c>
      <c r="AE125" s="328"/>
      <c r="AF125" s="328"/>
      <c r="AG125" s="327"/>
      <c r="AH125" s="327"/>
      <c r="AI125" s="327"/>
      <c r="AJ125" s="327"/>
      <c r="AK125" s="327"/>
      <c r="AL125" s="327"/>
      <c r="AM125" s="327"/>
      <c r="AN125" s="328"/>
      <c r="AO125" s="327"/>
      <c r="AP125" s="327"/>
      <c r="AQ125" s="327"/>
      <c r="AR125" s="327"/>
      <c r="AS125" s="327"/>
      <c r="AT125" s="327"/>
      <c r="AU125" s="327"/>
      <c r="AV125" s="328">
        <f t="shared" si="122"/>
        <v>0</v>
      </c>
      <c r="AW125" s="328">
        <f t="shared" si="123"/>
        <v>0</v>
      </c>
      <c r="AX125" s="328">
        <f t="shared" si="124"/>
        <v>0</v>
      </c>
      <c r="AY125" s="328" t="b">
        <f t="shared" si="103"/>
        <v>1</v>
      </c>
    </row>
    <row r="126" ht="27" customHeight="1" spans="1:51">
      <c r="A126" s="326" t="str">
        <f>INDEX('Rate Card'!$A:$A,MATCH($S126,'Rate Card'!$F:$F,0))</f>
        <v>注册</v>
      </c>
      <c r="B126" s="327" t="str">
        <f>INDEX(二三级标准!$G:$G,MATCH($J126,二三级标准!B:B,0))</f>
        <v>份</v>
      </c>
      <c r="C126" s="327">
        <f>INDEX(注册申报明细!$E:$E,MATCH($J126,注册申报明细!$B:$B,0))</f>
        <v>0</v>
      </c>
      <c r="D126" s="327" t="str">
        <f t="shared" ref="D126:D131" si="127">J126&amp;S126</f>
        <v>A299RAM</v>
      </c>
      <c r="E126" s="328"/>
      <c r="F126" s="328" t="s">
        <v>684</v>
      </c>
      <c r="G126" s="326" t="str">
        <f>INDEX('Rate Card'!$B:$B,MATCH($S126,'Rate Card'!$F:$F,0))</f>
        <v>注册</v>
      </c>
      <c r="H126" s="328" t="s">
        <v>1983</v>
      </c>
      <c r="I126" s="328" t="str">
        <f>INDEX(二三级标准!$Q:$Q,MATCH($H126,二三级标准!$O:$O,0))</f>
        <v>NDA申报资料准备</v>
      </c>
      <c r="J126" s="328" t="s">
        <v>1995</v>
      </c>
      <c r="K126" s="328" t="str">
        <f>INDEX(二三级标准!$C:$C,MATCH(注册申报底表!J126,二三级标准!$B:$B,0))</f>
        <v>1.10 上市后变更</v>
      </c>
      <c r="L126" s="328" t="s">
        <v>2125</v>
      </c>
      <c r="M126" s="328" t="str">
        <f>INDEX(二三级标准!$M:$M,MATCH(注册申报底表!$L126,二三级标准!$L:$L,0))</f>
        <v>1.10 上市后变更撰写</v>
      </c>
      <c r="N126" s="328"/>
      <c r="O126" s="327">
        <f>IF($Q126=1,INDEX(注册申报明细!$E:$E,MATCH(注册申报底表!$J126,注册申报明细!$B:$B,0)),0)</f>
        <v>0</v>
      </c>
      <c r="P126" s="328" t="str">
        <f t="shared" si="126"/>
        <v>份</v>
      </c>
      <c r="Q126" s="329">
        <f>INDEX(注册申报明细!$D:$D,MATCH($J126,注册申报明细!$B:$B,0))</f>
        <v>0</v>
      </c>
      <c r="R126" s="328" t="str">
        <f>INDEX('Rate Card'!$D:$D,MATCH($S126,'Rate Card'!$F:$F,0))</f>
        <v>注册事务</v>
      </c>
      <c r="S126" s="328" t="s">
        <v>607</v>
      </c>
      <c r="T126" s="331">
        <f>INDEX('Rate Card'!$J:$J,MATCH($S126,'Rate Card'!$F:$F,0))</f>
        <v>650</v>
      </c>
      <c r="U126" s="331">
        <f t="shared" ref="U126:U131" si="128">$U$1*V126</f>
        <v>0.5</v>
      </c>
      <c r="V126" s="327">
        <v>0.5</v>
      </c>
      <c r="W126" s="328"/>
      <c r="X126" s="332">
        <f t="shared" ref="X126:X131" si="129">IF(ISBLANK($W126),$V126,$W126)</f>
        <v>0.5</v>
      </c>
      <c r="Y126" s="333">
        <f t="shared" ref="Y126:Y131" si="130">IFERROR(AA126/O126,0)</f>
        <v>0</v>
      </c>
      <c r="Z126" s="328">
        <f t="shared" ref="Z126:Z131" si="131">X126*O126*Q126</f>
        <v>0</v>
      </c>
      <c r="AA126" s="334">
        <f t="shared" ref="AA126:AA131" si="132">Z126*T126</f>
        <v>0</v>
      </c>
      <c r="AB126" s="334">
        <f>$Y126*(1-INDEX(项目参数!$D$5:$D$15,MATCH($R126,项目参数!$B$5:$B$15,0)))</f>
        <v>0</v>
      </c>
      <c r="AC126" s="334">
        <f>$AA126*INDEX(项目参数!$D$5:$D$15,MATCH($R126,项目参数!$B$5:$B$15,0))</f>
        <v>0</v>
      </c>
      <c r="AD126" s="334">
        <f t="shared" ref="AD126:AD131" si="133">AA126-AC126</f>
        <v>0</v>
      </c>
      <c r="AE126" s="328"/>
      <c r="AF126" s="328"/>
      <c r="AG126" s="327"/>
      <c r="AH126" s="327"/>
      <c r="AI126" s="327"/>
      <c r="AJ126" s="327"/>
      <c r="AK126" s="327"/>
      <c r="AL126" s="327"/>
      <c r="AM126" s="327"/>
      <c r="AN126" s="328"/>
      <c r="AO126" s="327"/>
      <c r="AP126" s="327"/>
      <c r="AQ126" s="327"/>
      <c r="AR126" s="327"/>
      <c r="AS126" s="327"/>
      <c r="AT126" s="327"/>
      <c r="AU126" s="327"/>
      <c r="AV126" s="328">
        <f t="shared" ref="AV126:AV131" si="134">Z126</f>
        <v>0</v>
      </c>
      <c r="AW126" s="328">
        <f t="shared" ref="AW126:AW131" si="135">V126*O126</f>
        <v>0</v>
      </c>
      <c r="AX126" s="328">
        <f t="shared" ref="AX126:AX131" si="136">AW126*$U$1</f>
        <v>0</v>
      </c>
      <c r="AY126" s="328" t="b">
        <f t="shared" si="103"/>
        <v>0</v>
      </c>
    </row>
    <row r="127" ht="27" customHeight="1" spans="1:51">
      <c r="A127" s="326" t="str">
        <f>INDEX('Rate Card'!$A:$A,MATCH($S127,'Rate Card'!$F:$F,0))</f>
        <v>注册</v>
      </c>
      <c r="B127" s="327" t="str">
        <f>INDEX(二三级标准!$G:$G,MATCH($J127,二三级标准!B:B,0))</f>
        <v>份</v>
      </c>
      <c r="C127" s="327">
        <f>INDEX(注册申报明细!$E:$E,MATCH($J127,注册申报明细!$B:$B,0))</f>
        <v>0</v>
      </c>
      <c r="D127" s="327" t="str">
        <f t="shared" si="127"/>
        <v>A299RAD</v>
      </c>
      <c r="E127" s="328"/>
      <c r="F127" s="328" t="s">
        <v>684</v>
      </c>
      <c r="G127" s="326" t="str">
        <f>INDEX('Rate Card'!$B:$B,MATCH($S127,'Rate Card'!$F:$F,0))</f>
        <v>注册</v>
      </c>
      <c r="H127" s="328" t="s">
        <v>1983</v>
      </c>
      <c r="I127" s="328" t="str">
        <f>INDEX(二三级标准!$Q:$Q,MATCH($H127,二三级标准!$O:$O,0))</f>
        <v>NDA申报资料准备</v>
      </c>
      <c r="J127" s="328" t="s">
        <v>1995</v>
      </c>
      <c r="K127" s="328" t="str">
        <f>INDEX(二三级标准!$C:$C,MATCH(注册申报底表!J127,二三级标准!$B:$B,0))</f>
        <v>1.10 上市后变更</v>
      </c>
      <c r="L127" s="328" t="s">
        <v>2126</v>
      </c>
      <c r="M127" s="328" t="str">
        <f>INDEX(二三级标准!$M:$M,MATCH(注册申报底表!$L127,二三级标准!$L:$L,0))</f>
        <v>1.10 上市后变更审核</v>
      </c>
      <c r="N127" s="328"/>
      <c r="O127" s="327">
        <f>IF($Q127=1,INDEX(注册申报明细!$E:$E,MATCH(注册申报底表!$J127,注册申报明细!$B:$B,0)),0)</f>
        <v>0</v>
      </c>
      <c r="P127" s="328" t="str">
        <f t="shared" si="126"/>
        <v>份</v>
      </c>
      <c r="Q127" s="329">
        <f>INDEX(注册申报明细!$D:$D,MATCH($J127,注册申报明细!$B:$B,0))</f>
        <v>0</v>
      </c>
      <c r="R127" s="328" t="str">
        <f>INDEX('Rate Card'!$D:$D,MATCH($S127,'Rate Card'!$F:$F,0))</f>
        <v>注册事务</v>
      </c>
      <c r="S127" s="328" t="s">
        <v>609</v>
      </c>
      <c r="T127" s="331">
        <f>INDEX('Rate Card'!$J:$J,MATCH($S127,'Rate Card'!$F:$F,0))</f>
        <v>990</v>
      </c>
      <c r="U127" s="331">
        <f t="shared" si="128"/>
        <v>0.1</v>
      </c>
      <c r="V127" s="327">
        <v>0.1</v>
      </c>
      <c r="W127" s="328"/>
      <c r="X127" s="332">
        <f t="shared" si="129"/>
        <v>0.1</v>
      </c>
      <c r="Y127" s="333">
        <f t="shared" si="130"/>
        <v>0</v>
      </c>
      <c r="Z127" s="328">
        <f t="shared" si="131"/>
        <v>0</v>
      </c>
      <c r="AA127" s="334">
        <f t="shared" si="132"/>
        <v>0</v>
      </c>
      <c r="AB127" s="334">
        <f>$Y127*(1-INDEX(项目参数!$D$5:$D$15,MATCH($R127,项目参数!$B$5:$B$15,0)))</f>
        <v>0</v>
      </c>
      <c r="AC127" s="334">
        <f>$AA127*INDEX(项目参数!$D$5:$D$15,MATCH($R127,项目参数!$B$5:$B$15,0))</f>
        <v>0</v>
      </c>
      <c r="AD127" s="334">
        <f t="shared" si="133"/>
        <v>0</v>
      </c>
      <c r="AE127" s="328"/>
      <c r="AF127" s="328"/>
      <c r="AG127" s="327"/>
      <c r="AH127" s="327"/>
      <c r="AI127" s="327"/>
      <c r="AJ127" s="327"/>
      <c r="AK127" s="327"/>
      <c r="AL127" s="327"/>
      <c r="AM127" s="327"/>
      <c r="AN127" s="328"/>
      <c r="AO127" s="327"/>
      <c r="AP127" s="327"/>
      <c r="AQ127" s="327"/>
      <c r="AR127" s="327"/>
      <c r="AS127" s="327"/>
      <c r="AT127" s="327"/>
      <c r="AU127" s="327"/>
      <c r="AV127" s="328">
        <f t="shared" si="134"/>
        <v>0</v>
      </c>
      <c r="AW127" s="328">
        <f t="shared" si="135"/>
        <v>0</v>
      </c>
      <c r="AX127" s="328">
        <f t="shared" si="136"/>
        <v>0</v>
      </c>
      <c r="AY127" s="328" t="b">
        <f t="shared" si="103"/>
        <v>0</v>
      </c>
    </row>
    <row r="128" ht="27" customHeight="1" spans="1:51">
      <c r="A128" s="326" t="str">
        <f>INDEX('Rate Card'!$A:$A,MATCH($S128,'Rate Card'!$F:$F,0))</f>
        <v>注册</v>
      </c>
      <c r="B128" s="327" t="str">
        <f>INDEX(二三级标准!$G:$G,MATCH($J128,二三级标准!B:B,0))</f>
        <v>份</v>
      </c>
      <c r="C128" s="327">
        <f>INDEX(注册申报明细!$E:$E,MATCH($J128,注册申报明细!$B:$B,0))</f>
        <v>0</v>
      </c>
      <c r="D128" s="327" t="str">
        <f t="shared" si="127"/>
        <v>A300RAM</v>
      </c>
      <c r="E128" s="328"/>
      <c r="F128" s="328" t="s">
        <v>684</v>
      </c>
      <c r="G128" s="326" t="str">
        <f>INDEX('Rate Card'!$B:$B,MATCH($S128,'Rate Card'!$F:$F,0))</f>
        <v>注册</v>
      </c>
      <c r="H128" s="328" t="s">
        <v>1983</v>
      </c>
      <c r="I128" s="328" t="str">
        <f>INDEX(二三级标准!$Q:$Q,MATCH($H128,二三级标准!$O:$O,0))</f>
        <v>NDA申报资料准备</v>
      </c>
      <c r="J128" s="328" t="s">
        <v>1996</v>
      </c>
      <c r="K128" s="328" t="str">
        <f>INDEX(二三级标准!$C:$C,MATCH(注册申报底表!J128,二三级标准!$B:$B,0))</f>
        <v>1.11 申请人/生产企业证明性文件</v>
      </c>
      <c r="L128" s="328" t="s">
        <v>2127</v>
      </c>
      <c r="M128" s="328" t="str">
        <f>INDEX(二三级标准!$M:$M,MATCH(注册申报底表!$L128,二三级标准!$L:$L,0))</f>
        <v>1.11 申请人/生产企业证明性文件撰写</v>
      </c>
      <c r="N128" s="328"/>
      <c r="O128" s="327">
        <f>IF($Q128=1,INDEX(注册申报明细!$E:$E,MATCH(注册申报底表!$J128,注册申报明细!$B:$B,0)),0)</f>
        <v>0</v>
      </c>
      <c r="P128" s="328" t="str">
        <f t="shared" si="126"/>
        <v>份</v>
      </c>
      <c r="Q128" s="329">
        <f>INDEX(注册申报明细!$D:$D,MATCH($J128,注册申报明细!$B:$B,0))</f>
        <v>0</v>
      </c>
      <c r="R128" s="328" t="str">
        <f>INDEX('Rate Card'!$D:$D,MATCH($S128,'Rate Card'!$F:$F,0))</f>
        <v>注册事务</v>
      </c>
      <c r="S128" s="328" t="s">
        <v>607</v>
      </c>
      <c r="T128" s="331">
        <f>INDEX('Rate Card'!$J:$J,MATCH($S128,'Rate Card'!$F:$F,0))</f>
        <v>650</v>
      </c>
      <c r="U128" s="331">
        <f t="shared" si="128"/>
        <v>1</v>
      </c>
      <c r="V128" s="327">
        <v>1</v>
      </c>
      <c r="W128" s="328"/>
      <c r="X128" s="332">
        <f t="shared" si="129"/>
        <v>1</v>
      </c>
      <c r="Y128" s="333">
        <f t="shared" si="130"/>
        <v>0</v>
      </c>
      <c r="Z128" s="328">
        <f t="shared" si="131"/>
        <v>0</v>
      </c>
      <c r="AA128" s="334">
        <f t="shared" si="132"/>
        <v>0</v>
      </c>
      <c r="AB128" s="334">
        <f>$Y128*(1-INDEX(项目参数!$D$5:$D$15,MATCH($R128,项目参数!$B$5:$B$15,0)))</f>
        <v>0</v>
      </c>
      <c r="AC128" s="334">
        <f>$AA128*INDEX(项目参数!$D$5:$D$15,MATCH($R128,项目参数!$B$5:$B$15,0))</f>
        <v>0</v>
      </c>
      <c r="AD128" s="334">
        <f t="shared" si="133"/>
        <v>0</v>
      </c>
      <c r="AE128" s="328"/>
      <c r="AF128" s="328"/>
      <c r="AG128" s="327"/>
      <c r="AH128" s="327"/>
      <c r="AI128" s="327"/>
      <c r="AJ128" s="327"/>
      <c r="AK128" s="327"/>
      <c r="AL128" s="327"/>
      <c r="AM128" s="327"/>
      <c r="AN128" s="328"/>
      <c r="AO128" s="327"/>
      <c r="AP128" s="327"/>
      <c r="AQ128" s="327"/>
      <c r="AR128" s="327"/>
      <c r="AS128" s="327"/>
      <c r="AT128" s="327"/>
      <c r="AU128" s="327"/>
      <c r="AV128" s="328">
        <f t="shared" si="134"/>
        <v>0</v>
      </c>
      <c r="AW128" s="328">
        <f t="shared" si="135"/>
        <v>0</v>
      </c>
      <c r="AX128" s="328">
        <f t="shared" si="136"/>
        <v>0</v>
      </c>
      <c r="AY128" s="328" t="b">
        <f t="shared" si="103"/>
        <v>1</v>
      </c>
    </row>
    <row r="129" ht="27" customHeight="1" spans="1:51">
      <c r="A129" s="326" t="str">
        <f>INDEX('Rate Card'!$A:$A,MATCH($S129,'Rate Card'!$F:$F,0))</f>
        <v>注册</v>
      </c>
      <c r="B129" s="327" t="str">
        <f>INDEX(二三级标准!$G:$G,MATCH($J129,二三级标准!B:B,0))</f>
        <v>份</v>
      </c>
      <c r="C129" s="327">
        <f>INDEX(注册申报明细!$E:$E,MATCH($J129,注册申报明细!$B:$B,0))</f>
        <v>0</v>
      </c>
      <c r="D129" s="327" t="str">
        <f t="shared" si="127"/>
        <v>A300RAD</v>
      </c>
      <c r="E129" s="328"/>
      <c r="F129" s="328" t="s">
        <v>684</v>
      </c>
      <c r="G129" s="326" t="str">
        <f>INDEX('Rate Card'!$B:$B,MATCH($S129,'Rate Card'!$F:$F,0))</f>
        <v>注册</v>
      </c>
      <c r="H129" s="328" t="s">
        <v>1983</v>
      </c>
      <c r="I129" s="328" t="str">
        <f>INDEX(二三级标准!$Q:$Q,MATCH($H129,二三级标准!$O:$O,0))</f>
        <v>NDA申报资料准备</v>
      </c>
      <c r="J129" s="328" t="s">
        <v>1996</v>
      </c>
      <c r="K129" s="328" t="str">
        <f>INDEX(二三级标准!$C:$C,MATCH(注册申报底表!J129,二三级标准!$B:$B,0))</f>
        <v>1.11 申请人/生产企业证明性文件</v>
      </c>
      <c r="L129" s="328" t="s">
        <v>2128</v>
      </c>
      <c r="M129" s="328" t="str">
        <f>INDEX(二三级标准!$M:$M,MATCH(注册申报底表!$L129,二三级标准!$L:$L,0))</f>
        <v>1.11 申请人/生产企业证明性文件审核</v>
      </c>
      <c r="N129" s="328"/>
      <c r="O129" s="327">
        <f>IF($Q129=1,INDEX(注册申报明细!$E:$E,MATCH(注册申报底表!$J129,注册申报明细!$B:$B,0)),0)</f>
        <v>0</v>
      </c>
      <c r="P129" s="328" t="str">
        <f t="shared" si="126"/>
        <v>份</v>
      </c>
      <c r="Q129" s="329">
        <f>INDEX(注册申报明细!$D:$D,MATCH($J129,注册申报明细!$B:$B,0))</f>
        <v>0</v>
      </c>
      <c r="R129" s="328" t="str">
        <f>INDEX('Rate Card'!$D:$D,MATCH($S129,'Rate Card'!$F:$F,0))</f>
        <v>注册事务</v>
      </c>
      <c r="S129" s="328" t="s">
        <v>609</v>
      </c>
      <c r="T129" s="331">
        <f>INDEX('Rate Card'!$J:$J,MATCH($S129,'Rate Card'!$F:$F,0))</f>
        <v>990</v>
      </c>
      <c r="U129" s="331">
        <f t="shared" si="128"/>
        <v>0.2</v>
      </c>
      <c r="V129" s="327">
        <v>0.2</v>
      </c>
      <c r="W129" s="328"/>
      <c r="X129" s="332">
        <f t="shared" si="129"/>
        <v>0.2</v>
      </c>
      <c r="Y129" s="333">
        <f t="shared" si="130"/>
        <v>0</v>
      </c>
      <c r="Z129" s="328">
        <f t="shared" si="131"/>
        <v>0</v>
      </c>
      <c r="AA129" s="334">
        <f t="shared" si="132"/>
        <v>0</v>
      </c>
      <c r="AB129" s="334">
        <f>$Y129*(1-INDEX(项目参数!$D$5:$D$15,MATCH($R129,项目参数!$B$5:$B$15,0)))</f>
        <v>0</v>
      </c>
      <c r="AC129" s="334">
        <f>$AA129*INDEX(项目参数!$D$5:$D$15,MATCH($R129,项目参数!$B$5:$B$15,0))</f>
        <v>0</v>
      </c>
      <c r="AD129" s="334">
        <f t="shared" si="133"/>
        <v>0</v>
      </c>
      <c r="AE129" s="328"/>
      <c r="AF129" s="328"/>
      <c r="AG129" s="327"/>
      <c r="AH129" s="327"/>
      <c r="AI129" s="327"/>
      <c r="AJ129" s="327"/>
      <c r="AK129" s="327"/>
      <c r="AL129" s="327"/>
      <c r="AM129" s="327"/>
      <c r="AN129" s="328"/>
      <c r="AO129" s="327"/>
      <c r="AP129" s="327"/>
      <c r="AQ129" s="327"/>
      <c r="AR129" s="327"/>
      <c r="AS129" s="327"/>
      <c r="AT129" s="327"/>
      <c r="AU129" s="327"/>
      <c r="AV129" s="328">
        <f t="shared" si="134"/>
        <v>0</v>
      </c>
      <c r="AW129" s="328">
        <f t="shared" si="135"/>
        <v>0</v>
      </c>
      <c r="AX129" s="328">
        <f t="shared" si="136"/>
        <v>0</v>
      </c>
      <c r="AY129" s="328" t="b">
        <f t="shared" si="103"/>
        <v>1</v>
      </c>
    </row>
    <row r="130" ht="27" customHeight="1" spans="1:51">
      <c r="A130" s="326" t="str">
        <f>INDEX('Rate Card'!$A:$A,MATCH($S130,'Rate Card'!$F:$F,0))</f>
        <v>注册</v>
      </c>
      <c r="B130" s="327" t="str">
        <f>INDEX(二三级标准!$G:$G,MATCH($J130,二三级标准!B:B,0))</f>
        <v>份</v>
      </c>
      <c r="C130" s="327">
        <f>INDEX(注册申报明细!$E:$E,MATCH($J130,注册申报明细!$B:$B,0))</f>
        <v>0</v>
      </c>
      <c r="D130" s="327" t="str">
        <f t="shared" si="127"/>
        <v>A301RAM</v>
      </c>
      <c r="E130" s="328"/>
      <c r="F130" s="328" t="s">
        <v>684</v>
      </c>
      <c r="G130" s="326" t="str">
        <f>INDEX('Rate Card'!$B:$B,MATCH($S130,'Rate Card'!$F:$F,0))</f>
        <v>注册</v>
      </c>
      <c r="H130" s="328" t="s">
        <v>1983</v>
      </c>
      <c r="I130" s="328" t="str">
        <f>INDEX(二三级标准!$Q:$Q,MATCH($H130,二三级标准!$O:$O,0))</f>
        <v>NDA申报资料准备</v>
      </c>
      <c r="J130" s="328" t="s">
        <v>1997</v>
      </c>
      <c r="K130" s="328" t="str">
        <f>INDEX(二三级标准!$C:$C,MATCH(注册申报底表!J130,二三级标准!$B:$B,0))</f>
        <v>1.12 小微企业证明文件</v>
      </c>
      <c r="L130" s="328" t="s">
        <v>2129</v>
      </c>
      <c r="M130" s="328" t="str">
        <f>INDEX(二三级标准!$M:$M,MATCH(注册申报底表!$L130,二三级标准!$L:$L,0))</f>
        <v>1.12 小微企业证明文件撰写</v>
      </c>
      <c r="N130" s="328"/>
      <c r="O130" s="327">
        <f>IF($Q130=1,INDEX(注册申报明细!$E:$E,MATCH(注册申报底表!$J130,注册申报明细!$B:$B,0)),0)</f>
        <v>0</v>
      </c>
      <c r="P130" s="328" t="str">
        <f t="shared" si="126"/>
        <v>份</v>
      </c>
      <c r="Q130" s="329">
        <f>INDEX(注册申报明细!$D:$D,MATCH($J130,注册申报明细!$B:$B,0))</f>
        <v>0</v>
      </c>
      <c r="R130" s="328" t="str">
        <f>INDEX('Rate Card'!$D:$D,MATCH($S130,'Rate Card'!$F:$F,0))</f>
        <v>注册事务</v>
      </c>
      <c r="S130" s="328" t="s">
        <v>607</v>
      </c>
      <c r="T130" s="331">
        <f>INDEX('Rate Card'!$J:$J,MATCH($S130,'Rate Card'!$F:$F,0))</f>
        <v>650</v>
      </c>
      <c r="U130" s="331">
        <f t="shared" si="128"/>
        <v>2</v>
      </c>
      <c r="V130" s="327">
        <v>2</v>
      </c>
      <c r="W130" s="328"/>
      <c r="X130" s="332">
        <f t="shared" si="129"/>
        <v>2</v>
      </c>
      <c r="Y130" s="333">
        <f t="shared" si="130"/>
        <v>0</v>
      </c>
      <c r="Z130" s="328">
        <f t="shared" si="131"/>
        <v>0</v>
      </c>
      <c r="AA130" s="334">
        <f t="shared" si="132"/>
        <v>0</v>
      </c>
      <c r="AB130" s="334">
        <f>$Y130*(1-INDEX(项目参数!$D$5:$D$15,MATCH($R130,项目参数!$B$5:$B$15,0)))</f>
        <v>0</v>
      </c>
      <c r="AC130" s="334">
        <f>$AA130*INDEX(项目参数!$D$5:$D$15,MATCH($R130,项目参数!$B$5:$B$15,0))</f>
        <v>0</v>
      </c>
      <c r="AD130" s="334">
        <f t="shared" si="133"/>
        <v>0</v>
      </c>
      <c r="AE130" s="328"/>
      <c r="AF130" s="328"/>
      <c r="AG130" s="327"/>
      <c r="AH130" s="327"/>
      <c r="AI130" s="327"/>
      <c r="AJ130" s="327"/>
      <c r="AK130" s="327"/>
      <c r="AL130" s="327"/>
      <c r="AM130" s="327"/>
      <c r="AN130" s="328"/>
      <c r="AO130" s="327"/>
      <c r="AP130" s="327"/>
      <c r="AQ130" s="327"/>
      <c r="AR130" s="327"/>
      <c r="AS130" s="327"/>
      <c r="AT130" s="327"/>
      <c r="AU130" s="327"/>
      <c r="AV130" s="328">
        <f t="shared" si="134"/>
        <v>0</v>
      </c>
      <c r="AW130" s="328">
        <f t="shared" si="135"/>
        <v>0</v>
      </c>
      <c r="AX130" s="328">
        <f t="shared" si="136"/>
        <v>0</v>
      </c>
      <c r="AY130" s="328" t="b">
        <f t="shared" si="103"/>
        <v>0</v>
      </c>
    </row>
    <row r="131" ht="27" customHeight="1" spans="1:51">
      <c r="A131" s="326" t="str">
        <f>INDEX('Rate Card'!$A:$A,MATCH($S131,'Rate Card'!$F:$F,0))</f>
        <v>注册</v>
      </c>
      <c r="B131" s="327" t="str">
        <f>INDEX(二三级标准!$G:$G,MATCH($J131,二三级标准!B:B,0))</f>
        <v>份</v>
      </c>
      <c r="C131" s="327">
        <f>INDEX(注册申报明细!$E:$E,MATCH($J131,注册申报明细!$B:$B,0))</f>
        <v>0</v>
      </c>
      <c r="D131" s="327" t="str">
        <f t="shared" si="127"/>
        <v>A301RAD</v>
      </c>
      <c r="E131" s="328"/>
      <c r="F131" s="328" t="s">
        <v>684</v>
      </c>
      <c r="G131" s="326" t="str">
        <f>INDEX('Rate Card'!$B:$B,MATCH($S131,'Rate Card'!$F:$F,0))</f>
        <v>注册</v>
      </c>
      <c r="H131" s="328" t="s">
        <v>1983</v>
      </c>
      <c r="I131" s="328" t="str">
        <f>INDEX(二三级标准!$Q:$Q,MATCH($H131,二三级标准!$O:$O,0))</f>
        <v>NDA申报资料准备</v>
      </c>
      <c r="J131" s="328" t="s">
        <v>1997</v>
      </c>
      <c r="K131" s="328" t="str">
        <f>INDEX(二三级标准!$C:$C,MATCH(注册申报底表!J131,二三级标准!$B:$B,0))</f>
        <v>1.12 小微企业证明文件</v>
      </c>
      <c r="L131" s="328" t="s">
        <v>2130</v>
      </c>
      <c r="M131" s="328" t="str">
        <f>INDEX(二三级标准!$M:$M,MATCH(注册申报底表!$L131,二三级标准!$L:$L,0))</f>
        <v>1.12 小微企业证明文件审核</v>
      </c>
      <c r="N131" s="328"/>
      <c r="O131" s="327">
        <f>IF($Q131=1,INDEX(注册申报明细!$E:$E,MATCH(注册申报底表!$J131,注册申报明细!$B:$B,0)),0)</f>
        <v>0</v>
      </c>
      <c r="P131" s="328" t="str">
        <f t="shared" si="126"/>
        <v>份</v>
      </c>
      <c r="Q131" s="329">
        <f>INDEX(注册申报明细!$D:$D,MATCH($J131,注册申报明细!$B:$B,0))</f>
        <v>0</v>
      </c>
      <c r="R131" s="328" t="str">
        <f>INDEX('Rate Card'!$D:$D,MATCH($S131,'Rate Card'!$F:$F,0))</f>
        <v>注册事务</v>
      </c>
      <c r="S131" s="328" t="s">
        <v>609</v>
      </c>
      <c r="T131" s="331">
        <f>INDEX('Rate Card'!$J:$J,MATCH($S131,'Rate Card'!$F:$F,0))</f>
        <v>990</v>
      </c>
      <c r="U131" s="331">
        <f t="shared" si="128"/>
        <v>0.5</v>
      </c>
      <c r="V131" s="327">
        <v>0.5</v>
      </c>
      <c r="W131" s="328"/>
      <c r="X131" s="332">
        <f t="shared" si="129"/>
        <v>0.5</v>
      </c>
      <c r="Y131" s="333">
        <f t="shared" si="130"/>
        <v>0</v>
      </c>
      <c r="Z131" s="328">
        <f t="shared" si="131"/>
        <v>0</v>
      </c>
      <c r="AA131" s="334">
        <f t="shared" si="132"/>
        <v>0</v>
      </c>
      <c r="AB131" s="334">
        <f>$Y131*(1-INDEX(项目参数!$D$5:$D$15,MATCH($R131,项目参数!$B$5:$B$15,0)))</f>
        <v>0</v>
      </c>
      <c r="AC131" s="334">
        <f>$AA131*INDEX(项目参数!$D$5:$D$15,MATCH($R131,项目参数!$B$5:$B$15,0))</f>
        <v>0</v>
      </c>
      <c r="AD131" s="334">
        <f t="shared" si="133"/>
        <v>0</v>
      </c>
      <c r="AE131" s="328"/>
      <c r="AF131" s="328"/>
      <c r="AG131" s="327"/>
      <c r="AH131" s="327"/>
      <c r="AI131" s="327"/>
      <c r="AJ131" s="327"/>
      <c r="AK131" s="327"/>
      <c r="AL131" s="327"/>
      <c r="AM131" s="327"/>
      <c r="AN131" s="328"/>
      <c r="AO131" s="327"/>
      <c r="AP131" s="327"/>
      <c r="AQ131" s="327"/>
      <c r="AR131" s="327"/>
      <c r="AS131" s="327"/>
      <c r="AT131" s="327"/>
      <c r="AU131" s="327"/>
      <c r="AV131" s="328">
        <f t="shared" si="134"/>
        <v>0</v>
      </c>
      <c r="AW131" s="328">
        <f t="shared" si="135"/>
        <v>0</v>
      </c>
      <c r="AX131" s="328">
        <f t="shared" si="136"/>
        <v>0</v>
      </c>
      <c r="AY131" s="328" t="b">
        <f t="shared" si="103"/>
        <v>0</v>
      </c>
    </row>
    <row r="132" ht="27" customHeight="1" spans="1:51">
      <c r="A132" s="326" t="str">
        <f>INDEX('Rate Card'!$A:$A,MATCH($S132,'Rate Card'!$F:$F,0))</f>
        <v>注册</v>
      </c>
      <c r="B132" s="327" t="str">
        <f>INDEX(二三级标准!$G:$G,MATCH($J132,二三级标准!B:B,0))</f>
        <v>份</v>
      </c>
      <c r="C132" s="327">
        <f>INDEX(注册申报明细!$E:$E,MATCH($J132,注册申报明细!$B:$B,0))</f>
        <v>0</v>
      </c>
      <c r="D132" s="327" t="str">
        <f t="shared" ref="D132:D137" si="137">J132&amp;S132</f>
        <v>A302RAM</v>
      </c>
      <c r="E132" s="328"/>
      <c r="F132" s="328" t="s">
        <v>684</v>
      </c>
      <c r="G132" s="326" t="str">
        <f>INDEX('Rate Card'!$B:$B,MATCH($S132,'Rate Card'!$F:$F,0))</f>
        <v>注册</v>
      </c>
      <c r="H132" s="328" t="s">
        <v>1983</v>
      </c>
      <c r="I132" s="328" t="str">
        <f>INDEX(二三级标准!$Q:$Q,MATCH($H132,二三级标准!$O:$O,0))</f>
        <v>NDA申报资料准备</v>
      </c>
      <c r="J132" s="328" t="s">
        <v>1999</v>
      </c>
      <c r="K132" s="328" t="str">
        <f>INDEX(二三级标准!$C:$C,MATCH(注册申报底表!J132,二三级标准!$B:$B,0))</f>
        <v>2.1 模块2目录</v>
      </c>
      <c r="L132" s="328" t="s">
        <v>2131</v>
      </c>
      <c r="M132" s="328" t="str">
        <f>INDEX(二三级标准!$M:$M,MATCH(注册申报底表!$L132,二三级标准!$L:$L,0))</f>
        <v>2.1 模块2目录撰写</v>
      </c>
      <c r="N132" s="328"/>
      <c r="O132" s="327">
        <f>IF($Q132=1,INDEX(注册申报明细!$E:$E,MATCH(注册申报底表!$J132,注册申报明细!$B:$B,0)),0)</f>
        <v>0</v>
      </c>
      <c r="P132" s="328" t="str">
        <f t="shared" si="126"/>
        <v>份</v>
      </c>
      <c r="Q132" s="329">
        <f>INDEX(注册申报明细!$D:$D,MATCH($J132,注册申报明细!$B:$B,0))</f>
        <v>0</v>
      </c>
      <c r="R132" s="328" t="str">
        <f>INDEX('Rate Card'!$D:$D,MATCH($S132,'Rate Card'!$F:$F,0))</f>
        <v>注册事务</v>
      </c>
      <c r="S132" s="328" t="s">
        <v>607</v>
      </c>
      <c r="T132" s="331">
        <f>INDEX('Rate Card'!$J:$J,MATCH($S132,'Rate Card'!$F:$F,0))</f>
        <v>650</v>
      </c>
      <c r="U132" s="331">
        <f t="shared" ref="U132:U137" si="138">$U$1*V132</f>
        <v>0.5</v>
      </c>
      <c r="V132" s="327">
        <v>0.5</v>
      </c>
      <c r="W132" s="328"/>
      <c r="X132" s="332">
        <f t="shared" ref="X132:X137" si="139">IF(ISBLANK($W132),$V132,$W132)</f>
        <v>0.5</v>
      </c>
      <c r="Y132" s="333">
        <f t="shared" ref="Y132:Y137" si="140">IFERROR(AA132/O132,0)</f>
        <v>0</v>
      </c>
      <c r="Z132" s="328">
        <f t="shared" ref="Z132:Z137" si="141">X132*O132*Q132</f>
        <v>0</v>
      </c>
      <c r="AA132" s="334">
        <f t="shared" ref="AA132:AA137" si="142">Z132*T132</f>
        <v>0</v>
      </c>
      <c r="AB132" s="334">
        <f>$Y132*(1-INDEX(项目参数!$D$5:$D$15,MATCH($R132,项目参数!$B$5:$B$15,0)))</f>
        <v>0</v>
      </c>
      <c r="AC132" s="334">
        <f>$AA132*INDEX(项目参数!$D$5:$D$15,MATCH($R132,项目参数!$B$5:$B$15,0))</f>
        <v>0</v>
      </c>
      <c r="AD132" s="334">
        <f t="shared" ref="AD132:AD137" si="143">AA132-AC132</f>
        <v>0</v>
      </c>
      <c r="AE132" s="328"/>
      <c r="AF132" s="328"/>
      <c r="AG132" s="327"/>
      <c r="AH132" s="327"/>
      <c r="AI132" s="327"/>
      <c r="AJ132" s="327"/>
      <c r="AK132" s="327"/>
      <c r="AL132" s="327"/>
      <c r="AM132" s="327"/>
      <c r="AN132" s="328"/>
      <c r="AO132" s="327"/>
      <c r="AP132" s="327"/>
      <c r="AQ132" s="327"/>
      <c r="AR132" s="327"/>
      <c r="AS132" s="327"/>
      <c r="AT132" s="327"/>
      <c r="AU132" s="327"/>
      <c r="AV132" s="328">
        <f t="shared" ref="AV132:AV137" si="144">Z132</f>
        <v>0</v>
      </c>
      <c r="AW132" s="328">
        <f t="shared" ref="AW132:AW137" si="145">V132*O132</f>
        <v>0</v>
      </c>
      <c r="AX132" s="328">
        <f t="shared" ref="AX132:AX137" si="146">AW132*$U$1</f>
        <v>0</v>
      </c>
      <c r="AY132" s="328" t="b">
        <f t="shared" ref="AY132:AY163" si="147">IF(J132&lt;&gt;J131,IF(AY131=TRUE,FALSE,TRUE),AY131)</f>
        <v>1</v>
      </c>
    </row>
    <row r="133" ht="27" customHeight="1" spans="1:51">
      <c r="A133" s="326" t="str">
        <f>INDEX('Rate Card'!$A:$A,MATCH($S133,'Rate Card'!$F:$F,0))</f>
        <v>注册</v>
      </c>
      <c r="B133" s="327" t="str">
        <f>INDEX(二三级标准!$G:$G,MATCH($J133,二三级标准!B:B,0))</f>
        <v>份</v>
      </c>
      <c r="C133" s="327">
        <f>INDEX(注册申报明细!$E:$E,MATCH($J133,注册申报明细!$B:$B,0))</f>
        <v>0</v>
      </c>
      <c r="D133" s="327" t="str">
        <f t="shared" si="137"/>
        <v>A302RAD</v>
      </c>
      <c r="E133" s="328"/>
      <c r="F133" s="328" t="s">
        <v>684</v>
      </c>
      <c r="G133" s="326" t="str">
        <f>INDEX('Rate Card'!$B:$B,MATCH($S133,'Rate Card'!$F:$F,0))</f>
        <v>注册</v>
      </c>
      <c r="H133" s="328" t="s">
        <v>1983</v>
      </c>
      <c r="I133" s="328" t="str">
        <f>INDEX(二三级标准!$Q:$Q,MATCH($H133,二三级标准!$O:$O,0))</f>
        <v>NDA申报资料准备</v>
      </c>
      <c r="J133" s="328" t="s">
        <v>1999</v>
      </c>
      <c r="K133" s="328" t="str">
        <f>INDEX(二三级标准!$C:$C,MATCH(注册申报底表!J133,二三级标准!$B:$B,0))</f>
        <v>2.1 模块2目录</v>
      </c>
      <c r="L133" s="328" t="s">
        <v>2132</v>
      </c>
      <c r="M133" s="328" t="str">
        <f>INDEX(二三级标准!$M:$M,MATCH(注册申报底表!$L133,二三级标准!$L:$L,0))</f>
        <v>2.1 模块2目录审核</v>
      </c>
      <c r="N133" s="328"/>
      <c r="O133" s="327">
        <f>IF($Q133=1,INDEX(注册申报明细!$E:$E,MATCH(注册申报底表!$J133,注册申报明细!$B:$B,0)),0)</f>
        <v>0</v>
      </c>
      <c r="P133" s="328" t="str">
        <f t="shared" si="126"/>
        <v>份</v>
      </c>
      <c r="Q133" s="329">
        <f>INDEX(注册申报明细!$D:$D,MATCH($J133,注册申报明细!$B:$B,0))</f>
        <v>0</v>
      </c>
      <c r="R133" s="328" t="str">
        <f>INDEX('Rate Card'!$D:$D,MATCH($S133,'Rate Card'!$F:$F,0))</f>
        <v>注册事务</v>
      </c>
      <c r="S133" s="328" t="s">
        <v>609</v>
      </c>
      <c r="T133" s="331">
        <f>INDEX('Rate Card'!$J:$J,MATCH($S133,'Rate Card'!$F:$F,0))</f>
        <v>990</v>
      </c>
      <c r="U133" s="331">
        <f t="shared" si="138"/>
        <v>0.1</v>
      </c>
      <c r="V133" s="327">
        <v>0.1</v>
      </c>
      <c r="W133" s="328"/>
      <c r="X133" s="332">
        <f t="shared" si="139"/>
        <v>0.1</v>
      </c>
      <c r="Y133" s="333">
        <f t="shared" si="140"/>
        <v>0</v>
      </c>
      <c r="Z133" s="328">
        <f t="shared" si="141"/>
        <v>0</v>
      </c>
      <c r="AA133" s="334">
        <f t="shared" si="142"/>
        <v>0</v>
      </c>
      <c r="AB133" s="334">
        <f>$Y133*(1-INDEX(项目参数!$D$5:$D$15,MATCH($R133,项目参数!$B$5:$B$15,0)))</f>
        <v>0</v>
      </c>
      <c r="AC133" s="334">
        <f>$AA133*INDEX(项目参数!$D$5:$D$15,MATCH($R133,项目参数!$B$5:$B$15,0))</f>
        <v>0</v>
      </c>
      <c r="AD133" s="334">
        <f t="shared" si="143"/>
        <v>0</v>
      </c>
      <c r="AE133" s="328"/>
      <c r="AF133" s="328"/>
      <c r="AG133" s="327"/>
      <c r="AH133" s="327"/>
      <c r="AI133" s="327"/>
      <c r="AJ133" s="327"/>
      <c r="AK133" s="327"/>
      <c r="AL133" s="327"/>
      <c r="AM133" s="327"/>
      <c r="AN133" s="328"/>
      <c r="AO133" s="327"/>
      <c r="AP133" s="327"/>
      <c r="AQ133" s="327"/>
      <c r="AR133" s="327"/>
      <c r="AS133" s="327"/>
      <c r="AT133" s="327"/>
      <c r="AU133" s="327"/>
      <c r="AV133" s="328">
        <f t="shared" si="144"/>
        <v>0</v>
      </c>
      <c r="AW133" s="328">
        <f t="shared" si="145"/>
        <v>0</v>
      </c>
      <c r="AX133" s="328">
        <f t="shared" si="146"/>
        <v>0</v>
      </c>
      <c r="AY133" s="328" t="b">
        <f t="shared" si="147"/>
        <v>1</v>
      </c>
    </row>
    <row r="134" ht="27" customHeight="1" spans="1:51">
      <c r="A134" s="326" t="str">
        <f>INDEX('Rate Card'!$A:$A,MATCH($S134,'Rate Card'!$F:$F,0))</f>
        <v>注册</v>
      </c>
      <c r="B134" s="327" t="str">
        <f>INDEX(二三级标准!$G:$G,MATCH($J134,二三级标准!B:B,0))</f>
        <v>份</v>
      </c>
      <c r="C134" s="327">
        <f>INDEX(注册申报明细!$E:$E,MATCH($J134,注册申报明细!$B:$B,0))</f>
        <v>0</v>
      </c>
      <c r="D134" s="327" t="str">
        <f t="shared" si="137"/>
        <v>A303RAM</v>
      </c>
      <c r="E134" s="328"/>
      <c r="F134" s="328" t="s">
        <v>684</v>
      </c>
      <c r="G134" s="326" t="str">
        <f>INDEX('Rate Card'!$B:$B,MATCH($S134,'Rate Card'!$F:$F,0))</f>
        <v>注册</v>
      </c>
      <c r="H134" s="328" t="s">
        <v>1983</v>
      </c>
      <c r="I134" s="328" t="str">
        <f>INDEX(二三级标准!$Q:$Q,MATCH($H134,二三级标准!$O:$O,0))</f>
        <v>NDA申报资料准备</v>
      </c>
      <c r="J134" s="328" t="s">
        <v>2000</v>
      </c>
      <c r="K134" s="328" t="str">
        <f>INDEX(二三级标准!$C:$C,MATCH(注册申报底表!J134,二三级标准!$B:$B,0))</f>
        <v>2.2 通用技术文档介绍</v>
      </c>
      <c r="L134" s="328" t="s">
        <v>2133</v>
      </c>
      <c r="M134" s="328" t="str">
        <f>INDEX(二三级标准!$M:$M,MATCH(注册申报底表!$L134,二三级标准!$L:$L,0))</f>
        <v>2.2 通用技术文档介绍撰写</v>
      </c>
      <c r="N134" s="328"/>
      <c r="O134" s="327">
        <f>IF($Q134=1,INDEX(注册申报明细!$E:$E,MATCH(注册申报底表!$J134,注册申报明细!$B:$B,0)),0)</f>
        <v>0</v>
      </c>
      <c r="P134" s="328" t="str">
        <f t="shared" si="126"/>
        <v>份</v>
      </c>
      <c r="Q134" s="329">
        <f>INDEX(注册申报明细!$D:$D,MATCH($J134,注册申报明细!$B:$B,0))</f>
        <v>0</v>
      </c>
      <c r="R134" s="328" t="str">
        <f>INDEX('Rate Card'!$D:$D,MATCH($S134,'Rate Card'!$F:$F,0))</f>
        <v>注册事务</v>
      </c>
      <c r="S134" s="328" t="s">
        <v>607</v>
      </c>
      <c r="T134" s="331">
        <f>INDEX('Rate Card'!$J:$J,MATCH($S134,'Rate Card'!$F:$F,0))</f>
        <v>650</v>
      </c>
      <c r="U134" s="331">
        <f t="shared" si="138"/>
        <v>2</v>
      </c>
      <c r="V134" s="327">
        <v>2</v>
      </c>
      <c r="W134" s="328"/>
      <c r="X134" s="332">
        <f t="shared" si="139"/>
        <v>2</v>
      </c>
      <c r="Y134" s="333">
        <f t="shared" si="140"/>
        <v>0</v>
      </c>
      <c r="Z134" s="328">
        <f t="shared" si="141"/>
        <v>0</v>
      </c>
      <c r="AA134" s="334">
        <f t="shared" si="142"/>
        <v>0</v>
      </c>
      <c r="AB134" s="334">
        <f>$Y134*(1-INDEX(项目参数!$D$5:$D$15,MATCH($R134,项目参数!$B$5:$B$15,0)))</f>
        <v>0</v>
      </c>
      <c r="AC134" s="334">
        <f>$AA134*INDEX(项目参数!$D$5:$D$15,MATCH($R134,项目参数!$B$5:$B$15,0))</f>
        <v>0</v>
      </c>
      <c r="AD134" s="334">
        <f t="shared" si="143"/>
        <v>0</v>
      </c>
      <c r="AE134" s="328"/>
      <c r="AF134" s="328"/>
      <c r="AG134" s="327"/>
      <c r="AH134" s="327"/>
      <c r="AI134" s="327"/>
      <c r="AJ134" s="327"/>
      <c r="AK134" s="327"/>
      <c r="AL134" s="327"/>
      <c r="AM134" s="327"/>
      <c r="AN134" s="328"/>
      <c r="AO134" s="327"/>
      <c r="AP134" s="327"/>
      <c r="AQ134" s="327"/>
      <c r="AR134" s="327"/>
      <c r="AS134" s="327"/>
      <c r="AT134" s="327"/>
      <c r="AU134" s="327"/>
      <c r="AV134" s="328">
        <f t="shared" si="144"/>
        <v>0</v>
      </c>
      <c r="AW134" s="328">
        <f t="shared" si="145"/>
        <v>0</v>
      </c>
      <c r="AX134" s="328">
        <f t="shared" si="146"/>
        <v>0</v>
      </c>
      <c r="AY134" s="328" t="b">
        <f t="shared" si="147"/>
        <v>0</v>
      </c>
    </row>
    <row r="135" ht="27" customHeight="1" spans="1:51">
      <c r="A135" s="326" t="str">
        <f>INDEX('Rate Card'!$A:$A,MATCH($S135,'Rate Card'!$F:$F,0))</f>
        <v>注册</v>
      </c>
      <c r="B135" s="327" t="str">
        <f>INDEX(二三级标准!$G:$G,MATCH($J135,二三级标准!B:B,0))</f>
        <v>份</v>
      </c>
      <c r="C135" s="327">
        <f>INDEX(注册申报明细!$E:$E,MATCH($J135,注册申报明细!$B:$B,0))</f>
        <v>0</v>
      </c>
      <c r="D135" s="327" t="str">
        <f t="shared" si="137"/>
        <v>A303RAD</v>
      </c>
      <c r="E135" s="328"/>
      <c r="F135" s="328" t="s">
        <v>684</v>
      </c>
      <c r="G135" s="326" t="str">
        <f>INDEX('Rate Card'!$B:$B,MATCH($S135,'Rate Card'!$F:$F,0))</f>
        <v>注册</v>
      </c>
      <c r="H135" s="328" t="s">
        <v>1983</v>
      </c>
      <c r="I135" s="328" t="str">
        <f>INDEX(二三级标准!$Q:$Q,MATCH($H135,二三级标准!$O:$O,0))</f>
        <v>NDA申报资料准备</v>
      </c>
      <c r="J135" s="328" t="s">
        <v>2000</v>
      </c>
      <c r="K135" s="328" t="str">
        <f>INDEX(二三级标准!$C:$C,MATCH(注册申报底表!J135,二三级标准!$B:$B,0))</f>
        <v>2.2 通用技术文档介绍</v>
      </c>
      <c r="L135" s="328" t="s">
        <v>2134</v>
      </c>
      <c r="M135" s="328" t="str">
        <f>INDEX(二三级标准!$M:$M,MATCH(注册申报底表!$L135,二三级标准!$L:$L,0))</f>
        <v>2.2 通用技术文档介绍审核</v>
      </c>
      <c r="N135" s="328"/>
      <c r="O135" s="327">
        <f>IF($Q135=1,INDEX(注册申报明细!$E:$E,MATCH(注册申报底表!$J135,注册申报明细!$B:$B,0)),0)</f>
        <v>0</v>
      </c>
      <c r="P135" s="328" t="str">
        <f t="shared" si="126"/>
        <v>份</v>
      </c>
      <c r="Q135" s="329">
        <f>INDEX(注册申报明细!$D:$D,MATCH($J135,注册申报明细!$B:$B,0))</f>
        <v>0</v>
      </c>
      <c r="R135" s="328" t="str">
        <f>INDEX('Rate Card'!$D:$D,MATCH($S135,'Rate Card'!$F:$F,0))</f>
        <v>注册事务</v>
      </c>
      <c r="S135" s="328" t="s">
        <v>609</v>
      </c>
      <c r="T135" s="331">
        <f>INDEX('Rate Card'!$J:$J,MATCH($S135,'Rate Card'!$F:$F,0))</f>
        <v>990</v>
      </c>
      <c r="U135" s="331">
        <f t="shared" si="138"/>
        <v>0.5</v>
      </c>
      <c r="V135" s="327">
        <v>0.5</v>
      </c>
      <c r="W135" s="328"/>
      <c r="X135" s="332">
        <f t="shared" si="139"/>
        <v>0.5</v>
      </c>
      <c r="Y135" s="333">
        <f t="shared" si="140"/>
        <v>0</v>
      </c>
      <c r="Z135" s="328">
        <f t="shared" si="141"/>
        <v>0</v>
      </c>
      <c r="AA135" s="334">
        <f t="shared" si="142"/>
        <v>0</v>
      </c>
      <c r="AB135" s="334">
        <f>$Y135*(1-INDEX(项目参数!$D$5:$D$15,MATCH($R135,项目参数!$B$5:$B$15,0)))</f>
        <v>0</v>
      </c>
      <c r="AC135" s="334">
        <f>$AA135*INDEX(项目参数!$D$5:$D$15,MATCH($R135,项目参数!$B$5:$B$15,0))</f>
        <v>0</v>
      </c>
      <c r="AD135" s="334">
        <f t="shared" si="143"/>
        <v>0</v>
      </c>
      <c r="AE135" s="328"/>
      <c r="AF135" s="328"/>
      <c r="AG135" s="327"/>
      <c r="AH135" s="327"/>
      <c r="AI135" s="327"/>
      <c r="AJ135" s="327"/>
      <c r="AK135" s="327"/>
      <c r="AL135" s="327"/>
      <c r="AM135" s="327"/>
      <c r="AN135" s="328"/>
      <c r="AO135" s="327"/>
      <c r="AP135" s="327"/>
      <c r="AQ135" s="327"/>
      <c r="AR135" s="327"/>
      <c r="AS135" s="327"/>
      <c r="AT135" s="327"/>
      <c r="AU135" s="327"/>
      <c r="AV135" s="328">
        <f t="shared" si="144"/>
        <v>0</v>
      </c>
      <c r="AW135" s="328">
        <f t="shared" si="145"/>
        <v>0</v>
      </c>
      <c r="AX135" s="328">
        <f t="shared" si="146"/>
        <v>0</v>
      </c>
      <c r="AY135" s="328" t="b">
        <f t="shared" si="147"/>
        <v>0</v>
      </c>
    </row>
    <row r="136" ht="27" customHeight="1" spans="1:51">
      <c r="A136" s="326" t="str">
        <f>INDEX('Rate Card'!$A:$A,MATCH($S136,'Rate Card'!$F:$F,0))</f>
        <v>注册</v>
      </c>
      <c r="B136" s="327" t="str">
        <f>INDEX(二三级标准!$G:$G,MATCH($J136,二三级标准!B:B,0))</f>
        <v>份</v>
      </c>
      <c r="C136" s="327">
        <f>INDEX(注册申报明细!$E:$E,MATCH($J136,注册申报明细!$B:$B,0))</f>
        <v>0</v>
      </c>
      <c r="D136" s="327" t="str">
        <f t="shared" si="137"/>
        <v>A304RAM</v>
      </c>
      <c r="E136" s="328"/>
      <c r="F136" s="328" t="s">
        <v>684</v>
      </c>
      <c r="G136" s="326" t="str">
        <f>INDEX('Rate Card'!$B:$B,MATCH($S136,'Rate Card'!$F:$F,0))</f>
        <v>注册</v>
      </c>
      <c r="H136" s="328" t="s">
        <v>1983</v>
      </c>
      <c r="I136" s="328" t="str">
        <f>INDEX(二三级标准!$Q:$Q,MATCH($H136,二三级标准!$O:$O,0))</f>
        <v>NDA申报资料准备</v>
      </c>
      <c r="J136" s="328" t="s">
        <v>2001</v>
      </c>
      <c r="K136" s="328" t="str">
        <f>INDEX(二三级标准!$C:$C,MATCH(注册申报底表!J136,二三级标准!$B:$B,0))</f>
        <v>2.3 药学综述</v>
      </c>
      <c r="L136" s="328" t="s">
        <v>2135</v>
      </c>
      <c r="M136" s="328" t="str">
        <f>INDEX(二三级标准!$M:$M,MATCH(注册申报底表!$L136,二三级标准!$L:$L,0))</f>
        <v>2.3 药学综述撰写</v>
      </c>
      <c r="N136" s="328"/>
      <c r="O136" s="327">
        <f>IF($Q136=1,INDEX(注册申报明细!$E:$E,MATCH(注册申报底表!$J136,注册申报明细!$B:$B,0)),0)</f>
        <v>0</v>
      </c>
      <c r="P136" s="328" t="str">
        <f t="shared" si="126"/>
        <v>份</v>
      </c>
      <c r="Q136" s="329">
        <f>INDEX(注册申报明细!$D:$D,MATCH($J136,注册申报明细!$B:$B,0))</f>
        <v>0</v>
      </c>
      <c r="R136" s="328" t="str">
        <f>INDEX('Rate Card'!$D:$D,MATCH($S136,'Rate Card'!$F:$F,0))</f>
        <v>注册事务</v>
      </c>
      <c r="S136" s="328" t="s">
        <v>607</v>
      </c>
      <c r="T136" s="331">
        <f>INDEX('Rate Card'!$J:$J,MATCH($S136,'Rate Card'!$F:$F,0))</f>
        <v>650</v>
      </c>
      <c r="U136" s="331">
        <f t="shared" si="138"/>
        <v>48</v>
      </c>
      <c r="V136" s="327">
        <v>48</v>
      </c>
      <c r="W136" s="328"/>
      <c r="X136" s="332">
        <f t="shared" si="139"/>
        <v>48</v>
      </c>
      <c r="Y136" s="333">
        <f t="shared" si="140"/>
        <v>0</v>
      </c>
      <c r="Z136" s="328">
        <f t="shared" si="141"/>
        <v>0</v>
      </c>
      <c r="AA136" s="334">
        <f t="shared" si="142"/>
        <v>0</v>
      </c>
      <c r="AB136" s="334">
        <f>$Y136*(1-INDEX(项目参数!$D$5:$D$15,MATCH($R136,项目参数!$B$5:$B$15,0)))</f>
        <v>0</v>
      </c>
      <c r="AC136" s="334">
        <f>$AA136*INDEX(项目参数!$D$5:$D$15,MATCH($R136,项目参数!$B$5:$B$15,0))</f>
        <v>0</v>
      </c>
      <c r="AD136" s="334">
        <f t="shared" si="143"/>
        <v>0</v>
      </c>
      <c r="AE136" s="328"/>
      <c r="AF136" s="328"/>
      <c r="AG136" s="327"/>
      <c r="AH136" s="327"/>
      <c r="AI136" s="327"/>
      <c r="AJ136" s="327"/>
      <c r="AK136" s="327"/>
      <c r="AL136" s="327"/>
      <c r="AM136" s="327"/>
      <c r="AN136" s="328"/>
      <c r="AO136" s="327"/>
      <c r="AP136" s="327"/>
      <c r="AQ136" s="327"/>
      <c r="AR136" s="327"/>
      <c r="AS136" s="327"/>
      <c r="AT136" s="327"/>
      <c r="AU136" s="327"/>
      <c r="AV136" s="328">
        <f t="shared" si="144"/>
        <v>0</v>
      </c>
      <c r="AW136" s="328">
        <f t="shared" si="145"/>
        <v>0</v>
      </c>
      <c r="AX136" s="328">
        <f t="shared" si="146"/>
        <v>0</v>
      </c>
      <c r="AY136" s="328" t="b">
        <f t="shared" si="147"/>
        <v>1</v>
      </c>
    </row>
    <row r="137" ht="27" customHeight="1" spans="1:51">
      <c r="A137" s="326" t="str">
        <f>INDEX('Rate Card'!$A:$A,MATCH($S137,'Rate Card'!$F:$F,0))</f>
        <v>注册</v>
      </c>
      <c r="B137" s="327" t="str">
        <f>INDEX(二三级标准!$G:$G,MATCH($J137,二三级标准!B:B,0))</f>
        <v>份</v>
      </c>
      <c r="C137" s="327">
        <f>INDEX(注册申报明细!$E:$E,MATCH($J137,注册申报明细!$B:$B,0))</f>
        <v>0</v>
      </c>
      <c r="D137" s="327" t="str">
        <f t="shared" si="137"/>
        <v>A304RAD</v>
      </c>
      <c r="E137" s="328"/>
      <c r="F137" s="328" t="s">
        <v>684</v>
      </c>
      <c r="G137" s="326" t="str">
        <f>INDEX('Rate Card'!$B:$B,MATCH($S137,'Rate Card'!$F:$F,0))</f>
        <v>注册</v>
      </c>
      <c r="H137" s="328" t="s">
        <v>1983</v>
      </c>
      <c r="I137" s="328" t="str">
        <f>INDEX(二三级标准!$Q:$Q,MATCH($H137,二三级标准!$O:$O,0))</f>
        <v>NDA申报资料准备</v>
      </c>
      <c r="J137" s="328" t="s">
        <v>2001</v>
      </c>
      <c r="K137" s="328" t="str">
        <f>INDEX(二三级标准!$C:$C,MATCH(注册申报底表!J137,二三级标准!$B:$B,0))</f>
        <v>2.3 药学综述</v>
      </c>
      <c r="L137" s="328" t="s">
        <v>2136</v>
      </c>
      <c r="M137" s="328" t="str">
        <f>INDEX(二三级标准!$M:$M,MATCH(注册申报底表!$L137,二三级标准!$L:$L,0))</f>
        <v>2.3 药学综述审核</v>
      </c>
      <c r="N137" s="328"/>
      <c r="O137" s="327">
        <f>IF($Q137=1,INDEX(注册申报明细!$E:$E,MATCH(注册申报底表!$J137,注册申报明细!$B:$B,0)),0)</f>
        <v>0</v>
      </c>
      <c r="P137" s="328" t="str">
        <f t="shared" si="126"/>
        <v>份</v>
      </c>
      <c r="Q137" s="329">
        <f>INDEX(注册申报明细!$D:$D,MATCH($J137,注册申报明细!$B:$B,0))</f>
        <v>0</v>
      </c>
      <c r="R137" s="328" t="str">
        <f>INDEX('Rate Card'!$D:$D,MATCH($S137,'Rate Card'!$F:$F,0))</f>
        <v>注册事务</v>
      </c>
      <c r="S137" s="328" t="s">
        <v>609</v>
      </c>
      <c r="T137" s="331">
        <f>INDEX('Rate Card'!$J:$J,MATCH($S137,'Rate Card'!$F:$F,0))</f>
        <v>990</v>
      </c>
      <c r="U137" s="331">
        <f t="shared" si="138"/>
        <v>4</v>
      </c>
      <c r="V137" s="327">
        <v>4</v>
      </c>
      <c r="W137" s="328"/>
      <c r="X137" s="332">
        <f t="shared" si="139"/>
        <v>4</v>
      </c>
      <c r="Y137" s="333">
        <f t="shared" si="140"/>
        <v>0</v>
      </c>
      <c r="Z137" s="328">
        <f t="shared" si="141"/>
        <v>0</v>
      </c>
      <c r="AA137" s="334">
        <f t="shared" si="142"/>
        <v>0</v>
      </c>
      <c r="AB137" s="334">
        <f>$Y137*(1-INDEX(项目参数!$D$5:$D$15,MATCH($R137,项目参数!$B$5:$B$15,0)))</f>
        <v>0</v>
      </c>
      <c r="AC137" s="334">
        <f>$AA137*INDEX(项目参数!$D$5:$D$15,MATCH($R137,项目参数!$B$5:$B$15,0))</f>
        <v>0</v>
      </c>
      <c r="AD137" s="334">
        <f t="shared" si="143"/>
        <v>0</v>
      </c>
      <c r="AE137" s="328"/>
      <c r="AF137" s="328"/>
      <c r="AG137" s="327"/>
      <c r="AH137" s="327"/>
      <c r="AI137" s="327"/>
      <c r="AJ137" s="327"/>
      <c r="AK137" s="327"/>
      <c r="AL137" s="327"/>
      <c r="AM137" s="327"/>
      <c r="AN137" s="328"/>
      <c r="AO137" s="327"/>
      <c r="AP137" s="327"/>
      <c r="AQ137" s="327"/>
      <c r="AR137" s="327"/>
      <c r="AS137" s="327"/>
      <c r="AT137" s="327"/>
      <c r="AU137" s="327"/>
      <c r="AV137" s="328">
        <f t="shared" si="144"/>
        <v>0</v>
      </c>
      <c r="AW137" s="328">
        <f t="shared" si="145"/>
        <v>0</v>
      </c>
      <c r="AX137" s="328">
        <f t="shared" si="146"/>
        <v>0</v>
      </c>
      <c r="AY137" s="328" t="b">
        <f t="shared" si="147"/>
        <v>1</v>
      </c>
    </row>
    <row r="138" ht="27" customHeight="1" spans="1:51">
      <c r="A138" s="326" t="str">
        <f>INDEX('Rate Card'!$A:$A,MATCH($S138,'Rate Card'!$F:$F,0))</f>
        <v>注册</v>
      </c>
      <c r="B138" s="327" t="str">
        <f>INDEX(二三级标准!$G:$G,MATCH($J138,二三级标准!B:B,0))</f>
        <v>份</v>
      </c>
      <c r="C138" s="327">
        <f>INDEX(注册申报明细!$E:$E,MATCH($J138,注册申报明细!$B:$B,0))</f>
        <v>0</v>
      </c>
      <c r="D138" s="327" t="str">
        <f t="shared" ref="D138:D154" si="148">J138&amp;S138</f>
        <v>A305RAM</v>
      </c>
      <c r="E138" s="328"/>
      <c r="F138" s="328" t="s">
        <v>684</v>
      </c>
      <c r="G138" s="326" t="str">
        <f>INDEX('Rate Card'!$B:$B,MATCH($S138,'Rate Card'!$F:$F,0))</f>
        <v>注册</v>
      </c>
      <c r="H138" s="328" t="s">
        <v>1983</v>
      </c>
      <c r="I138" s="328" t="str">
        <f>INDEX(二三级标准!$Q:$Q,MATCH($H138,二三级标准!$O:$O,0))</f>
        <v>NDA申报资料准备</v>
      </c>
      <c r="J138" s="328" t="s">
        <v>2002</v>
      </c>
      <c r="K138" s="328" t="str">
        <f>INDEX(二三级标准!$C:$C,MATCH(注册申报底表!J138,二三级标准!$B:$B,0))</f>
        <v>2.4 非临床综述</v>
      </c>
      <c r="L138" s="328" t="s">
        <v>2137</v>
      </c>
      <c r="M138" s="328" t="str">
        <f>INDEX(二三级标准!$M:$M,MATCH(注册申报底表!$L138,二三级标准!$L:$L,0))</f>
        <v>2.4 非临床综述撰写</v>
      </c>
      <c r="N138" s="328"/>
      <c r="O138" s="327">
        <f>IF($Q138=1,INDEX(注册申报明细!$E:$E,MATCH(注册申报底表!$J138,注册申报明细!$B:$B,0)),0)</f>
        <v>0</v>
      </c>
      <c r="P138" s="328" t="str">
        <f t="shared" si="126"/>
        <v>份</v>
      </c>
      <c r="Q138" s="329">
        <f>INDEX(注册申报明细!$D:$D,MATCH($J138,注册申报明细!$B:$B,0))</f>
        <v>0</v>
      </c>
      <c r="R138" s="328" t="str">
        <f>INDEX('Rate Card'!$D:$D,MATCH($S138,'Rate Card'!$F:$F,0))</f>
        <v>注册事务</v>
      </c>
      <c r="S138" s="328" t="s">
        <v>607</v>
      </c>
      <c r="T138" s="331">
        <f>INDEX('Rate Card'!$J:$J,MATCH($S138,'Rate Card'!$F:$F,0))</f>
        <v>650</v>
      </c>
      <c r="U138" s="331">
        <f t="shared" ref="U138:U154" si="149">$U$1*V138</f>
        <v>20</v>
      </c>
      <c r="V138" s="327">
        <v>20</v>
      </c>
      <c r="W138" s="328"/>
      <c r="X138" s="332">
        <f t="shared" ref="X138:X154" si="150">IF(ISBLANK($W138),$V138,$W138)</f>
        <v>20</v>
      </c>
      <c r="Y138" s="333">
        <f t="shared" ref="Y138:Y154" si="151">IFERROR(AA138/O138,0)</f>
        <v>0</v>
      </c>
      <c r="Z138" s="328">
        <f t="shared" ref="Z138:Z154" si="152">X138*O138*Q138</f>
        <v>0</v>
      </c>
      <c r="AA138" s="334">
        <f t="shared" ref="AA138:AA154" si="153">Z138*T138</f>
        <v>0</v>
      </c>
      <c r="AB138" s="334">
        <f>$Y138*(1-INDEX(项目参数!$D$5:$D$15,MATCH($R138,项目参数!$B$5:$B$15,0)))</f>
        <v>0</v>
      </c>
      <c r="AC138" s="334">
        <f>$AA138*INDEX(项目参数!$D$5:$D$15,MATCH($R138,项目参数!$B$5:$B$15,0))</f>
        <v>0</v>
      </c>
      <c r="AD138" s="334">
        <f t="shared" ref="AD138:AD154" si="154">AA138-AC138</f>
        <v>0</v>
      </c>
      <c r="AE138" s="328"/>
      <c r="AF138" s="328"/>
      <c r="AG138" s="327"/>
      <c r="AH138" s="327"/>
      <c r="AI138" s="327"/>
      <c r="AJ138" s="327"/>
      <c r="AK138" s="327"/>
      <c r="AL138" s="327"/>
      <c r="AM138" s="327"/>
      <c r="AN138" s="328"/>
      <c r="AO138" s="327"/>
      <c r="AP138" s="327"/>
      <c r="AQ138" s="327"/>
      <c r="AR138" s="327"/>
      <c r="AS138" s="327"/>
      <c r="AT138" s="327"/>
      <c r="AU138" s="327"/>
      <c r="AV138" s="328">
        <f t="shared" ref="AV138:AV154" si="155">Z138</f>
        <v>0</v>
      </c>
      <c r="AW138" s="328">
        <f t="shared" ref="AW138:AW154" si="156">V138*O138</f>
        <v>0</v>
      </c>
      <c r="AX138" s="328">
        <f t="shared" ref="AX138:AX154" si="157">AW138*$U$1</f>
        <v>0</v>
      </c>
      <c r="AY138" s="328" t="b">
        <f t="shared" si="147"/>
        <v>0</v>
      </c>
    </row>
    <row r="139" ht="27" customHeight="1" spans="1:51">
      <c r="A139" s="326" t="str">
        <f>INDEX('Rate Card'!$A:$A,MATCH($S139,'Rate Card'!$F:$F,0))</f>
        <v>注册</v>
      </c>
      <c r="B139" s="327" t="str">
        <f>INDEX(二三级标准!$G:$G,MATCH($J139,二三级标准!B:B,0))</f>
        <v>份</v>
      </c>
      <c r="C139" s="327">
        <f>INDEX(注册申报明细!$E:$E,MATCH($J139,注册申报明细!$B:$B,0))</f>
        <v>0</v>
      </c>
      <c r="D139" s="327" t="str">
        <f t="shared" si="148"/>
        <v>A305RAD</v>
      </c>
      <c r="E139" s="328"/>
      <c r="F139" s="328" t="s">
        <v>684</v>
      </c>
      <c r="G139" s="326" t="str">
        <f>INDEX('Rate Card'!$B:$B,MATCH($S139,'Rate Card'!$F:$F,0))</f>
        <v>注册</v>
      </c>
      <c r="H139" s="328" t="s">
        <v>1983</v>
      </c>
      <c r="I139" s="328" t="str">
        <f>INDEX(二三级标准!$Q:$Q,MATCH($H139,二三级标准!$O:$O,0))</f>
        <v>NDA申报资料准备</v>
      </c>
      <c r="J139" s="328" t="s">
        <v>2002</v>
      </c>
      <c r="K139" s="328" t="str">
        <f>INDEX(二三级标准!$C:$C,MATCH(注册申报底表!J139,二三级标准!$B:$B,0))</f>
        <v>2.4 非临床综述</v>
      </c>
      <c r="L139" s="328" t="s">
        <v>2138</v>
      </c>
      <c r="M139" s="328" t="str">
        <f>INDEX(二三级标准!$M:$M,MATCH(注册申报底表!$L139,二三级标准!$L:$L,0))</f>
        <v>2.4 非临床综述审核</v>
      </c>
      <c r="N139" s="328"/>
      <c r="O139" s="327">
        <f>IF($Q139=1,INDEX(注册申报明细!$E:$E,MATCH(注册申报底表!$J139,注册申报明细!$B:$B,0)),0)</f>
        <v>0</v>
      </c>
      <c r="P139" s="328" t="str">
        <f t="shared" si="126"/>
        <v>份</v>
      </c>
      <c r="Q139" s="329">
        <f>INDEX(注册申报明细!$D:$D,MATCH($J139,注册申报明细!$B:$B,0))</f>
        <v>0</v>
      </c>
      <c r="R139" s="328" t="str">
        <f>INDEX('Rate Card'!$D:$D,MATCH($S139,'Rate Card'!$F:$F,0))</f>
        <v>注册事务</v>
      </c>
      <c r="S139" s="328" t="s">
        <v>609</v>
      </c>
      <c r="T139" s="331">
        <f>INDEX('Rate Card'!$J:$J,MATCH($S139,'Rate Card'!$F:$F,0))</f>
        <v>990</v>
      </c>
      <c r="U139" s="331">
        <f t="shared" si="149"/>
        <v>2</v>
      </c>
      <c r="V139" s="327">
        <v>2</v>
      </c>
      <c r="W139" s="328"/>
      <c r="X139" s="332">
        <f t="shared" si="150"/>
        <v>2</v>
      </c>
      <c r="Y139" s="333">
        <f t="shared" si="151"/>
        <v>0</v>
      </c>
      <c r="Z139" s="328">
        <f t="shared" si="152"/>
        <v>0</v>
      </c>
      <c r="AA139" s="334">
        <f t="shared" si="153"/>
        <v>0</v>
      </c>
      <c r="AB139" s="334">
        <f>$Y139*(1-INDEX(项目参数!$D$5:$D$15,MATCH($R139,项目参数!$B$5:$B$15,0)))</f>
        <v>0</v>
      </c>
      <c r="AC139" s="334">
        <f>$AA139*INDEX(项目参数!$D$5:$D$15,MATCH($R139,项目参数!$B$5:$B$15,0))</f>
        <v>0</v>
      </c>
      <c r="AD139" s="334">
        <f t="shared" si="154"/>
        <v>0</v>
      </c>
      <c r="AE139" s="328"/>
      <c r="AF139" s="328"/>
      <c r="AG139" s="327"/>
      <c r="AH139" s="327"/>
      <c r="AI139" s="327"/>
      <c r="AJ139" s="327"/>
      <c r="AK139" s="327"/>
      <c r="AL139" s="327"/>
      <c r="AM139" s="327"/>
      <c r="AN139" s="328"/>
      <c r="AO139" s="327"/>
      <c r="AP139" s="327"/>
      <c r="AQ139" s="327"/>
      <c r="AR139" s="327"/>
      <c r="AS139" s="327"/>
      <c r="AT139" s="327"/>
      <c r="AU139" s="327"/>
      <c r="AV139" s="328">
        <f t="shared" si="155"/>
        <v>0</v>
      </c>
      <c r="AW139" s="328">
        <f t="shared" si="156"/>
        <v>0</v>
      </c>
      <c r="AX139" s="328">
        <f t="shared" si="157"/>
        <v>0</v>
      </c>
      <c r="AY139" s="328" t="b">
        <f t="shared" si="147"/>
        <v>0</v>
      </c>
    </row>
    <row r="140" ht="27" customHeight="1" spans="1:51">
      <c r="A140" s="326" t="str">
        <f>INDEX('Rate Card'!$A:$A,MATCH($S140,'Rate Card'!$F:$F,0))</f>
        <v>注册</v>
      </c>
      <c r="B140" s="327" t="str">
        <f>INDEX(二三级标准!$G:$G,MATCH($J140,二三级标准!B:B,0))</f>
        <v>份</v>
      </c>
      <c r="C140" s="327">
        <f>INDEX(注册申报明细!$E:$E,MATCH($J140,注册申报明细!$B:$B,0))</f>
        <v>0</v>
      </c>
      <c r="D140" s="327" t="str">
        <f t="shared" si="148"/>
        <v>A306RAM</v>
      </c>
      <c r="E140" s="328"/>
      <c r="F140" s="328" t="s">
        <v>684</v>
      </c>
      <c r="G140" s="326" t="str">
        <f>INDEX('Rate Card'!$B:$B,MATCH($S140,'Rate Card'!$F:$F,0))</f>
        <v>注册</v>
      </c>
      <c r="H140" s="328" t="s">
        <v>1983</v>
      </c>
      <c r="I140" s="328" t="str">
        <f>INDEX(二三级标准!$Q:$Q,MATCH($H140,二三级标准!$O:$O,0))</f>
        <v>NDA申报资料准备</v>
      </c>
      <c r="J140" s="328" t="s">
        <v>2003</v>
      </c>
      <c r="K140" s="328" t="str">
        <f>INDEX(二三级标准!$C:$C,MATCH(注册申报底表!J140,二三级标准!$B:$B,0))</f>
        <v>2.5 临床综述（注册部分）</v>
      </c>
      <c r="L140" s="328" t="s">
        <v>2139</v>
      </c>
      <c r="M140" s="328" t="str">
        <f>INDEX(二三级标准!$M:$M,MATCH(注册申报底表!$L140,二三级标准!$L:$L,0))</f>
        <v>2.5 临床综述（注册部分）撰写</v>
      </c>
      <c r="N140" s="328"/>
      <c r="O140" s="327">
        <f>IF($Q140=1,INDEX(注册申报明细!$E:$E,MATCH(注册申报底表!$J140,注册申报明细!$B:$B,0)),0)</f>
        <v>0</v>
      </c>
      <c r="P140" s="328" t="str">
        <f t="shared" si="126"/>
        <v>份</v>
      </c>
      <c r="Q140" s="329">
        <f>INDEX(注册申报明细!$D:$D,MATCH($J140,注册申报明细!$B:$B,0))</f>
        <v>0</v>
      </c>
      <c r="R140" s="328" t="str">
        <f>INDEX('Rate Card'!$D:$D,MATCH($S140,'Rate Card'!$F:$F,0))</f>
        <v>注册事务</v>
      </c>
      <c r="S140" s="328" t="s">
        <v>607</v>
      </c>
      <c r="T140" s="331">
        <f>INDEX('Rate Card'!$J:$J,MATCH($S140,'Rate Card'!$F:$F,0))</f>
        <v>650</v>
      </c>
      <c r="U140" s="331">
        <f t="shared" si="149"/>
        <v>2</v>
      </c>
      <c r="V140" s="327">
        <v>2</v>
      </c>
      <c r="W140" s="328"/>
      <c r="X140" s="332">
        <f t="shared" si="150"/>
        <v>2</v>
      </c>
      <c r="Y140" s="333">
        <f t="shared" si="151"/>
        <v>0</v>
      </c>
      <c r="Z140" s="328">
        <f t="shared" si="152"/>
        <v>0</v>
      </c>
      <c r="AA140" s="334">
        <f t="shared" si="153"/>
        <v>0</v>
      </c>
      <c r="AB140" s="334">
        <f>$Y140*(1-INDEX(项目参数!$D$5:$D$15,MATCH($R140,项目参数!$B$5:$B$15,0)))</f>
        <v>0</v>
      </c>
      <c r="AC140" s="334">
        <f>$AA140*INDEX(项目参数!$D$5:$D$15,MATCH($R140,项目参数!$B$5:$B$15,0))</f>
        <v>0</v>
      </c>
      <c r="AD140" s="334">
        <f t="shared" si="154"/>
        <v>0</v>
      </c>
      <c r="AE140" s="328"/>
      <c r="AF140" s="328"/>
      <c r="AG140" s="327"/>
      <c r="AH140" s="327"/>
      <c r="AI140" s="327"/>
      <c r="AJ140" s="327"/>
      <c r="AK140" s="327"/>
      <c r="AL140" s="327"/>
      <c r="AM140" s="327"/>
      <c r="AN140" s="328"/>
      <c r="AO140" s="327"/>
      <c r="AP140" s="327"/>
      <c r="AQ140" s="327"/>
      <c r="AR140" s="327"/>
      <c r="AS140" s="327"/>
      <c r="AT140" s="327"/>
      <c r="AU140" s="327"/>
      <c r="AV140" s="328">
        <f t="shared" si="155"/>
        <v>0</v>
      </c>
      <c r="AW140" s="328">
        <f t="shared" si="156"/>
        <v>0</v>
      </c>
      <c r="AX140" s="328">
        <f t="shared" si="157"/>
        <v>0</v>
      </c>
      <c r="AY140" s="328" t="b">
        <f t="shared" si="147"/>
        <v>1</v>
      </c>
    </row>
    <row r="141" ht="27" customHeight="1" spans="1:51">
      <c r="A141" s="326" t="str">
        <f>INDEX('Rate Card'!$A:$A,MATCH($S141,'Rate Card'!$F:$F,0))</f>
        <v>医学</v>
      </c>
      <c r="B141" s="327" t="str">
        <f>INDEX(二三级标准!$G:$G,MATCH($J141,二三级标准!B:B,0))</f>
        <v>份</v>
      </c>
      <c r="C141" s="327">
        <f>INDEX(注册申报明细!$E:$E,MATCH($J141,注册申报明细!$B:$B,0))</f>
        <v>0</v>
      </c>
      <c r="D141" s="327" t="str">
        <f t="shared" si="148"/>
        <v>A306MM</v>
      </c>
      <c r="E141" s="328"/>
      <c r="F141" s="328" t="s">
        <v>684</v>
      </c>
      <c r="G141" s="326" t="str">
        <f>INDEX('Rate Card'!$B:$B,MATCH($S141,'Rate Card'!$F:$F,0))</f>
        <v>医学</v>
      </c>
      <c r="H141" s="328" t="s">
        <v>1983</v>
      </c>
      <c r="I141" s="328" t="str">
        <f>INDEX(二三级标准!$Q:$Q,MATCH($H141,二三级标准!$O:$O,0))</f>
        <v>NDA申报资料准备</v>
      </c>
      <c r="J141" s="328" t="s">
        <v>2003</v>
      </c>
      <c r="K141" s="328" t="str">
        <f>INDEX(二三级标准!$C:$C,MATCH(注册申报底表!J141,二三级标准!$B:$B,0))</f>
        <v>2.5 临床综述（注册部分）</v>
      </c>
      <c r="L141" s="328" t="s">
        <v>2139</v>
      </c>
      <c r="M141" s="328" t="str">
        <f>INDEX(二三级标准!$M:$M,MATCH(注册申报底表!$L141,二三级标准!$L:$L,0))</f>
        <v>2.5 临床综述（注册部分）撰写</v>
      </c>
      <c r="N141" s="328"/>
      <c r="O141" s="327">
        <f>IF($Q141=1,INDEX(注册申报明细!$E:$E,MATCH(注册申报底表!$J141,注册申报明细!$B:$B,0)),0)</f>
        <v>0</v>
      </c>
      <c r="P141" s="328" t="str">
        <f t="shared" si="126"/>
        <v>份</v>
      </c>
      <c r="Q141" s="329">
        <v>0</v>
      </c>
      <c r="R141" s="328" t="s">
        <v>578</v>
      </c>
      <c r="S141" s="328" t="s">
        <v>615</v>
      </c>
      <c r="T141" s="331">
        <f>INDEX('Rate Card'!$J:$J,MATCH($S141,'Rate Card'!$F:$F,0))</f>
        <v>650</v>
      </c>
      <c r="U141" s="331">
        <f t="shared" si="149"/>
        <v>56</v>
      </c>
      <c r="V141" s="327">
        <v>56</v>
      </c>
      <c r="W141" s="328"/>
      <c r="X141" s="332">
        <f t="shared" si="150"/>
        <v>56</v>
      </c>
      <c r="Y141" s="333">
        <f t="shared" si="151"/>
        <v>0</v>
      </c>
      <c r="Z141" s="328">
        <f t="shared" si="152"/>
        <v>0</v>
      </c>
      <c r="AA141" s="334">
        <f t="shared" si="153"/>
        <v>0</v>
      </c>
      <c r="AB141" s="334">
        <f>$Y141*(1-INDEX(项目参数!$D$5:$D$15,MATCH($R141,项目参数!$B$5:$B$15,0)))</f>
        <v>0</v>
      </c>
      <c r="AC141" s="334">
        <f>$AA141*INDEX(项目参数!$D$5:$D$15,MATCH($R141,项目参数!$B$5:$B$15,0))</f>
        <v>0</v>
      </c>
      <c r="AD141" s="334">
        <f t="shared" si="154"/>
        <v>0</v>
      </c>
      <c r="AE141" s="328"/>
      <c r="AF141" s="328"/>
      <c r="AG141" s="327"/>
      <c r="AH141" s="327"/>
      <c r="AI141" s="327"/>
      <c r="AJ141" s="327"/>
      <c r="AK141" s="327"/>
      <c r="AL141" s="327"/>
      <c r="AM141" s="327"/>
      <c r="AN141" s="328"/>
      <c r="AO141" s="327"/>
      <c r="AP141" s="327"/>
      <c r="AQ141" s="327"/>
      <c r="AR141" s="327"/>
      <c r="AS141" s="327"/>
      <c r="AT141" s="327"/>
      <c r="AU141" s="327"/>
      <c r="AV141" s="328">
        <f t="shared" si="155"/>
        <v>0</v>
      </c>
      <c r="AW141" s="328">
        <f t="shared" si="156"/>
        <v>0</v>
      </c>
      <c r="AX141" s="328">
        <f t="shared" si="157"/>
        <v>0</v>
      </c>
      <c r="AY141" s="328" t="b">
        <f t="shared" si="147"/>
        <v>1</v>
      </c>
    </row>
    <row r="142" ht="27" customHeight="1" spans="1:51">
      <c r="A142" s="326" t="str">
        <f>INDEX('Rate Card'!$A:$A,MATCH($S142,'Rate Card'!$F:$F,0))</f>
        <v>医学</v>
      </c>
      <c r="B142" s="327" t="str">
        <f>INDEX(二三级标准!$G:$G,MATCH($J142,二三级标准!B:B,0))</f>
        <v>份</v>
      </c>
      <c r="C142" s="327">
        <f>INDEX(注册申报明细!$E:$E,MATCH($J142,注册申报明细!$B:$B,0))</f>
        <v>0</v>
      </c>
      <c r="D142" s="327" t="str">
        <f t="shared" si="148"/>
        <v>A306MD</v>
      </c>
      <c r="E142" s="328"/>
      <c r="F142" s="328" t="s">
        <v>684</v>
      </c>
      <c r="G142" s="326" t="str">
        <f>INDEX('Rate Card'!$B:$B,MATCH($S142,'Rate Card'!$F:$F,0))</f>
        <v>医学</v>
      </c>
      <c r="H142" s="328" t="s">
        <v>1983</v>
      </c>
      <c r="I142" s="328" t="str">
        <f>INDEX(二三级标准!$Q:$Q,MATCH($H142,二三级标准!$O:$O,0))</f>
        <v>NDA申报资料准备</v>
      </c>
      <c r="J142" s="328" t="s">
        <v>2003</v>
      </c>
      <c r="K142" s="328" t="str">
        <f>INDEX(二三级标准!$C:$C,MATCH(注册申报底表!J142,二三级标准!$B:$B,0))</f>
        <v>2.5 临床综述（注册部分）</v>
      </c>
      <c r="L142" s="328" t="s">
        <v>2140</v>
      </c>
      <c r="M142" s="328" t="str">
        <f>INDEX(二三级标准!$M:$M,MATCH(注册申报底表!$L142,二三级标准!$L:$L,0))</f>
        <v>2.5 临床综述（注册部分）审核</v>
      </c>
      <c r="N142" s="328"/>
      <c r="O142" s="327">
        <f>IF($Q142=1,INDEX(注册申报明细!$E:$E,MATCH(注册申报底表!$J142,注册申报明细!$B:$B,0)),0)</f>
        <v>0</v>
      </c>
      <c r="P142" s="328" t="str">
        <f t="shared" si="126"/>
        <v>份</v>
      </c>
      <c r="Q142" s="329">
        <v>0</v>
      </c>
      <c r="R142" s="328" t="s">
        <v>578</v>
      </c>
      <c r="S142" s="328" t="s">
        <v>613</v>
      </c>
      <c r="T142" s="331">
        <f>INDEX('Rate Card'!$J:$J,MATCH($S142,'Rate Card'!$F:$F,0))</f>
        <v>990</v>
      </c>
      <c r="U142" s="331">
        <f t="shared" si="149"/>
        <v>16</v>
      </c>
      <c r="V142" s="327">
        <v>16</v>
      </c>
      <c r="W142" s="328"/>
      <c r="X142" s="332">
        <f t="shared" si="150"/>
        <v>16</v>
      </c>
      <c r="Y142" s="333">
        <f t="shared" si="151"/>
        <v>0</v>
      </c>
      <c r="Z142" s="328">
        <f t="shared" si="152"/>
        <v>0</v>
      </c>
      <c r="AA142" s="334">
        <f t="shared" si="153"/>
        <v>0</v>
      </c>
      <c r="AB142" s="334">
        <f>$Y142*(1-INDEX(项目参数!$D$5:$D$15,MATCH($R142,项目参数!$B$5:$B$15,0)))</f>
        <v>0</v>
      </c>
      <c r="AC142" s="334">
        <f>$AA142*INDEX(项目参数!$D$5:$D$15,MATCH($R142,项目参数!$B$5:$B$15,0))</f>
        <v>0</v>
      </c>
      <c r="AD142" s="334">
        <f t="shared" si="154"/>
        <v>0</v>
      </c>
      <c r="AE142" s="328"/>
      <c r="AF142" s="328"/>
      <c r="AG142" s="327"/>
      <c r="AH142" s="327"/>
      <c r="AI142" s="327"/>
      <c r="AJ142" s="327"/>
      <c r="AK142" s="327"/>
      <c r="AL142" s="327"/>
      <c r="AM142" s="327"/>
      <c r="AN142" s="328"/>
      <c r="AO142" s="327"/>
      <c r="AP142" s="327"/>
      <c r="AQ142" s="327"/>
      <c r="AR142" s="327"/>
      <c r="AS142" s="327"/>
      <c r="AT142" s="327"/>
      <c r="AU142" s="327"/>
      <c r="AV142" s="328">
        <f t="shared" si="155"/>
        <v>0</v>
      </c>
      <c r="AW142" s="328">
        <f t="shared" si="156"/>
        <v>0</v>
      </c>
      <c r="AX142" s="328">
        <f t="shared" si="157"/>
        <v>0</v>
      </c>
      <c r="AY142" s="328" t="b">
        <f t="shared" si="147"/>
        <v>1</v>
      </c>
    </row>
    <row r="143" ht="27" customHeight="1" spans="1:51">
      <c r="A143" s="326" t="str">
        <f>INDEX('Rate Card'!$A:$A,MATCH($S143,'Rate Card'!$F:$F,0))</f>
        <v>注册</v>
      </c>
      <c r="B143" s="327" t="str">
        <f>INDEX(二三级标准!$G:$G,MATCH($J143,二三级标准!B:B,0))</f>
        <v>份</v>
      </c>
      <c r="C143" s="327">
        <f>INDEX(注册申报明细!$E:$E,MATCH($J143,注册申报明细!$B:$B,0))</f>
        <v>0</v>
      </c>
      <c r="D143" s="327" t="str">
        <f t="shared" si="148"/>
        <v>A306RAD</v>
      </c>
      <c r="E143" s="328"/>
      <c r="F143" s="328" t="s">
        <v>684</v>
      </c>
      <c r="G143" s="326" t="str">
        <f>INDEX('Rate Card'!$B:$B,MATCH($S143,'Rate Card'!$F:$F,0))</f>
        <v>注册</v>
      </c>
      <c r="H143" s="328" t="s">
        <v>1983</v>
      </c>
      <c r="I143" s="328" t="str">
        <f>INDEX(二三级标准!$Q:$Q,MATCH($H143,二三级标准!$O:$O,0))</f>
        <v>NDA申报资料准备</v>
      </c>
      <c r="J143" s="328" t="s">
        <v>2003</v>
      </c>
      <c r="K143" s="328" t="str">
        <f>INDEX(二三级标准!$C:$C,MATCH(注册申报底表!J143,二三级标准!$B:$B,0))</f>
        <v>2.5 临床综述（注册部分）</v>
      </c>
      <c r="L143" s="328" t="s">
        <v>2140</v>
      </c>
      <c r="M143" s="328" t="str">
        <f>INDEX(二三级标准!$M:$M,MATCH(注册申报底表!$L143,二三级标准!$L:$L,0))</f>
        <v>2.5 临床综述（注册部分）审核</v>
      </c>
      <c r="N143" s="328"/>
      <c r="O143" s="327">
        <f>IF($Q143=1,INDEX(注册申报明细!$E:$E,MATCH(注册申报底表!$J143,注册申报明细!$B:$B,0)),0)</f>
        <v>0</v>
      </c>
      <c r="P143" s="328" t="str">
        <f t="shared" si="126"/>
        <v>份</v>
      </c>
      <c r="Q143" s="329">
        <f>INDEX(注册申报明细!$D:$D,MATCH($J143,注册申报明细!$B:$B,0))</f>
        <v>0</v>
      </c>
      <c r="R143" s="328" t="str">
        <f>INDEX('Rate Card'!$D:$D,MATCH($S143,'Rate Card'!$F:$F,0))</f>
        <v>注册事务</v>
      </c>
      <c r="S143" s="328" t="s">
        <v>609</v>
      </c>
      <c r="T143" s="331">
        <f>INDEX('Rate Card'!$J:$J,MATCH($S143,'Rate Card'!$F:$F,0))</f>
        <v>990</v>
      </c>
      <c r="U143" s="331">
        <f t="shared" si="149"/>
        <v>0.5</v>
      </c>
      <c r="V143" s="327">
        <v>0.5</v>
      </c>
      <c r="W143" s="328"/>
      <c r="X143" s="332">
        <f t="shared" si="150"/>
        <v>0.5</v>
      </c>
      <c r="Y143" s="333">
        <f t="shared" si="151"/>
        <v>0</v>
      </c>
      <c r="Z143" s="328">
        <f t="shared" si="152"/>
        <v>0</v>
      </c>
      <c r="AA143" s="334">
        <f t="shared" si="153"/>
        <v>0</v>
      </c>
      <c r="AB143" s="334">
        <f>$Y143*(1-INDEX(项目参数!$D$5:$D$15,MATCH($R143,项目参数!$B$5:$B$15,0)))</f>
        <v>0</v>
      </c>
      <c r="AC143" s="334">
        <f>$AA143*INDEX(项目参数!$D$5:$D$15,MATCH($R143,项目参数!$B$5:$B$15,0))</f>
        <v>0</v>
      </c>
      <c r="AD143" s="334">
        <f t="shared" si="154"/>
        <v>0</v>
      </c>
      <c r="AE143" s="328"/>
      <c r="AF143" s="328"/>
      <c r="AG143" s="327"/>
      <c r="AH143" s="327"/>
      <c r="AI143" s="327"/>
      <c r="AJ143" s="327"/>
      <c r="AK143" s="327"/>
      <c r="AL143" s="327"/>
      <c r="AM143" s="327"/>
      <c r="AN143" s="328"/>
      <c r="AO143" s="327"/>
      <c r="AP143" s="327"/>
      <c r="AQ143" s="327"/>
      <c r="AR143" s="327"/>
      <c r="AS143" s="327"/>
      <c r="AT143" s="327"/>
      <c r="AU143" s="327"/>
      <c r="AV143" s="328">
        <f t="shared" si="155"/>
        <v>0</v>
      </c>
      <c r="AW143" s="328">
        <f t="shared" si="156"/>
        <v>0</v>
      </c>
      <c r="AX143" s="328">
        <f t="shared" si="157"/>
        <v>0</v>
      </c>
      <c r="AY143" s="328" t="b">
        <f t="shared" si="147"/>
        <v>1</v>
      </c>
    </row>
    <row r="144" ht="27" customHeight="1" spans="1:51">
      <c r="A144" s="326" t="str">
        <f>INDEX('Rate Card'!$A:$A,MATCH($S144,'Rate Card'!$F:$F,0))</f>
        <v>注册</v>
      </c>
      <c r="B144" s="327" t="str">
        <f>INDEX(二三级标准!$G:$G,MATCH($J144,二三级标准!B:B,0))</f>
        <v>份</v>
      </c>
      <c r="C144" s="327">
        <f>INDEX(注册申报明细!$E:$E,MATCH($J144,注册申报明细!$B:$B,0))</f>
        <v>0</v>
      </c>
      <c r="D144" s="327" t="str">
        <f t="shared" si="148"/>
        <v>A307RAM</v>
      </c>
      <c r="E144" s="328"/>
      <c r="F144" s="328" t="s">
        <v>684</v>
      </c>
      <c r="G144" s="326" t="str">
        <f>INDEX('Rate Card'!$B:$B,MATCH($S144,'Rate Card'!$F:$F,0))</f>
        <v>注册</v>
      </c>
      <c r="H144" s="328" t="s">
        <v>1983</v>
      </c>
      <c r="I144" s="328" t="str">
        <f>INDEX(二三级标准!$Q:$Q,MATCH($H144,二三级标准!$O:$O,0))</f>
        <v>NDA申报资料准备</v>
      </c>
      <c r="J144" s="328" t="s">
        <v>2004</v>
      </c>
      <c r="K144" s="328" t="str">
        <f>INDEX(二三级标准!$C:$C,MATCH(注册申报底表!J144,二三级标准!$B:$B,0))</f>
        <v>2.6 非临床文字总结和列表总结</v>
      </c>
      <c r="L144" s="328" t="s">
        <v>2141</v>
      </c>
      <c r="M144" s="328" t="str">
        <f>INDEX(二三级标准!$M:$M,MATCH(注册申报底表!$L144,二三级标准!$L:$L,0))</f>
        <v>2.6 非临床文字总结和列表总结撰写</v>
      </c>
      <c r="N144" s="328"/>
      <c r="O144" s="327">
        <f>IF($Q144=1,INDEX(注册申报明细!$E:$E,MATCH(注册申报底表!$J144,注册申报明细!$B:$B,0)),0)</f>
        <v>0</v>
      </c>
      <c r="P144" s="328" t="str">
        <f t="shared" si="126"/>
        <v>份</v>
      </c>
      <c r="Q144" s="329">
        <f>INDEX(注册申报明细!$D:$D,MATCH($J144,注册申报明细!$B:$B,0))</f>
        <v>0</v>
      </c>
      <c r="R144" s="328" t="str">
        <f>INDEX('Rate Card'!$D:$D,MATCH($S144,'Rate Card'!$F:$F,0))</f>
        <v>注册事务</v>
      </c>
      <c r="S144" s="328" t="s">
        <v>607</v>
      </c>
      <c r="T144" s="331">
        <f>INDEX('Rate Card'!$J:$J,MATCH($S144,'Rate Card'!$F:$F,0))</f>
        <v>650</v>
      </c>
      <c r="U144" s="331">
        <f t="shared" si="149"/>
        <v>24</v>
      </c>
      <c r="V144" s="327">
        <v>24</v>
      </c>
      <c r="W144" s="328"/>
      <c r="X144" s="332">
        <f t="shared" si="150"/>
        <v>24</v>
      </c>
      <c r="Y144" s="333">
        <f t="shared" si="151"/>
        <v>0</v>
      </c>
      <c r="Z144" s="328">
        <f t="shared" si="152"/>
        <v>0</v>
      </c>
      <c r="AA144" s="334">
        <f t="shared" si="153"/>
        <v>0</v>
      </c>
      <c r="AB144" s="334">
        <f>$Y144*(1-INDEX(项目参数!$D$5:$D$15,MATCH($R144,项目参数!$B$5:$B$15,0)))</f>
        <v>0</v>
      </c>
      <c r="AC144" s="334">
        <f>$AA144*INDEX(项目参数!$D$5:$D$15,MATCH($R144,项目参数!$B$5:$B$15,0))</f>
        <v>0</v>
      </c>
      <c r="AD144" s="334">
        <f t="shared" si="154"/>
        <v>0</v>
      </c>
      <c r="AE144" s="328"/>
      <c r="AF144" s="328"/>
      <c r="AG144" s="327"/>
      <c r="AH144" s="327"/>
      <c r="AI144" s="327"/>
      <c r="AJ144" s="327"/>
      <c r="AK144" s="327"/>
      <c r="AL144" s="327"/>
      <c r="AM144" s="327"/>
      <c r="AN144" s="328"/>
      <c r="AO144" s="327"/>
      <c r="AP144" s="327"/>
      <c r="AQ144" s="327"/>
      <c r="AR144" s="327"/>
      <c r="AS144" s="327"/>
      <c r="AT144" s="327"/>
      <c r="AU144" s="327"/>
      <c r="AV144" s="328">
        <f t="shared" si="155"/>
        <v>0</v>
      </c>
      <c r="AW144" s="328">
        <f t="shared" si="156"/>
        <v>0</v>
      </c>
      <c r="AX144" s="328">
        <f t="shared" si="157"/>
        <v>0</v>
      </c>
      <c r="AY144" s="328" t="b">
        <f t="shared" si="147"/>
        <v>0</v>
      </c>
    </row>
    <row r="145" ht="27" customHeight="1" spans="1:51">
      <c r="A145" s="326" t="str">
        <f>INDEX('Rate Card'!$A:$A,MATCH($S145,'Rate Card'!$F:$F,0))</f>
        <v>注册</v>
      </c>
      <c r="B145" s="327" t="str">
        <f>INDEX(二三级标准!$G:$G,MATCH($J145,二三级标准!B:B,0))</f>
        <v>份</v>
      </c>
      <c r="C145" s="327">
        <f>INDEX(注册申报明细!$E:$E,MATCH($J145,注册申报明细!$B:$B,0))</f>
        <v>0</v>
      </c>
      <c r="D145" s="327" t="str">
        <f t="shared" si="148"/>
        <v>A307RAD</v>
      </c>
      <c r="E145" s="328"/>
      <c r="F145" s="328" t="s">
        <v>684</v>
      </c>
      <c r="G145" s="326" t="str">
        <f>INDEX('Rate Card'!$B:$B,MATCH($S145,'Rate Card'!$F:$F,0))</f>
        <v>注册</v>
      </c>
      <c r="H145" s="328" t="s">
        <v>1983</v>
      </c>
      <c r="I145" s="328" t="str">
        <f>INDEX(二三级标准!$Q:$Q,MATCH($H145,二三级标准!$O:$O,0))</f>
        <v>NDA申报资料准备</v>
      </c>
      <c r="J145" s="328" t="s">
        <v>2004</v>
      </c>
      <c r="K145" s="328" t="str">
        <f>INDEX(二三级标准!$C:$C,MATCH(注册申报底表!J145,二三级标准!$B:$B,0))</f>
        <v>2.6 非临床文字总结和列表总结</v>
      </c>
      <c r="L145" s="328" t="s">
        <v>2142</v>
      </c>
      <c r="M145" s="328" t="str">
        <f>INDEX(二三级标准!$M:$M,MATCH(注册申报底表!$L145,二三级标准!$L:$L,0))</f>
        <v>2.6 非临床文字总结和列表总结审核</v>
      </c>
      <c r="N145" s="328"/>
      <c r="O145" s="327">
        <f>IF($Q145=1,INDEX(注册申报明细!$E:$E,MATCH(注册申报底表!$J145,注册申报明细!$B:$B,0)),0)</f>
        <v>0</v>
      </c>
      <c r="P145" s="328" t="str">
        <f t="shared" si="126"/>
        <v>份</v>
      </c>
      <c r="Q145" s="329">
        <f>INDEX(注册申报明细!$D:$D,MATCH($J145,注册申报明细!$B:$B,0))</f>
        <v>0</v>
      </c>
      <c r="R145" s="328" t="str">
        <f>INDEX('Rate Card'!$D:$D,MATCH($S145,'Rate Card'!$F:$F,0))</f>
        <v>注册事务</v>
      </c>
      <c r="S145" s="328" t="s">
        <v>609</v>
      </c>
      <c r="T145" s="331">
        <f>INDEX('Rate Card'!$J:$J,MATCH($S145,'Rate Card'!$F:$F,0))</f>
        <v>990</v>
      </c>
      <c r="U145" s="331">
        <f t="shared" si="149"/>
        <v>2</v>
      </c>
      <c r="V145" s="327">
        <v>2</v>
      </c>
      <c r="W145" s="328"/>
      <c r="X145" s="332">
        <f t="shared" si="150"/>
        <v>2</v>
      </c>
      <c r="Y145" s="333">
        <f t="shared" si="151"/>
        <v>0</v>
      </c>
      <c r="Z145" s="328">
        <f t="shared" si="152"/>
        <v>0</v>
      </c>
      <c r="AA145" s="334">
        <f t="shared" si="153"/>
        <v>0</v>
      </c>
      <c r="AB145" s="334">
        <f>$Y145*(1-INDEX(项目参数!$D$5:$D$15,MATCH($R145,项目参数!$B$5:$B$15,0)))</f>
        <v>0</v>
      </c>
      <c r="AC145" s="334">
        <f>$AA145*INDEX(项目参数!$D$5:$D$15,MATCH($R145,项目参数!$B$5:$B$15,0))</f>
        <v>0</v>
      </c>
      <c r="AD145" s="334">
        <f t="shared" si="154"/>
        <v>0</v>
      </c>
      <c r="AE145" s="328"/>
      <c r="AF145" s="328"/>
      <c r="AG145" s="327"/>
      <c r="AH145" s="327"/>
      <c r="AI145" s="327"/>
      <c r="AJ145" s="327"/>
      <c r="AK145" s="327"/>
      <c r="AL145" s="327"/>
      <c r="AM145" s="327"/>
      <c r="AN145" s="328"/>
      <c r="AO145" s="327"/>
      <c r="AP145" s="327"/>
      <c r="AQ145" s="327"/>
      <c r="AR145" s="327"/>
      <c r="AS145" s="327"/>
      <c r="AT145" s="327"/>
      <c r="AU145" s="327"/>
      <c r="AV145" s="328">
        <f t="shared" si="155"/>
        <v>0</v>
      </c>
      <c r="AW145" s="328">
        <f t="shared" si="156"/>
        <v>0</v>
      </c>
      <c r="AX145" s="328">
        <f t="shared" si="157"/>
        <v>0</v>
      </c>
      <c r="AY145" s="328" t="b">
        <f t="shared" si="147"/>
        <v>0</v>
      </c>
    </row>
    <row r="146" ht="27" customHeight="1" spans="1:51">
      <c r="A146" s="326" t="str">
        <f>INDEX('Rate Card'!$A:$A,MATCH($S146,'Rate Card'!$F:$F,0))</f>
        <v>注册</v>
      </c>
      <c r="B146" s="327" t="str">
        <f>INDEX(二三级标准!$G:$G,MATCH($J146,二三级标准!B:B,0))</f>
        <v>份</v>
      </c>
      <c r="C146" s="327">
        <f>INDEX(注册申报明细!$E:$E,MATCH($J146,注册申报明细!$B:$B,0))</f>
        <v>0</v>
      </c>
      <c r="D146" s="327" t="str">
        <f t="shared" si="148"/>
        <v>A308RAM</v>
      </c>
      <c r="E146" s="328"/>
      <c r="F146" s="328" t="s">
        <v>684</v>
      </c>
      <c r="G146" s="326" t="str">
        <f>INDEX('Rate Card'!$B:$B,MATCH($S146,'Rate Card'!$F:$F,0))</f>
        <v>注册</v>
      </c>
      <c r="H146" s="328" t="s">
        <v>1983</v>
      </c>
      <c r="I146" s="328" t="str">
        <f>INDEX(二三级标准!$Q:$Q,MATCH($H146,二三级标准!$O:$O,0))</f>
        <v>NDA申报资料准备</v>
      </c>
      <c r="J146" s="328" t="s">
        <v>2005</v>
      </c>
      <c r="K146" s="328" t="str">
        <f>INDEX(二三级标准!$C:$C,MATCH(注册申报底表!J146,二三级标准!$B:$B,0))</f>
        <v>2.7 临床研究总结（注册部分）</v>
      </c>
      <c r="L146" s="328" t="s">
        <v>2143</v>
      </c>
      <c r="M146" s="328" t="str">
        <f>INDEX(二三级标准!$M:$M,MATCH(注册申报底表!$L146,二三级标准!$L:$L,0))</f>
        <v>2.7 临床研究总结（注册部分）撰写</v>
      </c>
      <c r="N146" s="338"/>
      <c r="O146" s="327">
        <f>IF($Q146=1,INDEX(注册申报明细!$E:$E,MATCH(注册申报底表!$J146,注册申报明细!$B:$B,0)),0)</f>
        <v>0</v>
      </c>
      <c r="P146" s="328" t="str">
        <f t="shared" si="126"/>
        <v>份</v>
      </c>
      <c r="Q146" s="329">
        <f>INDEX(注册申报明细!$D:$D,MATCH($J146,注册申报明细!$B:$B,0))</f>
        <v>0</v>
      </c>
      <c r="R146" s="328" t="str">
        <f>INDEX('Rate Card'!$D:$D,MATCH($S146,'Rate Card'!$F:$F,0))</f>
        <v>注册事务</v>
      </c>
      <c r="S146" s="328" t="s">
        <v>607</v>
      </c>
      <c r="T146" s="331">
        <f>INDEX('Rate Card'!$J:$J,MATCH($S146,'Rate Card'!$F:$F,0))</f>
        <v>650</v>
      </c>
      <c r="U146" s="331">
        <f t="shared" si="149"/>
        <v>2</v>
      </c>
      <c r="V146" s="327">
        <v>2</v>
      </c>
      <c r="W146" s="328"/>
      <c r="X146" s="332">
        <f t="shared" si="150"/>
        <v>2</v>
      </c>
      <c r="Y146" s="333">
        <f t="shared" si="151"/>
        <v>0</v>
      </c>
      <c r="Z146" s="328">
        <f t="shared" si="152"/>
        <v>0</v>
      </c>
      <c r="AA146" s="334">
        <f t="shared" si="153"/>
        <v>0</v>
      </c>
      <c r="AB146" s="334">
        <f>$Y146*(1-INDEX(项目参数!$D$5:$D$15,MATCH($R146,项目参数!$B$5:$B$15,0)))</f>
        <v>0</v>
      </c>
      <c r="AC146" s="334">
        <f>$AA146*INDEX(项目参数!$D$5:$D$15,MATCH($R146,项目参数!$B$5:$B$15,0))</f>
        <v>0</v>
      </c>
      <c r="AD146" s="334">
        <f t="shared" si="154"/>
        <v>0</v>
      </c>
      <c r="AE146" s="328"/>
      <c r="AF146" s="328"/>
      <c r="AG146" s="327"/>
      <c r="AH146" s="327"/>
      <c r="AI146" s="327"/>
      <c r="AJ146" s="327"/>
      <c r="AK146" s="327"/>
      <c r="AL146" s="327"/>
      <c r="AM146" s="327"/>
      <c r="AN146" s="328"/>
      <c r="AO146" s="327"/>
      <c r="AP146" s="327"/>
      <c r="AQ146" s="327"/>
      <c r="AR146" s="327"/>
      <c r="AS146" s="327"/>
      <c r="AT146" s="327"/>
      <c r="AU146" s="327"/>
      <c r="AV146" s="328">
        <f t="shared" si="155"/>
        <v>0</v>
      </c>
      <c r="AW146" s="328">
        <f t="shared" si="156"/>
        <v>0</v>
      </c>
      <c r="AX146" s="328">
        <f t="shared" si="157"/>
        <v>0</v>
      </c>
      <c r="AY146" s="328" t="b">
        <f t="shared" si="147"/>
        <v>1</v>
      </c>
    </row>
    <row r="147" ht="27" customHeight="1" spans="1:51">
      <c r="A147" s="326" t="str">
        <f>INDEX('Rate Card'!$A:$A,MATCH($S147,'Rate Card'!$F:$F,0))</f>
        <v>医学</v>
      </c>
      <c r="B147" s="327" t="str">
        <f>INDEX(二三级标准!$G:$G,MATCH($J147,二三级标准!B:B,0))</f>
        <v>份</v>
      </c>
      <c r="C147" s="327">
        <f>INDEX(注册申报明细!$E:$E,MATCH($J147,注册申报明细!$B:$B,0))</f>
        <v>0</v>
      </c>
      <c r="D147" s="327" t="str">
        <f t="shared" si="148"/>
        <v>A308MM</v>
      </c>
      <c r="E147" s="328"/>
      <c r="F147" s="328" t="s">
        <v>684</v>
      </c>
      <c r="G147" s="326" t="str">
        <f>INDEX('Rate Card'!$B:$B,MATCH($S147,'Rate Card'!$F:$F,0))</f>
        <v>医学</v>
      </c>
      <c r="H147" s="328" t="s">
        <v>1983</v>
      </c>
      <c r="I147" s="328" t="str">
        <f>INDEX(二三级标准!$Q:$Q,MATCH($H147,二三级标准!$O:$O,0))</f>
        <v>NDA申报资料准备</v>
      </c>
      <c r="J147" s="328" t="s">
        <v>2005</v>
      </c>
      <c r="K147" s="328" t="str">
        <f>INDEX(二三级标准!$C:$C,MATCH(注册申报底表!J147,二三级标准!$B:$B,0))</f>
        <v>2.7 临床研究总结（注册部分）</v>
      </c>
      <c r="L147" s="328" t="s">
        <v>2143</v>
      </c>
      <c r="M147" s="328" t="str">
        <f>INDEX(二三级标准!$M:$M,MATCH(注册申报底表!$L147,二三级标准!$L:$L,0))</f>
        <v>2.7 临床研究总结（注册部分）撰写</v>
      </c>
      <c r="N147" s="338"/>
      <c r="O147" s="327">
        <f>IF($Q147=1,INDEX(注册申报明细!$E:$E,MATCH(注册申报底表!$J147,注册申报明细!$B:$B,0)),0)</f>
        <v>0</v>
      </c>
      <c r="P147" s="328" t="str">
        <f t="shared" si="126"/>
        <v>份</v>
      </c>
      <c r="Q147" s="329">
        <v>0</v>
      </c>
      <c r="R147" s="328" t="s">
        <v>578</v>
      </c>
      <c r="S147" s="328" t="s">
        <v>615</v>
      </c>
      <c r="T147" s="331">
        <f>INDEX('Rate Card'!$J:$J,MATCH($S147,'Rate Card'!$F:$F,0))</f>
        <v>650</v>
      </c>
      <c r="U147" s="331">
        <f t="shared" si="149"/>
        <v>100</v>
      </c>
      <c r="V147" s="327">
        <v>100</v>
      </c>
      <c r="W147" s="328"/>
      <c r="X147" s="332">
        <f t="shared" si="150"/>
        <v>100</v>
      </c>
      <c r="Y147" s="333">
        <f t="shared" si="151"/>
        <v>0</v>
      </c>
      <c r="Z147" s="328">
        <f t="shared" si="152"/>
        <v>0</v>
      </c>
      <c r="AA147" s="334">
        <f t="shared" si="153"/>
        <v>0</v>
      </c>
      <c r="AB147" s="334">
        <f>$Y147*(1-INDEX(项目参数!$D$5:$D$15,MATCH($R147,项目参数!$B$5:$B$15,0)))</f>
        <v>0</v>
      </c>
      <c r="AC147" s="334">
        <f>$AA147*INDEX(项目参数!$D$5:$D$15,MATCH($R147,项目参数!$B$5:$B$15,0))</f>
        <v>0</v>
      </c>
      <c r="AD147" s="334">
        <f t="shared" si="154"/>
        <v>0</v>
      </c>
      <c r="AE147" s="328"/>
      <c r="AF147" s="328"/>
      <c r="AG147" s="327"/>
      <c r="AH147" s="327"/>
      <c r="AI147" s="327"/>
      <c r="AJ147" s="327"/>
      <c r="AK147" s="327"/>
      <c r="AL147" s="327"/>
      <c r="AM147" s="327"/>
      <c r="AN147" s="328"/>
      <c r="AO147" s="327"/>
      <c r="AP147" s="327"/>
      <c r="AQ147" s="327"/>
      <c r="AR147" s="327"/>
      <c r="AS147" s="327"/>
      <c r="AT147" s="327"/>
      <c r="AU147" s="327"/>
      <c r="AV147" s="328">
        <f t="shared" si="155"/>
        <v>0</v>
      </c>
      <c r="AW147" s="328">
        <f t="shared" si="156"/>
        <v>0</v>
      </c>
      <c r="AX147" s="328">
        <f t="shared" si="157"/>
        <v>0</v>
      </c>
      <c r="AY147" s="328" t="b">
        <f t="shared" si="147"/>
        <v>1</v>
      </c>
    </row>
    <row r="148" ht="27" customHeight="1" spans="1:51">
      <c r="A148" s="326" t="str">
        <f>INDEX('Rate Card'!$A:$A,MATCH($S148,'Rate Card'!$F:$F,0))</f>
        <v>医学</v>
      </c>
      <c r="B148" s="327" t="str">
        <f>INDEX(二三级标准!$G:$G,MATCH($J148,二三级标准!B:B,0))</f>
        <v>份</v>
      </c>
      <c r="C148" s="327">
        <f>INDEX(注册申报明细!$E:$E,MATCH($J148,注册申报明细!$B:$B,0))</f>
        <v>0</v>
      </c>
      <c r="D148" s="327" t="str">
        <f t="shared" si="148"/>
        <v>A308MD</v>
      </c>
      <c r="E148" s="328"/>
      <c r="F148" s="328" t="s">
        <v>684</v>
      </c>
      <c r="G148" s="326" t="str">
        <f>INDEX('Rate Card'!$B:$B,MATCH($S148,'Rate Card'!$F:$F,0))</f>
        <v>医学</v>
      </c>
      <c r="H148" s="328" t="s">
        <v>1983</v>
      </c>
      <c r="I148" s="328" t="str">
        <f>INDEX(二三级标准!$Q:$Q,MATCH($H148,二三级标准!$O:$O,0))</f>
        <v>NDA申报资料准备</v>
      </c>
      <c r="J148" s="328" t="s">
        <v>2005</v>
      </c>
      <c r="K148" s="328" t="str">
        <f>INDEX(二三级标准!$C:$C,MATCH(注册申报底表!J148,二三级标准!$B:$B,0))</f>
        <v>2.7 临床研究总结（注册部分）</v>
      </c>
      <c r="L148" s="328" t="s">
        <v>2143</v>
      </c>
      <c r="M148" s="328" t="str">
        <f>INDEX(二三级标准!$M:$M,MATCH(注册申报底表!$L148,二三级标准!$L:$L,0))</f>
        <v>2.7 临床研究总结（注册部分）撰写</v>
      </c>
      <c r="N148" s="338"/>
      <c r="O148" s="327">
        <f>IF($Q148=1,INDEX(注册申报明细!$E:$E,MATCH(注册申报底表!$J148,注册申报明细!$B:$B,0)),0)</f>
        <v>0</v>
      </c>
      <c r="P148" s="328" t="str">
        <f t="shared" si="126"/>
        <v>份</v>
      </c>
      <c r="Q148" s="329">
        <v>0</v>
      </c>
      <c r="R148" s="328" t="s">
        <v>578</v>
      </c>
      <c r="S148" s="328" t="s">
        <v>613</v>
      </c>
      <c r="T148" s="331">
        <f>INDEX('Rate Card'!$J:$J,MATCH($S148,'Rate Card'!$F:$F,0))</f>
        <v>990</v>
      </c>
      <c r="U148" s="331">
        <f t="shared" si="149"/>
        <v>60</v>
      </c>
      <c r="V148" s="327">
        <v>60</v>
      </c>
      <c r="W148" s="328"/>
      <c r="X148" s="332">
        <f t="shared" si="150"/>
        <v>60</v>
      </c>
      <c r="Y148" s="333">
        <f t="shared" si="151"/>
        <v>0</v>
      </c>
      <c r="Z148" s="328">
        <f t="shared" si="152"/>
        <v>0</v>
      </c>
      <c r="AA148" s="334">
        <f t="shared" si="153"/>
        <v>0</v>
      </c>
      <c r="AB148" s="334">
        <f>$Y148*(1-INDEX(项目参数!$D$5:$D$15,MATCH($R148,项目参数!$B$5:$B$15,0)))</f>
        <v>0</v>
      </c>
      <c r="AC148" s="334">
        <f>$AA148*INDEX(项目参数!$D$5:$D$15,MATCH($R148,项目参数!$B$5:$B$15,0))</f>
        <v>0</v>
      </c>
      <c r="AD148" s="334">
        <f t="shared" si="154"/>
        <v>0</v>
      </c>
      <c r="AE148" s="328"/>
      <c r="AF148" s="328"/>
      <c r="AG148" s="327"/>
      <c r="AH148" s="327"/>
      <c r="AI148" s="327"/>
      <c r="AJ148" s="327"/>
      <c r="AK148" s="327"/>
      <c r="AL148" s="327"/>
      <c r="AM148" s="327"/>
      <c r="AN148" s="328"/>
      <c r="AO148" s="327"/>
      <c r="AP148" s="327"/>
      <c r="AQ148" s="327"/>
      <c r="AR148" s="327"/>
      <c r="AS148" s="327"/>
      <c r="AT148" s="327"/>
      <c r="AU148" s="327"/>
      <c r="AV148" s="328">
        <f t="shared" si="155"/>
        <v>0</v>
      </c>
      <c r="AW148" s="328">
        <f t="shared" si="156"/>
        <v>0</v>
      </c>
      <c r="AX148" s="328">
        <f t="shared" si="157"/>
        <v>0</v>
      </c>
      <c r="AY148" s="328" t="b">
        <f t="shared" si="147"/>
        <v>1</v>
      </c>
    </row>
    <row r="149" ht="37" customHeight="1" spans="1:51">
      <c r="A149" s="326" t="str">
        <f>INDEX('Rate Card'!$A:$A,MATCH($S149,'Rate Card'!$F:$F,0))</f>
        <v>数统</v>
      </c>
      <c r="B149" s="327" t="str">
        <f>INDEX(二三级标准!$G:$G,MATCH($J149,二三级标准!B:B,0))</f>
        <v>份</v>
      </c>
      <c r="C149" s="327">
        <f>INDEX(注册申报明细!$E:$E,MATCH($J149,注册申报明细!$B:$B,0))</f>
        <v>0</v>
      </c>
      <c r="D149" s="327" t="str">
        <f t="shared" si="148"/>
        <v>A308STM</v>
      </c>
      <c r="E149" s="328"/>
      <c r="F149" s="328" t="s">
        <v>684</v>
      </c>
      <c r="G149" s="326" t="str">
        <f>INDEX('Rate Card'!$B:$B,MATCH($S149,'Rate Card'!$F:$F,0))</f>
        <v>生物统计及分析</v>
      </c>
      <c r="H149" s="328" t="s">
        <v>1983</v>
      </c>
      <c r="I149" s="328" t="str">
        <f>INDEX(二三级标准!$Q:$Q,MATCH($H149,二三级标准!$O:$O,0))</f>
        <v>NDA申报资料准备</v>
      </c>
      <c r="J149" s="328" t="s">
        <v>2005</v>
      </c>
      <c r="K149" s="328" t="str">
        <f>INDEX(二三级标准!$C:$C,MATCH(注册申报底表!J149,二三级标准!$B:$B,0))</f>
        <v>2.7 临床研究总结（注册部分）</v>
      </c>
      <c r="L149" s="328" t="s">
        <v>2143</v>
      </c>
      <c r="M149" s="328" t="str">
        <f>INDEX(二三级标准!$M:$M,MATCH(注册申报底表!$L149,二三级标准!$L:$L,0))</f>
        <v>2.7 临床研究总结（注册部分）撰写</v>
      </c>
      <c r="N149" s="339" t="s">
        <v>2144</v>
      </c>
      <c r="O149" s="327">
        <f>IF($Q149=1,INDEX(注册申报明细!$E:$E,MATCH(注册申报底表!$J149,注册申报明细!$B:$B,0)),0)</f>
        <v>0</v>
      </c>
      <c r="P149" s="328" t="str">
        <f t="shared" si="126"/>
        <v>份</v>
      </c>
      <c r="Q149" s="329">
        <v>0</v>
      </c>
      <c r="R149" s="328" t="str">
        <f>INDEX('Rate Card'!$D:$D,MATCH($S149,'Rate Card'!$F:$F,0))</f>
        <v>生物统计</v>
      </c>
      <c r="S149" s="328" t="s">
        <v>642</v>
      </c>
      <c r="T149" s="331">
        <f>INDEX('Rate Card'!$J:$J,MATCH($S149,'Rate Card'!$F:$F,0))</f>
        <v>700</v>
      </c>
      <c r="U149" s="331">
        <f t="shared" si="149"/>
        <v>48</v>
      </c>
      <c r="V149" s="327">
        <v>48</v>
      </c>
      <c r="W149" s="328"/>
      <c r="X149" s="332">
        <f t="shared" si="150"/>
        <v>48</v>
      </c>
      <c r="Y149" s="333">
        <f t="shared" si="151"/>
        <v>0</v>
      </c>
      <c r="Z149" s="328">
        <f t="shared" si="152"/>
        <v>0</v>
      </c>
      <c r="AA149" s="334">
        <f t="shared" si="153"/>
        <v>0</v>
      </c>
      <c r="AB149" s="334">
        <f>$Y149*(1-INDEX(项目参数!$D$5:$D$15,MATCH($R149,项目参数!$B$5:$B$15,0)))</f>
        <v>0</v>
      </c>
      <c r="AC149" s="334">
        <f>$AA149*INDEX(项目参数!$D$5:$D$15,MATCH($R149,项目参数!$B$5:$B$15,0))</f>
        <v>0</v>
      </c>
      <c r="AD149" s="334">
        <f t="shared" si="154"/>
        <v>0</v>
      </c>
      <c r="AE149" s="328"/>
      <c r="AF149" s="328"/>
      <c r="AG149" s="327"/>
      <c r="AH149" s="327"/>
      <c r="AI149" s="327"/>
      <c r="AJ149" s="327"/>
      <c r="AK149" s="327"/>
      <c r="AL149" s="327"/>
      <c r="AM149" s="327"/>
      <c r="AN149" s="328"/>
      <c r="AO149" s="327"/>
      <c r="AP149" s="327"/>
      <c r="AQ149" s="327"/>
      <c r="AR149" s="327"/>
      <c r="AS149" s="327"/>
      <c r="AT149" s="327"/>
      <c r="AU149" s="327"/>
      <c r="AV149" s="328">
        <f t="shared" si="155"/>
        <v>0</v>
      </c>
      <c r="AW149" s="328">
        <f t="shared" si="156"/>
        <v>0</v>
      </c>
      <c r="AX149" s="328">
        <f t="shared" si="157"/>
        <v>0</v>
      </c>
      <c r="AY149" s="328" t="b">
        <f t="shared" si="147"/>
        <v>1</v>
      </c>
    </row>
    <row r="150" ht="33" customHeight="1" spans="1:51">
      <c r="A150" s="326" t="str">
        <f>INDEX('Rate Card'!$A:$A,MATCH($S150,'Rate Card'!$F:$F,0))</f>
        <v>注册</v>
      </c>
      <c r="B150" s="327" t="str">
        <f>INDEX(二三级标准!$G:$G,MATCH($J150,二三级标准!B:B,0))</f>
        <v>份</v>
      </c>
      <c r="C150" s="327">
        <f>INDEX(注册申报明细!$E:$E,MATCH($J150,注册申报明细!$B:$B,0))</f>
        <v>0</v>
      </c>
      <c r="D150" s="327" t="str">
        <f t="shared" si="148"/>
        <v>A308RAD</v>
      </c>
      <c r="E150" s="328"/>
      <c r="F150" s="328" t="s">
        <v>684</v>
      </c>
      <c r="G150" s="326" t="str">
        <f>INDEX('Rate Card'!$B:$B,MATCH($S150,'Rate Card'!$F:$F,0))</f>
        <v>注册</v>
      </c>
      <c r="H150" s="328" t="s">
        <v>1983</v>
      </c>
      <c r="I150" s="328" t="str">
        <f>INDEX(二三级标准!$Q:$Q,MATCH($H150,二三级标准!$O:$O,0))</f>
        <v>NDA申报资料准备</v>
      </c>
      <c r="J150" s="328" t="s">
        <v>2005</v>
      </c>
      <c r="K150" s="328" t="str">
        <f>INDEX(二三级标准!$C:$C,MATCH(注册申报底表!J150,二三级标准!$B:$B,0))</f>
        <v>2.7 临床研究总结（注册部分）</v>
      </c>
      <c r="L150" s="328" t="s">
        <v>2145</v>
      </c>
      <c r="M150" s="328" t="str">
        <f>INDEX(二三级标准!$M:$M,MATCH(注册申报底表!$L150,二三级标准!$L:$L,0))</f>
        <v>2.7 临床研究总结（注册部分）审核</v>
      </c>
      <c r="N150" s="338"/>
      <c r="O150" s="327">
        <f>IF($Q150=1,INDEX(注册申报明细!$E:$E,MATCH(注册申报底表!$J150,注册申报明细!$B:$B,0)),0)</f>
        <v>0</v>
      </c>
      <c r="P150" s="328" t="str">
        <f t="shared" ref="P150:P171" si="158">B150</f>
        <v>份</v>
      </c>
      <c r="Q150" s="329">
        <f>INDEX(注册申报明细!$D:$D,MATCH($J150,注册申报明细!$B:$B,0))</f>
        <v>0</v>
      </c>
      <c r="R150" s="328" t="str">
        <f>INDEX('Rate Card'!$D:$D,MATCH($S150,'Rate Card'!$F:$F,0))</f>
        <v>注册事务</v>
      </c>
      <c r="S150" s="328" t="s">
        <v>609</v>
      </c>
      <c r="T150" s="331">
        <f>INDEX('Rate Card'!$J:$J,MATCH($S150,'Rate Card'!$F:$F,0))</f>
        <v>990</v>
      </c>
      <c r="U150" s="331">
        <f t="shared" si="149"/>
        <v>0.5</v>
      </c>
      <c r="V150" s="327">
        <v>0.5</v>
      </c>
      <c r="W150" s="328"/>
      <c r="X150" s="332">
        <f t="shared" si="150"/>
        <v>0.5</v>
      </c>
      <c r="Y150" s="333">
        <f t="shared" si="151"/>
        <v>0</v>
      </c>
      <c r="Z150" s="328">
        <f t="shared" si="152"/>
        <v>0</v>
      </c>
      <c r="AA150" s="334">
        <f t="shared" si="153"/>
        <v>0</v>
      </c>
      <c r="AB150" s="334">
        <f>$Y150*(1-INDEX(项目参数!$D$5:$D$15,MATCH($R150,项目参数!$B$5:$B$15,0)))</f>
        <v>0</v>
      </c>
      <c r="AC150" s="334">
        <f>$AA150*INDEX(项目参数!$D$5:$D$15,MATCH($R150,项目参数!$B$5:$B$15,0))</f>
        <v>0</v>
      </c>
      <c r="AD150" s="334">
        <f t="shared" si="154"/>
        <v>0</v>
      </c>
      <c r="AE150" s="328"/>
      <c r="AF150" s="328"/>
      <c r="AG150" s="327"/>
      <c r="AH150" s="327"/>
      <c r="AI150" s="327"/>
      <c r="AJ150" s="327"/>
      <c r="AK150" s="327"/>
      <c r="AL150" s="327"/>
      <c r="AM150" s="327"/>
      <c r="AN150" s="328"/>
      <c r="AO150" s="327"/>
      <c r="AP150" s="327"/>
      <c r="AQ150" s="327"/>
      <c r="AR150" s="327"/>
      <c r="AS150" s="327"/>
      <c r="AT150" s="327"/>
      <c r="AU150" s="327"/>
      <c r="AV150" s="328">
        <f t="shared" si="155"/>
        <v>0</v>
      </c>
      <c r="AW150" s="328">
        <f t="shared" si="156"/>
        <v>0</v>
      </c>
      <c r="AX150" s="328">
        <f t="shared" si="157"/>
        <v>0</v>
      </c>
      <c r="AY150" s="328" t="b">
        <f t="shared" si="147"/>
        <v>1</v>
      </c>
    </row>
    <row r="151" ht="27" customHeight="1" spans="1:51">
      <c r="A151" s="326" t="str">
        <f>INDEX('Rate Card'!$A:$A,MATCH($S151,'Rate Card'!$F:$F,0))</f>
        <v>注册</v>
      </c>
      <c r="B151" s="327" t="str">
        <f>INDEX(二三级标准!$G:$G,MATCH($J151,二三级标准!B:B,0))</f>
        <v>份</v>
      </c>
      <c r="C151" s="327">
        <f>INDEX(注册申报明细!$E:$E,MATCH($J151,注册申报明细!$B:$B,0))</f>
        <v>0</v>
      </c>
      <c r="D151" s="327" t="str">
        <f t="shared" si="148"/>
        <v>A309RAM</v>
      </c>
      <c r="E151" s="328"/>
      <c r="F151" s="328" t="s">
        <v>684</v>
      </c>
      <c r="G151" s="326" t="str">
        <f>INDEX('Rate Card'!$B:$B,MATCH($S151,'Rate Card'!$F:$F,0))</f>
        <v>注册</v>
      </c>
      <c r="H151" s="328" t="s">
        <v>1983</v>
      </c>
      <c r="I151" s="328" t="str">
        <f>INDEX(二三级标准!$Q:$Q,MATCH($H151,二三级标准!$O:$O,0))</f>
        <v>NDA申报资料准备</v>
      </c>
      <c r="J151" s="328" t="s">
        <v>2007</v>
      </c>
      <c r="K151" s="328" t="str">
        <f>INDEX(二三级标准!$C:$C,MATCH(注册申报底表!J151,二三级标准!$B:$B,0))</f>
        <v>3.1 模块3目录</v>
      </c>
      <c r="L151" s="328" t="s">
        <v>2146</v>
      </c>
      <c r="M151" s="328" t="str">
        <f>INDEX(二三级标准!$M:$M,MATCH(注册申报底表!$L151,二三级标准!$L:$L,0))</f>
        <v>3.1 模块3目录撰写</v>
      </c>
      <c r="N151" s="328"/>
      <c r="O151" s="327">
        <f>IF($Q151=1,INDEX(注册申报明细!$E:$E,MATCH(注册申报底表!$J151,注册申报明细!$B:$B,0)),0)</f>
        <v>0</v>
      </c>
      <c r="P151" s="328" t="str">
        <f t="shared" si="158"/>
        <v>份</v>
      </c>
      <c r="Q151" s="329">
        <f>INDEX(注册申报明细!$D:$D,MATCH($J151,注册申报明细!$B:$B,0))</f>
        <v>0</v>
      </c>
      <c r="R151" s="328" t="str">
        <f>INDEX('Rate Card'!$D:$D,MATCH($S151,'Rate Card'!$F:$F,0))</f>
        <v>注册事务</v>
      </c>
      <c r="S151" s="328" t="s">
        <v>607</v>
      </c>
      <c r="T151" s="331">
        <f>INDEX('Rate Card'!$J:$J,MATCH($S151,'Rate Card'!$F:$F,0))</f>
        <v>650</v>
      </c>
      <c r="U151" s="331">
        <f t="shared" si="149"/>
        <v>0.5</v>
      </c>
      <c r="V151" s="327">
        <v>0.5</v>
      </c>
      <c r="W151" s="328"/>
      <c r="X151" s="332">
        <f t="shared" si="150"/>
        <v>0.5</v>
      </c>
      <c r="Y151" s="333">
        <f t="shared" si="151"/>
        <v>0</v>
      </c>
      <c r="Z151" s="328">
        <f t="shared" si="152"/>
        <v>0</v>
      </c>
      <c r="AA151" s="334">
        <f t="shared" si="153"/>
        <v>0</v>
      </c>
      <c r="AB151" s="334">
        <f>$Y151*(1-INDEX(项目参数!$D$5:$D$15,MATCH($R151,项目参数!$B$5:$B$15,0)))</f>
        <v>0</v>
      </c>
      <c r="AC151" s="334">
        <f>$AA151*INDEX(项目参数!$D$5:$D$15,MATCH($R151,项目参数!$B$5:$B$15,0))</f>
        <v>0</v>
      </c>
      <c r="AD151" s="334">
        <f t="shared" si="154"/>
        <v>0</v>
      </c>
      <c r="AE151" s="328"/>
      <c r="AF151" s="328"/>
      <c r="AG151" s="327"/>
      <c r="AH151" s="327"/>
      <c r="AI151" s="327"/>
      <c r="AJ151" s="327"/>
      <c r="AK151" s="327"/>
      <c r="AL151" s="327"/>
      <c r="AM151" s="327"/>
      <c r="AN151" s="328"/>
      <c r="AO151" s="327"/>
      <c r="AP151" s="327"/>
      <c r="AQ151" s="327"/>
      <c r="AR151" s="327"/>
      <c r="AS151" s="327"/>
      <c r="AT151" s="327"/>
      <c r="AU151" s="327"/>
      <c r="AV151" s="328">
        <f t="shared" si="155"/>
        <v>0</v>
      </c>
      <c r="AW151" s="328">
        <f t="shared" si="156"/>
        <v>0</v>
      </c>
      <c r="AX151" s="328">
        <f t="shared" si="157"/>
        <v>0</v>
      </c>
      <c r="AY151" s="328" t="b">
        <f t="shared" si="147"/>
        <v>0</v>
      </c>
    </row>
    <row r="152" ht="27" customHeight="1" spans="1:51">
      <c r="A152" s="326" t="str">
        <f>INDEX('Rate Card'!$A:$A,MATCH($S152,'Rate Card'!$F:$F,0))</f>
        <v>注册</v>
      </c>
      <c r="B152" s="327" t="str">
        <f>INDEX(二三级标准!$G:$G,MATCH($J152,二三级标准!B:B,0))</f>
        <v>份</v>
      </c>
      <c r="C152" s="327">
        <f>INDEX(注册申报明细!$E:$E,MATCH($J152,注册申报明细!$B:$B,0))</f>
        <v>0</v>
      </c>
      <c r="D152" s="327" t="str">
        <f t="shared" si="148"/>
        <v>A309RAD</v>
      </c>
      <c r="E152" s="328"/>
      <c r="F152" s="328" t="s">
        <v>684</v>
      </c>
      <c r="G152" s="326" t="str">
        <f>INDEX('Rate Card'!$B:$B,MATCH($S152,'Rate Card'!$F:$F,0))</f>
        <v>注册</v>
      </c>
      <c r="H152" s="328" t="s">
        <v>1983</v>
      </c>
      <c r="I152" s="328" t="str">
        <f>INDEX(二三级标准!$Q:$Q,MATCH($H152,二三级标准!$O:$O,0))</f>
        <v>NDA申报资料准备</v>
      </c>
      <c r="J152" s="328" t="s">
        <v>2007</v>
      </c>
      <c r="K152" s="328" t="str">
        <f>INDEX(二三级标准!$C:$C,MATCH(注册申报底表!J152,二三级标准!$B:$B,0))</f>
        <v>3.1 模块3目录</v>
      </c>
      <c r="L152" s="328" t="s">
        <v>2147</v>
      </c>
      <c r="M152" s="328" t="str">
        <f>INDEX(二三级标准!$M:$M,MATCH(注册申报底表!$L152,二三级标准!$L:$L,0))</f>
        <v>3.1 模块3目录审核</v>
      </c>
      <c r="N152" s="328"/>
      <c r="O152" s="327">
        <f>IF($Q152=1,INDEX(注册申报明细!$E:$E,MATCH(注册申报底表!$J152,注册申报明细!$B:$B,0)),0)</f>
        <v>0</v>
      </c>
      <c r="P152" s="328" t="str">
        <f t="shared" si="158"/>
        <v>份</v>
      </c>
      <c r="Q152" s="329">
        <f>INDEX(注册申报明细!$D:$D,MATCH($J152,注册申报明细!$B:$B,0))</f>
        <v>0</v>
      </c>
      <c r="R152" s="328" t="str">
        <f>INDEX('Rate Card'!$D:$D,MATCH($S152,'Rate Card'!$F:$F,0))</f>
        <v>注册事务</v>
      </c>
      <c r="S152" s="328" t="s">
        <v>609</v>
      </c>
      <c r="T152" s="331">
        <f>INDEX('Rate Card'!$J:$J,MATCH($S152,'Rate Card'!$F:$F,0))</f>
        <v>990</v>
      </c>
      <c r="U152" s="331">
        <f t="shared" si="149"/>
        <v>0.1</v>
      </c>
      <c r="V152" s="327">
        <v>0.1</v>
      </c>
      <c r="W152" s="328"/>
      <c r="X152" s="332">
        <f t="shared" si="150"/>
        <v>0.1</v>
      </c>
      <c r="Y152" s="333">
        <f t="shared" si="151"/>
        <v>0</v>
      </c>
      <c r="Z152" s="328">
        <f t="shared" si="152"/>
        <v>0</v>
      </c>
      <c r="AA152" s="334">
        <f t="shared" si="153"/>
        <v>0</v>
      </c>
      <c r="AB152" s="334">
        <f>$Y152*(1-INDEX(项目参数!$D$5:$D$15,MATCH($R152,项目参数!$B$5:$B$15,0)))</f>
        <v>0</v>
      </c>
      <c r="AC152" s="334">
        <f>$AA152*INDEX(项目参数!$D$5:$D$15,MATCH($R152,项目参数!$B$5:$B$15,0))</f>
        <v>0</v>
      </c>
      <c r="AD152" s="334">
        <f t="shared" si="154"/>
        <v>0</v>
      </c>
      <c r="AE152" s="328"/>
      <c r="AF152" s="328"/>
      <c r="AG152" s="327"/>
      <c r="AH152" s="327"/>
      <c r="AI152" s="327"/>
      <c r="AJ152" s="327"/>
      <c r="AK152" s="327"/>
      <c r="AL152" s="327"/>
      <c r="AM152" s="327"/>
      <c r="AN152" s="328"/>
      <c r="AO152" s="327"/>
      <c r="AP152" s="327"/>
      <c r="AQ152" s="327"/>
      <c r="AR152" s="327"/>
      <c r="AS152" s="327"/>
      <c r="AT152" s="327"/>
      <c r="AU152" s="327"/>
      <c r="AV152" s="328">
        <f t="shared" si="155"/>
        <v>0</v>
      </c>
      <c r="AW152" s="328">
        <f t="shared" si="156"/>
        <v>0</v>
      </c>
      <c r="AX152" s="328">
        <f t="shared" si="157"/>
        <v>0</v>
      </c>
      <c r="AY152" s="328" t="b">
        <f t="shared" si="147"/>
        <v>0</v>
      </c>
    </row>
    <row r="153" ht="27" customHeight="1" spans="1:51">
      <c r="A153" s="326" t="str">
        <f>INDEX('Rate Card'!$A:$A,MATCH($S153,'Rate Card'!$F:$F,0))</f>
        <v>注册</v>
      </c>
      <c r="B153" s="327" t="str">
        <f>INDEX(二三级标准!$G:$G,MATCH($J153,二三级标准!B:B,0))</f>
        <v>份</v>
      </c>
      <c r="C153" s="327">
        <f>INDEX(注册申报明细!$E:$E,MATCH($J153,注册申报明细!$B:$B,0))</f>
        <v>0</v>
      </c>
      <c r="D153" s="327" t="str">
        <f t="shared" si="148"/>
        <v>A310RAM</v>
      </c>
      <c r="E153" s="328"/>
      <c r="F153" s="328" t="s">
        <v>684</v>
      </c>
      <c r="G153" s="326" t="str">
        <f>INDEX('Rate Card'!$B:$B,MATCH($S153,'Rate Card'!$F:$F,0))</f>
        <v>注册</v>
      </c>
      <c r="H153" s="328" t="s">
        <v>1983</v>
      </c>
      <c r="I153" s="328" t="str">
        <f>INDEX(二三级标准!$Q:$Q,MATCH($H153,二三级标准!$O:$O,0))</f>
        <v>NDA申报资料准备</v>
      </c>
      <c r="J153" s="328" t="s">
        <v>2008</v>
      </c>
      <c r="K153" s="328" t="str">
        <f>INDEX(二三级标准!$C:$C,MATCH(注册申报底表!J153,二三级标准!$B:$B,0))</f>
        <v>3.2 主体文件（制剂部分）</v>
      </c>
      <c r="L153" s="328" t="s">
        <v>2148</v>
      </c>
      <c r="M153" s="328" t="str">
        <f>INDEX(二三级标准!$M:$M,MATCH(注册申报底表!$L153,二三级标准!$L:$L,0))</f>
        <v>3.2 主体文件（制剂部分）撰写</v>
      </c>
      <c r="N153" s="328"/>
      <c r="O153" s="327">
        <f>IF($Q153=1,INDEX(注册申报明细!$E:$E,MATCH(注册申报底表!$J153,注册申报明细!$B:$B,0)),0)</f>
        <v>0</v>
      </c>
      <c r="P153" s="328" t="str">
        <f t="shared" si="158"/>
        <v>份</v>
      </c>
      <c r="Q153" s="329">
        <f>INDEX(注册申报明细!$D:$D,MATCH($J153,注册申报明细!$B:$B,0))</f>
        <v>0</v>
      </c>
      <c r="R153" s="328" t="str">
        <f>INDEX('Rate Card'!$D:$D,MATCH($S153,'Rate Card'!$F:$F,0))</f>
        <v>注册事务</v>
      </c>
      <c r="S153" s="328" t="s">
        <v>607</v>
      </c>
      <c r="T153" s="331">
        <f>INDEX('Rate Card'!$J:$J,MATCH($S153,'Rate Card'!$F:$F,0))</f>
        <v>650</v>
      </c>
      <c r="U153" s="331">
        <f t="shared" si="149"/>
        <v>96</v>
      </c>
      <c r="V153" s="327">
        <v>96</v>
      </c>
      <c r="W153" s="328"/>
      <c r="X153" s="332">
        <f t="shared" si="150"/>
        <v>96</v>
      </c>
      <c r="Y153" s="333">
        <f t="shared" si="151"/>
        <v>0</v>
      </c>
      <c r="Z153" s="328">
        <f t="shared" si="152"/>
        <v>0</v>
      </c>
      <c r="AA153" s="334">
        <f t="shared" si="153"/>
        <v>0</v>
      </c>
      <c r="AB153" s="334">
        <f>$Y153*(1-INDEX(项目参数!$D$5:$D$15,MATCH($R153,项目参数!$B$5:$B$15,0)))</f>
        <v>0</v>
      </c>
      <c r="AC153" s="334">
        <f>$AA153*INDEX(项目参数!$D$5:$D$15,MATCH($R153,项目参数!$B$5:$B$15,0))</f>
        <v>0</v>
      </c>
      <c r="AD153" s="334">
        <f t="shared" si="154"/>
        <v>0</v>
      </c>
      <c r="AE153" s="328"/>
      <c r="AF153" s="328"/>
      <c r="AG153" s="327"/>
      <c r="AH153" s="327"/>
      <c r="AI153" s="327"/>
      <c r="AJ153" s="327"/>
      <c r="AK153" s="327"/>
      <c r="AL153" s="327"/>
      <c r="AM153" s="327"/>
      <c r="AN153" s="328"/>
      <c r="AO153" s="327"/>
      <c r="AP153" s="327"/>
      <c r="AQ153" s="327"/>
      <c r="AR153" s="327"/>
      <c r="AS153" s="327"/>
      <c r="AT153" s="327"/>
      <c r="AU153" s="327"/>
      <c r="AV153" s="328">
        <f t="shared" si="155"/>
        <v>0</v>
      </c>
      <c r="AW153" s="328">
        <f t="shared" si="156"/>
        <v>0</v>
      </c>
      <c r="AX153" s="328">
        <f t="shared" si="157"/>
        <v>0</v>
      </c>
      <c r="AY153" s="328" t="b">
        <f t="shared" si="147"/>
        <v>1</v>
      </c>
    </row>
    <row r="154" ht="27" customHeight="1" spans="1:51">
      <c r="A154" s="326" t="str">
        <f>INDEX('Rate Card'!$A:$A,MATCH($S154,'Rate Card'!$F:$F,0))</f>
        <v>注册</v>
      </c>
      <c r="B154" s="327" t="str">
        <f>INDEX(二三级标准!$G:$G,MATCH($J154,二三级标准!B:B,0))</f>
        <v>份</v>
      </c>
      <c r="C154" s="327">
        <f>INDEX(注册申报明细!$E:$E,MATCH($J154,注册申报明细!$B:$B,0))</f>
        <v>0</v>
      </c>
      <c r="D154" s="327" t="str">
        <f t="shared" si="148"/>
        <v>A310RAD</v>
      </c>
      <c r="E154" s="328"/>
      <c r="F154" s="328" t="s">
        <v>684</v>
      </c>
      <c r="G154" s="326" t="str">
        <f>INDEX('Rate Card'!$B:$B,MATCH($S154,'Rate Card'!$F:$F,0))</f>
        <v>注册</v>
      </c>
      <c r="H154" s="328" t="s">
        <v>1983</v>
      </c>
      <c r="I154" s="328" t="str">
        <f>INDEX(二三级标准!$Q:$Q,MATCH($H154,二三级标准!$O:$O,0))</f>
        <v>NDA申报资料准备</v>
      </c>
      <c r="J154" s="328" t="s">
        <v>2008</v>
      </c>
      <c r="K154" s="328" t="str">
        <f>INDEX(二三级标准!$C:$C,MATCH(注册申报底表!J154,二三级标准!$B:$B,0))</f>
        <v>3.2 主体文件（制剂部分）</v>
      </c>
      <c r="L154" s="328" t="s">
        <v>2149</v>
      </c>
      <c r="M154" s="328" t="str">
        <f>INDEX(二三级标准!$M:$M,MATCH(注册申报底表!$L154,二三级标准!$L:$L,0))</f>
        <v>3.2 主体文件（制剂部分）审核</v>
      </c>
      <c r="N154" s="328"/>
      <c r="O154" s="327">
        <f>IF($Q154=1,INDEX(注册申报明细!$E:$E,MATCH(注册申报底表!$J154,注册申报明细!$B:$B,0)),0)</f>
        <v>0</v>
      </c>
      <c r="P154" s="328" t="str">
        <f t="shared" si="158"/>
        <v>份</v>
      </c>
      <c r="Q154" s="329">
        <f>INDEX(注册申报明细!$D:$D,MATCH($J154,注册申报明细!$B:$B,0))</f>
        <v>0</v>
      </c>
      <c r="R154" s="328" t="str">
        <f>INDEX('Rate Card'!$D:$D,MATCH($S154,'Rate Card'!$F:$F,0))</f>
        <v>注册事务</v>
      </c>
      <c r="S154" s="328" t="s">
        <v>609</v>
      </c>
      <c r="T154" s="331">
        <f>INDEX('Rate Card'!$J:$J,MATCH($S154,'Rate Card'!$F:$F,0))</f>
        <v>990</v>
      </c>
      <c r="U154" s="331">
        <f t="shared" si="149"/>
        <v>16</v>
      </c>
      <c r="V154" s="327">
        <v>16</v>
      </c>
      <c r="W154" s="328"/>
      <c r="X154" s="332">
        <f t="shared" si="150"/>
        <v>16</v>
      </c>
      <c r="Y154" s="333">
        <f t="shared" si="151"/>
        <v>0</v>
      </c>
      <c r="Z154" s="328">
        <f t="shared" si="152"/>
        <v>0</v>
      </c>
      <c r="AA154" s="334">
        <f t="shared" si="153"/>
        <v>0</v>
      </c>
      <c r="AB154" s="334">
        <f>$Y154*(1-INDEX(项目参数!$D$5:$D$15,MATCH($R154,项目参数!$B$5:$B$15,0)))</f>
        <v>0</v>
      </c>
      <c r="AC154" s="334">
        <f>$AA154*INDEX(项目参数!$D$5:$D$15,MATCH($R154,项目参数!$B$5:$B$15,0))</f>
        <v>0</v>
      </c>
      <c r="AD154" s="334">
        <f t="shared" si="154"/>
        <v>0</v>
      </c>
      <c r="AE154" s="328"/>
      <c r="AF154" s="328"/>
      <c r="AG154" s="327"/>
      <c r="AH154" s="327"/>
      <c r="AI154" s="327"/>
      <c r="AJ154" s="327"/>
      <c r="AK154" s="327"/>
      <c r="AL154" s="327"/>
      <c r="AM154" s="327"/>
      <c r="AN154" s="328"/>
      <c r="AO154" s="327"/>
      <c r="AP154" s="327"/>
      <c r="AQ154" s="327"/>
      <c r="AR154" s="327"/>
      <c r="AS154" s="327"/>
      <c r="AT154" s="327"/>
      <c r="AU154" s="327"/>
      <c r="AV154" s="328">
        <f t="shared" si="155"/>
        <v>0</v>
      </c>
      <c r="AW154" s="328">
        <f t="shared" si="156"/>
        <v>0</v>
      </c>
      <c r="AX154" s="328">
        <f t="shared" si="157"/>
        <v>0</v>
      </c>
      <c r="AY154" s="328" t="b">
        <f t="shared" si="147"/>
        <v>1</v>
      </c>
    </row>
    <row r="155" ht="27" customHeight="1" spans="1:51">
      <c r="A155" s="326" t="str">
        <f>INDEX('Rate Card'!$A:$A,MATCH($S155,'Rate Card'!$F:$F,0))</f>
        <v>注册</v>
      </c>
      <c r="B155" s="327" t="str">
        <f>INDEX(二三级标准!$G:$G,MATCH($J155,二三级标准!B:B,0))</f>
        <v>份</v>
      </c>
      <c r="C155" s="327">
        <f>INDEX(注册申报明细!$E:$E,MATCH($J155,注册申报明细!$B:$B,0))</f>
        <v>0</v>
      </c>
      <c r="D155" s="327" t="str">
        <f t="shared" ref="D155:D172" si="159">J155&amp;S155</f>
        <v>A311RAM</v>
      </c>
      <c r="E155" s="328"/>
      <c r="F155" s="328" t="s">
        <v>684</v>
      </c>
      <c r="G155" s="326" t="str">
        <f>INDEX('Rate Card'!$B:$B,MATCH($S155,'Rate Card'!$F:$F,0))</f>
        <v>注册</v>
      </c>
      <c r="H155" s="328" t="s">
        <v>1983</v>
      </c>
      <c r="I155" s="328" t="str">
        <f>INDEX(二三级标准!$Q:$Q,MATCH($H155,二三级标准!$O:$O,0))</f>
        <v>NDA申报资料准备</v>
      </c>
      <c r="J155" s="328" t="s">
        <v>2009</v>
      </c>
      <c r="K155" s="328" t="str">
        <f>INDEX(二三级标准!$C:$C,MATCH(注册申报底表!J155,二三级标准!$B:$B,0))</f>
        <v>3.3 参考文献</v>
      </c>
      <c r="L155" s="328" t="s">
        <v>2150</v>
      </c>
      <c r="M155" s="328" t="str">
        <f>INDEX(二三级标准!$M:$M,MATCH(注册申报底表!$L155,二三级标准!$L:$L,0))</f>
        <v>3.3 参考文献撰写</v>
      </c>
      <c r="N155" s="328"/>
      <c r="O155" s="327">
        <f>IF($Q155=1,INDEX(注册申报明细!$E:$E,MATCH(注册申报底表!$J155,注册申报明细!$B:$B,0)),0)</f>
        <v>0</v>
      </c>
      <c r="P155" s="328" t="str">
        <f t="shared" si="158"/>
        <v>份</v>
      </c>
      <c r="Q155" s="329">
        <f>INDEX(注册申报明细!$D:$D,MATCH($J155,注册申报明细!$B:$B,0))</f>
        <v>0</v>
      </c>
      <c r="R155" s="328" t="str">
        <f>INDEX('Rate Card'!$D:$D,MATCH($S155,'Rate Card'!$F:$F,0))</f>
        <v>注册事务</v>
      </c>
      <c r="S155" s="328" t="s">
        <v>607</v>
      </c>
      <c r="T155" s="331">
        <f>INDEX('Rate Card'!$J:$J,MATCH($S155,'Rate Card'!$F:$F,0))</f>
        <v>650</v>
      </c>
      <c r="U155" s="331">
        <f t="shared" ref="U155:U172" si="160">$U$1*V155</f>
        <v>2</v>
      </c>
      <c r="V155" s="327">
        <v>2</v>
      </c>
      <c r="W155" s="328"/>
      <c r="X155" s="332">
        <f t="shared" ref="X155:X172" si="161">IF(ISBLANK($W155),$V155,$W155)</f>
        <v>2</v>
      </c>
      <c r="Y155" s="333">
        <f t="shared" ref="Y155:Y172" si="162">IFERROR(AA155/O155,0)</f>
        <v>0</v>
      </c>
      <c r="Z155" s="328">
        <f t="shared" ref="Z155:Z172" si="163">X155*O155*Q155</f>
        <v>0</v>
      </c>
      <c r="AA155" s="334">
        <f t="shared" ref="AA155:AA172" si="164">Z155*T155</f>
        <v>0</v>
      </c>
      <c r="AB155" s="334">
        <f>$Y155*(1-INDEX(项目参数!$D$5:$D$15,MATCH($R155,项目参数!$B$5:$B$15,0)))</f>
        <v>0</v>
      </c>
      <c r="AC155" s="334">
        <f>$AA155*INDEX(项目参数!$D$5:$D$15,MATCH($R155,项目参数!$B$5:$B$15,0))</f>
        <v>0</v>
      </c>
      <c r="AD155" s="334">
        <f t="shared" ref="AD155:AD172" si="165">AA155-AC155</f>
        <v>0</v>
      </c>
      <c r="AE155" s="328"/>
      <c r="AF155" s="328"/>
      <c r="AG155" s="327"/>
      <c r="AH155" s="327"/>
      <c r="AI155" s="327"/>
      <c r="AJ155" s="327"/>
      <c r="AK155" s="327"/>
      <c r="AL155" s="327"/>
      <c r="AM155" s="327"/>
      <c r="AN155" s="328"/>
      <c r="AO155" s="327"/>
      <c r="AP155" s="327"/>
      <c r="AQ155" s="327"/>
      <c r="AR155" s="327"/>
      <c r="AS155" s="327"/>
      <c r="AT155" s="327"/>
      <c r="AU155" s="327"/>
      <c r="AV155" s="328">
        <f t="shared" ref="AV155:AV172" si="166">Z155</f>
        <v>0</v>
      </c>
      <c r="AW155" s="328">
        <f t="shared" ref="AW155:AW172" si="167">V155*O155</f>
        <v>0</v>
      </c>
      <c r="AX155" s="328">
        <f t="shared" ref="AX155:AX172" si="168">AW155*$U$1</f>
        <v>0</v>
      </c>
      <c r="AY155" s="328" t="b">
        <f t="shared" si="147"/>
        <v>0</v>
      </c>
    </row>
    <row r="156" ht="27" customHeight="1" spans="1:51">
      <c r="A156" s="326" t="str">
        <f>INDEX('Rate Card'!$A:$A,MATCH($S156,'Rate Card'!$F:$F,0))</f>
        <v>注册</v>
      </c>
      <c r="B156" s="327" t="str">
        <f>INDEX(二三级标准!$G:$G,MATCH($J156,二三级标准!B:B,0))</f>
        <v>份</v>
      </c>
      <c r="C156" s="327">
        <f>INDEX(注册申报明细!$E:$E,MATCH($J156,注册申报明细!$B:$B,0))</f>
        <v>0</v>
      </c>
      <c r="D156" s="327" t="str">
        <f t="shared" si="159"/>
        <v>A311RAD</v>
      </c>
      <c r="E156" s="328"/>
      <c r="F156" s="328" t="s">
        <v>684</v>
      </c>
      <c r="G156" s="326" t="str">
        <f>INDEX('Rate Card'!$B:$B,MATCH($S156,'Rate Card'!$F:$F,0))</f>
        <v>注册</v>
      </c>
      <c r="H156" s="328" t="s">
        <v>1983</v>
      </c>
      <c r="I156" s="328" t="str">
        <f>INDEX(二三级标准!$Q:$Q,MATCH($H156,二三级标准!$O:$O,0))</f>
        <v>NDA申报资料准备</v>
      </c>
      <c r="J156" s="328" t="s">
        <v>2009</v>
      </c>
      <c r="K156" s="328" t="str">
        <f>INDEX(二三级标准!$C:$C,MATCH(注册申报底表!J156,二三级标准!$B:$B,0))</f>
        <v>3.3 参考文献</v>
      </c>
      <c r="L156" s="328" t="s">
        <v>2151</v>
      </c>
      <c r="M156" s="328" t="str">
        <f>INDEX(二三级标准!$M:$M,MATCH(注册申报底表!$L156,二三级标准!$L:$L,0))</f>
        <v>3.3 参考文献审核</v>
      </c>
      <c r="N156" s="328"/>
      <c r="O156" s="327">
        <f>IF($Q156=1,INDEX(注册申报明细!$E:$E,MATCH(注册申报底表!$J156,注册申报明细!$B:$B,0)),0)</f>
        <v>0</v>
      </c>
      <c r="P156" s="328" t="str">
        <f t="shared" si="158"/>
        <v>份</v>
      </c>
      <c r="Q156" s="329">
        <f>INDEX(注册申报明细!$D:$D,MATCH($J156,注册申报明细!$B:$B,0))</f>
        <v>0</v>
      </c>
      <c r="R156" s="328" t="str">
        <f>INDEX('Rate Card'!$D:$D,MATCH($S156,'Rate Card'!$F:$F,0))</f>
        <v>注册事务</v>
      </c>
      <c r="S156" s="328" t="s">
        <v>609</v>
      </c>
      <c r="T156" s="331">
        <f>INDEX('Rate Card'!$J:$J,MATCH($S156,'Rate Card'!$F:$F,0))</f>
        <v>990</v>
      </c>
      <c r="U156" s="331">
        <f t="shared" si="160"/>
        <v>1</v>
      </c>
      <c r="V156" s="327">
        <v>1</v>
      </c>
      <c r="W156" s="328"/>
      <c r="X156" s="332">
        <f t="shared" si="161"/>
        <v>1</v>
      </c>
      <c r="Y156" s="333">
        <f t="shared" si="162"/>
        <v>0</v>
      </c>
      <c r="Z156" s="328">
        <f t="shared" si="163"/>
        <v>0</v>
      </c>
      <c r="AA156" s="334">
        <f t="shared" si="164"/>
        <v>0</v>
      </c>
      <c r="AB156" s="334">
        <f>$Y156*(1-INDEX(项目参数!$D$5:$D$15,MATCH($R156,项目参数!$B$5:$B$15,0)))</f>
        <v>0</v>
      </c>
      <c r="AC156" s="334">
        <f>$AA156*INDEX(项目参数!$D$5:$D$15,MATCH($R156,项目参数!$B$5:$B$15,0))</f>
        <v>0</v>
      </c>
      <c r="AD156" s="334">
        <f t="shared" si="165"/>
        <v>0</v>
      </c>
      <c r="AE156" s="328"/>
      <c r="AF156" s="328"/>
      <c r="AG156" s="327"/>
      <c r="AH156" s="327"/>
      <c r="AI156" s="327"/>
      <c r="AJ156" s="327"/>
      <c r="AK156" s="327"/>
      <c r="AL156" s="327"/>
      <c r="AM156" s="327"/>
      <c r="AN156" s="328"/>
      <c r="AO156" s="327"/>
      <c r="AP156" s="327"/>
      <c r="AQ156" s="327"/>
      <c r="AR156" s="327"/>
      <c r="AS156" s="327"/>
      <c r="AT156" s="327"/>
      <c r="AU156" s="327"/>
      <c r="AV156" s="328">
        <f t="shared" si="166"/>
        <v>0</v>
      </c>
      <c r="AW156" s="328">
        <f t="shared" si="167"/>
        <v>0</v>
      </c>
      <c r="AX156" s="328">
        <f t="shared" si="168"/>
        <v>0</v>
      </c>
      <c r="AY156" s="328" t="b">
        <f t="shared" si="147"/>
        <v>0</v>
      </c>
    </row>
    <row r="157" ht="27" customHeight="1" spans="1:51">
      <c r="A157" s="326" t="str">
        <f>INDEX('Rate Card'!$A:$A,MATCH($S157,'Rate Card'!$F:$F,0))</f>
        <v>注册</v>
      </c>
      <c r="B157" s="327" t="str">
        <f>INDEX(二三级标准!$G:$G,MATCH($J157,二三级标准!B:B,0))</f>
        <v>份</v>
      </c>
      <c r="C157" s="327">
        <f>INDEX(注册申报明细!$E:$E,MATCH($J157,注册申报明细!$B:$B,0))</f>
        <v>0</v>
      </c>
      <c r="D157" s="327" t="str">
        <f t="shared" si="159"/>
        <v>A312RAM</v>
      </c>
      <c r="E157" s="328"/>
      <c r="F157" s="328" t="s">
        <v>684</v>
      </c>
      <c r="G157" s="326" t="str">
        <f>INDEX('Rate Card'!$B:$B,MATCH($S157,'Rate Card'!$F:$F,0))</f>
        <v>注册</v>
      </c>
      <c r="H157" s="328" t="s">
        <v>1983</v>
      </c>
      <c r="I157" s="328" t="str">
        <f>INDEX(二三级标准!$Q:$Q,MATCH($H157,二三级标准!$O:$O,0))</f>
        <v>NDA申报资料准备</v>
      </c>
      <c r="J157" s="328" t="s">
        <v>2011</v>
      </c>
      <c r="K157" s="328" t="str">
        <f>INDEX(二三级标准!$C:$C,MATCH(注册申报底表!J157,二三级标准!$B:$B,0))</f>
        <v>4.1 模块4目录</v>
      </c>
      <c r="L157" s="328" t="s">
        <v>2152</v>
      </c>
      <c r="M157" s="328" t="str">
        <f>INDEX(二三级标准!$M:$M,MATCH(注册申报底表!$L157,二三级标准!$L:$L,0))</f>
        <v>4.1 模块4目录撰写</v>
      </c>
      <c r="N157" s="328"/>
      <c r="O157" s="327">
        <f>IF($Q157=1,INDEX(注册申报明细!$E:$E,MATCH(注册申报底表!$J157,注册申报明细!$B:$B,0)),0)</f>
        <v>0</v>
      </c>
      <c r="P157" s="328" t="str">
        <f t="shared" si="158"/>
        <v>份</v>
      </c>
      <c r="Q157" s="329">
        <f>INDEX(注册申报明细!$D:$D,MATCH($J157,注册申报明细!$B:$B,0))</f>
        <v>0</v>
      </c>
      <c r="R157" s="328" t="str">
        <f>INDEX('Rate Card'!$D:$D,MATCH($S157,'Rate Card'!$F:$F,0))</f>
        <v>注册事务</v>
      </c>
      <c r="S157" s="328" t="s">
        <v>607</v>
      </c>
      <c r="T157" s="331">
        <f>INDEX('Rate Card'!$J:$J,MATCH($S157,'Rate Card'!$F:$F,0))</f>
        <v>650</v>
      </c>
      <c r="U157" s="331">
        <f t="shared" si="160"/>
        <v>0.5</v>
      </c>
      <c r="V157" s="327">
        <v>0.5</v>
      </c>
      <c r="W157" s="328"/>
      <c r="X157" s="332">
        <f t="shared" si="161"/>
        <v>0.5</v>
      </c>
      <c r="Y157" s="333">
        <f t="shared" si="162"/>
        <v>0</v>
      </c>
      <c r="Z157" s="328">
        <f t="shared" si="163"/>
        <v>0</v>
      </c>
      <c r="AA157" s="334">
        <f t="shared" si="164"/>
        <v>0</v>
      </c>
      <c r="AB157" s="334">
        <f>$Y157*(1-INDEX(项目参数!$D$5:$D$15,MATCH($R157,项目参数!$B$5:$B$15,0)))</f>
        <v>0</v>
      </c>
      <c r="AC157" s="334">
        <f>$AA157*INDEX(项目参数!$D$5:$D$15,MATCH($R157,项目参数!$B$5:$B$15,0))</f>
        <v>0</v>
      </c>
      <c r="AD157" s="334">
        <f t="shared" si="165"/>
        <v>0</v>
      </c>
      <c r="AE157" s="328"/>
      <c r="AF157" s="328"/>
      <c r="AG157" s="327"/>
      <c r="AH157" s="327"/>
      <c r="AI157" s="327"/>
      <c r="AJ157" s="327"/>
      <c r="AK157" s="327"/>
      <c r="AL157" s="327"/>
      <c r="AM157" s="327"/>
      <c r="AN157" s="328"/>
      <c r="AO157" s="327"/>
      <c r="AP157" s="327"/>
      <c r="AQ157" s="327"/>
      <c r="AR157" s="327"/>
      <c r="AS157" s="327"/>
      <c r="AT157" s="327"/>
      <c r="AU157" s="327"/>
      <c r="AV157" s="328">
        <f t="shared" si="166"/>
        <v>0</v>
      </c>
      <c r="AW157" s="328">
        <f t="shared" si="167"/>
        <v>0</v>
      </c>
      <c r="AX157" s="328">
        <f t="shared" si="168"/>
        <v>0</v>
      </c>
      <c r="AY157" s="328" t="b">
        <f t="shared" si="147"/>
        <v>1</v>
      </c>
    </row>
    <row r="158" ht="27" customHeight="1" spans="1:51">
      <c r="A158" s="326" t="str">
        <f>INDEX('Rate Card'!$A:$A,MATCH($S158,'Rate Card'!$F:$F,0))</f>
        <v>注册</v>
      </c>
      <c r="B158" s="327" t="str">
        <f>INDEX(二三级标准!$G:$G,MATCH($J158,二三级标准!B:B,0))</f>
        <v>份</v>
      </c>
      <c r="C158" s="327">
        <f>INDEX(注册申报明细!$E:$E,MATCH($J158,注册申报明细!$B:$B,0))</f>
        <v>0</v>
      </c>
      <c r="D158" s="327" t="str">
        <f t="shared" si="159"/>
        <v>A312RAD</v>
      </c>
      <c r="E158" s="328"/>
      <c r="F158" s="328" t="s">
        <v>684</v>
      </c>
      <c r="G158" s="326" t="str">
        <f>INDEX('Rate Card'!$B:$B,MATCH($S158,'Rate Card'!$F:$F,0))</f>
        <v>注册</v>
      </c>
      <c r="H158" s="328" t="s">
        <v>1983</v>
      </c>
      <c r="I158" s="328" t="str">
        <f>INDEX(二三级标准!$Q:$Q,MATCH($H158,二三级标准!$O:$O,0))</f>
        <v>NDA申报资料准备</v>
      </c>
      <c r="J158" s="328" t="s">
        <v>2011</v>
      </c>
      <c r="K158" s="328" t="str">
        <f>INDEX(二三级标准!$C:$C,MATCH(注册申报底表!J158,二三级标准!$B:$B,0))</f>
        <v>4.1 模块4目录</v>
      </c>
      <c r="L158" s="328" t="s">
        <v>2153</v>
      </c>
      <c r="M158" s="328" t="str">
        <f>INDEX(二三级标准!$M:$M,MATCH(注册申报底表!$L158,二三级标准!$L:$L,0))</f>
        <v>4.1 模块4目录审核</v>
      </c>
      <c r="N158" s="328"/>
      <c r="O158" s="327">
        <f>IF($Q158=1,INDEX(注册申报明细!$E:$E,MATCH(注册申报底表!$J158,注册申报明细!$B:$B,0)),0)</f>
        <v>0</v>
      </c>
      <c r="P158" s="328" t="str">
        <f t="shared" si="158"/>
        <v>份</v>
      </c>
      <c r="Q158" s="329">
        <f>INDEX(注册申报明细!$D:$D,MATCH($J158,注册申报明细!$B:$B,0))</f>
        <v>0</v>
      </c>
      <c r="R158" s="328" t="str">
        <f>INDEX('Rate Card'!$D:$D,MATCH($S158,'Rate Card'!$F:$F,0))</f>
        <v>注册事务</v>
      </c>
      <c r="S158" s="328" t="s">
        <v>609</v>
      </c>
      <c r="T158" s="331">
        <f>INDEX('Rate Card'!$J:$J,MATCH($S158,'Rate Card'!$F:$F,0))</f>
        <v>990</v>
      </c>
      <c r="U158" s="331">
        <f t="shared" si="160"/>
        <v>0.1</v>
      </c>
      <c r="V158" s="327">
        <v>0.1</v>
      </c>
      <c r="W158" s="328"/>
      <c r="X158" s="332">
        <f t="shared" si="161"/>
        <v>0.1</v>
      </c>
      <c r="Y158" s="333">
        <f t="shared" si="162"/>
        <v>0</v>
      </c>
      <c r="Z158" s="328">
        <f t="shared" si="163"/>
        <v>0</v>
      </c>
      <c r="AA158" s="334">
        <f t="shared" si="164"/>
        <v>0</v>
      </c>
      <c r="AB158" s="334">
        <f>$Y158*(1-INDEX(项目参数!$D$5:$D$15,MATCH($R158,项目参数!$B$5:$B$15,0)))</f>
        <v>0</v>
      </c>
      <c r="AC158" s="334">
        <f>$AA158*INDEX(项目参数!$D$5:$D$15,MATCH($R158,项目参数!$B$5:$B$15,0))</f>
        <v>0</v>
      </c>
      <c r="AD158" s="334">
        <f t="shared" si="165"/>
        <v>0</v>
      </c>
      <c r="AE158" s="328"/>
      <c r="AF158" s="328"/>
      <c r="AG158" s="327"/>
      <c r="AH158" s="327"/>
      <c r="AI158" s="327"/>
      <c r="AJ158" s="327"/>
      <c r="AK158" s="327"/>
      <c r="AL158" s="327"/>
      <c r="AM158" s="327"/>
      <c r="AN158" s="328"/>
      <c r="AO158" s="327"/>
      <c r="AP158" s="327"/>
      <c r="AQ158" s="327"/>
      <c r="AR158" s="327"/>
      <c r="AS158" s="327"/>
      <c r="AT158" s="327"/>
      <c r="AU158" s="327"/>
      <c r="AV158" s="328">
        <f t="shared" si="166"/>
        <v>0</v>
      </c>
      <c r="AW158" s="328">
        <f t="shared" si="167"/>
        <v>0</v>
      </c>
      <c r="AX158" s="328">
        <f t="shared" si="168"/>
        <v>0</v>
      </c>
      <c r="AY158" s="328" t="b">
        <f t="shared" si="147"/>
        <v>1</v>
      </c>
    </row>
    <row r="159" ht="27" customHeight="1" spans="1:51">
      <c r="A159" s="326" t="str">
        <f>INDEX('Rate Card'!$A:$A,MATCH($S159,'Rate Card'!$F:$F,0))</f>
        <v>注册</v>
      </c>
      <c r="B159" s="327" t="str">
        <f>INDEX(二三级标准!$G:$G,MATCH($J159,二三级标准!B:B,0))</f>
        <v>份</v>
      </c>
      <c r="C159" s="327">
        <f>INDEX(注册申报明细!$E:$E,MATCH($J159,注册申报明细!$B:$B,0))</f>
        <v>0</v>
      </c>
      <c r="D159" s="327" t="str">
        <f t="shared" si="159"/>
        <v>A313RAM</v>
      </c>
      <c r="E159" s="328"/>
      <c r="F159" s="328" t="s">
        <v>684</v>
      </c>
      <c r="G159" s="326" t="str">
        <f>INDEX('Rate Card'!$B:$B,MATCH($S159,'Rate Card'!$F:$F,0))</f>
        <v>注册</v>
      </c>
      <c r="H159" s="328" t="s">
        <v>1983</v>
      </c>
      <c r="I159" s="328" t="str">
        <f>INDEX(二三级标准!$Q:$Q,MATCH($H159,二三级标准!$O:$O,0))</f>
        <v>NDA申报资料准备</v>
      </c>
      <c r="J159" s="328" t="s">
        <v>2012</v>
      </c>
      <c r="K159" s="328" t="str">
        <f>INDEX(二三级标准!$C:$C,MATCH(注册申报底表!J159,二三级标准!$B:$B,0))</f>
        <v>4.2 试验报告</v>
      </c>
      <c r="L159" s="328" t="s">
        <v>2154</v>
      </c>
      <c r="M159" s="328" t="str">
        <f>INDEX(二三级标准!$M:$M,MATCH(注册申报底表!$L159,二三级标准!$L:$L,0))</f>
        <v>4.2 试验报告撰写</v>
      </c>
      <c r="N159" s="328"/>
      <c r="O159" s="327">
        <f>IF($Q159=1,INDEX(注册申报明细!$E:$E,MATCH(注册申报底表!$J159,注册申报明细!$B:$B,0)),0)</f>
        <v>0</v>
      </c>
      <c r="P159" s="328" t="str">
        <f t="shared" si="158"/>
        <v>份</v>
      </c>
      <c r="Q159" s="329">
        <f>INDEX(注册申报明细!$D:$D,MATCH($J159,注册申报明细!$B:$B,0))</f>
        <v>0</v>
      </c>
      <c r="R159" s="328" t="str">
        <f>INDEX('Rate Card'!$D:$D,MATCH($S159,'Rate Card'!$F:$F,0))</f>
        <v>注册事务</v>
      </c>
      <c r="S159" s="328" t="s">
        <v>607</v>
      </c>
      <c r="T159" s="331">
        <f>INDEX('Rate Card'!$J:$J,MATCH($S159,'Rate Card'!$F:$F,0))</f>
        <v>650</v>
      </c>
      <c r="U159" s="331">
        <f t="shared" si="160"/>
        <v>12</v>
      </c>
      <c r="V159" s="327">
        <v>12</v>
      </c>
      <c r="W159" s="328"/>
      <c r="X159" s="332">
        <f t="shared" si="161"/>
        <v>12</v>
      </c>
      <c r="Y159" s="333">
        <f t="shared" si="162"/>
        <v>0</v>
      </c>
      <c r="Z159" s="328">
        <f t="shared" si="163"/>
        <v>0</v>
      </c>
      <c r="AA159" s="334">
        <f t="shared" si="164"/>
        <v>0</v>
      </c>
      <c r="AB159" s="334">
        <f>$Y159*(1-INDEX(项目参数!$D$5:$D$15,MATCH($R159,项目参数!$B$5:$B$15,0)))</f>
        <v>0</v>
      </c>
      <c r="AC159" s="334">
        <f>$AA159*INDEX(项目参数!$D$5:$D$15,MATCH($R159,项目参数!$B$5:$B$15,0))</f>
        <v>0</v>
      </c>
      <c r="AD159" s="334">
        <f t="shared" si="165"/>
        <v>0</v>
      </c>
      <c r="AE159" s="328"/>
      <c r="AF159" s="328"/>
      <c r="AG159" s="327"/>
      <c r="AH159" s="327"/>
      <c r="AI159" s="327"/>
      <c r="AJ159" s="327"/>
      <c r="AK159" s="327"/>
      <c r="AL159" s="327"/>
      <c r="AM159" s="327"/>
      <c r="AN159" s="328"/>
      <c r="AO159" s="327"/>
      <c r="AP159" s="327"/>
      <c r="AQ159" s="327"/>
      <c r="AR159" s="327"/>
      <c r="AS159" s="327"/>
      <c r="AT159" s="327"/>
      <c r="AU159" s="327"/>
      <c r="AV159" s="328">
        <f t="shared" si="166"/>
        <v>0</v>
      </c>
      <c r="AW159" s="328">
        <f t="shared" si="167"/>
        <v>0</v>
      </c>
      <c r="AX159" s="328">
        <f t="shared" si="168"/>
        <v>0</v>
      </c>
      <c r="AY159" s="328" t="b">
        <f t="shared" si="147"/>
        <v>0</v>
      </c>
    </row>
    <row r="160" ht="27" customHeight="1" spans="1:51">
      <c r="A160" s="326" t="str">
        <f>INDEX('Rate Card'!$A:$A,MATCH($S160,'Rate Card'!$F:$F,0))</f>
        <v>注册</v>
      </c>
      <c r="B160" s="327" t="str">
        <f>INDEX(二三级标准!$G:$G,MATCH($J160,二三级标准!B:B,0))</f>
        <v>份</v>
      </c>
      <c r="C160" s="327">
        <f>INDEX(注册申报明细!$E:$E,MATCH($J160,注册申报明细!$B:$B,0))</f>
        <v>0</v>
      </c>
      <c r="D160" s="327" t="str">
        <f t="shared" si="159"/>
        <v>A313RAD</v>
      </c>
      <c r="E160" s="328"/>
      <c r="F160" s="328" t="s">
        <v>684</v>
      </c>
      <c r="G160" s="326" t="str">
        <f>INDEX('Rate Card'!$B:$B,MATCH($S160,'Rate Card'!$F:$F,0))</f>
        <v>注册</v>
      </c>
      <c r="H160" s="328" t="s">
        <v>1983</v>
      </c>
      <c r="I160" s="328" t="str">
        <f>INDEX(二三级标准!$Q:$Q,MATCH($H160,二三级标准!$O:$O,0))</f>
        <v>NDA申报资料准备</v>
      </c>
      <c r="J160" s="328" t="s">
        <v>2012</v>
      </c>
      <c r="K160" s="328" t="str">
        <f>INDEX(二三级标准!$C:$C,MATCH(注册申报底表!J160,二三级标准!$B:$B,0))</f>
        <v>4.2 试验报告</v>
      </c>
      <c r="L160" s="328" t="s">
        <v>2155</v>
      </c>
      <c r="M160" s="328" t="str">
        <f>INDEX(二三级标准!$M:$M,MATCH(注册申报底表!$L160,二三级标准!$L:$L,0))</f>
        <v>4.2 试验报告审核</v>
      </c>
      <c r="N160" s="328"/>
      <c r="O160" s="327">
        <f>IF($Q160=1,INDEX(注册申报明细!$E:$E,MATCH(注册申报底表!$J160,注册申报明细!$B:$B,0)),0)</f>
        <v>0</v>
      </c>
      <c r="P160" s="328" t="str">
        <f t="shared" si="158"/>
        <v>份</v>
      </c>
      <c r="Q160" s="329">
        <f>INDEX(注册申报明细!$D:$D,MATCH($J160,注册申报明细!$B:$B,0))</f>
        <v>0</v>
      </c>
      <c r="R160" s="328" t="str">
        <f>INDEX('Rate Card'!$D:$D,MATCH($S160,'Rate Card'!$F:$F,0))</f>
        <v>注册事务</v>
      </c>
      <c r="S160" s="328" t="s">
        <v>609</v>
      </c>
      <c r="T160" s="331">
        <f>INDEX('Rate Card'!$J:$J,MATCH($S160,'Rate Card'!$F:$F,0))</f>
        <v>990</v>
      </c>
      <c r="U160" s="331">
        <f t="shared" si="160"/>
        <v>2</v>
      </c>
      <c r="V160" s="327">
        <v>2</v>
      </c>
      <c r="W160" s="328"/>
      <c r="X160" s="332">
        <f t="shared" si="161"/>
        <v>2</v>
      </c>
      <c r="Y160" s="333">
        <f t="shared" si="162"/>
        <v>0</v>
      </c>
      <c r="Z160" s="328">
        <f t="shared" si="163"/>
        <v>0</v>
      </c>
      <c r="AA160" s="334">
        <f t="shared" si="164"/>
        <v>0</v>
      </c>
      <c r="AB160" s="334">
        <f>$Y160*(1-INDEX(项目参数!$D$5:$D$15,MATCH($R160,项目参数!$B$5:$B$15,0)))</f>
        <v>0</v>
      </c>
      <c r="AC160" s="334">
        <f>$AA160*INDEX(项目参数!$D$5:$D$15,MATCH($R160,项目参数!$B$5:$B$15,0))</f>
        <v>0</v>
      </c>
      <c r="AD160" s="334">
        <f t="shared" si="165"/>
        <v>0</v>
      </c>
      <c r="AE160" s="328"/>
      <c r="AF160" s="328"/>
      <c r="AG160" s="327"/>
      <c r="AH160" s="327"/>
      <c r="AI160" s="327"/>
      <c r="AJ160" s="327"/>
      <c r="AK160" s="327"/>
      <c r="AL160" s="327"/>
      <c r="AM160" s="327"/>
      <c r="AN160" s="328"/>
      <c r="AO160" s="327"/>
      <c r="AP160" s="327"/>
      <c r="AQ160" s="327"/>
      <c r="AR160" s="327"/>
      <c r="AS160" s="327"/>
      <c r="AT160" s="327"/>
      <c r="AU160" s="327"/>
      <c r="AV160" s="328">
        <f t="shared" si="166"/>
        <v>0</v>
      </c>
      <c r="AW160" s="328">
        <f t="shared" si="167"/>
        <v>0</v>
      </c>
      <c r="AX160" s="328">
        <f t="shared" si="168"/>
        <v>0</v>
      </c>
      <c r="AY160" s="328" t="b">
        <f t="shared" si="147"/>
        <v>0</v>
      </c>
    </row>
    <row r="161" ht="27" customHeight="1" spans="1:51">
      <c r="A161" s="326" t="str">
        <f>INDEX('Rate Card'!$A:$A,MATCH($S161,'Rate Card'!$F:$F,0))</f>
        <v>注册</v>
      </c>
      <c r="B161" s="327" t="str">
        <f>INDEX(二三级标准!$G:$G,MATCH($J161,二三级标准!B:B,0))</f>
        <v>份</v>
      </c>
      <c r="C161" s="327">
        <f>INDEX(注册申报明细!$E:$E,MATCH($J161,注册申报明细!$B:$B,0))</f>
        <v>0</v>
      </c>
      <c r="D161" s="327" t="str">
        <f t="shared" si="159"/>
        <v>A314RAM</v>
      </c>
      <c r="E161" s="328"/>
      <c r="F161" s="328" t="s">
        <v>684</v>
      </c>
      <c r="G161" s="326" t="str">
        <f>INDEX('Rate Card'!$B:$B,MATCH($S161,'Rate Card'!$F:$F,0))</f>
        <v>注册</v>
      </c>
      <c r="H161" s="328" t="s">
        <v>1983</v>
      </c>
      <c r="I161" s="328" t="str">
        <f>INDEX(二三级标准!$Q:$Q,MATCH($H161,二三级标准!$O:$O,0))</f>
        <v>NDA申报资料准备</v>
      </c>
      <c r="J161" s="328" t="s">
        <v>2013</v>
      </c>
      <c r="K161" s="328" t="str">
        <f>INDEX(二三级标准!$C:$C,MATCH(注册申报底表!J161,二三级标准!$B:$B,0))</f>
        <v>4.3 参考文献</v>
      </c>
      <c r="L161" s="328" t="s">
        <v>2156</v>
      </c>
      <c r="M161" s="328" t="str">
        <f>INDEX(二三级标准!$M:$M,MATCH(注册申报底表!$L161,二三级标准!$L:$L,0))</f>
        <v>4.3 参考文献撰写</v>
      </c>
      <c r="N161" s="328"/>
      <c r="O161" s="327">
        <f>IF($Q161=1,INDEX(注册申报明细!$E:$E,MATCH(注册申报底表!$J161,注册申报明细!$B:$B,0)),0)</f>
        <v>0</v>
      </c>
      <c r="P161" s="328" t="str">
        <f t="shared" si="158"/>
        <v>份</v>
      </c>
      <c r="Q161" s="329">
        <f>INDEX(注册申报明细!$D:$D,MATCH($J161,注册申报明细!$B:$B,0))</f>
        <v>0</v>
      </c>
      <c r="R161" s="328" t="str">
        <f>INDEX('Rate Card'!$D:$D,MATCH($S161,'Rate Card'!$F:$F,0))</f>
        <v>注册事务</v>
      </c>
      <c r="S161" s="328" t="s">
        <v>607</v>
      </c>
      <c r="T161" s="331">
        <f>INDEX('Rate Card'!$J:$J,MATCH($S161,'Rate Card'!$F:$F,0))</f>
        <v>650</v>
      </c>
      <c r="U161" s="331">
        <f t="shared" si="160"/>
        <v>4</v>
      </c>
      <c r="V161" s="327">
        <v>4</v>
      </c>
      <c r="W161" s="328"/>
      <c r="X161" s="332">
        <f t="shared" si="161"/>
        <v>4</v>
      </c>
      <c r="Y161" s="333">
        <f t="shared" si="162"/>
        <v>0</v>
      </c>
      <c r="Z161" s="328">
        <f t="shared" si="163"/>
        <v>0</v>
      </c>
      <c r="AA161" s="334">
        <f t="shared" si="164"/>
        <v>0</v>
      </c>
      <c r="AB161" s="334">
        <f>$Y161*(1-INDEX(项目参数!$D$5:$D$15,MATCH($R161,项目参数!$B$5:$B$15,0)))</f>
        <v>0</v>
      </c>
      <c r="AC161" s="334">
        <f>$AA161*INDEX(项目参数!$D$5:$D$15,MATCH($R161,项目参数!$B$5:$B$15,0))</f>
        <v>0</v>
      </c>
      <c r="AD161" s="334">
        <f t="shared" si="165"/>
        <v>0</v>
      </c>
      <c r="AE161" s="328"/>
      <c r="AF161" s="328"/>
      <c r="AG161" s="327"/>
      <c r="AH161" s="327"/>
      <c r="AI161" s="327"/>
      <c r="AJ161" s="327"/>
      <c r="AK161" s="327"/>
      <c r="AL161" s="327"/>
      <c r="AM161" s="327"/>
      <c r="AN161" s="328"/>
      <c r="AO161" s="327"/>
      <c r="AP161" s="327"/>
      <c r="AQ161" s="327"/>
      <c r="AR161" s="327"/>
      <c r="AS161" s="327"/>
      <c r="AT161" s="327"/>
      <c r="AU161" s="327"/>
      <c r="AV161" s="328">
        <f t="shared" si="166"/>
        <v>0</v>
      </c>
      <c r="AW161" s="328">
        <f t="shared" si="167"/>
        <v>0</v>
      </c>
      <c r="AX161" s="328">
        <f t="shared" si="168"/>
        <v>0</v>
      </c>
      <c r="AY161" s="328" t="b">
        <f t="shared" si="147"/>
        <v>1</v>
      </c>
    </row>
    <row r="162" ht="27" customHeight="1" spans="1:51">
      <c r="A162" s="326" t="str">
        <f>INDEX('Rate Card'!$A:$A,MATCH($S162,'Rate Card'!$F:$F,0))</f>
        <v>注册</v>
      </c>
      <c r="B162" s="327" t="str">
        <f>INDEX(二三级标准!$G:$G,MATCH($J162,二三级标准!B:B,0))</f>
        <v>份</v>
      </c>
      <c r="C162" s="327">
        <f>INDEX(注册申报明细!$E:$E,MATCH($J162,注册申报明细!$B:$B,0))</f>
        <v>0</v>
      </c>
      <c r="D162" s="327" t="str">
        <f t="shared" si="159"/>
        <v>A314RAD</v>
      </c>
      <c r="E162" s="328"/>
      <c r="F162" s="328" t="s">
        <v>684</v>
      </c>
      <c r="G162" s="326" t="str">
        <f>INDEX('Rate Card'!$B:$B,MATCH($S162,'Rate Card'!$F:$F,0))</f>
        <v>注册</v>
      </c>
      <c r="H162" s="328" t="s">
        <v>1983</v>
      </c>
      <c r="I162" s="328" t="str">
        <f>INDEX(二三级标准!$Q:$Q,MATCH($H162,二三级标准!$O:$O,0))</f>
        <v>NDA申报资料准备</v>
      </c>
      <c r="J162" s="328" t="s">
        <v>2013</v>
      </c>
      <c r="K162" s="328" t="str">
        <f>INDEX(二三级标准!$C:$C,MATCH(注册申报底表!J162,二三级标准!$B:$B,0))</f>
        <v>4.3 参考文献</v>
      </c>
      <c r="L162" s="328" t="s">
        <v>2157</v>
      </c>
      <c r="M162" s="328" t="str">
        <f>INDEX(二三级标准!$M:$M,MATCH(注册申报底表!$L162,二三级标准!$L:$L,0))</f>
        <v>4.3 参考文献审核</v>
      </c>
      <c r="N162" s="328"/>
      <c r="O162" s="327">
        <f>IF($Q162=1,INDEX(注册申报明细!$E:$E,MATCH(注册申报底表!$J162,注册申报明细!$B:$B,0)),0)</f>
        <v>0</v>
      </c>
      <c r="P162" s="328" t="str">
        <f t="shared" si="158"/>
        <v>份</v>
      </c>
      <c r="Q162" s="329">
        <f>INDEX(注册申报明细!$D:$D,MATCH($J162,注册申报明细!$B:$B,0))</f>
        <v>0</v>
      </c>
      <c r="R162" s="328" t="str">
        <f>INDEX('Rate Card'!$D:$D,MATCH($S162,'Rate Card'!$F:$F,0))</f>
        <v>注册事务</v>
      </c>
      <c r="S162" s="328" t="s">
        <v>609</v>
      </c>
      <c r="T162" s="331">
        <f>INDEX('Rate Card'!$J:$J,MATCH($S162,'Rate Card'!$F:$F,0))</f>
        <v>990</v>
      </c>
      <c r="U162" s="331">
        <f t="shared" si="160"/>
        <v>2</v>
      </c>
      <c r="V162" s="327">
        <v>2</v>
      </c>
      <c r="W162" s="328"/>
      <c r="X162" s="332">
        <f t="shared" si="161"/>
        <v>2</v>
      </c>
      <c r="Y162" s="333">
        <f t="shared" si="162"/>
        <v>0</v>
      </c>
      <c r="Z162" s="328">
        <f t="shared" si="163"/>
        <v>0</v>
      </c>
      <c r="AA162" s="334">
        <f t="shared" si="164"/>
        <v>0</v>
      </c>
      <c r="AB162" s="334">
        <f>$Y162*(1-INDEX(项目参数!$D$5:$D$15,MATCH($R162,项目参数!$B$5:$B$15,0)))</f>
        <v>0</v>
      </c>
      <c r="AC162" s="334">
        <f>$AA162*INDEX(项目参数!$D$5:$D$15,MATCH($R162,项目参数!$B$5:$B$15,0))</f>
        <v>0</v>
      </c>
      <c r="AD162" s="334">
        <f t="shared" si="165"/>
        <v>0</v>
      </c>
      <c r="AE162" s="328"/>
      <c r="AF162" s="328"/>
      <c r="AG162" s="327"/>
      <c r="AH162" s="327"/>
      <c r="AI162" s="327"/>
      <c r="AJ162" s="327"/>
      <c r="AK162" s="327"/>
      <c r="AL162" s="327"/>
      <c r="AM162" s="327"/>
      <c r="AN162" s="328"/>
      <c r="AO162" s="327"/>
      <c r="AP162" s="327"/>
      <c r="AQ162" s="327"/>
      <c r="AR162" s="327"/>
      <c r="AS162" s="327"/>
      <c r="AT162" s="327"/>
      <c r="AU162" s="327"/>
      <c r="AV162" s="328">
        <f t="shared" si="166"/>
        <v>0</v>
      </c>
      <c r="AW162" s="328">
        <f t="shared" si="167"/>
        <v>0</v>
      </c>
      <c r="AX162" s="328">
        <f t="shared" si="168"/>
        <v>0</v>
      </c>
      <c r="AY162" s="328" t="b">
        <f t="shared" si="147"/>
        <v>1</v>
      </c>
    </row>
    <row r="163" ht="27" customHeight="1" spans="1:51">
      <c r="A163" s="326" t="str">
        <f>INDEX('Rate Card'!$A:$A,MATCH($S163,'Rate Card'!$F:$F,0))</f>
        <v>注册</v>
      </c>
      <c r="B163" s="327" t="str">
        <f>INDEX(二三级标准!$G:$G,MATCH($J163,二三级标准!B:B,0))</f>
        <v>份</v>
      </c>
      <c r="C163" s="327">
        <f>INDEX(注册申报明细!$E:$E,MATCH($J163,注册申报明细!$B:$B,0))</f>
        <v>0</v>
      </c>
      <c r="D163" s="327" t="str">
        <f t="shared" si="159"/>
        <v>A315RAM</v>
      </c>
      <c r="E163" s="328"/>
      <c r="F163" s="328" t="s">
        <v>684</v>
      </c>
      <c r="G163" s="326" t="str">
        <f>INDEX('Rate Card'!$B:$B,MATCH($S163,'Rate Card'!$F:$F,0))</f>
        <v>注册</v>
      </c>
      <c r="H163" s="328" t="s">
        <v>1983</v>
      </c>
      <c r="I163" s="328" t="str">
        <f>INDEX(二三级标准!$Q:$Q,MATCH($H163,二三级标准!$O:$O,0))</f>
        <v>NDA申报资料准备</v>
      </c>
      <c r="J163" s="328" t="s">
        <v>2015</v>
      </c>
      <c r="K163" s="328" t="str">
        <f>INDEX(二三级标准!$C:$C,MATCH(注册申报底表!J163,二三级标准!$B:$B,0))</f>
        <v>5.1 模块5目录</v>
      </c>
      <c r="L163" s="328" t="s">
        <v>2158</v>
      </c>
      <c r="M163" s="328" t="str">
        <f>INDEX(二三级标准!$M:$M,MATCH(注册申报底表!$L163,二三级标准!$L:$L,0))</f>
        <v>5.1 模块5目录撰写</v>
      </c>
      <c r="N163" s="328"/>
      <c r="O163" s="327">
        <f>IF($Q163=1,INDEX(注册申报明细!$E:$E,MATCH(注册申报底表!$J163,注册申报明细!$B:$B,0)),0)</f>
        <v>0</v>
      </c>
      <c r="P163" s="328" t="str">
        <f t="shared" si="158"/>
        <v>份</v>
      </c>
      <c r="Q163" s="329">
        <f>INDEX(注册申报明细!$D:$D,MATCH($J163,注册申报明细!$B:$B,0))</f>
        <v>0</v>
      </c>
      <c r="R163" s="328" t="str">
        <f>INDEX('Rate Card'!$D:$D,MATCH($S163,'Rate Card'!$F:$F,0))</f>
        <v>注册事务</v>
      </c>
      <c r="S163" s="328" t="s">
        <v>607</v>
      </c>
      <c r="T163" s="331">
        <f>INDEX('Rate Card'!$J:$J,MATCH($S163,'Rate Card'!$F:$F,0))</f>
        <v>650</v>
      </c>
      <c r="U163" s="331">
        <f t="shared" si="160"/>
        <v>0.5</v>
      </c>
      <c r="V163" s="327">
        <v>0.5</v>
      </c>
      <c r="W163" s="328"/>
      <c r="X163" s="332">
        <f t="shared" si="161"/>
        <v>0.5</v>
      </c>
      <c r="Y163" s="333">
        <f t="shared" si="162"/>
        <v>0</v>
      </c>
      <c r="Z163" s="328">
        <f t="shared" si="163"/>
        <v>0</v>
      </c>
      <c r="AA163" s="334">
        <f t="shared" si="164"/>
        <v>0</v>
      </c>
      <c r="AB163" s="334">
        <f>$Y163*(1-INDEX(项目参数!$D$5:$D$15,MATCH($R163,项目参数!$B$5:$B$15,0)))</f>
        <v>0</v>
      </c>
      <c r="AC163" s="334">
        <f>$AA163*INDEX(项目参数!$D$5:$D$15,MATCH($R163,项目参数!$B$5:$B$15,0))</f>
        <v>0</v>
      </c>
      <c r="AD163" s="334">
        <f t="shared" si="165"/>
        <v>0</v>
      </c>
      <c r="AE163" s="328"/>
      <c r="AF163" s="328"/>
      <c r="AG163" s="327"/>
      <c r="AH163" s="327"/>
      <c r="AI163" s="327"/>
      <c r="AJ163" s="327"/>
      <c r="AK163" s="327"/>
      <c r="AL163" s="327"/>
      <c r="AM163" s="327"/>
      <c r="AN163" s="328"/>
      <c r="AO163" s="327"/>
      <c r="AP163" s="327"/>
      <c r="AQ163" s="327"/>
      <c r="AR163" s="327"/>
      <c r="AS163" s="327"/>
      <c r="AT163" s="327"/>
      <c r="AU163" s="327"/>
      <c r="AV163" s="328">
        <f t="shared" si="166"/>
        <v>0</v>
      </c>
      <c r="AW163" s="328">
        <f t="shared" si="167"/>
        <v>0</v>
      </c>
      <c r="AX163" s="328">
        <f t="shared" si="168"/>
        <v>0</v>
      </c>
      <c r="AY163" s="328" t="b">
        <f t="shared" si="147"/>
        <v>0</v>
      </c>
    </row>
    <row r="164" ht="27" customHeight="1" spans="1:51">
      <c r="A164" s="326" t="str">
        <f>INDEX('Rate Card'!$A:$A,MATCH($S164,'Rate Card'!$F:$F,0))</f>
        <v>注册</v>
      </c>
      <c r="B164" s="327" t="str">
        <f>INDEX(二三级标准!$G:$G,MATCH($J164,二三级标准!B:B,0))</f>
        <v>份</v>
      </c>
      <c r="C164" s="327">
        <f>INDEX(注册申报明细!$E:$E,MATCH($J164,注册申报明细!$B:$B,0))</f>
        <v>0</v>
      </c>
      <c r="D164" s="327" t="str">
        <f t="shared" si="159"/>
        <v>A315RAD</v>
      </c>
      <c r="E164" s="328"/>
      <c r="F164" s="328" t="s">
        <v>684</v>
      </c>
      <c r="G164" s="326" t="str">
        <f>INDEX('Rate Card'!$B:$B,MATCH($S164,'Rate Card'!$F:$F,0))</f>
        <v>注册</v>
      </c>
      <c r="H164" s="328" t="s">
        <v>1983</v>
      </c>
      <c r="I164" s="328" t="str">
        <f>INDEX(二三级标准!$Q:$Q,MATCH($H164,二三级标准!$O:$O,0))</f>
        <v>NDA申报资料准备</v>
      </c>
      <c r="J164" s="328" t="s">
        <v>2015</v>
      </c>
      <c r="K164" s="328" t="str">
        <f>INDEX(二三级标准!$C:$C,MATCH(注册申报底表!J164,二三级标准!$B:$B,0))</f>
        <v>5.1 模块5目录</v>
      </c>
      <c r="L164" s="328" t="s">
        <v>2159</v>
      </c>
      <c r="M164" s="328" t="str">
        <f>INDEX(二三级标准!$M:$M,MATCH(注册申报底表!$L164,二三级标准!$L:$L,0))</f>
        <v>5.1 模块5目录审核</v>
      </c>
      <c r="N164" s="328"/>
      <c r="O164" s="327">
        <f>IF($Q164=1,INDEX(注册申报明细!$E:$E,MATCH(注册申报底表!$J164,注册申报明细!$B:$B,0)),0)</f>
        <v>0</v>
      </c>
      <c r="P164" s="328" t="str">
        <f t="shared" si="158"/>
        <v>份</v>
      </c>
      <c r="Q164" s="329">
        <f>INDEX(注册申报明细!$D:$D,MATCH($J164,注册申报明细!$B:$B,0))</f>
        <v>0</v>
      </c>
      <c r="R164" s="328" t="str">
        <f>INDEX('Rate Card'!$D:$D,MATCH($S164,'Rate Card'!$F:$F,0))</f>
        <v>注册事务</v>
      </c>
      <c r="S164" s="328" t="s">
        <v>609</v>
      </c>
      <c r="T164" s="331">
        <f>INDEX('Rate Card'!$J:$J,MATCH($S164,'Rate Card'!$F:$F,0))</f>
        <v>990</v>
      </c>
      <c r="U164" s="331">
        <f t="shared" si="160"/>
        <v>0.1</v>
      </c>
      <c r="V164" s="327">
        <v>0.1</v>
      </c>
      <c r="W164" s="328"/>
      <c r="X164" s="332">
        <f t="shared" si="161"/>
        <v>0.1</v>
      </c>
      <c r="Y164" s="333">
        <f t="shared" si="162"/>
        <v>0</v>
      </c>
      <c r="Z164" s="328">
        <f t="shared" si="163"/>
        <v>0</v>
      </c>
      <c r="AA164" s="334">
        <f t="shared" si="164"/>
        <v>0</v>
      </c>
      <c r="AB164" s="334">
        <f>$Y164*(1-INDEX(项目参数!$D$5:$D$15,MATCH($R164,项目参数!$B$5:$B$15,0)))</f>
        <v>0</v>
      </c>
      <c r="AC164" s="334">
        <f>$AA164*INDEX(项目参数!$D$5:$D$15,MATCH($R164,项目参数!$B$5:$B$15,0))</f>
        <v>0</v>
      </c>
      <c r="AD164" s="334">
        <f t="shared" si="165"/>
        <v>0</v>
      </c>
      <c r="AE164" s="328"/>
      <c r="AF164" s="328"/>
      <c r="AG164" s="327"/>
      <c r="AH164" s="327"/>
      <c r="AI164" s="327"/>
      <c r="AJ164" s="327"/>
      <c r="AK164" s="327"/>
      <c r="AL164" s="327"/>
      <c r="AM164" s="327"/>
      <c r="AN164" s="328"/>
      <c r="AO164" s="327"/>
      <c r="AP164" s="327"/>
      <c r="AQ164" s="327"/>
      <c r="AR164" s="327"/>
      <c r="AS164" s="327"/>
      <c r="AT164" s="327"/>
      <c r="AU164" s="327"/>
      <c r="AV164" s="328">
        <f t="shared" si="166"/>
        <v>0</v>
      </c>
      <c r="AW164" s="328">
        <f t="shared" si="167"/>
        <v>0</v>
      </c>
      <c r="AX164" s="328">
        <f t="shared" si="168"/>
        <v>0</v>
      </c>
      <c r="AY164" s="328" t="b">
        <f t="shared" ref="AY164:AY203" si="169">IF(J164&lt;&gt;J163,IF(AY163=TRUE,FALSE,TRUE),AY163)</f>
        <v>0</v>
      </c>
    </row>
    <row r="165" ht="27" customHeight="1" spans="1:51">
      <c r="A165" s="326" t="str">
        <f>INDEX('Rate Card'!$A:$A,MATCH($S165,'Rate Card'!$F:$F,0))</f>
        <v>注册</v>
      </c>
      <c r="B165" s="327" t="str">
        <f>INDEX(二三级标准!$G:$G,MATCH($J165,二三级标准!B:B,0))</f>
        <v>份</v>
      </c>
      <c r="C165" s="327">
        <f>INDEX(注册申报明细!$E:$E,MATCH($J165,注册申报明细!$B:$B,0))</f>
        <v>0</v>
      </c>
      <c r="D165" s="327" t="str">
        <f t="shared" si="159"/>
        <v>A316RAM</v>
      </c>
      <c r="E165" s="328"/>
      <c r="F165" s="328" t="s">
        <v>684</v>
      </c>
      <c r="G165" s="326" t="str">
        <f>INDEX('Rate Card'!$B:$B,MATCH($S165,'Rate Card'!$F:$F,0))</f>
        <v>注册</v>
      </c>
      <c r="H165" s="328" t="s">
        <v>1983</v>
      </c>
      <c r="I165" s="328" t="str">
        <f>INDEX(二三级标准!$Q:$Q,MATCH($H165,二三级标准!$O:$O,0))</f>
        <v>NDA申报资料准备</v>
      </c>
      <c r="J165" s="328" t="s">
        <v>2016</v>
      </c>
      <c r="K165" s="328" t="str">
        <f>INDEX(二三级标准!$C:$C,MATCH(注册申报底表!J165,二三级标准!$B:$B,0))</f>
        <v>5.2 所有临床研究列表</v>
      </c>
      <c r="L165" s="328" t="s">
        <v>2160</v>
      </c>
      <c r="M165" s="328" t="str">
        <f>INDEX(二三级标准!$M:$M,MATCH(注册申报底表!$L165,二三级标准!$L:$L,0))</f>
        <v>5.2 所有临床研究列表撰写</v>
      </c>
      <c r="N165" s="328"/>
      <c r="O165" s="327">
        <f>IF($Q165=1,INDEX(注册申报明细!$E:$E,MATCH(注册申报底表!$J165,注册申报明细!$B:$B,0)),0)</f>
        <v>0</v>
      </c>
      <c r="P165" s="328" t="str">
        <f t="shared" si="158"/>
        <v>份</v>
      </c>
      <c r="Q165" s="329">
        <f>INDEX(注册申报明细!$D:$D,MATCH($J165,注册申报明细!$B:$B,0))</f>
        <v>0</v>
      </c>
      <c r="R165" s="328" t="str">
        <f>INDEX('Rate Card'!$D:$D,MATCH($S165,'Rate Card'!$F:$F,0))</f>
        <v>注册事务</v>
      </c>
      <c r="S165" s="328" t="s">
        <v>607</v>
      </c>
      <c r="T165" s="331">
        <f>INDEX('Rate Card'!$J:$J,MATCH($S165,'Rate Card'!$F:$F,0))</f>
        <v>650</v>
      </c>
      <c r="U165" s="331">
        <f t="shared" si="160"/>
        <v>2</v>
      </c>
      <c r="V165" s="327">
        <v>2</v>
      </c>
      <c r="W165" s="328"/>
      <c r="X165" s="332">
        <f t="shared" si="161"/>
        <v>2</v>
      </c>
      <c r="Y165" s="333">
        <f t="shared" si="162"/>
        <v>0</v>
      </c>
      <c r="Z165" s="328">
        <f t="shared" si="163"/>
        <v>0</v>
      </c>
      <c r="AA165" s="334">
        <f t="shared" si="164"/>
        <v>0</v>
      </c>
      <c r="AB165" s="334">
        <f>$Y165*(1-INDEX(项目参数!$D$5:$D$15,MATCH($R165,项目参数!$B$5:$B$15,0)))</f>
        <v>0</v>
      </c>
      <c r="AC165" s="334">
        <f>$AA165*INDEX(项目参数!$D$5:$D$15,MATCH($R165,项目参数!$B$5:$B$15,0))</f>
        <v>0</v>
      </c>
      <c r="AD165" s="334">
        <f t="shared" si="165"/>
        <v>0</v>
      </c>
      <c r="AE165" s="328"/>
      <c r="AF165" s="328"/>
      <c r="AG165" s="327"/>
      <c r="AH165" s="327"/>
      <c r="AI165" s="327"/>
      <c r="AJ165" s="327"/>
      <c r="AK165" s="327"/>
      <c r="AL165" s="327"/>
      <c r="AM165" s="327"/>
      <c r="AN165" s="328"/>
      <c r="AO165" s="327"/>
      <c r="AP165" s="327"/>
      <c r="AQ165" s="327"/>
      <c r="AR165" s="327"/>
      <c r="AS165" s="327"/>
      <c r="AT165" s="327"/>
      <c r="AU165" s="327"/>
      <c r="AV165" s="328">
        <f t="shared" si="166"/>
        <v>0</v>
      </c>
      <c r="AW165" s="328">
        <f t="shared" si="167"/>
        <v>0</v>
      </c>
      <c r="AX165" s="328">
        <f t="shared" si="168"/>
        <v>0</v>
      </c>
      <c r="AY165" s="328" t="b">
        <f t="shared" si="169"/>
        <v>1</v>
      </c>
    </row>
    <row r="166" ht="27" customHeight="1" spans="1:51">
      <c r="A166" s="326" t="str">
        <f>INDEX('Rate Card'!$A:$A,MATCH($S166,'Rate Card'!$F:$F,0))</f>
        <v>注册</v>
      </c>
      <c r="B166" s="327" t="str">
        <f>INDEX(二三级标准!$G:$G,MATCH($J166,二三级标准!B:B,0))</f>
        <v>份</v>
      </c>
      <c r="C166" s="327">
        <f>INDEX(注册申报明细!$E:$E,MATCH($J166,注册申报明细!$B:$B,0))</f>
        <v>0</v>
      </c>
      <c r="D166" s="327" t="str">
        <f t="shared" si="159"/>
        <v>A316RAD</v>
      </c>
      <c r="E166" s="328"/>
      <c r="F166" s="328" t="s">
        <v>684</v>
      </c>
      <c r="G166" s="326" t="str">
        <f>INDEX('Rate Card'!$B:$B,MATCH($S166,'Rate Card'!$F:$F,0))</f>
        <v>注册</v>
      </c>
      <c r="H166" s="328" t="s">
        <v>1983</v>
      </c>
      <c r="I166" s="328" t="str">
        <f>INDEX(二三级标准!$Q:$Q,MATCH($H166,二三级标准!$O:$O,0))</f>
        <v>NDA申报资料准备</v>
      </c>
      <c r="J166" s="328" t="s">
        <v>2016</v>
      </c>
      <c r="K166" s="328" t="str">
        <f>INDEX(二三级标准!$C:$C,MATCH(注册申报底表!J166,二三级标准!$B:$B,0))</f>
        <v>5.2 所有临床研究列表</v>
      </c>
      <c r="L166" s="328" t="s">
        <v>2161</v>
      </c>
      <c r="M166" s="328" t="str">
        <f>INDEX(二三级标准!$M:$M,MATCH(注册申报底表!$L166,二三级标准!$L:$L,0))</f>
        <v>5.2 所有临床研究列表审核</v>
      </c>
      <c r="N166" s="328"/>
      <c r="O166" s="327">
        <f>IF($Q166=1,INDEX(注册申报明细!$E:$E,MATCH(注册申报底表!$J166,注册申报明细!$B:$B,0)),0)</f>
        <v>0</v>
      </c>
      <c r="P166" s="328" t="str">
        <f t="shared" si="158"/>
        <v>份</v>
      </c>
      <c r="Q166" s="329">
        <f>INDEX(注册申报明细!$D:$D,MATCH($J166,注册申报明细!$B:$B,0))</f>
        <v>0</v>
      </c>
      <c r="R166" s="328" t="str">
        <f>INDEX('Rate Card'!$D:$D,MATCH($S166,'Rate Card'!$F:$F,0))</f>
        <v>注册事务</v>
      </c>
      <c r="S166" s="328" t="s">
        <v>609</v>
      </c>
      <c r="T166" s="331">
        <f>INDEX('Rate Card'!$J:$J,MATCH($S166,'Rate Card'!$F:$F,0))</f>
        <v>990</v>
      </c>
      <c r="U166" s="331">
        <f t="shared" si="160"/>
        <v>1</v>
      </c>
      <c r="V166" s="327">
        <v>1</v>
      </c>
      <c r="W166" s="328"/>
      <c r="X166" s="332">
        <f t="shared" si="161"/>
        <v>1</v>
      </c>
      <c r="Y166" s="333">
        <f t="shared" si="162"/>
        <v>0</v>
      </c>
      <c r="Z166" s="328">
        <f t="shared" si="163"/>
        <v>0</v>
      </c>
      <c r="AA166" s="334">
        <f t="shared" si="164"/>
        <v>0</v>
      </c>
      <c r="AB166" s="334">
        <f>$Y166*(1-INDEX(项目参数!$D$5:$D$15,MATCH($R166,项目参数!$B$5:$B$15,0)))</f>
        <v>0</v>
      </c>
      <c r="AC166" s="334">
        <f>$AA166*INDEX(项目参数!$D$5:$D$15,MATCH($R166,项目参数!$B$5:$B$15,0))</f>
        <v>0</v>
      </c>
      <c r="AD166" s="334">
        <f t="shared" si="165"/>
        <v>0</v>
      </c>
      <c r="AE166" s="328"/>
      <c r="AF166" s="328"/>
      <c r="AG166" s="327"/>
      <c r="AH166" s="327"/>
      <c r="AI166" s="327"/>
      <c r="AJ166" s="327"/>
      <c r="AK166" s="327"/>
      <c r="AL166" s="327"/>
      <c r="AM166" s="327"/>
      <c r="AN166" s="328"/>
      <c r="AO166" s="327"/>
      <c r="AP166" s="327"/>
      <c r="AQ166" s="327"/>
      <c r="AR166" s="327"/>
      <c r="AS166" s="327"/>
      <c r="AT166" s="327"/>
      <c r="AU166" s="327"/>
      <c r="AV166" s="328">
        <f t="shared" si="166"/>
        <v>0</v>
      </c>
      <c r="AW166" s="328">
        <f t="shared" si="167"/>
        <v>0</v>
      </c>
      <c r="AX166" s="328">
        <f t="shared" si="168"/>
        <v>0</v>
      </c>
      <c r="AY166" s="328" t="b">
        <f t="shared" si="169"/>
        <v>1</v>
      </c>
    </row>
    <row r="167" ht="27" customHeight="1" spans="1:51">
      <c r="A167" s="326" t="str">
        <f>INDEX('Rate Card'!$A:$A,MATCH($S167,'Rate Card'!$F:$F,0))</f>
        <v>注册</v>
      </c>
      <c r="B167" s="327" t="str">
        <f>INDEX(二三级标准!$G:$G,MATCH($J167,二三级标准!B:B,0))</f>
        <v>份</v>
      </c>
      <c r="C167" s="327">
        <f>INDEX(注册申报明细!$E:$E,MATCH($J167,注册申报明细!$B:$B,0))</f>
        <v>0</v>
      </c>
      <c r="D167" s="327" t="str">
        <f t="shared" si="159"/>
        <v>A317RAM</v>
      </c>
      <c r="E167" s="328"/>
      <c r="F167" s="328" t="s">
        <v>684</v>
      </c>
      <c r="G167" s="326" t="str">
        <f>INDEX('Rate Card'!$B:$B,MATCH($S167,'Rate Card'!$F:$F,0))</f>
        <v>注册</v>
      </c>
      <c r="H167" s="328" t="s">
        <v>1983</v>
      </c>
      <c r="I167" s="328" t="str">
        <f>INDEX(二三级标准!$Q:$Q,MATCH($H167,二三级标准!$O:$O,0))</f>
        <v>NDA申报资料准备</v>
      </c>
      <c r="J167" s="328" t="s">
        <v>2017</v>
      </c>
      <c r="K167" s="328" t="str">
        <f>INDEX(二三级标准!$C:$C,MATCH(注册申报底表!J167,二三级标准!$B:$B,0))</f>
        <v>5.3 临床研究报告</v>
      </c>
      <c r="L167" s="328" t="s">
        <v>2162</v>
      </c>
      <c r="M167" s="328" t="str">
        <f>INDEX(二三级标准!$M:$M,MATCH(注册申报底表!$L167,二三级标准!$L:$L,0))</f>
        <v>5.3 临床研究报告撰写</v>
      </c>
      <c r="N167" s="328"/>
      <c r="O167" s="327">
        <f>IF($Q167=1,INDEX(注册申报明细!$E:$E,MATCH(注册申报底表!$J167,注册申报明细!$B:$B,0)),0)</f>
        <v>0</v>
      </c>
      <c r="P167" s="328" t="str">
        <f t="shared" si="158"/>
        <v>份</v>
      </c>
      <c r="Q167" s="329">
        <f>INDEX(注册申报明细!$D:$D,MATCH($J167,注册申报明细!$B:$B,0))</f>
        <v>0</v>
      </c>
      <c r="R167" s="328" t="str">
        <f>INDEX('Rate Card'!$D:$D,MATCH($S167,'Rate Card'!$F:$F,0))</f>
        <v>注册事务</v>
      </c>
      <c r="S167" s="328" t="s">
        <v>607</v>
      </c>
      <c r="T167" s="331">
        <f>INDEX('Rate Card'!$J:$J,MATCH($S167,'Rate Card'!$F:$F,0))</f>
        <v>650</v>
      </c>
      <c r="U167" s="331">
        <f t="shared" si="160"/>
        <v>8</v>
      </c>
      <c r="V167" s="327">
        <v>8</v>
      </c>
      <c r="W167" s="328"/>
      <c r="X167" s="332">
        <f t="shared" si="161"/>
        <v>8</v>
      </c>
      <c r="Y167" s="333">
        <f t="shared" si="162"/>
        <v>0</v>
      </c>
      <c r="Z167" s="328">
        <f t="shared" si="163"/>
        <v>0</v>
      </c>
      <c r="AA167" s="334">
        <f t="shared" si="164"/>
        <v>0</v>
      </c>
      <c r="AB167" s="334">
        <f>$Y167*(1-INDEX(项目参数!$D$5:$D$15,MATCH($R167,项目参数!$B$5:$B$15,0)))</f>
        <v>0</v>
      </c>
      <c r="AC167" s="334">
        <f>$AA167*INDEX(项目参数!$D$5:$D$15,MATCH($R167,项目参数!$B$5:$B$15,0))</f>
        <v>0</v>
      </c>
      <c r="AD167" s="334">
        <f t="shared" si="165"/>
        <v>0</v>
      </c>
      <c r="AE167" s="328"/>
      <c r="AF167" s="328"/>
      <c r="AG167" s="327"/>
      <c r="AH167" s="327"/>
      <c r="AI167" s="327"/>
      <c r="AJ167" s="327"/>
      <c r="AK167" s="327"/>
      <c r="AL167" s="327"/>
      <c r="AM167" s="327"/>
      <c r="AN167" s="328"/>
      <c r="AO167" s="327"/>
      <c r="AP167" s="327"/>
      <c r="AQ167" s="327"/>
      <c r="AR167" s="327"/>
      <c r="AS167" s="327"/>
      <c r="AT167" s="327"/>
      <c r="AU167" s="327"/>
      <c r="AV167" s="328">
        <f t="shared" si="166"/>
        <v>0</v>
      </c>
      <c r="AW167" s="328">
        <f t="shared" si="167"/>
        <v>0</v>
      </c>
      <c r="AX167" s="328">
        <f t="shared" si="168"/>
        <v>0</v>
      </c>
      <c r="AY167" s="328" t="b">
        <f t="shared" si="169"/>
        <v>0</v>
      </c>
    </row>
    <row r="168" ht="27" customHeight="1" spans="1:51">
      <c r="A168" s="326" t="str">
        <f>INDEX('Rate Card'!$A:$A,MATCH($S168,'Rate Card'!$F:$F,0))</f>
        <v>注册</v>
      </c>
      <c r="B168" s="327" t="str">
        <f>INDEX(二三级标准!$G:$G,MATCH($J168,二三级标准!B:B,0))</f>
        <v>份</v>
      </c>
      <c r="C168" s="327">
        <f>INDEX(注册申报明细!$E:$E,MATCH($J168,注册申报明细!$B:$B,0))</f>
        <v>0</v>
      </c>
      <c r="D168" s="327" t="str">
        <f t="shared" si="159"/>
        <v>A317RAD</v>
      </c>
      <c r="E168" s="328"/>
      <c r="F168" s="328" t="s">
        <v>684</v>
      </c>
      <c r="G168" s="326" t="str">
        <f>INDEX('Rate Card'!$B:$B,MATCH($S168,'Rate Card'!$F:$F,0))</f>
        <v>注册</v>
      </c>
      <c r="H168" s="328" t="s">
        <v>1983</v>
      </c>
      <c r="I168" s="328" t="str">
        <f>INDEX(二三级标准!$Q:$Q,MATCH($H168,二三级标准!$O:$O,0))</f>
        <v>NDA申报资料准备</v>
      </c>
      <c r="J168" s="328" t="s">
        <v>2017</v>
      </c>
      <c r="K168" s="328" t="str">
        <f>INDEX(二三级标准!$C:$C,MATCH(注册申报底表!J168,二三级标准!$B:$B,0))</f>
        <v>5.3 临床研究报告</v>
      </c>
      <c r="L168" s="328" t="s">
        <v>2163</v>
      </c>
      <c r="M168" s="328" t="str">
        <f>INDEX(二三级标准!$M:$M,MATCH(注册申报底表!$L168,二三级标准!$L:$L,0))</f>
        <v>5.3 临床研究报告审核</v>
      </c>
      <c r="N168" s="328"/>
      <c r="O168" s="327">
        <f>IF($Q168=1,INDEX(注册申报明细!$E:$E,MATCH(注册申报底表!$J168,注册申报明细!$B:$B,0)),0)</f>
        <v>0</v>
      </c>
      <c r="P168" s="328" t="str">
        <f t="shared" si="158"/>
        <v>份</v>
      </c>
      <c r="Q168" s="329">
        <f>INDEX(注册申报明细!$D:$D,MATCH($J168,注册申报明细!$B:$B,0))</f>
        <v>0</v>
      </c>
      <c r="R168" s="328" t="str">
        <f>INDEX('Rate Card'!$D:$D,MATCH($S168,'Rate Card'!$F:$F,0))</f>
        <v>注册事务</v>
      </c>
      <c r="S168" s="328" t="s">
        <v>609</v>
      </c>
      <c r="T168" s="331">
        <f>INDEX('Rate Card'!$J:$J,MATCH($S168,'Rate Card'!$F:$F,0))</f>
        <v>990</v>
      </c>
      <c r="U168" s="331">
        <f t="shared" si="160"/>
        <v>2</v>
      </c>
      <c r="V168" s="327">
        <v>2</v>
      </c>
      <c r="W168" s="328"/>
      <c r="X168" s="332">
        <f t="shared" si="161"/>
        <v>2</v>
      </c>
      <c r="Y168" s="333">
        <f t="shared" si="162"/>
        <v>0</v>
      </c>
      <c r="Z168" s="328">
        <f t="shared" si="163"/>
        <v>0</v>
      </c>
      <c r="AA168" s="334">
        <f t="shared" si="164"/>
        <v>0</v>
      </c>
      <c r="AB168" s="334">
        <f>$Y168*(1-INDEX(项目参数!$D$5:$D$15,MATCH($R168,项目参数!$B$5:$B$15,0)))</f>
        <v>0</v>
      </c>
      <c r="AC168" s="334">
        <f>$AA168*INDEX(项目参数!$D$5:$D$15,MATCH($R168,项目参数!$B$5:$B$15,0))</f>
        <v>0</v>
      </c>
      <c r="AD168" s="334">
        <f t="shared" si="165"/>
        <v>0</v>
      </c>
      <c r="AE168" s="328"/>
      <c r="AF168" s="328"/>
      <c r="AG168" s="327"/>
      <c r="AH168" s="327"/>
      <c r="AI168" s="327"/>
      <c r="AJ168" s="327"/>
      <c r="AK168" s="327"/>
      <c r="AL168" s="327"/>
      <c r="AM168" s="327"/>
      <c r="AN168" s="328"/>
      <c r="AO168" s="327"/>
      <c r="AP168" s="327"/>
      <c r="AQ168" s="327"/>
      <c r="AR168" s="327"/>
      <c r="AS168" s="327"/>
      <c r="AT168" s="327"/>
      <c r="AU168" s="327"/>
      <c r="AV168" s="328">
        <f t="shared" si="166"/>
        <v>0</v>
      </c>
      <c r="AW168" s="328">
        <f t="shared" si="167"/>
        <v>0</v>
      </c>
      <c r="AX168" s="328">
        <f t="shared" si="168"/>
        <v>0</v>
      </c>
      <c r="AY168" s="328" t="b">
        <f t="shared" si="169"/>
        <v>0</v>
      </c>
    </row>
    <row r="169" ht="27" customHeight="1" spans="1:51">
      <c r="A169" s="326" t="str">
        <f>INDEX('Rate Card'!$A:$A,MATCH($S169,'Rate Card'!$F:$F,0))</f>
        <v>注册</v>
      </c>
      <c r="B169" s="327" t="str">
        <f>INDEX(二三级标准!$G:$G,MATCH($J169,二三级标准!B:B,0))</f>
        <v>份</v>
      </c>
      <c r="C169" s="327">
        <f>INDEX(注册申报明细!$E:$E,MATCH($J169,注册申报明细!$B:$B,0))</f>
        <v>0</v>
      </c>
      <c r="D169" s="327" t="str">
        <f t="shared" si="159"/>
        <v>A318RAM</v>
      </c>
      <c r="E169" s="328"/>
      <c r="F169" s="328" t="s">
        <v>684</v>
      </c>
      <c r="G169" s="326" t="str">
        <f>INDEX('Rate Card'!$B:$B,MATCH($S169,'Rate Card'!$F:$F,0))</f>
        <v>注册</v>
      </c>
      <c r="H169" s="328" t="s">
        <v>1983</v>
      </c>
      <c r="I169" s="328" t="str">
        <f>INDEX(二三级标准!$Q:$Q,MATCH($H169,二三级标准!$O:$O,0))</f>
        <v>NDA申报资料准备</v>
      </c>
      <c r="J169" s="328" t="s">
        <v>2018</v>
      </c>
      <c r="K169" s="328" t="str">
        <f>INDEX(二三级标准!$C:$C,MATCH(注册申报底表!J169,二三级标准!$B:$B,0))</f>
        <v>5.4 参考文献</v>
      </c>
      <c r="L169" s="328" t="s">
        <v>2164</v>
      </c>
      <c r="M169" s="328" t="str">
        <f>INDEX(二三级标准!$M:$M,MATCH(注册申报底表!$L169,二三级标准!$L:$L,0))</f>
        <v>5.4 参考文献撰写</v>
      </c>
      <c r="N169" s="328"/>
      <c r="O169" s="327">
        <f>IF($Q169=1,INDEX(注册申报明细!$E:$E,MATCH(注册申报底表!$J169,注册申报明细!$B:$B,0)),0)</f>
        <v>0</v>
      </c>
      <c r="P169" s="328" t="str">
        <f t="shared" si="158"/>
        <v>份</v>
      </c>
      <c r="Q169" s="329">
        <f>INDEX(注册申报明细!$D:$D,MATCH($J169,注册申报明细!$B:$B,0))</f>
        <v>0</v>
      </c>
      <c r="R169" s="328" t="str">
        <f>INDEX('Rate Card'!$D:$D,MATCH($S169,'Rate Card'!$F:$F,0))</f>
        <v>注册事务</v>
      </c>
      <c r="S169" s="328" t="s">
        <v>607</v>
      </c>
      <c r="T169" s="331">
        <f>INDEX('Rate Card'!$J:$J,MATCH($S169,'Rate Card'!$F:$F,0))</f>
        <v>650</v>
      </c>
      <c r="U169" s="331">
        <f t="shared" si="160"/>
        <v>4</v>
      </c>
      <c r="V169" s="327">
        <v>4</v>
      </c>
      <c r="W169" s="328"/>
      <c r="X169" s="332">
        <f t="shared" si="161"/>
        <v>4</v>
      </c>
      <c r="Y169" s="333">
        <f t="shared" si="162"/>
        <v>0</v>
      </c>
      <c r="Z169" s="328">
        <f t="shared" si="163"/>
        <v>0</v>
      </c>
      <c r="AA169" s="334">
        <f t="shared" si="164"/>
        <v>0</v>
      </c>
      <c r="AB169" s="334">
        <f>$Y169*(1-INDEX(项目参数!$D$5:$D$15,MATCH($R169,项目参数!$B$5:$B$15,0)))</f>
        <v>0</v>
      </c>
      <c r="AC169" s="334">
        <f>$AA169*INDEX(项目参数!$D$5:$D$15,MATCH($R169,项目参数!$B$5:$B$15,0))</f>
        <v>0</v>
      </c>
      <c r="AD169" s="334">
        <f t="shared" si="165"/>
        <v>0</v>
      </c>
      <c r="AE169" s="328"/>
      <c r="AF169" s="328"/>
      <c r="AG169" s="327"/>
      <c r="AH169" s="327"/>
      <c r="AI169" s="327"/>
      <c r="AJ169" s="327"/>
      <c r="AK169" s="327"/>
      <c r="AL169" s="327"/>
      <c r="AM169" s="327"/>
      <c r="AN169" s="328"/>
      <c r="AO169" s="327"/>
      <c r="AP169" s="327"/>
      <c r="AQ169" s="327"/>
      <c r="AR169" s="327"/>
      <c r="AS169" s="327"/>
      <c r="AT169" s="327"/>
      <c r="AU169" s="327"/>
      <c r="AV169" s="328">
        <f t="shared" si="166"/>
        <v>0</v>
      </c>
      <c r="AW169" s="328">
        <f t="shared" si="167"/>
        <v>0</v>
      </c>
      <c r="AX169" s="328">
        <f t="shared" si="168"/>
        <v>0</v>
      </c>
      <c r="AY169" s="328" t="b">
        <f t="shared" si="169"/>
        <v>1</v>
      </c>
    </row>
    <row r="170" ht="27" customHeight="1" spans="1:51">
      <c r="A170" s="326" t="str">
        <f>INDEX('Rate Card'!$A:$A,MATCH($S170,'Rate Card'!$F:$F,0))</f>
        <v>注册</v>
      </c>
      <c r="B170" s="327" t="str">
        <f>INDEX(二三级标准!$G:$G,MATCH($J170,二三级标准!B:B,0))</f>
        <v>份</v>
      </c>
      <c r="C170" s="327">
        <f>INDEX(注册申报明细!$E:$E,MATCH($J170,注册申报明细!$B:$B,0))</f>
        <v>0</v>
      </c>
      <c r="D170" s="327" t="str">
        <f t="shared" si="159"/>
        <v>A318RAD</v>
      </c>
      <c r="E170" s="328"/>
      <c r="F170" s="328" t="s">
        <v>684</v>
      </c>
      <c r="G170" s="326" t="str">
        <f>INDEX('Rate Card'!$B:$B,MATCH($S170,'Rate Card'!$F:$F,0))</f>
        <v>注册</v>
      </c>
      <c r="H170" s="328" t="s">
        <v>1983</v>
      </c>
      <c r="I170" s="328" t="str">
        <f>INDEX(二三级标准!$Q:$Q,MATCH($H170,二三级标准!$O:$O,0))</f>
        <v>NDA申报资料准备</v>
      </c>
      <c r="J170" s="328" t="s">
        <v>2018</v>
      </c>
      <c r="K170" s="328" t="str">
        <f>INDEX(二三级标准!$C:$C,MATCH(注册申报底表!J170,二三级标准!$B:$B,0))</f>
        <v>5.4 参考文献</v>
      </c>
      <c r="L170" s="328" t="s">
        <v>2165</v>
      </c>
      <c r="M170" s="328" t="str">
        <f>INDEX(二三级标准!$M:$M,MATCH(注册申报底表!$L170,二三级标准!$L:$L,0))</f>
        <v>5.4 参考文献审核</v>
      </c>
      <c r="N170" s="328"/>
      <c r="O170" s="327">
        <f>IF($Q170=1,INDEX(注册申报明细!$E:$E,MATCH(注册申报底表!$J170,注册申报明细!$B:$B,0)),0)</f>
        <v>0</v>
      </c>
      <c r="P170" s="328" t="str">
        <f t="shared" ref="P170:P203" si="170">B170</f>
        <v>份</v>
      </c>
      <c r="Q170" s="329">
        <f>INDEX(注册申报明细!$D:$D,MATCH($J170,注册申报明细!$B:$B,0))</f>
        <v>0</v>
      </c>
      <c r="R170" s="328" t="str">
        <f>INDEX('Rate Card'!$D:$D,MATCH($S170,'Rate Card'!$F:$F,0))</f>
        <v>注册事务</v>
      </c>
      <c r="S170" s="328" t="s">
        <v>609</v>
      </c>
      <c r="T170" s="331">
        <f>INDEX('Rate Card'!$J:$J,MATCH($S170,'Rate Card'!$F:$F,0))</f>
        <v>990</v>
      </c>
      <c r="U170" s="331">
        <f t="shared" si="160"/>
        <v>2</v>
      </c>
      <c r="V170" s="327">
        <v>2</v>
      </c>
      <c r="W170" s="328"/>
      <c r="X170" s="332">
        <f t="shared" si="161"/>
        <v>2</v>
      </c>
      <c r="Y170" s="333">
        <f t="shared" si="162"/>
        <v>0</v>
      </c>
      <c r="Z170" s="328">
        <f t="shared" si="163"/>
        <v>0</v>
      </c>
      <c r="AA170" s="334">
        <f t="shared" si="164"/>
        <v>0</v>
      </c>
      <c r="AB170" s="334">
        <f>$Y170*(1-INDEX(项目参数!$D$5:$D$15,MATCH($R170,项目参数!$B$5:$B$15,0)))</f>
        <v>0</v>
      </c>
      <c r="AC170" s="334">
        <f>$AA170*INDEX(项目参数!$D$5:$D$15,MATCH($R170,项目参数!$B$5:$B$15,0))</f>
        <v>0</v>
      </c>
      <c r="AD170" s="334">
        <f t="shared" si="165"/>
        <v>0</v>
      </c>
      <c r="AE170" s="328"/>
      <c r="AF170" s="328"/>
      <c r="AG170" s="327"/>
      <c r="AH170" s="327"/>
      <c r="AI170" s="327"/>
      <c r="AJ170" s="327"/>
      <c r="AK170" s="327"/>
      <c r="AL170" s="327"/>
      <c r="AM170" s="327"/>
      <c r="AN170" s="328"/>
      <c r="AO170" s="327"/>
      <c r="AP170" s="327"/>
      <c r="AQ170" s="327"/>
      <c r="AR170" s="327"/>
      <c r="AS170" s="327"/>
      <c r="AT170" s="327"/>
      <c r="AU170" s="327"/>
      <c r="AV170" s="328">
        <f t="shared" si="166"/>
        <v>0</v>
      </c>
      <c r="AW170" s="328">
        <f t="shared" si="167"/>
        <v>0</v>
      </c>
      <c r="AX170" s="328">
        <f t="shared" si="168"/>
        <v>0</v>
      </c>
      <c r="AY170" s="328" t="b">
        <f t="shared" si="169"/>
        <v>1</v>
      </c>
    </row>
    <row r="171" ht="27" customHeight="1" spans="1:51">
      <c r="A171" s="326" t="str">
        <f>INDEX('Rate Card'!$A:$A,MATCH($S171,'Rate Card'!$F:$F,0))</f>
        <v>注册</v>
      </c>
      <c r="B171" s="327" t="str">
        <f>INDEX(二三级标准!$G:$G,MATCH($J171,二三级标准!B:B,0))</f>
        <v>次</v>
      </c>
      <c r="C171" s="327">
        <f>INDEX(注册申报明细!$E:$E,MATCH($J171,注册申报明细!$B:$B,0))</f>
        <v>0</v>
      </c>
      <c r="D171" s="327" t="str">
        <f t="shared" si="159"/>
        <v>A319RAM</v>
      </c>
      <c r="E171" s="328"/>
      <c r="F171" s="328" t="s">
        <v>684</v>
      </c>
      <c r="G171" s="326" t="str">
        <f>INDEX('Rate Card'!$B:$B,MATCH($S171,'Rate Card'!$F:$F,0))</f>
        <v>注册</v>
      </c>
      <c r="H171" s="328" t="s">
        <v>2019</v>
      </c>
      <c r="I171" s="328" t="str">
        <f>INDEX(二三级标准!$Q:$Q,MATCH($H171,二三级标准!$O:$O,0))</f>
        <v>项目管理和资料编辑刻盘（NDA)</v>
      </c>
      <c r="J171" s="328" t="s">
        <v>2020</v>
      </c>
      <c r="K171" s="328" t="str">
        <f>INDEX(二三级标准!$C:$C,MATCH(注册申报底表!J171,二三级标准!$B:$B,0))</f>
        <v>项目例会（含会议纪要）</v>
      </c>
      <c r="L171" s="328" t="s">
        <v>2166</v>
      </c>
      <c r="M171" s="328" t="str">
        <f>INDEX(二三级标准!$M:$M,MATCH(注册申报底表!$L171,二三级标准!$L:$L,0))</f>
        <v>项目例会（含会议纪要）准备</v>
      </c>
      <c r="N171" s="328"/>
      <c r="O171" s="327">
        <f>IF($Q171=1,INDEX(注册申报明细!$E:$E,MATCH(注册申报底表!$J171,注册申报明细!$B:$B,0)),0)</f>
        <v>0</v>
      </c>
      <c r="P171" s="328" t="str">
        <f t="shared" si="170"/>
        <v>次</v>
      </c>
      <c r="Q171" s="329">
        <f>INDEX(注册申报明细!$D:$D,MATCH($J171,注册申报明细!$B:$B,0))</f>
        <v>0</v>
      </c>
      <c r="R171" s="328" t="str">
        <f>INDEX('Rate Card'!$D:$D,MATCH($S171,'Rate Card'!$F:$F,0))</f>
        <v>注册事务</v>
      </c>
      <c r="S171" s="328" t="s">
        <v>607</v>
      </c>
      <c r="T171" s="331">
        <f>INDEX('Rate Card'!$J:$J,MATCH($S171,'Rate Card'!$F:$F,0))</f>
        <v>650</v>
      </c>
      <c r="U171" s="331">
        <f t="shared" si="160"/>
        <v>4</v>
      </c>
      <c r="V171" s="327">
        <v>4</v>
      </c>
      <c r="W171" s="328"/>
      <c r="X171" s="332">
        <f t="shared" si="161"/>
        <v>4</v>
      </c>
      <c r="Y171" s="333">
        <f t="shared" si="162"/>
        <v>0</v>
      </c>
      <c r="Z171" s="328">
        <f t="shared" si="163"/>
        <v>0</v>
      </c>
      <c r="AA171" s="334">
        <f t="shared" si="164"/>
        <v>0</v>
      </c>
      <c r="AB171" s="334">
        <f>$Y171*(1-INDEX(项目参数!$D$5:$D$15,MATCH($R171,项目参数!$B$5:$B$15,0)))</f>
        <v>0</v>
      </c>
      <c r="AC171" s="334">
        <f>$AA171*INDEX(项目参数!$D$5:$D$15,MATCH($R171,项目参数!$B$5:$B$15,0))</f>
        <v>0</v>
      </c>
      <c r="AD171" s="334">
        <f t="shared" si="165"/>
        <v>0</v>
      </c>
      <c r="AE171" s="328"/>
      <c r="AF171" s="328"/>
      <c r="AG171" s="327"/>
      <c r="AH171" s="327"/>
      <c r="AI171" s="327"/>
      <c r="AJ171" s="327"/>
      <c r="AK171" s="327"/>
      <c r="AL171" s="327"/>
      <c r="AM171" s="327"/>
      <c r="AN171" s="328"/>
      <c r="AO171" s="327"/>
      <c r="AP171" s="327"/>
      <c r="AQ171" s="327"/>
      <c r="AR171" s="327"/>
      <c r="AS171" s="327"/>
      <c r="AT171" s="327"/>
      <c r="AU171" s="327"/>
      <c r="AV171" s="328">
        <f t="shared" si="166"/>
        <v>0</v>
      </c>
      <c r="AW171" s="328">
        <f t="shared" si="167"/>
        <v>0</v>
      </c>
      <c r="AX171" s="328">
        <f t="shared" si="168"/>
        <v>0</v>
      </c>
      <c r="AY171" s="328" t="b">
        <f t="shared" si="169"/>
        <v>0</v>
      </c>
    </row>
    <row r="172" ht="27" customHeight="1" spans="1:51">
      <c r="A172" s="326" t="str">
        <f>INDEX('Rate Card'!$A:$A,MATCH($S172,'Rate Card'!$F:$F,0))</f>
        <v>注册</v>
      </c>
      <c r="B172" s="327" t="str">
        <f>INDEX(二三级标准!$G:$G,MATCH($J172,二三级标准!B:B,0))</f>
        <v>次</v>
      </c>
      <c r="C172" s="327">
        <f>INDEX(注册申报明细!$E:$E,MATCH($J172,注册申报明细!$B:$B,0))</f>
        <v>0</v>
      </c>
      <c r="D172" s="327" t="str">
        <f t="shared" si="159"/>
        <v>A319RAM</v>
      </c>
      <c r="E172" s="328"/>
      <c r="F172" s="328" t="s">
        <v>684</v>
      </c>
      <c r="G172" s="326" t="str">
        <f>INDEX('Rate Card'!$B:$B,MATCH($S172,'Rate Card'!$F:$F,0))</f>
        <v>注册</v>
      </c>
      <c r="H172" s="328" t="s">
        <v>2019</v>
      </c>
      <c r="I172" s="328" t="str">
        <f>INDEX(二三级标准!$Q:$Q,MATCH($H172,二三级标准!$O:$O,0))</f>
        <v>项目管理和资料编辑刻盘（NDA)</v>
      </c>
      <c r="J172" s="328" t="s">
        <v>2020</v>
      </c>
      <c r="K172" s="328" t="str">
        <f>INDEX(二三级标准!$C:$C,MATCH(注册申报底表!J172,二三级标准!$B:$B,0))</f>
        <v>项目例会（含会议纪要）</v>
      </c>
      <c r="L172" s="328" t="s">
        <v>2167</v>
      </c>
      <c r="M172" s="328" t="str">
        <f>INDEX(二三级标准!$M:$M,MATCH(注册申报底表!$L172,二三级标准!$L:$L,0))</f>
        <v>项目例会参加</v>
      </c>
      <c r="N172" s="328"/>
      <c r="O172" s="327">
        <f>IF($Q172=1,INDEX(注册申报明细!$E:$E,MATCH(注册申报底表!$J172,注册申报明细!$B:$B,0)),0)</f>
        <v>0</v>
      </c>
      <c r="P172" s="328" t="str">
        <f t="shared" si="170"/>
        <v>次</v>
      </c>
      <c r="Q172" s="329">
        <f>INDEX(注册申报明细!$D:$D,MATCH($J172,注册申报明细!$B:$B,0))</f>
        <v>0</v>
      </c>
      <c r="R172" s="328" t="str">
        <f>INDEX('Rate Card'!$D:$D,MATCH($S172,'Rate Card'!$F:$F,0))</f>
        <v>注册事务</v>
      </c>
      <c r="S172" s="328" t="s">
        <v>607</v>
      </c>
      <c r="T172" s="331">
        <f>INDEX('Rate Card'!$J:$J,MATCH($S172,'Rate Card'!$F:$F,0))</f>
        <v>650</v>
      </c>
      <c r="U172" s="331">
        <f t="shared" si="160"/>
        <v>2</v>
      </c>
      <c r="V172" s="327">
        <v>2</v>
      </c>
      <c r="W172" s="328"/>
      <c r="X172" s="332">
        <f t="shared" si="161"/>
        <v>2</v>
      </c>
      <c r="Y172" s="333">
        <f t="shared" si="162"/>
        <v>0</v>
      </c>
      <c r="Z172" s="328">
        <f t="shared" si="163"/>
        <v>0</v>
      </c>
      <c r="AA172" s="334">
        <f t="shared" si="164"/>
        <v>0</v>
      </c>
      <c r="AB172" s="334">
        <f>$Y172*(1-INDEX(项目参数!$D$5:$D$15,MATCH($R172,项目参数!$B$5:$B$15,0)))</f>
        <v>0</v>
      </c>
      <c r="AC172" s="334">
        <f>$AA172*INDEX(项目参数!$D$5:$D$15,MATCH($R172,项目参数!$B$5:$B$15,0))</f>
        <v>0</v>
      </c>
      <c r="AD172" s="334">
        <f t="shared" si="165"/>
        <v>0</v>
      </c>
      <c r="AE172" s="328"/>
      <c r="AF172" s="328"/>
      <c r="AG172" s="327"/>
      <c r="AH172" s="327"/>
      <c r="AI172" s="327"/>
      <c r="AJ172" s="327"/>
      <c r="AK172" s="327"/>
      <c r="AL172" s="327"/>
      <c r="AM172" s="327"/>
      <c r="AN172" s="328"/>
      <c r="AO172" s="327"/>
      <c r="AP172" s="327"/>
      <c r="AQ172" s="327"/>
      <c r="AR172" s="327"/>
      <c r="AS172" s="327"/>
      <c r="AT172" s="327"/>
      <c r="AU172" s="327"/>
      <c r="AV172" s="328">
        <f t="shared" si="166"/>
        <v>0</v>
      </c>
      <c r="AW172" s="328">
        <f t="shared" si="167"/>
        <v>0</v>
      </c>
      <c r="AX172" s="328">
        <f t="shared" si="168"/>
        <v>0</v>
      </c>
      <c r="AY172" s="328" t="b">
        <f t="shared" si="169"/>
        <v>0</v>
      </c>
    </row>
    <row r="173" ht="27" customHeight="1" spans="1:51">
      <c r="A173" s="326" t="str">
        <f>INDEX('Rate Card'!$A:$A,MATCH($S173,'Rate Card'!$F:$F,0))</f>
        <v>注册</v>
      </c>
      <c r="B173" s="327" t="str">
        <f>INDEX(二三级标准!$G:$G,MATCH($J173,二三级标准!B:B,0))</f>
        <v>项目</v>
      </c>
      <c r="C173" s="327">
        <f>INDEX(注册申报明细!$E:$E,MATCH($J173,注册申报明细!$B:$B,0))</f>
        <v>0</v>
      </c>
      <c r="D173" s="327" t="str">
        <f t="shared" ref="D173:D181" si="171">J173&amp;S173</f>
        <v>A320RAM</v>
      </c>
      <c r="E173" s="328"/>
      <c r="F173" s="328" t="s">
        <v>684</v>
      </c>
      <c r="G173" s="326" t="str">
        <f>INDEX('Rate Card'!$B:$B,MATCH($S173,'Rate Card'!$F:$F,0))</f>
        <v>注册</v>
      </c>
      <c r="H173" s="328" t="s">
        <v>2019</v>
      </c>
      <c r="I173" s="328" t="str">
        <f>INDEX(二三级标准!$Q:$Q,MATCH($H173,二三级标准!$O:$O,0))</f>
        <v>项目管理和资料编辑刻盘（NDA)</v>
      </c>
      <c r="J173" s="328" t="s">
        <v>2022</v>
      </c>
      <c r="K173" s="328" t="str">
        <f>INDEX(二三级标准!$C:$C,MATCH(注册申报底表!J173,二三级标准!$B:$B,0))</f>
        <v>电子申报资料整理及刻盘</v>
      </c>
      <c r="L173" s="328" t="s">
        <v>2168</v>
      </c>
      <c r="M173" s="328" t="str">
        <f>INDEX(二三级标准!$M:$M,MATCH(注册申报底表!$L173,二三级标准!$L:$L,0))</f>
        <v>电子申报资料整理及刻盘</v>
      </c>
      <c r="N173" s="328"/>
      <c r="O173" s="327">
        <f>IF($Q173=1,INDEX(注册申报明细!$E:$E,MATCH(注册申报底表!$J173,注册申报明细!$B:$B,0)),0)</f>
        <v>0</v>
      </c>
      <c r="P173" s="328" t="str">
        <f t="shared" si="170"/>
        <v>项目</v>
      </c>
      <c r="Q173" s="329">
        <f>INDEX(注册申报明细!$D:$D,MATCH($J173,注册申报明细!$B:$B,0))</f>
        <v>0</v>
      </c>
      <c r="R173" s="328" t="str">
        <f>INDEX('Rate Card'!$D:$D,MATCH($S173,'Rate Card'!$F:$F,0))</f>
        <v>注册事务</v>
      </c>
      <c r="S173" s="328" t="s">
        <v>607</v>
      </c>
      <c r="T173" s="331">
        <f>INDEX('Rate Card'!$J:$J,MATCH($S173,'Rate Card'!$F:$F,0))</f>
        <v>650</v>
      </c>
      <c r="U173" s="331">
        <f t="shared" ref="U173:U181" si="172">$U$1*V173</f>
        <v>32</v>
      </c>
      <c r="V173" s="327">
        <v>32</v>
      </c>
      <c r="W173" s="328"/>
      <c r="X173" s="332">
        <f t="shared" ref="X173:X181" si="173">IF(ISBLANK($W173),$V173,$W173)</f>
        <v>32</v>
      </c>
      <c r="Y173" s="333">
        <f t="shared" ref="Y173:Y181" si="174">IFERROR(AA173/O173,0)</f>
        <v>0</v>
      </c>
      <c r="Z173" s="328">
        <f t="shared" ref="Z173:Z181" si="175">X173*O173*Q173</f>
        <v>0</v>
      </c>
      <c r="AA173" s="334">
        <f t="shared" ref="AA173:AA181" si="176">Z173*T173</f>
        <v>0</v>
      </c>
      <c r="AB173" s="334">
        <f>$Y173*(1-INDEX(项目参数!$D$5:$D$15,MATCH($R173,项目参数!$B$5:$B$15,0)))</f>
        <v>0</v>
      </c>
      <c r="AC173" s="334">
        <f>$AA173*INDEX(项目参数!$D$5:$D$15,MATCH($R173,项目参数!$B$5:$B$15,0))</f>
        <v>0</v>
      </c>
      <c r="AD173" s="334">
        <f t="shared" ref="AD173:AD181" si="177">AA173-AC173</f>
        <v>0</v>
      </c>
      <c r="AE173" s="328"/>
      <c r="AF173" s="328"/>
      <c r="AG173" s="327"/>
      <c r="AH173" s="327"/>
      <c r="AI173" s="327"/>
      <c r="AJ173" s="327"/>
      <c r="AK173" s="327"/>
      <c r="AL173" s="327"/>
      <c r="AM173" s="327"/>
      <c r="AN173" s="328"/>
      <c r="AO173" s="327"/>
      <c r="AP173" s="327"/>
      <c r="AQ173" s="327"/>
      <c r="AR173" s="327"/>
      <c r="AS173" s="327"/>
      <c r="AT173" s="327"/>
      <c r="AU173" s="327"/>
      <c r="AV173" s="328">
        <f t="shared" ref="AV173:AV181" si="178">Z173</f>
        <v>0</v>
      </c>
      <c r="AW173" s="328">
        <f t="shared" ref="AW173:AW181" si="179">V173*O173</f>
        <v>0</v>
      </c>
      <c r="AX173" s="328">
        <f t="shared" ref="AX173:AX181" si="180">AW173*$U$1</f>
        <v>0</v>
      </c>
      <c r="AY173" s="328" t="b">
        <f t="shared" si="169"/>
        <v>1</v>
      </c>
    </row>
    <row r="174" ht="27" customHeight="1" spans="1:51">
      <c r="A174" s="326" t="str">
        <f>INDEX('Rate Card'!$A:$A,MATCH($S174,'Rate Card'!$F:$F,0))</f>
        <v>注册</v>
      </c>
      <c r="B174" s="327" t="str">
        <f>INDEX(二三级标准!$G:$G,MATCH($J174,二三级标准!B:B,0))</f>
        <v>项目</v>
      </c>
      <c r="C174" s="327">
        <f>INDEX(注册申报明细!$E:$E,MATCH($J174,注册申报明细!$B:$B,0))</f>
        <v>0</v>
      </c>
      <c r="D174" s="327" t="str">
        <f t="shared" si="171"/>
        <v>A321RAM</v>
      </c>
      <c r="E174" s="328"/>
      <c r="F174" s="328" t="s">
        <v>684</v>
      </c>
      <c r="G174" s="326" t="str">
        <f>INDEX('Rate Card'!$B:$B,MATCH($S174,'Rate Card'!$F:$F,0))</f>
        <v>注册</v>
      </c>
      <c r="H174" s="328" t="s">
        <v>2019</v>
      </c>
      <c r="I174" s="328" t="str">
        <f>INDEX(二三级标准!$Q:$Q,MATCH($H174,二三级标准!$O:$O,0))</f>
        <v>项目管理和资料编辑刻盘（NDA)</v>
      </c>
      <c r="J174" s="328" t="s">
        <v>2023</v>
      </c>
      <c r="K174" s="328" t="str">
        <f>INDEX(二三级标准!$C:$C,MATCH(注册申报底表!J174,二三级标准!$B:$B,0))</f>
        <v>电子申报资料递交及跟踪</v>
      </c>
      <c r="L174" s="328" t="s">
        <v>2169</v>
      </c>
      <c r="M174" s="328" t="str">
        <f>INDEX(二三级标准!$M:$M,MATCH(注册申报底表!$L174,二三级标准!$L:$L,0))</f>
        <v>电子申报资料递交及跟踪</v>
      </c>
      <c r="N174" s="328"/>
      <c r="O174" s="327">
        <f>IF($Q174=1,INDEX(注册申报明细!$E:$E,MATCH(注册申报底表!$J174,注册申报明细!$B:$B,0)),0)</f>
        <v>0</v>
      </c>
      <c r="P174" s="328" t="str">
        <f t="shared" si="170"/>
        <v>项目</v>
      </c>
      <c r="Q174" s="329">
        <f>INDEX(注册申报明细!$D:$D,MATCH($J174,注册申报明细!$B:$B,0))</f>
        <v>0</v>
      </c>
      <c r="R174" s="328" t="str">
        <f>INDEX('Rate Card'!$D:$D,MATCH($S174,'Rate Card'!$F:$F,0))</f>
        <v>注册事务</v>
      </c>
      <c r="S174" s="328" t="s">
        <v>607</v>
      </c>
      <c r="T174" s="331">
        <f>INDEX('Rate Card'!$J:$J,MATCH($S174,'Rate Card'!$F:$F,0))</f>
        <v>650</v>
      </c>
      <c r="U174" s="331">
        <f t="shared" si="172"/>
        <v>4</v>
      </c>
      <c r="V174" s="327">
        <v>4</v>
      </c>
      <c r="W174" s="328"/>
      <c r="X174" s="332">
        <f t="shared" si="173"/>
        <v>4</v>
      </c>
      <c r="Y174" s="333">
        <f t="shared" si="174"/>
        <v>0</v>
      </c>
      <c r="Z174" s="328">
        <f t="shared" si="175"/>
        <v>0</v>
      </c>
      <c r="AA174" s="334">
        <f t="shared" si="176"/>
        <v>0</v>
      </c>
      <c r="AB174" s="334">
        <f>$Y174*(1-INDEX(项目参数!$D$5:$D$15,MATCH($R174,项目参数!$B$5:$B$15,0)))</f>
        <v>0</v>
      </c>
      <c r="AC174" s="334">
        <f>$AA174*INDEX(项目参数!$D$5:$D$15,MATCH($R174,项目参数!$B$5:$B$15,0))</f>
        <v>0</v>
      </c>
      <c r="AD174" s="334">
        <f t="shared" si="177"/>
        <v>0</v>
      </c>
      <c r="AE174" s="328"/>
      <c r="AF174" s="328"/>
      <c r="AG174" s="327"/>
      <c r="AH174" s="327"/>
      <c r="AI174" s="327"/>
      <c r="AJ174" s="327"/>
      <c r="AK174" s="327"/>
      <c r="AL174" s="327"/>
      <c r="AM174" s="327"/>
      <c r="AN174" s="328"/>
      <c r="AO174" s="327"/>
      <c r="AP174" s="327"/>
      <c r="AQ174" s="327"/>
      <c r="AR174" s="327"/>
      <c r="AS174" s="327"/>
      <c r="AT174" s="327"/>
      <c r="AU174" s="327"/>
      <c r="AV174" s="328">
        <f t="shared" si="178"/>
        <v>0</v>
      </c>
      <c r="AW174" s="328">
        <f t="shared" si="179"/>
        <v>0</v>
      </c>
      <c r="AX174" s="328">
        <f t="shared" si="180"/>
        <v>0</v>
      </c>
      <c r="AY174" s="328" t="b">
        <f t="shared" si="169"/>
        <v>0</v>
      </c>
    </row>
    <row r="175" ht="27" customHeight="1" spans="1:51">
      <c r="A175" s="326" t="str">
        <f>INDEX('Rate Card'!$A:$A,MATCH($S175,'Rate Card'!$F:$F,0))</f>
        <v>注册</v>
      </c>
      <c r="B175" s="327" t="str">
        <f>INDEX(二三级标准!$G:$G,MATCH($J175,二三级标准!B:B,0))</f>
        <v>项目</v>
      </c>
      <c r="C175" s="327">
        <f>INDEX(注册申报明细!$E:$E,MATCH($J175,注册申报明细!$B:$B,0))</f>
        <v>0</v>
      </c>
      <c r="D175" s="327" t="str">
        <f t="shared" si="171"/>
        <v>A322RAM</v>
      </c>
      <c r="E175" s="328"/>
      <c r="F175" s="328" t="s">
        <v>684</v>
      </c>
      <c r="G175" s="326" t="str">
        <f>INDEX('Rate Card'!$B:$B,MATCH($S175,'Rate Card'!$F:$F,0))</f>
        <v>注册</v>
      </c>
      <c r="H175" s="328" t="s">
        <v>2019</v>
      </c>
      <c r="I175" s="328" t="str">
        <f>INDEX(二三级标准!$Q:$Q,MATCH($H175,二三级标准!$O:$O,0))</f>
        <v>项目管理和资料编辑刻盘（NDA)</v>
      </c>
      <c r="J175" s="328" t="s">
        <v>2024</v>
      </c>
      <c r="K175" s="328" t="str">
        <f>INDEX(二三级标准!$C:$C,MATCH(注册申报底表!J175,二三级标准!$B:$B,0))</f>
        <v>注册申请审评期间与CDE的沟通及回复 (CDE审批意见的解读及发补资料撰写)</v>
      </c>
      <c r="L175" s="328" t="s">
        <v>2170</v>
      </c>
      <c r="M175" s="328" t="str">
        <f>INDEX(二三级标准!$M:$M,MATCH(注册申报底表!$L175,二三级标准!$L:$L,0))</f>
        <v>注册申请审评期间与CDE的沟通及回复 </v>
      </c>
      <c r="N175" s="328"/>
      <c r="O175" s="327">
        <f>IF($Q175=1,INDEX(注册申报明细!$E:$E,MATCH(注册申报底表!$J175,注册申报明细!$B:$B,0)),0)</f>
        <v>0</v>
      </c>
      <c r="P175" s="328" t="str">
        <f t="shared" si="170"/>
        <v>项目</v>
      </c>
      <c r="Q175" s="329">
        <f>INDEX(注册申报明细!$D:$D,MATCH($J175,注册申报明细!$B:$B,0))</f>
        <v>0</v>
      </c>
      <c r="R175" s="328" t="str">
        <f>INDEX('Rate Card'!$D:$D,MATCH($S175,'Rate Card'!$F:$F,0))</f>
        <v>注册事务</v>
      </c>
      <c r="S175" s="328" t="s">
        <v>607</v>
      </c>
      <c r="T175" s="331">
        <f>INDEX('Rate Card'!$J:$J,MATCH($S175,'Rate Card'!$F:$F,0))</f>
        <v>650</v>
      </c>
      <c r="U175" s="331">
        <f t="shared" si="172"/>
        <v>24</v>
      </c>
      <c r="V175" s="327">
        <v>24</v>
      </c>
      <c r="W175" s="328"/>
      <c r="X175" s="332">
        <f t="shared" si="173"/>
        <v>24</v>
      </c>
      <c r="Y175" s="333">
        <f t="shared" si="174"/>
        <v>0</v>
      </c>
      <c r="Z175" s="328">
        <f t="shared" si="175"/>
        <v>0</v>
      </c>
      <c r="AA175" s="334">
        <f t="shared" si="176"/>
        <v>0</v>
      </c>
      <c r="AB175" s="334">
        <f>$Y175*(1-INDEX(项目参数!$D$5:$D$15,MATCH($R175,项目参数!$B$5:$B$15,0)))</f>
        <v>0</v>
      </c>
      <c r="AC175" s="334">
        <f>$AA175*INDEX(项目参数!$D$5:$D$15,MATCH($R175,项目参数!$B$5:$B$15,0))</f>
        <v>0</v>
      </c>
      <c r="AD175" s="334">
        <f t="shared" si="177"/>
        <v>0</v>
      </c>
      <c r="AE175" s="328"/>
      <c r="AF175" s="328"/>
      <c r="AG175" s="327"/>
      <c r="AH175" s="327"/>
      <c r="AI175" s="327"/>
      <c r="AJ175" s="327"/>
      <c r="AK175" s="327"/>
      <c r="AL175" s="327"/>
      <c r="AM175" s="327"/>
      <c r="AN175" s="328"/>
      <c r="AO175" s="327"/>
      <c r="AP175" s="327"/>
      <c r="AQ175" s="327"/>
      <c r="AR175" s="327"/>
      <c r="AS175" s="327"/>
      <c r="AT175" s="327"/>
      <c r="AU175" s="327"/>
      <c r="AV175" s="328">
        <f t="shared" si="178"/>
        <v>0</v>
      </c>
      <c r="AW175" s="328">
        <f t="shared" si="179"/>
        <v>0</v>
      </c>
      <c r="AX175" s="328">
        <f t="shared" si="180"/>
        <v>0</v>
      </c>
      <c r="AY175" s="328" t="b">
        <f t="shared" si="169"/>
        <v>1</v>
      </c>
    </row>
    <row r="176" ht="27" customHeight="1" spans="1:51">
      <c r="A176" s="326" t="str">
        <f>INDEX('Rate Card'!$A:$A,MATCH($S176,'Rate Card'!$F:$F,0))</f>
        <v>注册</v>
      </c>
      <c r="B176" s="327" t="str">
        <f>INDEX(二三级标准!$G:$G,MATCH($J176,二三级标准!B:B,0))</f>
        <v>项目</v>
      </c>
      <c r="C176" s="327">
        <f>INDEX(注册申报明细!$E:$E,MATCH($J176,注册申报明细!$B:$B,0))</f>
        <v>0</v>
      </c>
      <c r="D176" s="327" t="str">
        <f t="shared" si="171"/>
        <v>A322RAM</v>
      </c>
      <c r="E176" s="328"/>
      <c r="F176" s="328" t="s">
        <v>684</v>
      </c>
      <c r="G176" s="326" t="str">
        <f>INDEX('Rate Card'!$B:$B,MATCH($S176,'Rate Card'!$F:$F,0))</f>
        <v>注册</v>
      </c>
      <c r="H176" s="328" t="s">
        <v>2019</v>
      </c>
      <c r="I176" s="328" t="str">
        <f>INDEX(二三级标准!$Q:$Q,MATCH($H176,二三级标准!$O:$O,0))</f>
        <v>项目管理和资料编辑刻盘（NDA)</v>
      </c>
      <c r="J176" s="328" t="s">
        <v>2024</v>
      </c>
      <c r="K176" s="328" t="str">
        <f>INDEX(二三级标准!$C:$C,MATCH(注册申报底表!J176,二三级标准!$B:$B,0))</f>
        <v>注册申请审评期间与CDE的沟通及回复 (CDE审批意见的解读及发补资料撰写)</v>
      </c>
      <c r="L176" s="328" t="s">
        <v>2171</v>
      </c>
      <c r="M176" s="328" t="str">
        <f>INDEX(二三级标准!$M:$M,MATCH(注册申报底表!$L176,二三级标准!$L:$L,0))</f>
        <v>CDE审批意见的解读及发补资料撰写</v>
      </c>
      <c r="N176" s="328"/>
      <c r="O176" s="327">
        <f>IF($Q176=1,INDEX(注册申报明细!$E:$E,MATCH(注册申报底表!$J176,注册申报明细!$B:$B,0)),0)</f>
        <v>0</v>
      </c>
      <c r="P176" s="328" t="str">
        <f t="shared" si="170"/>
        <v>项目</v>
      </c>
      <c r="Q176" s="329">
        <f>INDEX(注册申报明细!$D:$D,MATCH($J176,注册申报明细!$B:$B,0))</f>
        <v>0</v>
      </c>
      <c r="R176" s="328" t="str">
        <f>INDEX('Rate Card'!$D:$D,MATCH($S176,'Rate Card'!$F:$F,0))</f>
        <v>注册事务</v>
      </c>
      <c r="S176" s="328" t="s">
        <v>607</v>
      </c>
      <c r="T176" s="331">
        <f>INDEX('Rate Card'!$J:$J,MATCH($S176,'Rate Card'!$F:$F,0))</f>
        <v>650</v>
      </c>
      <c r="U176" s="331">
        <f t="shared" si="172"/>
        <v>48</v>
      </c>
      <c r="V176" s="327">
        <v>48</v>
      </c>
      <c r="W176" s="328"/>
      <c r="X176" s="332">
        <f t="shared" si="173"/>
        <v>48</v>
      </c>
      <c r="Y176" s="333">
        <f t="shared" si="174"/>
        <v>0</v>
      </c>
      <c r="Z176" s="328">
        <f t="shared" si="175"/>
        <v>0</v>
      </c>
      <c r="AA176" s="334">
        <f t="shared" si="176"/>
        <v>0</v>
      </c>
      <c r="AB176" s="334">
        <f>$Y176*(1-INDEX(项目参数!$D$5:$D$15,MATCH($R176,项目参数!$B$5:$B$15,0)))</f>
        <v>0</v>
      </c>
      <c r="AC176" s="334">
        <f>$AA176*INDEX(项目参数!$D$5:$D$15,MATCH($R176,项目参数!$B$5:$B$15,0))</f>
        <v>0</v>
      </c>
      <c r="AD176" s="334">
        <f t="shared" si="177"/>
        <v>0</v>
      </c>
      <c r="AE176" s="328"/>
      <c r="AF176" s="328"/>
      <c r="AG176" s="327"/>
      <c r="AH176" s="327"/>
      <c r="AI176" s="327"/>
      <c r="AJ176" s="327"/>
      <c r="AK176" s="327"/>
      <c r="AL176" s="327"/>
      <c r="AM176" s="327"/>
      <c r="AN176" s="328"/>
      <c r="AO176" s="327"/>
      <c r="AP176" s="327"/>
      <c r="AQ176" s="327"/>
      <c r="AR176" s="327"/>
      <c r="AS176" s="327"/>
      <c r="AT176" s="327"/>
      <c r="AU176" s="327"/>
      <c r="AV176" s="328">
        <f t="shared" si="178"/>
        <v>0</v>
      </c>
      <c r="AW176" s="328">
        <f t="shared" si="179"/>
        <v>0</v>
      </c>
      <c r="AX176" s="328">
        <f t="shared" si="180"/>
        <v>0</v>
      </c>
      <c r="AY176" s="328" t="b">
        <f t="shared" si="169"/>
        <v>1</v>
      </c>
    </row>
    <row r="177" ht="27" customHeight="1" spans="1:51">
      <c r="A177" s="326" t="str">
        <f>INDEX('Rate Card'!$A:$A,MATCH($S177,'Rate Card'!$F:$F,0))</f>
        <v>注册</v>
      </c>
      <c r="B177" s="327" t="str">
        <f>INDEX(二三级标准!$G:$G,MATCH($J177,二三级标准!B:B,0))</f>
        <v>项目</v>
      </c>
      <c r="C177" s="327">
        <f>INDEX(注册申报明细!$E:$E,MATCH($J177,注册申报明细!$B:$B,0))</f>
        <v>0</v>
      </c>
      <c r="D177" s="327" t="str">
        <f t="shared" si="171"/>
        <v>A322RAD</v>
      </c>
      <c r="E177" s="328"/>
      <c r="F177" s="328" t="s">
        <v>684</v>
      </c>
      <c r="G177" s="326" t="str">
        <f>INDEX('Rate Card'!$B:$B,MATCH($S177,'Rate Card'!$F:$F,0))</f>
        <v>注册</v>
      </c>
      <c r="H177" s="328" t="s">
        <v>2019</v>
      </c>
      <c r="I177" s="328" t="str">
        <f>INDEX(二三级标准!$Q:$Q,MATCH($H177,二三级标准!$O:$O,0))</f>
        <v>项目管理和资料编辑刻盘（NDA)</v>
      </c>
      <c r="J177" s="328" t="s">
        <v>2024</v>
      </c>
      <c r="K177" s="328" t="str">
        <f>INDEX(二三级标准!$C:$C,MATCH(注册申报底表!J177,二三级标准!$B:$B,0))</f>
        <v>注册申请审评期间与CDE的沟通及回复 (CDE审批意见的解读及发补资料撰写)</v>
      </c>
      <c r="L177" s="328" t="s">
        <v>2172</v>
      </c>
      <c r="M177" s="328" t="str">
        <f>INDEX(二三级标准!$M:$M,MATCH(注册申报底表!$L177,二三级标准!$L:$L,0))</f>
        <v>发补资料审核</v>
      </c>
      <c r="N177" s="328"/>
      <c r="O177" s="327">
        <f>IF($Q177=1,INDEX(注册申报明细!$E:$E,MATCH(注册申报底表!$J177,注册申报明细!$B:$B,0)),0)</f>
        <v>0</v>
      </c>
      <c r="P177" s="328" t="str">
        <f t="shared" si="170"/>
        <v>项目</v>
      </c>
      <c r="Q177" s="329">
        <f>INDEX(注册申报明细!$D:$D,MATCH($J177,注册申报明细!$B:$B,0))</f>
        <v>0</v>
      </c>
      <c r="R177" s="328" t="str">
        <f>INDEX('Rate Card'!$D:$D,MATCH($S177,'Rate Card'!$F:$F,0))</f>
        <v>注册事务</v>
      </c>
      <c r="S177" s="328" t="s">
        <v>609</v>
      </c>
      <c r="T177" s="331">
        <f>INDEX('Rate Card'!$J:$J,MATCH($S177,'Rate Card'!$F:$F,0))</f>
        <v>990</v>
      </c>
      <c r="U177" s="331">
        <f t="shared" si="172"/>
        <v>16</v>
      </c>
      <c r="V177" s="327">
        <v>16</v>
      </c>
      <c r="W177" s="328"/>
      <c r="X177" s="332">
        <f t="shared" si="173"/>
        <v>16</v>
      </c>
      <c r="Y177" s="333">
        <f t="shared" si="174"/>
        <v>0</v>
      </c>
      <c r="Z177" s="328">
        <f t="shared" si="175"/>
        <v>0</v>
      </c>
      <c r="AA177" s="334">
        <f t="shared" si="176"/>
        <v>0</v>
      </c>
      <c r="AB177" s="334">
        <f>$Y177*(1-INDEX(项目参数!$D$5:$D$15,MATCH($R177,项目参数!$B$5:$B$15,0)))</f>
        <v>0</v>
      </c>
      <c r="AC177" s="334">
        <f>$AA177*INDEX(项目参数!$D$5:$D$15,MATCH($R177,项目参数!$B$5:$B$15,0))</f>
        <v>0</v>
      </c>
      <c r="AD177" s="334">
        <f t="shared" si="177"/>
        <v>0</v>
      </c>
      <c r="AE177" s="328"/>
      <c r="AF177" s="328"/>
      <c r="AG177" s="327"/>
      <c r="AH177" s="327"/>
      <c r="AI177" s="327"/>
      <c r="AJ177" s="327"/>
      <c r="AK177" s="327"/>
      <c r="AL177" s="327"/>
      <c r="AM177" s="327"/>
      <c r="AN177" s="328"/>
      <c r="AO177" s="327"/>
      <c r="AP177" s="327"/>
      <c r="AQ177" s="327"/>
      <c r="AR177" s="327"/>
      <c r="AS177" s="327"/>
      <c r="AT177" s="327"/>
      <c r="AU177" s="327"/>
      <c r="AV177" s="328">
        <f t="shared" si="178"/>
        <v>0</v>
      </c>
      <c r="AW177" s="328">
        <f t="shared" si="179"/>
        <v>0</v>
      </c>
      <c r="AX177" s="328">
        <f t="shared" si="180"/>
        <v>0</v>
      </c>
      <c r="AY177" s="328" t="b">
        <f t="shared" si="169"/>
        <v>1</v>
      </c>
    </row>
    <row r="178" ht="27" customHeight="1" spans="1:51">
      <c r="A178" s="326" t="str">
        <f>INDEX('Rate Card'!$A:$A,MATCH($S178,'Rate Card'!$F:$F,0))</f>
        <v>注册</v>
      </c>
      <c r="B178" s="327" t="str">
        <f>INDEX(二三级标准!$G:$G,MATCH($J178,二三级标准!B:B,0))</f>
        <v>次</v>
      </c>
      <c r="C178" s="327">
        <f>INDEX(注册申报明细!$E:$E,MATCH($J178,注册申报明细!$B:$B,0))</f>
        <v>0</v>
      </c>
      <c r="D178" s="327" t="str">
        <f t="shared" si="171"/>
        <v>A323RAM</v>
      </c>
      <c r="E178" s="328"/>
      <c r="F178" s="328" t="s">
        <v>684</v>
      </c>
      <c r="G178" s="326" t="str">
        <f>INDEX('Rate Card'!$B:$B,MATCH($S178,'Rate Card'!$F:$F,0))</f>
        <v>注册</v>
      </c>
      <c r="H178" s="328" t="s">
        <v>2025</v>
      </c>
      <c r="I178" s="328" t="str">
        <f>INDEX(二三级标准!$Q:$Q,MATCH($H178,二三级标准!$O:$O,0))</f>
        <v>专家评审会</v>
      </c>
      <c r="J178" s="328" t="s">
        <v>2026</v>
      </c>
      <c r="K178" s="328" t="str">
        <f>INDEX(二三级标准!$C:$C,MATCH(注册申报底表!J178,二三级标准!$B:$B,0))</f>
        <v>专家评审会</v>
      </c>
      <c r="L178" s="328" t="s">
        <v>2173</v>
      </c>
      <c r="M178" s="328" t="str">
        <f>INDEX(二三级标准!$M:$M,MATCH(注册申报底表!$L178,二三级标准!$L:$L,0))</f>
        <v>专家评审会准备</v>
      </c>
      <c r="N178" s="328"/>
      <c r="O178" s="327">
        <f>IF($Q178=1,INDEX(注册申报明细!$E:$E,MATCH(注册申报底表!$J178,注册申报明细!$B:$B,0)),0)</f>
        <v>0</v>
      </c>
      <c r="P178" s="328" t="str">
        <f t="shared" si="170"/>
        <v>次</v>
      </c>
      <c r="Q178" s="329">
        <f>INDEX(注册申报明细!$D:$D,MATCH($J178,注册申报明细!$B:$B,0))</f>
        <v>0</v>
      </c>
      <c r="R178" s="328" t="str">
        <f>INDEX('Rate Card'!$D:$D,MATCH($S178,'Rate Card'!$F:$F,0))</f>
        <v>注册事务</v>
      </c>
      <c r="S178" s="328" t="s">
        <v>607</v>
      </c>
      <c r="T178" s="331">
        <f>INDEX('Rate Card'!$J:$J,MATCH($S178,'Rate Card'!$F:$F,0))</f>
        <v>650</v>
      </c>
      <c r="U178" s="331">
        <f t="shared" si="172"/>
        <v>40</v>
      </c>
      <c r="V178" s="327">
        <v>40</v>
      </c>
      <c r="W178" s="328"/>
      <c r="X178" s="332">
        <f t="shared" si="173"/>
        <v>40</v>
      </c>
      <c r="Y178" s="333">
        <f t="shared" si="174"/>
        <v>0</v>
      </c>
      <c r="Z178" s="328">
        <f t="shared" si="175"/>
        <v>0</v>
      </c>
      <c r="AA178" s="334">
        <f t="shared" si="176"/>
        <v>0</v>
      </c>
      <c r="AB178" s="334">
        <f>$Y178*(1-INDEX(项目参数!$D$5:$D$15,MATCH($R178,项目参数!$B$5:$B$15,0)))</f>
        <v>0</v>
      </c>
      <c r="AC178" s="334">
        <f>$AA178*INDEX(项目参数!$D$5:$D$15,MATCH($R178,项目参数!$B$5:$B$15,0))</f>
        <v>0</v>
      </c>
      <c r="AD178" s="334">
        <f t="shared" si="177"/>
        <v>0</v>
      </c>
      <c r="AE178" s="328"/>
      <c r="AF178" s="328"/>
      <c r="AG178" s="327"/>
      <c r="AH178" s="327"/>
      <c r="AI178" s="327"/>
      <c r="AJ178" s="327"/>
      <c r="AK178" s="327"/>
      <c r="AL178" s="327"/>
      <c r="AM178" s="327"/>
      <c r="AN178" s="328"/>
      <c r="AO178" s="327"/>
      <c r="AP178" s="327"/>
      <c r="AQ178" s="327"/>
      <c r="AR178" s="327"/>
      <c r="AS178" s="327"/>
      <c r="AT178" s="327"/>
      <c r="AU178" s="327"/>
      <c r="AV178" s="328">
        <f t="shared" si="178"/>
        <v>0</v>
      </c>
      <c r="AW178" s="328">
        <f t="shared" si="179"/>
        <v>0</v>
      </c>
      <c r="AX178" s="328">
        <f t="shared" si="180"/>
        <v>0</v>
      </c>
      <c r="AY178" s="328" t="b">
        <f t="shared" si="169"/>
        <v>0</v>
      </c>
    </row>
    <row r="179" ht="27" customHeight="1" spans="1:51">
      <c r="A179" s="326" t="str">
        <f>INDEX('Rate Card'!$A:$A,MATCH($S179,'Rate Card'!$F:$F,0))</f>
        <v>医学</v>
      </c>
      <c r="B179" s="327" t="str">
        <f>INDEX(二三级标准!$G:$G,MATCH($J179,二三级标准!B:B,0))</f>
        <v>次</v>
      </c>
      <c r="C179" s="327">
        <f>INDEX(注册申报明细!$E:$E,MATCH($J179,注册申报明细!$B:$B,0))</f>
        <v>0</v>
      </c>
      <c r="D179" s="327" t="str">
        <f t="shared" si="171"/>
        <v>A323MM</v>
      </c>
      <c r="E179" s="328"/>
      <c r="F179" s="328" t="s">
        <v>684</v>
      </c>
      <c r="G179" s="326" t="str">
        <f>INDEX('Rate Card'!$B:$B,MATCH($S179,'Rate Card'!$F:$F,0))</f>
        <v>医学</v>
      </c>
      <c r="H179" s="328" t="s">
        <v>2025</v>
      </c>
      <c r="I179" s="328" t="str">
        <f>INDEX(二三级标准!$Q:$Q,MATCH($H179,二三级标准!$O:$O,0))</f>
        <v>专家评审会</v>
      </c>
      <c r="J179" s="328" t="s">
        <v>2026</v>
      </c>
      <c r="K179" s="328" t="str">
        <f>INDEX(二三级标准!$C:$C,MATCH(注册申报底表!J179,二三级标准!$B:$B,0))</f>
        <v>专家评审会</v>
      </c>
      <c r="L179" s="328" t="s">
        <v>2173</v>
      </c>
      <c r="M179" s="328" t="str">
        <f>INDEX(二三级标准!$M:$M,MATCH(注册申报底表!$L179,二三级标准!$L:$L,0))</f>
        <v>专家评审会准备</v>
      </c>
      <c r="N179" s="328"/>
      <c r="O179" s="327">
        <f>IF($Q179=1,INDEX(注册申报明细!$E:$E,MATCH(注册申报底表!$J179,注册申报明细!$B:$B,0)),0)</f>
        <v>0</v>
      </c>
      <c r="P179" s="328" t="str">
        <f t="shared" si="170"/>
        <v>次</v>
      </c>
      <c r="Q179" s="329">
        <v>0</v>
      </c>
      <c r="R179" s="328" t="s">
        <v>578</v>
      </c>
      <c r="S179" s="328" t="s">
        <v>615</v>
      </c>
      <c r="T179" s="331">
        <f>INDEX('Rate Card'!$J:$J,MATCH($S179,'Rate Card'!$F:$F,0))</f>
        <v>650</v>
      </c>
      <c r="U179" s="331">
        <f t="shared" si="172"/>
        <v>48</v>
      </c>
      <c r="V179" s="327">
        <v>48</v>
      </c>
      <c r="W179" s="328"/>
      <c r="X179" s="332">
        <f t="shared" si="173"/>
        <v>48</v>
      </c>
      <c r="Y179" s="333">
        <f t="shared" si="174"/>
        <v>0</v>
      </c>
      <c r="Z179" s="328">
        <f t="shared" si="175"/>
        <v>0</v>
      </c>
      <c r="AA179" s="334">
        <f t="shared" si="176"/>
        <v>0</v>
      </c>
      <c r="AB179" s="334">
        <f>$Y179*(1-INDEX(项目参数!$D$5:$D$15,MATCH($R179,项目参数!$B$5:$B$15,0)))</f>
        <v>0</v>
      </c>
      <c r="AC179" s="334">
        <f>$AA179*INDEX(项目参数!$D$5:$D$15,MATCH($R179,项目参数!$B$5:$B$15,0))</f>
        <v>0</v>
      </c>
      <c r="AD179" s="334">
        <f t="shared" si="177"/>
        <v>0</v>
      </c>
      <c r="AE179" s="328"/>
      <c r="AF179" s="328"/>
      <c r="AG179" s="327"/>
      <c r="AH179" s="327"/>
      <c r="AI179" s="327"/>
      <c r="AJ179" s="327"/>
      <c r="AK179" s="327"/>
      <c r="AL179" s="327"/>
      <c r="AM179" s="327"/>
      <c r="AN179" s="328"/>
      <c r="AO179" s="327"/>
      <c r="AP179" s="327"/>
      <c r="AQ179" s="327"/>
      <c r="AR179" s="327"/>
      <c r="AS179" s="327"/>
      <c r="AT179" s="327"/>
      <c r="AU179" s="327"/>
      <c r="AV179" s="328">
        <f t="shared" si="178"/>
        <v>0</v>
      </c>
      <c r="AW179" s="328">
        <f t="shared" si="179"/>
        <v>0</v>
      </c>
      <c r="AX179" s="328">
        <f t="shared" si="180"/>
        <v>0</v>
      </c>
      <c r="AY179" s="328" t="b">
        <f t="shared" si="169"/>
        <v>0</v>
      </c>
    </row>
    <row r="180" ht="27" customHeight="1" spans="1:51">
      <c r="A180" s="326" t="str">
        <f>INDEX('Rate Card'!$A:$A,MATCH($S180,'Rate Card'!$F:$F,0))</f>
        <v>注册</v>
      </c>
      <c r="B180" s="327" t="str">
        <f>INDEX(二三级标准!$G:$G,MATCH($J180,二三级标准!B:B,0))</f>
        <v>次</v>
      </c>
      <c r="C180" s="327">
        <f>INDEX(注册申报明细!$E:$E,MATCH($J180,注册申报明细!$B:$B,0))</f>
        <v>0</v>
      </c>
      <c r="D180" s="327" t="str">
        <f t="shared" si="171"/>
        <v>A323RAM</v>
      </c>
      <c r="E180" s="328"/>
      <c r="F180" s="328" t="s">
        <v>684</v>
      </c>
      <c r="G180" s="326" t="str">
        <f>INDEX('Rate Card'!$B:$B,MATCH($S180,'Rate Card'!$F:$F,0))</f>
        <v>注册</v>
      </c>
      <c r="H180" s="328" t="s">
        <v>2025</v>
      </c>
      <c r="I180" s="328" t="str">
        <f>INDEX(二三级标准!$Q:$Q,MATCH($H180,二三级标准!$O:$O,0))</f>
        <v>专家评审会</v>
      </c>
      <c r="J180" s="328" t="s">
        <v>2026</v>
      </c>
      <c r="K180" s="328" t="str">
        <f>INDEX(二三级标准!$C:$C,MATCH(注册申报底表!J180,二三级标准!$B:$B,0))</f>
        <v>专家评审会</v>
      </c>
      <c r="L180" s="328" t="s">
        <v>2174</v>
      </c>
      <c r="M180" s="328" t="str">
        <f>INDEX(二三级标准!$M:$M,MATCH(注册申报底表!$L180,二三级标准!$L:$L,0))</f>
        <v>专家评审会参加</v>
      </c>
      <c r="N180" s="328"/>
      <c r="O180" s="327">
        <f>IF($Q180=1,INDEX(注册申报明细!$E:$E,MATCH(注册申报底表!$J180,注册申报明细!$B:$B,0)),0)</f>
        <v>0</v>
      </c>
      <c r="P180" s="328" t="str">
        <f t="shared" si="170"/>
        <v>次</v>
      </c>
      <c r="Q180" s="329">
        <f>INDEX(注册申报明细!$D:$D,MATCH($J180,注册申报明细!$B:$B,0))</f>
        <v>0</v>
      </c>
      <c r="R180" s="328" t="str">
        <f>INDEX('Rate Card'!$D:$D,MATCH($S180,'Rate Card'!$F:$F,0))</f>
        <v>注册事务</v>
      </c>
      <c r="S180" s="328" t="s">
        <v>607</v>
      </c>
      <c r="T180" s="331">
        <f>INDEX('Rate Card'!$J:$J,MATCH($S180,'Rate Card'!$F:$F,0))</f>
        <v>650</v>
      </c>
      <c r="U180" s="331">
        <f t="shared" si="172"/>
        <v>2</v>
      </c>
      <c r="V180" s="327">
        <v>2</v>
      </c>
      <c r="W180" s="328"/>
      <c r="X180" s="332">
        <f t="shared" si="173"/>
        <v>2</v>
      </c>
      <c r="Y180" s="333">
        <f t="shared" si="174"/>
        <v>0</v>
      </c>
      <c r="Z180" s="328">
        <f t="shared" si="175"/>
        <v>0</v>
      </c>
      <c r="AA180" s="334">
        <f t="shared" si="176"/>
        <v>0</v>
      </c>
      <c r="AB180" s="334">
        <f>$Y180*(1-INDEX(项目参数!$D$5:$D$15,MATCH($R180,项目参数!$B$5:$B$15,0)))</f>
        <v>0</v>
      </c>
      <c r="AC180" s="334">
        <f>$AA180*INDEX(项目参数!$D$5:$D$15,MATCH($R180,项目参数!$B$5:$B$15,0))</f>
        <v>0</v>
      </c>
      <c r="AD180" s="334">
        <f t="shared" si="177"/>
        <v>0</v>
      </c>
      <c r="AE180" s="328"/>
      <c r="AF180" s="328"/>
      <c r="AG180" s="327"/>
      <c r="AH180" s="327"/>
      <c r="AI180" s="327"/>
      <c r="AJ180" s="327"/>
      <c r="AK180" s="327"/>
      <c r="AL180" s="327"/>
      <c r="AM180" s="327"/>
      <c r="AN180" s="328"/>
      <c r="AO180" s="327"/>
      <c r="AP180" s="327"/>
      <c r="AQ180" s="327"/>
      <c r="AR180" s="327"/>
      <c r="AS180" s="327"/>
      <c r="AT180" s="327"/>
      <c r="AU180" s="327"/>
      <c r="AV180" s="328">
        <f t="shared" si="178"/>
        <v>0</v>
      </c>
      <c r="AW180" s="328">
        <f t="shared" si="179"/>
        <v>0</v>
      </c>
      <c r="AX180" s="328">
        <f t="shared" si="180"/>
        <v>0</v>
      </c>
      <c r="AY180" s="328" t="b">
        <f t="shared" si="169"/>
        <v>0</v>
      </c>
    </row>
    <row r="181" ht="27" customHeight="1" spans="1:51">
      <c r="A181" s="326" t="str">
        <f>INDEX('Rate Card'!$A:$A,MATCH($S181,'Rate Card'!$F:$F,0))</f>
        <v>医学</v>
      </c>
      <c r="B181" s="327" t="str">
        <f>INDEX(二三级标准!$G:$G,MATCH($J181,二三级标准!B:B,0))</f>
        <v>次</v>
      </c>
      <c r="C181" s="327">
        <f>INDEX(注册申报明细!$E:$E,MATCH($J181,注册申报明细!$B:$B,0))</f>
        <v>0</v>
      </c>
      <c r="D181" s="327" t="str">
        <f t="shared" si="171"/>
        <v>A323MM</v>
      </c>
      <c r="E181" s="328"/>
      <c r="F181" s="328" t="s">
        <v>684</v>
      </c>
      <c r="G181" s="326" t="str">
        <f>INDEX('Rate Card'!$B:$B,MATCH($S181,'Rate Card'!$F:$F,0))</f>
        <v>医学</v>
      </c>
      <c r="H181" s="328" t="s">
        <v>2025</v>
      </c>
      <c r="I181" s="328" t="str">
        <f>INDEX(二三级标准!$Q:$Q,MATCH($H181,二三级标准!$O:$O,0))</f>
        <v>专家评审会</v>
      </c>
      <c r="J181" s="328" t="s">
        <v>2026</v>
      </c>
      <c r="K181" s="328" t="str">
        <f>INDEX(二三级标准!$C:$C,MATCH(注册申报底表!J181,二三级标准!$B:$B,0))</f>
        <v>专家评审会</v>
      </c>
      <c r="L181" s="328" t="s">
        <v>2174</v>
      </c>
      <c r="M181" s="328" t="str">
        <f>INDEX(二三级标准!$M:$M,MATCH(注册申报底表!$L181,二三级标准!$L:$L,0))</f>
        <v>专家评审会参加</v>
      </c>
      <c r="N181" s="328"/>
      <c r="O181" s="327">
        <f>IF($Q181=1,INDEX(注册申报明细!$E:$E,MATCH(注册申报底表!$J181,注册申报明细!$B:$B,0)),0)</f>
        <v>0</v>
      </c>
      <c r="P181" s="328" t="str">
        <f t="shared" si="170"/>
        <v>次</v>
      </c>
      <c r="Q181" s="329">
        <v>0</v>
      </c>
      <c r="R181" s="328" t="s">
        <v>578</v>
      </c>
      <c r="S181" s="328" t="s">
        <v>615</v>
      </c>
      <c r="T181" s="331">
        <f>INDEX('Rate Card'!$J:$J,MATCH($S181,'Rate Card'!$F:$F,0))</f>
        <v>650</v>
      </c>
      <c r="U181" s="331">
        <f t="shared" si="172"/>
        <v>2</v>
      </c>
      <c r="V181" s="327">
        <v>2</v>
      </c>
      <c r="W181" s="328"/>
      <c r="X181" s="332">
        <f t="shared" si="173"/>
        <v>2</v>
      </c>
      <c r="Y181" s="333">
        <f t="shared" si="174"/>
        <v>0</v>
      </c>
      <c r="Z181" s="328">
        <f t="shared" si="175"/>
        <v>0</v>
      </c>
      <c r="AA181" s="334">
        <f t="shared" si="176"/>
        <v>0</v>
      </c>
      <c r="AB181" s="334">
        <f>$Y181*(1-INDEX(项目参数!$D$5:$D$15,MATCH($R181,项目参数!$B$5:$B$15,0)))</f>
        <v>0</v>
      </c>
      <c r="AC181" s="334">
        <f>$AA181*INDEX(项目参数!$D$5:$D$15,MATCH($R181,项目参数!$B$5:$B$15,0))</f>
        <v>0</v>
      </c>
      <c r="AD181" s="334">
        <f t="shared" si="177"/>
        <v>0</v>
      </c>
      <c r="AE181" s="328"/>
      <c r="AF181" s="328"/>
      <c r="AG181" s="327"/>
      <c r="AH181" s="327"/>
      <c r="AI181" s="327"/>
      <c r="AJ181" s="327"/>
      <c r="AK181" s="327"/>
      <c r="AL181" s="327"/>
      <c r="AM181" s="327"/>
      <c r="AN181" s="328"/>
      <c r="AO181" s="327"/>
      <c r="AP181" s="327"/>
      <c r="AQ181" s="327"/>
      <c r="AR181" s="327"/>
      <c r="AS181" s="327"/>
      <c r="AT181" s="327"/>
      <c r="AU181" s="327"/>
      <c r="AV181" s="328">
        <f t="shared" si="178"/>
        <v>0</v>
      </c>
      <c r="AW181" s="328">
        <f t="shared" si="179"/>
        <v>0</v>
      </c>
      <c r="AX181" s="328">
        <f t="shared" si="180"/>
        <v>0</v>
      </c>
      <c r="AY181" s="328" t="b">
        <f t="shared" si="169"/>
        <v>0</v>
      </c>
    </row>
    <row r="182" ht="27" customHeight="1" spans="1:51">
      <c r="A182" s="326" t="str">
        <f>INDEX('Rate Card'!$A:$A,MATCH($S182,'Rate Card'!$F:$F,0))</f>
        <v>注册</v>
      </c>
      <c r="B182" s="327" t="str">
        <f>INDEX(二三级标准!$G:$G,MATCH($J182,二三级标准!B:B,0))</f>
        <v>项目</v>
      </c>
      <c r="C182" s="327">
        <f>INDEX(注册申报明细!$E:$E,MATCH($J182,注册申报明细!$B:$B,0))</f>
        <v>0</v>
      </c>
      <c r="D182" s="327" t="str">
        <f t="shared" ref="D182:D198" si="181">J182&amp;S182</f>
        <v>A324RAM</v>
      </c>
      <c r="E182" s="328"/>
      <c r="F182" s="328" t="s">
        <v>684</v>
      </c>
      <c r="G182" s="326" t="str">
        <f>INDEX('Rate Card'!$B:$B,MATCH($S182,'Rate Card'!$F:$F,0))</f>
        <v>注册</v>
      </c>
      <c r="H182" s="328" t="s">
        <v>2025</v>
      </c>
      <c r="I182" s="328" t="str">
        <f>INDEX(二三级标准!$Q:$Q,MATCH($H182,二三级标准!$O:$O,0))</f>
        <v>专家评审会</v>
      </c>
      <c r="J182" s="328" t="s">
        <v>2027</v>
      </c>
      <c r="K182" s="328" t="str">
        <f>INDEX(二三级标准!$C:$C,MATCH(注册申报底表!J182,二三级标准!$B:$B,0))</f>
        <v>跟踪在CDE的审评过程</v>
      </c>
      <c r="L182" s="328" t="s">
        <v>2175</v>
      </c>
      <c r="M182" s="328" t="str">
        <f>INDEX(二三级标准!$M:$M,MATCH(注册申报底表!$L182,二三级标准!$L:$L,0))</f>
        <v>跟踪在CDE的审评过程</v>
      </c>
      <c r="N182" s="328"/>
      <c r="O182" s="327">
        <f>IF($Q182=1,INDEX(注册申报明细!$E:$E,MATCH(注册申报底表!$J182,注册申报明细!$B:$B,0)),0)</f>
        <v>0</v>
      </c>
      <c r="P182" s="328" t="str">
        <f t="shared" si="170"/>
        <v>项目</v>
      </c>
      <c r="Q182" s="329">
        <f>INDEX(注册申报明细!$D:$D,MATCH($J182,注册申报明细!$B:$B,0))</f>
        <v>0</v>
      </c>
      <c r="R182" s="328" t="str">
        <f>INDEX('Rate Card'!$D:$D,MATCH($S182,'Rate Card'!$F:$F,0))</f>
        <v>注册事务</v>
      </c>
      <c r="S182" s="328" t="s">
        <v>607</v>
      </c>
      <c r="T182" s="331">
        <f>INDEX('Rate Card'!$J:$J,MATCH($S182,'Rate Card'!$F:$F,0))</f>
        <v>650</v>
      </c>
      <c r="U182" s="331">
        <f t="shared" ref="U182:U198" si="182">$U$1*V182</f>
        <v>32</v>
      </c>
      <c r="V182" s="327">
        <v>32</v>
      </c>
      <c r="W182" s="328"/>
      <c r="X182" s="332">
        <f t="shared" ref="X182:X198" si="183">IF(ISBLANK($W182),$V182,$W182)</f>
        <v>32</v>
      </c>
      <c r="Y182" s="333">
        <f t="shared" ref="Y182:Y198" si="184">IFERROR(AA182/O182,0)</f>
        <v>0</v>
      </c>
      <c r="Z182" s="328">
        <f t="shared" ref="Z182:Z198" si="185">X182*O182*Q182</f>
        <v>0</v>
      </c>
      <c r="AA182" s="334">
        <f t="shared" ref="AA182:AA198" si="186">Z182*T182</f>
        <v>0</v>
      </c>
      <c r="AB182" s="334">
        <f>$Y182*(1-INDEX(项目参数!$D$5:$D$15,MATCH($R182,项目参数!$B$5:$B$15,0)))</f>
        <v>0</v>
      </c>
      <c r="AC182" s="334">
        <f>$AA182*INDEX(项目参数!$D$5:$D$15,MATCH($R182,项目参数!$B$5:$B$15,0))</f>
        <v>0</v>
      </c>
      <c r="AD182" s="334">
        <f t="shared" ref="AD182:AD198" si="187">AA182-AC182</f>
        <v>0</v>
      </c>
      <c r="AE182" s="328"/>
      <c r="AF182" s="328"/>
      <c r="AG182" s="327"/>
      <c r="AH182" s="327"/>
      <c r="AI182" s="327"/>
      <c r="AJ182" s="327"/>
      <c r="AK182" s="327"/>
      <c r="AL182" s="327"/>
      <c r="AM182" s="327"/>
      <c r="AN182" s="328"/>
      <c r="AO182" s="327"/>
      <c r="AP182" s="327"/>
      <c r="AQ182" s="327"/>
      <c r="AR182" s="327"/>
      <c r="AS182" s="327"/>
      <c r="AT182" s="327"/>
      <c r="AU182" s="327"/>
      <c r="AV182" s="328">
        <f t="shared" ref="AV182:AV198" si="188">Z182</f>
        <v>0</v>
      </c>
      <c r="AW182" s="328">
        <f t="shared" ref="AW182:AW198" si="189">V182*O182</f>
        <v>0</v>
      </c>
      <c r="AX182" s="328">
        <f t="shared" ref="AX182:AX198" si="190">AW182*$U$1</f>
        <v>0</v>
      </c>
      <c r="AY182" s="328" t="b">
        <f t="shared" si="169"/>
        <v>1</v>
      </c>
    </row>
    <row r="183" ht="27" customHeight="1" spans="1:51">
      <c r="A183" s="326" t="str">
        <f>INDEX('Rate Card'!$A:$A,MATCH($S183,'Rate Card'!$F:$F,0))</f>
        <v>注册</v>
      </c>
      <c r="B183" s="327" t="str">
        <f>INDEX(二三级标准!$G:$G,MATCH($J183,二三级标准!B:B,0))</f>
        <v>项目</v>
      </c>
      <c r="C183" s="327">
        <f>INDEX(注册申报明细!$E:$E,MATCH($J183,注册申报明细!$B:$B,0))</f>
        <v>0</v>
      </c>
      <c r="D183" s="327" t="str">
        <f t="shared" si="181"/>
        <v>A325RAM</v>
      </c>
      <c r="E183" s="328"/>
      <c r="F183" s="328" t="s">
        <v>684</v>
      </c>
      <c r="G183" s="326" t="str">
        <f>INDEX('Rate Card'!$B:$B,MATCH($S183,'Rate Card'!$F:$F,0))</f>
        <v>注册</v>
      </c>
      <c r="H183" s="328" t="s">
        <v>2025</v>
      </c>
      <c r="I183" s="328" t="str">
        <f>INDEX(二三级标准!$Q:$Q,MATCH($H183,二三级标准!$O:$O,0))</f>
        <v>专家评审会</v>
      </c>
      <c r="J183" s="328" t="s">
        <v>2028</v>
      </c>
      <c r="K183" s="328" t="str">
        <f>INDEX(二三级标准!$C:$C,MATCH(注册申报底表!J183,二三级标准!$B:$B,0))</f>
        <v>跟踪国家药品监督管理局的审批</v>
      </c>
      <c r="L183" s="328" t="s">
        <v>2176</v>
      </c>
      <c r="M183" s="328" t="str">
        <f>INDEX(二三级标准!$M:$M,MATCH(注册申报底表!$L183,二三级标准!$L:$L,0))</f>
        <v>跟踪国家药品监督管理局的审批</v>
      </c>
      <c r="N183" s="328"/>
      <c r="O183" s="327">
        <f>IF($Q183=1,INDEX(注册申报明细!$E:$E,MATCH(注册申报底表!$J183,注册申报明细!$B:$B,0)),0)</f>
        <v>0</v>
      </c>
      <c r="P183" s="328" t="str">
        <f t="shared" si="170"/>
        <v>项目</v>
      </c>
      <c r="Q183" s="329">
        <f>INDEX(注册申报明细!$D:$D,MATCH($J183,注册申报明细!$B:$B,0))</f>
        <v>0</v>
      </c>
      <c r="R183" s="328" t="str">
        <f>INDEX('Rate Card'!$D:$D,MATCH($S183,'Rate Card'!$F:$F,0))</f>
        <v>注册事务</v>
      </c>
      <c r="S183" s="328" t="s">
        <v>607</v>
      </c>
      <c r="T183" s="331">
        <f>INDEX('Rate Card'!$J:$J,MATCH($S183,'Rate Card'!$F:$F,0))</f>
        <v>650</v>
      </c>
      <c r="U183" s="331">
        <f t="shared" si="182"/>
        <v>8</v>
      </c>
      <c r="V183" s="327">
        <v>8</v>
      </c>
      <c r="W183" s="328"/>
      <c r="X183" s="332">
        <f t="shared" si="183"/>
        <v>8</v>
      </c>
      <c r="Y183" s="333">
        <f t="shared" si="184"/>
        <v>0</v>
      </c>
      <c r="Z183" s="328">
        <f t="shared" si="185"/>
        <v>0</v>
      </c>
      <c r="AA183" s="334">
        <f t="shared" si="186"/>
        <v>0</v>
      </c>
      <c r="AB183" s="334">
        <f>$Y183*(1-INDEX(项目参数!$D$5:$D$15,MATCH($R183,项目参数!$B$5:$B$15,0)))</f>
        <v>0</v>
      </c>
      <c r="AC183" s="334">
        <f>$AA183*INDEX(项目参数!$D$5:$D$15,MATCH($R183,项目参数!$B$5:$B$15,0))</f>
        <v>0</v>
      </c>
      <c r="AD183" s="334">
        <f t="shared" si="187"/>
        <v>0</v>
      </c>
      <c r="AE183" s="328"/>
      <c r="AF183" s="328"/>
      <c r="AG183" s="327"/>
      <c r="AH183" s="327"/>
      <c r="AI183" s="327"/>
      <c r="AJ183" s="327"/>
      <c r="AK183" s="327"/>
      <c r="AL183" s="327"/>
      <c r="AM183" s="327"/>
      <c r="AN183" s="328"/>
      <c r="AO183" s="327"/>
      <c r="AP183" s="327"/>
      <c r="AQ183" s="327"/>
      <c r="AR183" s="327"/>
      <c r="AS183" s="327"/>
      <c r="AT183" s="327"/>
      <c r="AU183" s="327"/>
      <c r="AV183" s="328">
        <f t="shared" si="188"/>
        <v>0</v>
      </c>
      <c r="AW183" s="328">
        <f t="shared" si="189"/>
        <v>0</v>
      </c>
      <c r="AX183" s="328">
        <f t="shared" si="190"/>
        <v>0</v>
      </c>
      <c r="AY183" s="328" t="b">
        <f t="shared" si="169"/>
        <v>0</v>
      </c>
    </row>
    <row r="184" ht="27" customHeight="1" spans="1:51">
      <c r="A184" s="326" t="str">
        <f>INDEX('Rate Card'!$A:$A,MATCH($S184,'Rate Card'!$F:$F,0))</f>
        <v>注册</v>
      </c>
      <c r="B184" s="327" t="str">
        <f>INDEX(二三级标准!$G:$G,MATCH($J184,二三级标准!B:B,0))</f>
        <v>项目</v>
      </c>
      <c r="C184" s="327">
        <f>INDEX(注册申报明细!$E:$E,MATCH($J184,注册申报明细!$B:$B,0))</f>
        <v>0</v>
      </c>
      <c r="D184" s="327" t="str">
        <f t="shared" si="181"/>
        <v>A326RAM</v>
      </c>
      <c r="E184" s="328"/>
      <c r="F184" s="328" t="s">
        <v>684</v>
      </c>
      <c r="G184" s="326" t="str">
        <f>INDEX('Rate Card'!$B:$B,MATCH($S184,'Rate Card'!$F:$F,0))</f>
        <v>注册</v>
      </c>
      <c r="H184" s="328" t="s">
        <v>2029</v>
      </c>
      <c r="I184" s="328" t="str">
        <f>INDEX(二三级标准!$Q:$Q,MATCH($H184,二三级标准!$O:$O,0))</f>
        <v>注册检验</v>
      </c>
      <c r="J184" s="328" t="s">
        <v>2030</v>
      </c>
      <c r="K184" s="328" t="str">
        <f>INDEX(二三级标准!$C:$C,MATCH(注册申报底表!J184,二三级标准!$B:$B,0))</f>
        <v>资料准备（注册检验）</v>
      </c>
      <c r="L184" s="328" t="s">
        <v>2177</v>
      </c>
      <c r="M184" s="328" t="str">
        <f>INDEX(二三级标准!$M:$M,MATCH(注册申报底表!$L184,二三级标准!$L:$L,0))</f>
        <v>资料准备（注册检验）</v>
      </c>
      <c r="N184" s="328"/>
      <c r="O184" s="327">
        <f>IF($Q184=1,INDEX(注册申报明细!$E:$E,MATCH(注册申报底表!$J184,注册申报明细!$B:$B,0)),0)</f>
        <v>0</v>
      </c>
      <c r="P184" s="328" t="str">
        <f t="shared" si="170"/>
        <v>项目</v>
      </c>
      <c r="Q184" s="329">
        <f>INDEX(注册申报明细!$D:$D,MATCH($J184,注册申报明细!$B:$B,0))</f>
        <v>0</v>
      </c>
      <c r="R184" s="328" t="str">
        <f>INDEX('Rate Card'!$D:$D,MATCH($S184,'Rate Card'!$F:$F,0))</f>
        <v>注册事务</v>
      </c>
      <c r="S184" s="328" t="s">
        <v>607</v>
      </c>
      <c r="T184" s="331">
        <f>INDEX('Rate Card'!$J:$J,MATCH($S184,'Rate Card'!$F:$F,0))</f>
        <v>650</v>
      </c>
      <c r="U184" s="331">
        <f t="shared" si="182"/>
        <v>16</v>
      </c>
      <c r="V184" s="327">
        <v>16</v>
      </c>
      <c r="W184" s="328"/>
      <c r="X184" s="332">
        <f t="shared" si="183"/>
        <v>16</v>
      </c>
      <c r="Y184" s="333">
        <f t="shared" si="184"/>
        <v>0</v>
      </c>
      <c r="Z184" s="328">
        <f t="shared" si="185"/>
        <v>0</v>
      </c>
      <c r="AA184" s="334">
        <f t="shared" si="186"/>
        <v>0</v>
      </c>
      <c r="AB184" s="334">
        <f>$Y184*(1-INDEX(项目参数!$D$5:$D$15,MATCH($R184,项目参数!$B$5:$B$15,0)))</f>
        <v>0</v>
      </c>
      <c r="AC184" s="334">
        <f>$AA184*INDEX(项目参数!$D$5:$D$15,MATCH($R184,项目参数!$B$5:$B$15,0))</f>
        <v>0</v>
      </c>
      <c r="AD184" s="334">
        <f t="shared" si="187"/>
        <v>0</v>
      </c>
      <c r="AE184" s="328"/>
      <c r="AF184" s="328"/>
      <c r="AG184" s="327"/>
      <c r="AH184" s="327"/>
      <c r="AI184" s="327"/>
      <c r="AJ184" s="327"/>
      <c r="AK184" s="327"/>
      <c r="AL184" s="327"/>
      <c r="AM184" s="327"/>
      <c r="AN184" s="328"/>
      <c r="AO184" s="327"/>
      <c r="AP184" s="327"/>
      <c r="AQ184" s="327"/>
      <c r="AR184" s="327"/>
      <c r="AS184" s="327"/>
      <c r="AT184" s="327"/>
      <c r="AU184" s="327"/>
      <c r="AV184" s="328">
        <f t="shared" si="188"/>
        <v>0</v>
      </c>
      <c r="AW184" s="328">
        <f t="shared" si="189"/>
        <v>0</v>
      </c>
      <c r="AX184" s="328">
        <f t="shared" si="190"/>
        <v>0</v>
      </c>
      <c r="AY184" s="328" t="b">
        <f t="shared" si="169"/>
        <v>1</v>
      </c>
    </row>
    <row r="185" ht="27" customHeight="1" spans="1:51">
      <c r="A185" s="326" t="str">
        <f>INDEX('Rate Card'!$A:$A,MATCH($S185,'Rate Card'!$F:$F,0))</f>
        <v>注册</v>
      </c>
      <c r="B185" s="327" t="str">
        <f>INDEX(二三级标准!$G:$G,MATCH($J185,二三级标准!B:B,0))</f>
        <v>项目</v>
      </c>
      <c r="C185" s="327">
        <f>INDEX(注册申报明细!$E:$E,MATCH($J185,注册申报明细!$B:$B,0))</f>
        <v>0</v>
      </c>
      <c r="D185" s="327" t="str">
        <f t="shared" si="181"/>
        <v>A326RAD</v>
      </c>
      <c r="E185" s="328"/>
      <c r="F185" s="328" t="s">
        <v>684</v>
      </c>
      <c r="G185" s="326" t="str">
        <f>INDEX('Rate Card'!$B:$B,MATCH($S185,'Rate Card'!$F:$F,0))</f>
        <v>注册</v>
      </c>
      <c r="H185" s="328" t="s">
        <v>2029</v>
      </c>
      <c r="I185" s="328" t="str">
        <f>INDEX(二三级标准!$Q:$Q,MATCH($H185,二三级标准!$O:$O,0))</f>
        <v>注册检验</v>
      </c>
      <c r="J185" s="328" t="s">
        <v>2030</v>
      </c>
      <c r="K185" s="328" t="str">
        <f>INDEX(二三级标准!$C:$C,MATCH(注册申报底表!J185,二三级标准!$B:$B,0))</f>
        <v>资料准备（注册检验）</v>
      </c>
      <c r="L185" s="328" t="s">
        <v>2178</v>
      </c>
      <c r="M185" s="328" t="str">
        <f>INDEX(二三级标准!$M:$M,MATCH(注册申报底表!$L185,二三级标准!$L:$L,0))</f>
        <v>资料审核（注册检验）</v>
      </c>
      <c r="N185" s="328"/>
      <c r="O185" s="327">
        <f>IF($Q185=1,INDEX(注册申报明细!$E:$E,MATCH(注册申报底表!$J185,注册申报明细!$B:$B,0)),0)</f>
        <v>0</v>
      </c>
      <c r="P185" s="328" t="str">
        <f t="shared" si="170"/>
        <v>项目</v>
      </c>
      <c r="Q185" s="329">
        <f>INDEX(注册申报明细!$D:$D,MATCH($J185,注册申报明细!$B:$B,0))</f>
        <v>0</v>
      </c>
      <c r="R185" s="328" t="str">
        <f>INDEX('Rate Card'!$D:$D,MATCH($S185,'Rate Card'!$F:$F,0))</f>
        <v>注册事务</v>
      </c>
      <c r="S185" s="328" t="s">
        <v>609</v>
      </c>
      <c r="T185" s="331">
        <f>INDEX('Rate Card'!$J:$J,MATCH($S185,'Rate Card'!$F:$F,0))</f>
        <v>990</v>
      </c>
      <c r="U185" s="331">
        <f t="shared" si="182"/>
        <v>4</v>
      </c>
      <c r="V185" s="327">
        <v>4</v>
      </c>
      <c r="W185" s="328"/>
      <c r="X185" s="332">
        <f t="shared" si="183"/>
        <v>4</v>
      </c>
      <c r="Y185" s="333">
        <f t="shared" si="184"/>
        <v>0</v>
      </c>
      <c r="Z185" s="328">
        <f t="shared" si="185"/>
        <v>0</v>
      </c>
      <c r="AA185" s="334">
        <f t="shared" si="186"/>
        <v>0</v>
      </c>
      <c r="AB185" s="334">
        <f>$Y185*(1-INDEX(项目参数!$D$5:$D$15,MATCH($R185,项目参数!$B$5:$B$15,0)))</f>
        <v>0</v>
      </c>
      <c r="AC185" s="334">
        <f>$AA185*INDEX(项目参数!$D$5:$D$15,MATCH($R185,项目参数!$B$5:$B$15,0))</f>
        <v>0</v>
      </c>
      <c r="AD185" s="334">
        <f t="shared" si="187"/>
        <v>0</v>
      </c>
      <c r="AE185" s="328"/>
      <c r="AF185" s="328"/>
      <c r="AG185" s="327"/>
      <c r="AH185" s="327"/>
      <c r="AI185" s="327"/>
      <c r="AJ185" s="327"/>
      <c r="AK185" s="327"/>
      <c r="AL185" s="327"/>
      <c r="AM185" s="327"/>
      <c r="AN185" s="328"/>
      <c r="AO185" s="327"/>
      <c r="AP185" s="327"/>
      <c r="AQ185" s="327"/>
      <c r="AR185" s="327"/>
      <c r="AS185" s="327"/>
      <c r="AT185" s="327"/>
      <c r="AU185" s="327"/>
      <c r="AV185" s="328">
        <f t="shared" si="188"/>
        <v>0</v>
      </c>
      <c r="AW185" s="328">
        <f t="shared" si="189"/>
        <v>0</v>
      </c>
      <c r="AX185" s="328">
        <f t="shared" si="190"/>
        <v>0</v>
      </c>
      <c r="AY185" s="328" t="b">
        <f t="shared" si="169"/>
        <v>1</v>
      </c>
    </row>
    <row r="186" ht="27" customHeight="1" spans="1:51">
      <c r="A186" s="326" t="str">
        <f>INDEX('Rate Card'!$A:$A,MATCH($S186,'Rate Card'!$F:$F,0))</f>
        <v>注册</v>
      </c>
      <c r="B186" s="327" t="str">
        <f>INDEX(二三级标准!$G:$G,MATCH($J186,二三级标准!B:B,0))</f>
        <v>项目</v>
      </c>
      <c r="C186" s="327">
        <f>INDEX(注册申报明细!$E:$E,MATCH($J186,注册申报明细!$B:$B,0))</f>
        <v>0</v>
      </c>
      <c r="D186" s="327" t="str">
        <f t="shared" si="181"/>
        <v>A327RAM</v>
      </c>
      <c r="E186" s="328"/>
      <c r="F186" s="328" t="s">
        <v>684</v>
      </c>
      <c r="G186" s="326" t="str">
        <f>INDEX('Rate Card'!$B:$B,MATCH($S186,'Rate Card'!$F:$F,0))</f>
        <v>注册</v>
      </c>
      <c r="H186" s="328" t="s">
        <v>2029</v>
      </c>
      <c r="I186" s="328" t="str">
        <f>INDEX(二三级标准!$Q:$Q,MATCH($H186,二三级标准!$O:$O,0))</f>
        <v>注册检验</v>
      </c>
      <c r="J186" s="328" t="s">
        <v>2031</v>
      </c>
      <c r="K186" s="328" t="str">
        <f>INDEX(二三级标准!$C:$C,MATCH(注册申报底表!J186,二三级标准!$B:$B,0))</f>
        <v>检验样品及对照品准备</v>
      </c>
      <c r="L186" s="328" t="s">
        <v>2179</v>
      </c>
      <c r="M186" s="328" t="str">
        <f>INDEX(二三级标准!$M:$M,MATCH(注册申报底表!$L186,二三级标准!$L:$L,0))</f>
        <v>检验样品及对照品准备</v>
      </c>
      <c r="N186" s="328"/>
      <c r="O186" s="327">
        <f>IF($Q186=1,INDEX(注册申报明细!$E:$E,MATCH(注册申报底表!$J186,注册申报明细!$B:$B,0)),0)</f>
        <v>0</v>
      </c>
      <c r="P186" s="328" t="str">
        <f t="shared" si="170"/>
        <v>项目</v>
      </c>
      <c r="Q186" s="329">
        <f>INDEX(注册申报明细!$D:$D,MATCH($J186,注册申报明细!$B:$B,0))</f>
        <v>0</v>
      </c>
      <c r="R186" s="328" t="str">
        <f>INDEX('Rate Card'!$D:$D,MATCH($S186,'Rate Card'!$F:$F,0))</f>
        <v>注册事务</v>
      </c>
      <c r="S186" s="328" t="s">
        <v>607</v>
      </c>
      <c r="T186" s="331">
        <f>INDEX('Rate Card'!$J:$J,MATCH($S186,'Rate Card'!$F:$F,0))</f>
        <v>650</v>
      </c>
      <c r="U186" s="331">
        <f t="shared" si="182"/>
        <v>8</v>
      </c>
      <c r="V186" s="327">
        <v>8</v>
      </c>
      <c r="W186" s="328"/>
      <c r="X186" s="332">
        <f t="shared" si="183"/>
        <v>8</v>
      </c>
      <c r="Y186" s="333">
        <f t="shared" si="184"/>
        <v>0</v>
      </c>
      <c r="Z186" s="328">
        <f t="shared" si="185"/>
        <v>0</v>
      </c>
      <c r="AA186" s="334">
        <f t="shared" si="186"/>
        <v>0</v>
      </c>
      <c r="AB186" s="334">
        <f>$Y186*(1-INDEX(项目参数!$D$5:$D$15,MATCH($R186,项目参数!$B$5:$B$15,0)))</f>
        <v>0</v>
      </c>
      <c r="AC186" s="334">
        <f>$AA186*INDEX(项目参数!$D$5:$D$15,MATCH($R186,项目参数!$B$5:$B$15,0))</f>
        <v>0</v>
      </c>
      <c r="AD186" s="334">
        <f t="shared" si="187"/>
        <v>0</v>
      </c>
      <c r="AE186" s="328"/>
      <c r="AF186" s="328"/>
      <c r="AG186" s="327"/>
      <c r="AH186" s="327"/>
      <c r="AI186" s="327"/>
      <c r="AJ186" s="327"/>
      <c r="AK186" s="327"/>
      <c r="AL186" s="327"/>
      <c r="AM186" s="327"/>
      <c r="AN186" s="328"/>
      <c r="AO186" s="327"/>
      <c r="AP186" s="327"/>
      <c r="AQ186" s="327"/>
      <c r="AR186" s="327"/>
      <c r="AS186" s="327"/>
      <c r="AT186" s="327"/>
      <c r="AU186" s="327"/>
      <c r="AV186" s="328">
        <f t="shared" si="188"/>
        <v>0</v>
      </c>
      <c r="AW186" s="328">
        <f t="shared" si="189"/>
        <v>0</v>
      </c>
      <c r="AX186" s="328">
        <f t="shared" si="190"/>
        <v>0</v>
      </c>
      <c r="AY186" s="328" t="b">
        <f t="shared" si="169"/>
        <v>0</v>
      </c>
    </row>
    <row r="187" ht="27" customHeight="1" spans="1:51">
      <c r="A187" s="326" t="str">
        <f>INDEX('Rate Card'!$A:$A,MATCH($S187,'Rate Card'!$F:$F,0))</f>
        <v>注册</v>
      </c>
      <c r="B187" s="327" t="str">
        <f>INDEX(二三级标准!$G:$G,MATCH($J187,二三级标准!B:B,0))</f>
        <v>项目</v>
      </c>
      <c r="C187" s="327">
        <f>INDEX(注册申报明细!$E:$E,MATCH($J187,注册申报明细!$B:$B,0))</f>
        <v>0</v>
      </c>
      <c r="D187" s="327" t="str">
        <f t="shared" si="181"/>
        <v>A328RAM</v>
      </c>
      <c r="E187" s="328"/>
      <c r="F187" s="328" t="s">
        <v>684</v>
      </c>
      <c r="G187" s="326" t="str">
        <f>INDEX('Rate Card'!$B:$B,MATCH($S187,'Rate Card'!$F:$F,0))</f>
        <v>注册</v>
      </c>
      <c r="H187" s="328" t="s">
        <v>2029</v>
      </c>
      <c r="I187" s="328" t="str">
        <f>INDEX(二三级标准!$Q:$Q,MATCH($H187,二三级标准!$O:$O,0))</f>
        <v>注册检验</v>
      </c>
      <c r="J187" s="328" t="s">
        <v>2032</v>
      </c>
      <c r="K187" s="328" t="str">
        <f>INDEX(二三级标准!$C:$C,MATCH(注册申报底表!J187,二三级标准!$B:$B,0))</f>
        <v>送检</v>
      </c>
      <c r="L187" s="328" t="s">
        <v>2180</v>
      </c>
      <c r="M187" s="328" t="str">
        <f>INDEX(二三级标准!$M:$M,MATCH(注册申报底表!$L187,二三级标准!$L:$L,0))</f>
        <v>送检</v>
      </c>
      <c r="N187" s="328"/>
      <c r="O187" s="327">
        <f>IF($Q187=1,INDEX(注册申报明细!$E:$E,MATCH(注册申报底表!$J187,注册申报明细!$B:$B,0)),0)</f>
        <v>0</v>
      </c>
      <c r="P187" s="328" t="str">
        <f t="shared" si="170"/>
        <v>项目</v>
      </c>
      <c r="Q187" s="329">
        <f>INDEX(注册申报明细!$D:$D,MATCH($J187,注册申报明细!$B:$B,0))</f>
        <v>0</v>
      </c>
      <c r="R187" s="328" t="str">
        <f>INDEX('Rate Card'!$D:$D,MATCH($S187,'Rate Card'!$F:$F,0))</f>
        <v>注册事务</v>
      </c>
      <c r="S187" s="328" t="s">
        <v>607</v>
      </c>
      <c r="T187" s="331">
        <f>INDEX('Rate Card'!$J:$J,MATCH($S187,'Rate Card'!$F:$F,0))</f>
        <v>650</v>
      </c>
      <c r="U187" s="331">
        <f t="shared" si="182"/>
        <v>24</v>
      </c>
      <c r="V187" s="327">
        <v>24</v>
      </c>
      <c r="W187" s="328"/>
      <c r="X187" s="332">
        <f t="shared" si="183"/>
        <v>24</v>
      </c>
      <c r="Y187" s="333">
        <f t="shared" si="184"/>
        <v>0</v>
      </c>
      <c r="Z187" s="328">
        <f t="shared" si="185"/>
        <v>0</v>
      </c>
      <c r="AA187" s="334">
        <f t="shared" si="186"/>
        <v>0</v>
      </c>
      <c r="AB187" s="334">
        <f>$Y187*(1-INDEX(项目参数!$D$5:$D$15,MATCH($R187,项目参数!$B$5:$B$15,0)))</f>
        <v>0</v>
      </c>
      <c r="AC187" s="334">
        <f>$AA187*INDEX(项目参数!$D$5:$D$15,MATCH($R187,项目参数!$B$5:$B$15,0))</f>
        <v>0</v>
      </c>
      <c r="AD187" s="334">
        <f t="shared" si="187"/>
        <v>0</v>
      </c>
      <c r="AE187" s="328"/>
      <c r="AF187" s="328"/>
      <c r="AG187" s="327"/>
      <c r="AH187" s="327"/>
      <c r="AI187" s="327"/>
      <c r="AJ187" s="327"/>
      <c r="AK187" s="327"/>
      <c r="AL187" s="327"/>
      <c r="AM187" s="327"/>
      <c r="AN187" s="328"/>
      <c r="AO187" s="327"/>
      <c r="AP187" s="327"/>
      <c r="AQ187" s="327"/>
      <c r="AR187" s="327"/>
      <c r="AS187" s="327"/>
      <c r="AT187" s="327"/>
      <c r="AU187" s="327"/>
      <c r="AV187" s="328">
        <f t="shared" si="188"/>
        <v>0</v>
      </c>
      <c r="AW187" s="328">
        <f t="shared" si="189"/>
        <v>0</v>
      </c>
      <c r="AX187" s="328">
        <f t="shared" si="190"/>
        <v>0</v>
      </c>
      <c r="AY187" s="328" t="b">
        <f t="shared" si="169"/>
        <v>1</v>
      </c>
    </row>
    <row r="188" ht="27" customHeight="1" spans="1:51">
      <c r="A188" s="326" t="str">
        <f>INDEX('Rate Card'!$A:$A,MATCH($S188,'Rate Card'!$F:$F,0))</f>
        <v>注册</v>
      </c>
      <c r="B188" s="327" t="str">
        <f>INDEX(二三级标准!$G:$G,MATCH($J188,二三级标准!B:B,0))</f>
        <v>项目</v>
      </c>
      <c r="C188" s="327">
        <f>INDEX(注册申报明细!$E:$E,MATCH($J188,注册申报明细!$B:$B,0))</f>
        <v>0</v>
      </c>
      <c r="D188" s="327" t="str">
        <f t="shared" si="181"/>
        <v>A329RAM</v>
      </c>
      <c r="E188" s="328"/>
      <c r="F188" s="328" t="s">
        <v>684</v>
      </c>
      <c r="G188" s="326" t="str">
        <f>INDEX('Rate Card'!$B:$B,MATCH($S188,'Rate Card'!$F:$F,0))</f>
        <v>注册</v>
      </c>
      <c r="H188" s="328" t="s">
        <v>2029</v>
      </c>
      <c r="I188" s="328" t="str">
        <f>INDEX(二三级标准!$Q:$Q,MATCH($H188,二三级标准!$O:$O,0))</f>
        <v>注册检验</v>
      </c>
      <c r="J188" s="328" t="s">
        <v>2033</v>
      </c>
      <c r="K188" s="328" t="str">
        <f>INDEX(二三级标准!$C:$C,MATCH(注册申报底表!J188,二三级标准!$B:$B,0))</f>
        <v>过程跟踪（注册检验）</v>
      </c>
      <c r="L188" s="328" t="s">
        <v>2181</v>
      </c>
      <c r="M188" s="328" t="str">
        <f>INDEX(二三级标准!$M:$M,MATCH(注册申报底表!$L188,二三级标准!$L:$L,0))</f>
        <v>过程跟踪（注册检验）</v>
      </c>
      <c r="N188" s="328"/>
      <c r="O188" s="327">
        <f>IF($Q188=1,INDEX(注册申报明细!$E:$E,MATCH(注册申报底表!$J188,注册申报明细!$B:$B,0)),0)</f>
        <v>0</v>
      </c>
      <c r="P188" s="328" t="str">
        <f t="shared" si="170"/>
        <v>项目</v>
      </c>
      <c r="Q188" s="329">
        <f>INDEX(注册申报明细!$D:$D,MATCH($J188,注册申报明细!$B:$B,0))</f>
        <v>0</v>
      </c>
      <c r="R188" s="328" t="str">
        <f>INDEX('Rate Card'!$D:$D,MATCH($S188,'Rate Card'!$F:$F,0))</f>
        <v>注册事务</v>
      </c>
      <c r="S188" s="328" t="s">
        <v>607</v>
      </c>
      <c r="T188" s="331">
        <f>INDEX('Rate Card'!$J:$J,MATCH($S188,'Rate Card'!$F:$F,0))</f>
        <v>650</v>
      </c>
      <c r="U188" s="331">
        <f t="shared" si="182"/>
        <v>40</v>
      </c>
      <c r="V188" s="327">
        <v>40</v>
      </c>
      <c r="W188" s="328"/>
      <c r="X188" s="332">
        <f t="shared" si="183"/>
        <v>40</v>
      </c>
      <c r="Y188" s="333">
        <f t="shared" si="184"/>
        <v>0</v>
      </c>
      <c r="Z188" s="328">
        <f t="shared" si="185"/>
        <v>0</v>
      </c>
      <c r="AA188" s="334">
        <f t="shared" si="186"/>
        <v>0</v>
      </c>
      <c r="AB188" s="334">
        <f>$Y188*(1-INDEX(项目参数!$D$5:$D$15,MATCH($R188,项目参数!$B$5:$B$15,0)))</f>
        <v>0</v>
      </c>
      <c r="AC188" s="334">
        <f>$AA188*INDEX(项目参数!$D$5:$D$15,MATCH($R188,项目参数!$B$5:$B$15,0))</f>
        <v>0</v>
      </c>
      <c r="AD188" s="334">
        <f t="shared" si="187"/>
        <v>0</v>
      </c>
      <c r="AE188" s="328"/>
      <c r="AF188" s="328"/>
      <c r="AG188" s="327"/>
      <c r="AH188" s="327"/>
      <c r="AI188" s="327"/>
      <c r="AJ188" s="327"/>
      <c r="AK188" s="327"/>
      <c r="AL188" s="327"/>
      <c r="AM188" s="327"/>
      <c r="AN188" s="328"/>
      <c r="AO188" s="327"/>
      <c r="AP188" s="327"/>
      <c r="AQ188" s="327"/>
      <c r="AR188" s="327"/>
      <c r="AS188" s="327"/>
      <c r="AT188" s="327"/>
      <c r="AU188" s="327"/>
      <c r="AV188" s="328">
        <f t="shared" si="188"/>
        <v>0</v>
      </c>
      <c r="AW188" s="328">
        <f t="shared" si="189"/>
        <v>0</v>
      </c>
      <c r="AX188" s="328">
        <f t="shared" si="190"/>
        <v>0</v>
      </c>
      <c r="AY188" s="328" t="b">
        <f t="shared" si="169"/>
        <v>0</v>
      </c>
    </row>
    <row r="189" ht="27" customHeight="1" spans="1:51">
      <c r="A189" s="326" t="str">
        <f>INDEX('Rate Card'!$A:$A,MATCH($S189,'Rate Card'!$F:$F,0))</f>
        <v>注册</v>
      </c>
      <c r="B189" s="327" t="str">
        <f>INDEX(二三级标准!$G:$G,MATCH($J189,二三级标准!B:B,0))</f>
        <v>项目</v>
      </c>
      <c r="C189" s="327">
        <f>INDEX(注册申报明细!$E:$E,MATCH($J189,注册申报明细!$B:$B,0))</f>
        <v>0</v>
      </c>
      <c r="D189" s="327" t="str">
        <f t="shared" si="181"/>
        <v>A330RAM</v>
      </c>
      <c r="E189" s="328"/>
      <c r="F189" s="328" t="s">
        <v>684</v>
      </c>
      <c r="G189" s="326" t="str">
        <f>INDEX('Rate Card'!$B:$B,MATCH($S189,'Rate Card'!$F:$F,0))</f>
        <v>注册</v>
      </c>
      <c r="H189" s="328" t="s">
        <v>2034</v>
      </c>
      <c r="I189" s="328" t="str">
        <f>INDEX(二三级标准!$Q:$Q,MATCH($H189,二三级标准!$O:$O,0))</f>
        <v>通用名申请</v>
      </c>
      <c r="J189" s="328" t="s">
        <v>2035</v>
      </c>
      <c r="K189" s="328" t="str">
        <f>INDEX(二三级标准!$C:$C,MATCH(注册申报底表!J189,二三级标准!$B:$B,0))</f>
        <v>资料准备（通用名）</v>
      </c>
      <c r="L189" s="328" t="s">
        <v>2182</v>
      </c>
      <c r="M189" s="328" t="str">
        <f>INDEX(二三级标准!$M:$M,MATCH(注册申报底表!$L189,二三级标准!$L:$L,0))</f>
        <v>资料准备（通用名）</v>
      </c>
      <c r="N189" s="340" t="s">
        <v>2183</v>
      </c>
      <c r="O189" s="327">
        <f>IF($Q189=1,INDEX(注册申报明细!$E:$E,MATCH(注册申报底表!$J189,注册申报明细!$B:$B,0)),0)</f>
        <v>0</v>
      </c>
      <c r="P189" s="328" t="str">
        <f t="shared" si="170"/>
        <v>项目</v>
      </c>
      <c r="Q189" s="329">
        <f>INDEX(注册申报明细!$D:$D,MATCH($J189,注册申报明细!$B:$B,0))</f>
        <v>0</v>
      </c>
      <c r="R189" s="328" t="str">
        <f>INDEX('Rate Card'!$D:$D,MATCH($S189,'Rate Card'!$F:$F,0))</f>
        <v>注册事务</v>
      </c>
      <c r="S189" s="328" t="s">
        <v>607</v>
      </c>
      <c r="T189" s="331">
        <f>INDEX('Rate Card'!$J:$J,MATCH($S189,'Rate Card'!$F:$F,0))</f>
        <v>650</v>
      </c>
      <c r="U189" s="331">
        <f t="shared" si="182"/>
        <v>60</v>
      </c>
      <c r="V189" s="327">
        <v>60</v>
      </c>
      <c r="W189" s="328"/>
      <c r="X189" s="332">
        <f t="shared" si="183"/>
        <v>60</v>
      </c>
      <c r="Y189" s="333">
        <f t="shared" si="184"/>
        <v>0</v>
      </c>
      <c r="Z189" s="328">
        <f t="shared" si="185"/>
        <v>0</v>
      </c>
      <c r="AA189" s="334">
        <f t="shared" si="186"/>
        <v>0</v>
      </c>
      <c r="AB189" s="334">
        <f>$Y189*(1-INDEX(项目参数!$D$5:$D$15,MATCH($R189,项目参数!$B$5:$B$15,0)))</f>
        <v>0</v>
      </c>
      <c r="AC189" s="334">
        <f>$AA189*INDEX(项目参数!$D$5:$D$15,MATCH($R189,项目参数!$B$5:$B$15,0))</f>
        <v>0</v>
      </c>
      <c r="AD189" s="334">
        <f t="shared" si="187"/>
        <v>0</v>
      </c>
      <c r="AE189" s="328"/>
      <c r="AF189" s="328"/>
      <c r="AG189" s="327"/>
      <c r="AH189" s="327"/>
      <c r="AI189" s="327"/>
      <c r="AJ189" s="327"/>
      <c r="AK189" s="327"/>
      <c r="AL189" s="327"/>
      <c r="AM189" s="327"/>
      <c r="AN189" s="328"/>
      <c r="AO189" s="327"/>
      <c r="AP189" s="327"/>
      <c r="AQ189" s="327"/>
      <c r="AR189" s="327"/>
      <c r="AS189" s="327"/>
      <c r="AT189" s="327"/>
      <c r="AU189" s="327"/>
      <c r="AV189" s="328">
        <f t="shared" si="188"/>
        <v>0</v>
      </c>
      <c r="AW189" s="328">
        <f t="shared" si="189"/>
        <v>0</v>
      </c>
      <c r="AX189" s="328">
        <f t="shared" si="190"/>
        <v>0</v>
      </c>
      <c r="AY189" s="328" t="b">
        <f t="shared" si="169"/>
        <v>1</v>
      </c>
    </row>
    <row r="190" ht="27" customHeight="1" spans="1:51">
      <c r="A190" s="326" t="str">
        <f>INDEX('Rate Card'!$A:$A,MATCH($S190,'Rate Card'!$F:$F,0))</f>
        <v>注册</v>
      </c>
      <c r="B190" s="327" t="str">
        <f>INDEX(二三级标准!$G:$G,MATCH($J190,二三级标准!B:B,0))</f>
        <v>项目</v>
      </c>
      <c r="C190" s="327">
        <f>INDEX(注册申报明细!$E:$E,MATCH($J190,注册申报明细!$B:$B,0))</f>
        <v>0</v>
      </c>
      <c r="D190" s="327" t="str">
        <f t="shared" si="181"/>
        <v>A330RAD</v>
      </c>
      <c r="E190" s="328"/>
      <c r="F190" s="328" t="s">
        <v>684</v>
      </c>
      <c r="G190" s="326" t="str">
        <f>INDEX('Rate Card'!$B:$B,MATCH($S190,'Rate Card'!$F:$F,0))</f>
        <v>注册</v>
      </c>
      <c r="H190" s="328" t="s">
        <v>2034</v>
      </c>
      <c r="I190" s="328" t="str">
        <f>INDEX(二三级标准!$Q:$Q,MATCH($H190,二三级标准!$O:$O,0))</f>
        <v>通用名申请</v>
      </c>
      <c r="J190" s="328" t="s">
        <v>2035</v>
      </c>
      <c r="K190" s="328" t="str">
        <f>INDEX(二三级标准!$C:$C,MATCH(注册申报底表!J190,二三级标准!$B:$B,0))</f>
        <v>资料准备（通用名）</v>
      </c>
      <c r="L190" s="328" t="s">
        <v>2184</v>
      </c>
      <c r="M190" s="328" t="str">
        <f>INDEX(二三级标准!$M:$M,MATCH(注册申报底表!$L190,二三级标准!$L:$L,0))</f>
        <v>资料审核（通用名）</v>
      </c>
      <c r="N190" s="341"/>
      <c r="O190" s="327">
        <f>IF($Q190=1,INDEX(注册申报明细!$E:$E,MATCH(注册申报底表!$J190,注册申报明细!$B:$B,0)),0)</f>
        <v>0</v>
      </c>
      <c r="P190" s="328" t="str">
        <f t="shared" si="170"/>
        <v>项目</v>
      </c>
      <c r="Q190" s="329">
        <f>INDEX(注册申报明细!$D:$D,MATCH($J190,注册申报明细!$B:$B,0))</f>
        <v>0</v>
      </c>
      <c r="R190" s="328" t="str">
        <f>INDEX('Rate Card'!$D:$D,MATCH($S190,'Rate Card'!$F:$F,0))</f>
        <v>注册事务</v>
      </c>
      <c r="S190" s="328" t="s">
        <v>609</v>
      </c>
      <c r="T190" s="331">
        <f>INDEX('Rate Card'!$J:$J,MATCH($S190,'Rate Card'!$F:$F,0))</f>
        <v>990</v>
      </c>
      <c r="U190" s="331">
        <f t="shared" si="182"/>
        <v>8</v>
      </c>
      <c r="V190" s="327">
        <v>8</v>
      </c>
      <c r="W190" s="328"/>
      <c r="X190" s="332">
        <f t="shared" si="183"/>
        <v>8</v>
      </c>
      <c r="Y190" s="333">
        <f t="shared" si="184"/>
        <v>0</v>
      </c>
      <c r="Z190" s="328">
        <f t="shared" si="185"/>
        <v>0</v>
      </c>
      <c r="AA190" s="334">
        <f t="shared" si="186"/>
        <v>0</v>
      </c>
      <c r="AB190" s="334">
        <f>$Y190*(1-INDEX(项目参数!$D$5:$D$15,MATCH($R190,项目参数!$B$5:$B$15,0)))</f>
        <v>0</v>
      </c>
      <c r="AC190" s="334">
        <f>$AA190*INDEX(项目参数!$D$5:$D$15,MATCH($R190,项目参数!$B$5:$B$15,0))</f>
        <v>0</v>
      </c>
      <c r="AD190" s="334">
        <f t="shared" si="187"/>
        <v>0</v>
      </c>
      <c r="AE190" s="328"/>
      <c r="AF190" s="328"/>
      <c r="AG190" s="327"/>
      <c r="AH190" s="327"/>
      <c r="AI190" s="327"/>
      <c r="AJ190" s="327"/>
      <c r="AK190" s="327"/>
      <c r="AL190" s="327"/>
      <c r="AM190" s="327"/>
      <c r="AN190" s="328"/>
      <c r="AO190" s="327"/>
      <c r="AP190" s="327"/>
      <c r="AQ190" s="327"/>
      <c r="AR190" s="327"/>
      <c r="AS190" s="327"/>
      <c r="AT190" s="327"/>
      <c r="AU190" s="327"/>
      <c r="AV190" s="328">
        <f t="shared" si="188"/>
        <v>0</v>
      </c>
      <c r="AW190" s="328">
        <f t="shared" si="189"/>
        <v>0</v>
      </c>
      <c r="AX190" s="328">
        <f t="shared" si="190"/>
        <v>0</v>
      </c>
      <c r="AY190" s="328" t="b">
        <f t="shared" si="169"/>
        <v>1</v>
      </c>
    </row>
    <row r="191" ht="27" customHeight="1" spans="1:51">
      <c r="A191" s="326" t="str">
        <f>INDEX('Rate Card'!$A:$A,MATCH($S191,'Rate Card'!$F:$F,0))</f>
        <v>注册</v>
      </c>
      <c r="B191" s="327" t="str">
        <f>INDEX(二三级标准!$G:$G,MATCH($J191,二三级标准!B:B,0))</f>
        <v>项目</v>
      </c>
      <c r="C191" s="327">
        <f>INDEX(注册申报明细!$E:$E,MATCH($J191,注册申报明细!$B:$B,0))</f>
        <v>0</v>
      </c>
      <c r="D191" s="327" t="str">
        <f t="shared" si="181"/>
        <v>A331RAM</v>
      </c>
      <c r="E191" s="328"/>
      <c r="F191" s="328" t="s">
        <v>684</v>
      </c>
      <c r="G191" s="326" t="str">
        <f>INDEX('Rate Card'!$B:$B,MATCH($S191,'Rate Card'!$F:$F,0))</f>
        <v>注册</v>
      </c>
      <c r="H191" s="328" t="s">
        <v>2034</v>
      </c>
      <c r="I191" s="328" t="str">
        <f>INDEX(二三级标准!$Q:$Q,MATCH($H191,二三级标准!$O:$O,0))</f>
        <v>通用名申请</v>
      </c>
      <c r="J191" s="328" t="s">
        <v>2036</v>
      </c>
      <c r="K191" s="328" t="str">
        <f>INDEX(二三级标准!$C:$C,MATCH(注册申报底表!J191,二三级标准!$B:$B,0))</f>
        <v>过程跟踪（通用名）</v>
      </c>
      <c r="L191" s="328" t="s">
        <v>2185</v>
      </c>
      <c r="M191" s="328" t="str">
        <f>INDEX(二三级标准!$M:$M,MATCH(注册申报底表!$L191,二三级标准!$L:$L,0))</f>
        <v>过程跟踪（通用名）</v>
      </c>
      <c r="N191" s="328"/>
      <c r="O191" s="327">
        <f>IF($Q191=1,INDEX(注册申报明细!$E:$E,MATCH(注册申报底表!$J191,注册申报明细!$B:$B,0)),0)</f>
        <v>0</v>
      </c>
      <c r="P191" s="328" t="str">
        <f t="shared" si="170"/>
        <v>项目</v>
      </c>
      <c r="Q191" s="329">
        <f>INDEX(注册申报明细!$D:$D,MATCH($J191,注册申报明细!$B:$B,0))</f>
        <v>0</v>
      </c>
      <c r="R191" s="328" t="str">
        <f>INDEX('Rate Card'!$D:$D,MATCH($S191,'Rate Card'!$F:$F,0))</f>
        <v>注册事务</v>
      </c>
      <c r="S191" s="328" t="s">
        <v>607</v>
      </c>
      <c r="T191" s="331">
        <f>INDEX('Rate Card'!$J:$J,MATCH($S191,'Rate Card'!$F:$F,0))</f>
        <v>650</v>
      </c>
      <c r="U191" s="331">
        <f t="shared" si="182"/>
        <v>24</v>
      </c>
      <c r="V191" s="327">
        <v>24</v>
      </c>
      <c r="W191" s="328"/>
      <c r="X191" s="332">
        <f t="shared" si="183"/>
        <v>24</v>
      </c>
      <c r="Y191" s="333">
        <f t="shared" si="184"/>
        <v>0</v>
      </c>
      <c r="Z191" s="328">
        <f t="shared" si="185"/>
        <v>0</v>
      </c>
      <c r="AA191" s="334">
        <f t="shared" si="186"/>
        <v>0</v>
      </c>
      <c r="AB191" s="334">
        <f>$Y191*(1-INDEX(项目参数!$D$5:$D$15,MATCH($R191,项目参数!$B$5:$B$15,0)))</f>
        <v>0</v>
      </c>
      <c r="AC191" s="334">
        <f>$AA191*INDEX(项目参数!$D$5:$D$15,MATCH($R191,项目参数!$B$5:$B$15,0))</f>
        <v>0</v>
      </c>
      <c r="AD191" s="334">
        <f t="shared" si="187"/>
        <v>0</v>
      </c>
      <c r="AE191" s="328"/>
      <c r="AF191" s="328"/>
      <c r="AG191" s="327"/>
      <c r="AH191" s="327"/>
      <c r="AI191" s="327"/>
      <c r="AJ191" s="327"/>
      <c r="AK191" s="327"/>
      <c r="AL191" s="327"/>
      <c r="AM191" s="327"/>
      <c r="AN191" s="328"/>
      <c r="AO191" s="327"/>
      <c r="AP191" s="327"/>
      <c r="AQ191" s="327"/>
      <c r="AR191" s="327"/>
      <c r="AS191" s="327"/>
      <c r="AT191" s="327"/>
      <c r="AU191" s="327"/>
      <c r="AV191" s="328">
        <f t="shared" si="188"/>
        <v>0</v>
      </c>
      <c r="AW191" s="328">
        <f t="shared" si="189"/>
        <v>0</v>
      </c>
      <c r="AX191" s="328">
        <f t="shared" si="190"/>
        <v>0</v>
      </c>
      <c r="AY191" s="328" t="b">
        <f t="shared" si="169"/>
        <v>0</v>
      </c>
    </row>
    <row r="192" ht="27" customHeight="1" spans="1:51">
      <c r="A192" s="326" t="str">
        <f>INDEX('Rate Card'!$A:$A,MATCH($S192,'Rate Card'!$F:$F,0))</f>
        <v>注册</v>
      </c>
      <c r="B192" s="327" t="str">
        <f>INDEX(二三级标准!$G:$G,MATCH($J192,二三级标准!B:B,0))</f>
        <v>次</v>
      </c>
      <c r="C192" s="327">
        <f>INDEX(注册申报明细!$E:$E,MATCH($J192,注册申报明细!$B:$B,0))</f>
        <v>0</v>
      </c>
      <c r="D192" s="327" t="str">
        <f t="shared" si="181"/>
        <v>A332RAM</v>
      </c>
      <c r="E192" s="328"/>
      <c r="F192" s="328" t="s">
        <v>684</v>
      </c>
      <c r="G192" s="326" t="str">
        <f>INDEX('Rate Card'!$B:$B,MATCH($S192,'Rate Card'!$F:$F,0))</f>
        <v>注册</v>
      </c>
      <c r="H192" s="328" t="s">
        <v>2037</v>
      </c>
      <c r="I192" s="328" t="str">
        <f>INDEX(二三级标准!$Q:$Q,MATCH($H192,二三级标准!$O:$O,0))</f>
        <v>现场核查</v>
      </c>
      <c r="J192" s="328" t="s">
        <v>2038</v>
      </c>
      <c r="K192" s="328" t="str">
        <f>INDEX(二三级标准!$C:$C,MATCH(注册申报底表!J192,二三级标准!$B:$B,0))</f>
        <v>现场核查支持</v>
      </c>
      <c r="L192" s="328" t="s">
        <v>2186</v>
      </c>
      <c r="M192" s="328" t="str">
        <f>INDEX(二三级标准!$M:$M,MATCH(注册申报底表!$L192,二三级标准!$L:$L,0))</f>
        <v>现场核查支持</v>
      </c>
      <c r="N192" s="328"/>
      <c r="O192" s="327">
        <f>IF($Q192=1,INDEX(注册申报明细!$E:$E,MATCH(注册申报底表!$J192,注册申报明细!$B:$B,0)),0)</f>
        <v>0</v>
      </c>
      <c r="P192" s="328" t="str">
        <f t="shared" si="170"/>
        <v>次</v>
      </c>
      <c r="Q192" s="329">
        <f>INDEX(注册申报明细!$D:$D,MATCH($J192,注册申报明细!$B:$B,0))</f>
        <v>0</v>
      </c>
      <c r="R192" s="328" t="str">
        <f>INDEX('Rate Card'!$D:$D,MATCH($S192,'Rate Card'!$F:$F,0))</f>
        <v>注册事务</v>
      </c>
      <c r="S192" s="328" t="s">
        <v>607</v>
      </c>
      <c r="T192" s="331">
        <f>INDEX('Rate Card'!$J:$J,MATCH($S192,'Rate Card'!$F:$F,0))</f>
        <v>650</v>
      </c>
      <c r="U192" s="331">
        <f t="shared" si="182"/>
        <v>40</v>
      </c>
      <c r="V192" s="327">
        <v>40</v>
      </c>
      <c r="W192" s="328"/>
      <c r="X192" s="332">
        <f t="shared" si="183"/>
        <v>40</v>
      </c>
      <c r="Y192" s="333">
        <f t="shared" si="184"/>
        <v>0</v>
      </c>
      <c r="Z192" s="328">
        <f t="shared" si="185"/>
        <v>0</v>
      </c>
      <c r="AA192" s="334">
        <f t="shared" si="186"/>
        <v>0</v>
      </c>
      <c r="AB192" s="334">
        <f>$Y192*(1-INDEX(项目参数!$D$5:$D$15,MATCH($R192,项目参数!$B$5:$B$15,0)))</f>
        <v>0</v>
      </c>
      <c r="AC192" s="334">
        <f>$AA192*INDEX(项目参数!$D$5:$D$15,MATCH($R192,项目参数!$B$5:$B$15,0))</f>
        <v>0</v>
      </c>
      <c r="AD192" s="334">
        <f t="shared" si="187"/>
        <v>0</v>
      </c>
      <c r="AE192" s="328"/>
      <c r="AF192" s="328"/>
      <c r="AG192" s="327"/>
      <c r="AH192" s="327"/>
      <c r="AI192" s="327"/>
      <c r="AJ192" s="327"/>
      <c r="AK192" s="327"/>
      <c r="AL192" s="327"/>
      <c r="AM192" s="327"/>
      <c r="AN192" s="328"/>
      <c r="AO192" s="327"/>
      <c r="AP192" s="327"/>
      <c r="AQ192" s="327"/>
      <c r="AR192" s="327"/>
      <c r="AS192" s="327"/>
      <c r="AT192" s="327"/>
      <c r="AU192" s="327"/>
      <c r="AV192" s="328">
        <f t="shared" si="188"/>
        <v>0</v>
      </c>
      <c r="AW192" s="328">
        <f t="shared" si="189"/>
        <v>0</v>
      </c>
      <c r="AX192" s="328">
        <f t="shared" si="190"/>
        <v>0</v>
      </c>
      <c r="AY192" s="328" t="b">
        <f t="shared" si="169"/>
        <v>1</v>
      </c>
    </row>
    <row r="193" ht="27" customHeight="1" spans="1:51">
      <c r="A193" s="326" t="str">
        <f>INDEX('Rate Card'!$A:$A,MATCH($S193,'Rate Card'!$F:$F,0))</f>
        <v>注册</v>
      </c>
      <c r="B193" s="327" t="str">
        <f>INDEX(二三级标准!$G:$G,MATCH($J193,二三级标准!B:B,0))</f>
        <v>次</v>
      </c>
      <c r="C193" s="327">
        <f>INDEX(注册申报明细!$E:$E,MATCH($J193,注册申报明细!$B:$B,0))</f>
        <v>0</v>
      </c>
      <c r="D193" s="327" t="str">
        <f t="shared" si="181"/>
        <v>A333RAM</v>
      </c>
      <c r="E193" s="328"/>
      <c r="F193" s="328" t="s">
        <v>684</v>
      </c>
      <c r="G193" s="326" t="str">
        <f>INDEX('Rate Card'!$B:$B,MATCH($S193,'Rate Card'!$F:$F,0))</f>
        <v>注册</v>
      </c>
      <c r="H193" s="328" t="s">
        <v>2040</v>
      </c>
      <c r="I193" s="328" t="str">
        <f>INDEX(二三级标准!$Q:$Q,MATCH($H193,二三级标准!$O:$O,0))</f>
        <v>Pre-NDA 会议支持</v>
      </c>
      <c r="J193" s="328" t="s">
        <v>2041</v>
      </c>
      <c r="K193" s="328" t="str">
        <f>INDEX(二三级标准!$C:$C,MATCH(注册申报底表!J193,二三级标准!$B:$B,0))</f>
        <v>临床部分的可行性分析及策略建议</v>
      </c>
      <c r="L193" s="328" t="s">
        <v>2187</v>
      </c>
      <c r="M193" s="328" t="str">
        <f>INDEX(二三级标准!$M:$M,MATCH(注册申报底表!$L193,二三级标准!$L:$L,0))</f>
        <v>临床部分的可行性分析及策略建议撰写</v>
      </c>
      <c r="N193" s="328"/>
      <c r="O193" s="327">
        <f>IF($Q193=1,INDEX(注册申报明细!$E:$E,MATCH(注册申报底表!$J193,注册申报明细!$B:$B,0)),0)</f>
        <v>0</v>
      </c>
      <c r="P193" s="328" t="str">
        <f t="shared" si="170"/>
        <v>次</v>
      </c>
      <c r="Q193" s="329">
        <f>INDEX(注册申报明细!$D:$D,MATCH($J193,注册申报明细!$B:$B,0))</f>
        <v>0</v>
      </c>
      <c r="R193" s="328" t="str">
        <f>INDEX('Rate Card'!$D:$D,MATCH($S193,'Rate Card'!$F:$F,0))</f>
        <v>注册事务</v>
      </c>
      <c r="S193" s="328" t="s">
        <v>607</v>
      </c>
      <c r="T193" s="331">
        <f>INDEX('Rate Card'!$J:$J,MATCH($S193,'Rate Card'!$F:$F,0))</f>
        <v>650</v>
      </c>
      <c r="U193" s="331">
        <f t="shared" si="182"/>
        <v>8</v>
      </c>
      <c r="V193" s="327">
        <v>8</v>
      </c>
      <c r="W193" s="328"/>
      <c r="X193" s="332">
        <f t="shared" si="183"/>
        <v>8</v>
      </c>
      <c r="Y193" s="333">
        <f t="shared" si="184"/>
        <v>0</v>
      </c>
      <c r="Z193" s="328">
        <f t="shared" si="185"/>
        <v>0</v>
      </c>
      <c r="AA193" s="334">
        <f t="shared" si="186"/>
        <v>0</v>
      </c>
      <c r="AB193" s="334">
        <f>$Y193*(1-INDEX(项目参数!$D$5:$D$15,MATCH($R193,项目参数!$B$5:$B$15,0)))</f>
        <v>0</v>
      </c>
      <c r="AC193" s="334">
        <f>$AA193*INDEX(项目参数!$D$5:$D$15,MATCH($R193,项目参数!$B$5:$B$15,0))</f>
        <v>0</v>
      </c>
      <c r="AD193" s="334">
        <f t="shared" si="187"/>
        <v>0</v>
      </c>
      <c r="AE193" s="328"/>
      <c r="AF193" s="328"/>
      <c r="AG193" s="327"/>
      <c r="AH193" s="327"/>
      <c r="AI193" s="327"/>
      <c r="AJ193" s="327"/>
      <c r="AK193" s="327"/>
      <c r="AL193" s="327"/>
      <c r="AM193" s="327"/>
      <c r="AN193" s="328"/>
      <c r="AO193" s="327"/>
      <c r="AP193" s="327"/>
      <c r="AQ193" s="327"/>
      <c r="AR193" s="327"/>
      <c r="AS193" s="327"/>
      <c r="AT193" s="327"/>
      <c r="AU193" s="327"/>
      <c r="AV193" s="328">
        <f t="shared" si="188"/>
        <v>0</v>
      </c>
      <c r="AW193" s="328">
        <f t="shared" si="189"/>
        <v>0</v>
      </c>
      <c r="AX193" s="328">
        <f t="shared" si="190"/>
        <v>0</v>
      </c>
      <c r="AY193" s="328" t="b">
        <f t="shared" si="169"/>
        <v>0</v>
      </c>
    </row>
    <row r="194" ht="27" customHeight="1" spans="1:51">
      <c r="A194" s="326" t="str">
        <f>INDEX('Rate Card'!$A:$A,MATCH($S194,'Rate Card'!$F:$F,0))</f>
        <v>医学</v>
      </c>
      <c r="B194" s="327" t="str">
        <f>INDEX(二三级标准!$G:$G,MATCH($J194,二三级标准!B:B,0))</f>
        <v>次</v>
      </c>
      <c r="C194" s="327">
        <f>INDEX(注册申报明细!$E:$E,MATCH($J194,注册申报明细!$B:$B,0))</f>
        <v>0</v>
      </c>
      <c r="D194" s="327" t="str">
        <f t="shared" si="181"/>
        <v>A333MM</v>
      </c>
      <c r="E194" s="328"/>
      <c r="F194" s="328" t="s">
        <v>684</v>
      </c>
      <c r="G194" s="326" t="str">
        <f>INDEX('Rate Card'!$B:$B,MATCH($S194,'Rate Card'!$F:$F,0))</f>
        <v>医学</v>
      </c>
      <c r="H194" s="328" t="s">
        <v>2040</v>
      </c>
      <c r="I194" s="328" t="str">
        <f>INDEX(二三级标准!$Q:$Q,MATCH($H194,二三级标准!$O:$O,0))</f>
        <v>Pre-NDA 会议支持</v>
      </c>
      <c r="J194" s="328" t="s">
        <v>2041</v>
      </c>
      <c r="K194" s="328" t="str">
        <f>INDEX(二三级标准!$C:$C,MATCH(注册申报底表!J194,二三级标准!$B:$B,0))</f>
        <v>临床部分的可行性分析及策略建议</v>
      </c>
      <c r="L194" s="328" t="s">
        <v>2187</v>
      </c>
      <c r="M194" s="328" t="str">
        <f>INDEX(二三级标准!$M:$M,MATCH(注册申报底表!$L194,二三级标准!$L:$L,0))</f>
        <v>临床部分的可行性分析及策略建议撰写</v>
      </c>
      <c r="N194" s="328"/>
      <c r="O194" s="327">
        <f>IF($Q194=1,INDEX(注册申报明细!$E:$E,MATCH(注册申报底表!$J194,注册申报明细!$B:$B,0)),0)</f>
        <v>0</v>
      </c>
      <c r="P194" s="328" t="str">
        <f t="shared" si="170"/>
        <v>次</v>
      </c>
      <c r="Q194" s="329">
        <f>INDEX(注册申报明细!$D:$D,MATCH($J194,注册申报明细!$B:$B,0))</f>
        <v>0</v>
      </c>
      <c r="R194" s="328" t="s">
        <v>578</v>
      </c>
      <c r="S194" s="328" t="s">
        <v>615</v>
      </c>
      <c r="T194" s="331">
        <f>INDEX('Rate Card'!$J:$J,MATCH($S194,'Rate Card'!$F:$F,0))</f>
        <v>650</v>
      </c>
      <c r="U194" s="331">
        <f t="shared" si="182"/>
        <v>16</v>
      </c>
      <c r="V194" s="327">
        <v>16</v>
      </c>
      <c r="W194" s="328"/>
      <c r="X194" s="332">
        <f t="shared" si="183"/>
        <v>16</v>
      </c>
      <c r="Y194" s="333">
        <f t="shared" si="184"/>
        <v>0</v>
      </c>
      <c r="Z194" s="328">
        <f t="shared" si="185"/>
        <v>0</v>
      </c>
      <c r="AA194" s="334">
        <f t="shared" si="186"/>
        <v>0</v>
      </c>
      <c r="AB194" s="334">
        <f>$Y194*(1-INDEX(项目参数!$D$5:$D$15,MATCH($R194,项目参数!$B$5:$B$15,0)))</f>
        <v>0</v>
      </c>
      <c r="AC194" s="334">
        <f>$AA194*INDEX(项目参数!$D$5:$D$15,MATCH($R194,项目参数!$B$5:$B$15,0))</f>
        <v>0</v>
      </c>
      <c r="AD194" s="334">
        <f t="shared" si="187"/>
        <v>0</v>
      </c>
      <c r="AE194" s="328"/>
      <c r="AF194" s="328"/>
      <c r="AG194" s="327"/>
      <c r="AH194" s="327"/>
      <c r="AI194" s="327"/>
      <c r="AJ194" s="327"/>
      <c r="AK194" s="327"/>
      <c r="AL194" s="327"/>
      <c r="AM194" s="327"/>
      <c r="AN194" s="328"/>
      <c r="AO194" s="327"/>
      <c r="AP194" s="327"/>
      <c r="AQ194" s="327"/>
      <c r="AR194" s="327"/>
      <c r="AS194" s="327"/>
      <c r="AT194" s="327"/>
      <c r="AU194" s="327"/>
      <c r="AV194" s="328">
        <f t="shared" si="188"/>
        <v>0</v>
      </c>
      <c r="AW194" s="328">
        <f t="shared" si="189"/>
        <v>0</v>
      </c>
      <c r="AX194" s="328">
        <f t="shared" si="190"/>
        <v>0</v>
      </c>
      <c r="AY194" s="328" t="b">
        <f t="shared" si="169"/>
        <v>0</v>
      </c>
    </row>
    <row r="195" ht="27" customHeight="1" spans="1:51">
      <c r="A195" s="326" t="str">
        <f>INDEX('Rate Card'!$A:$A,MATCH($S195,'Rate Card'!$F:$F,0))</f>
        <v>注册</v>
      </c>
      <c r="B195" s="327" t="str">
        <f>INDEX(二三级标准!$G:$G,MATCH($J195,二三级标准!B:B,0))</f>
        <v>次</v>
      </c>
      <c r="C195" s="327">
        <f>INDEX(注册申报明细!$E:$E,MATCH($J195,注册申报明细!$B:$B,0))</f>
        <v>0</v>
      </c>
      <c r="D195" s="327" t="str">
        <f t="shared" ref="D195:D197" si="191">J195&amp;S195</f>
        <v>A333RAD</v>
      </c>
      <c r="E195" s="328"/>
      <c r="F195" s="328" t="s">
        <v>684</v>
      </c>
      <c r="G195" s="326" t="str">
        <f>INDEX('Rate Card'!$B:$B,MATCH($S195,'Rate Card'!$F:$F,0))</f>
        <v>注册</v>
      </c>
      <c r="H195" s="328" t="s">
        <v>2040</v>
      </c>
      <c r="I195" s="328" t="str">
        <f>INDEX(二三级标准!$Q:$Q,MATCH($H195,二三级标准!$O:$O,0))</f>
        <v>Pre-NDA 会议支持</v>
      </c>
      <c r="J195" s="328" t="s">
        <v>2041</v>
      </c>
      <c r="K195" s="328" t="str">
        <f>INDEX(二三级标准!$C:$C,MATCH(注册申报底表!J195,二三级标准!$B:$B,0))</f>
        <v>临床部分的可行性分析及策略建议</v>
      </c>
      <c r="L195" s="328" t="s">
        <v>2188</v>
      </c>
      <c r="M195" s="328" t="str">
        <f>INDEX(二三级标准!$M:$M,MATCH(注册申报底表!$L195,二三级标准!$L:$L,0))</f>
        <v>临床部分的可行性分析及策略建议审核</v>
      </c>
      <c r="N195" s="328"/>
      <c r="O195" s="327">
        <f>IF($Q195=1,INDEX(注册申报明细!$E:$E,MATCH(注册申报底表!$J195,注册申报明细!$B:$B,0)),0)</f>
        <v>0</v>
      </c>
      <c r="P195" s="328" t="str">
        <f t="shared" si="170"/>
        <v>次</v>
      </c>
      <c r="Q195" s="329">
        <f>INDEX(注册申报明细!$D:$D,MATCH($J195,注册申报明细!$B:$B,0))</f>
        <v>0</v>
      </c>
      <c r="R195" s="328" t="str">
        <f>INDEX('Rate Card'!$D:$D,MATCH($S195,'Rate Card'!$F:$F,0))</f>
        <v>注册事务</v>
      </c>
      <c r="S195" s="328" t="s">
        <v>609</v>
      </c>
      <c r="T195" s="331">
        <f>INDEX('Rate Card'!$J:$J,MATCH($S195,'Rate Card'!$F:$F,0))</f>
        <v>990</v>
      </c>
      <c r="U195" s="331">
        <f t="shared" ref="U195:U197" si="192">$U$1*V195</f>
        <v>0</v>
      </c>
      <c r="V195" s="327">
        <v>0</v>
      </c>
      <c r="W195" s="328"/>
      <c r="X195" s="332">
        <f t="shared" ref="X195:X197" si="193">IF(ISBLANK($W195),$V195,$W195)</f>
        <v>0</v>
      </c>
      <c r="Y195" s="333">
        <f t="shared" ref="Y195:Y197" si="194">IFERROR(AA195/O195,0)</f>
        <v>0</v>
      </c>
      <c r="Z195" s="328">
        <f t="shared" ref="Z195:Z197" si="195">X195*O195*Q195</f>
        <v>0</v>
      </c>
      <c r="AA195" s="334">
        <f t="shared" ref="AA195:AA197" si="196">Z195*T195</f>
        <v>0</v>
      </c>
      <c r="AB195" s="334">
        <f>$Y195*(1-INDEX(项目参数!$D$5:$D$15,MATCH($R195,项目参数!$B$5:$B$15,0)))</f>
        <v>0</v>
      </c>
      <c r="AC195" s="334">
        <f>$AA195*INDEX(项目参数!$D$5:$D$15,MATCH($R195,项目参数!$B$5:$B$15,0))</f>
        <v>0</v>
      </c>
      <c r="AD195" s="334">
        <f t="shared" ref="AD195:AD197" si="197">AA195-AC195</f>
        <v>0</v>
      </c>
      <c r="AE195" s="328"/>
      <c r="AF195" s="328"/>
      <c r="AG195" s="327"/>
      <c r="AH195" s="327"/>
      <c r="AI195" s="327"/>
      <c r="AJ195" s="327"/>
      <c r="AK195" s="327"/>
      <c r="AL195" s="327"/>
      <c r="AM195" s="327"/>
      <c r="AN195" s="328"/>
      <c r="AO195" s="327"/>
      <c r="AP195" s="327"/>
      <c r="AQ195" s="327"/>
      <c r="AR195" s="327"/>
      <c r="AS195" s="327"/>
      <c r="AT195" s="327"/>
      <c r="AU195" s="327"/>
      <c r="AV195" s="328">
        <f t="shared" ref="AV195:AV197" si="198">Z195</f>
        <v>0</v>
      </c>
      <c r="AW195" s="328">
        <f t="shared" ref="AW195:AW197" si="199">V195*O195</f>
        <v>0</v>
      </c>
      <c r="AX195" s="328">
        <f t="shared" ref="AX195:AX197" si="200">AW195*$U$1</f>
        <v>0</v>
      </c>
      <c r="AY195" s="328" t="b">
        <f t="shared" si="169"/>
        <v>0</v>
      </c>
    </row>
    <row r="196" ht="27" customHeight="1" spans="1:51">
      <c r="A196" s="326" t="str">
        <f>INDEX('Rate Card'!$A:$A,MATCH($S196,'Rate Card'!$F:$F,0))</f>
        <v>注册</v>
      </c>
      <c r="B196" s="327" t="str">
        <f>INDEX(二三级标准!$G:$G,MATCH($J196,二三级标准!B:B,0))</f>
        <v>次</v>
      </c>
      <c r="C196" s="327">
        <f>INDEX(注册申报明细!$E:$E,MATCH($J196,注册申报明细!$B:$B,0))</f>
        <v>0</v>
      </c>
      <c r="D196" s="327" t="str">
        <f t="shared" si="191"/>
        <v>A334RAM</v>
      </c>
      <c r="E196" s="328"/>
      <c r="F196" s="328" t="s">
        <v>684</v>
      </c>
      <c r="G196" s="326" t="str">
        <f>INDEX('Rate Card'!$B:$B,MATCH($S196,'Rate Card'!$F:$F,0))</f>
        <v>注册</v>
      </c>
      <c r="H196" s="328" t="s">
        <v>2040</v>
      </c>
      <c r="I196" s="328" t="str">
        <f>INDEX(二三级标准!$Q:$Q,MATCH($H196,二三级标准!$O:$O,0))</f>
        <v>Pre-NDA 会议支持</v>
      </c>
      <c r="J196" s="328" t="s">
        <v>2042</v>
      </c>
      <c r="K196" s="328" t="str">
        <f>INDEX(二三级标准!$C:$C,MATCH(注册申报底表!J196,二三级标准!$B:$B,0))</f>
        <v>第一次 Pre-NDA 会议准备（临床部分&amp;药学部分，包含会议PPT）</v>
      </c>
      <c r="L196" s="328" t="s">
        <v>2189</v>
      </c>
      <c r="M196" s="328" t="str">
        <f>INDEX(二三级标准!$M:$M,MATCH(注册申报底表!$L196,二三级标准!$L:$L,0))</f>
        <v>第一次 Pre-NDA 会议准备（临床部分&amp;药学部分，包含会议PPT）</v>
      </c>
      <c r="N196" s="328"/>
      <c r="O196" s="327">
        <f>IF($Q196=1,INDEX(注册申报明细!$E:$E,MATCH(注册申报底表!$J196,注册申报明细!$B:$B,0)),0)</f>
        <v>0</v>
      </c>
      <c r="P196" s="328" t="str">
        <f t="shared" si="170"/>
        <v>次</v>
      </c>
      <c r="Q196" s="329">
        <f>INDEX(注册申报明细!$D:$D,MATCH($J196,注册申报明细!$B:$B,0))</f>
        <v>0</v>
      </c>
      <c r="R196" s="328" t="str">
        <f>INDEX('Rate Card'!$D:$D,MATCH($S196,'Rate Card'!$F:$F,0))</f>
        <v>注册事务</v>
      </c>
      <c r="S196" s="328" t="s">
        <v>607</v>
      </c>
      <c r="T196" s="331">
        <f>INDEX('Rate Card'!$J:$J,MATCH($S196,'Rate Card'!$F:$F,0))</f>
        <v>650</v>
      </c>
      <c r="U196" s="331">
        <f t="shared" si="192"/>
        <v>48</v>
      </c>
      <c r="V196" s="327">
        <v>48</v>
      </c>
      <c r="W196" s="328"/>
      <c r="X196" s="332">
        <f t="shared" si="193"/>
        <v>48</v>
      </c>
      <c r="Y196" s="333">
        <f t="shared" si="194"/>
        <v>0</v>
      </c>
      <c r="Z196" s="328">
        <f t="shared" si="195"/>
        <v>0</v>
      </c>
      <c r="AA196" s="334">
        <f t="shared" si="196"/>
        <v>0</v>
      </c>
      <c r="AB196" s="334">
        <f>$Y196*(1-INDEX(项目参数!$D$5:$D$15,MATCH($R196,项目参数!$B$5:$B$15,0)))</f>
        <v>0</v>
      </c>
      <c r="AC196" s="334">
        <f>$AA196*INDEX(项目参数!$D$5:$D$15,MATCH($R196,项目参数!$B$5:$B$15,0))</f>
        <v>0</v>
      </c>
      <c r="AD196" s="334">
        <f t="shared" si="197"/>
        <v>0</v>
      </c>
      <c r="AE196" s="328"/>
      <c r="AF196" s="328"/>
      <c r="AG196" s="327"/>
      <c r="AH196" s="327"/>
      <c r="AI196" s="327"/>
      <c r="AJ196" s="327"/>
      <c r="AK196" s="327"/>
      <c r="AL196" s="327"/>
      <c r="AM196" s="327"/>
      <c r="AN196" s="328"/>
      <c r="AO196" s="327"/>
      <c r="AP196" s="327"/>
      <c r="AQ196" s="327"/>
      <c r="AR196" s="327"/>
      <c r="AS196" s="327"/>
      <c r="AT196" s="327"/>
      <c r="AU196" s="327"/>
      <c r="AV196" s="328">
        <f t="shared" si="198"/>
        <v>0</v>
      </c>
      <c r="AW196" s="328">
        <f t="shared" si="199"/>
        <v>0</v>
      </c>
      <c r="AX196" s="328">
        <f t="shared" si="200"/>
        <v>0</v>
      </c>
      <c r="AY196" s="328" t="b">
        <f t="shared" si="169"/>
        <v>1</v>
      </c>
    </row>
    <row r="197" ht="27" customHeight="1" spans="1:51">
      <c r="A197" s="326" t="str">
        <f>INDEX('Rate Card'!$A:$A,MATCH($S197,'Rate Card'!$F:$F,0))</f>
        <v>医学</v>
      </c>
      <c r="B197" s="327" t="str">
        <f>INDEX(二三级标准!$G:$G,MATCH($J197,二三级标准!B:B,0))</f>
        <v>次</v>
      </c>
      <c r="C197" s="327">
        <f>INDEX(注册申报明细!$E:$E,MATCH($J197,注册申报明细!$B:$B,0))</f>
        <v>0</v>
      </c>
      <c r="D197" s="327" t="str">
        <f t="shared" si="191"/>
        <v>A334MM</v>
      </c>
      <c r="E197" s="328"/>
      <c r="F197" s="328" t="s">
        <v>684</v>
      </c>
      <c r="G197" s="326" t="str">
        <f>INDEX('Rate Card'!$B:$B,MATCH($S197,'Rate Card'!$F:$F,0))</f>
        <v>医学</v>
      </c>
      <c r="H197" s="328" t="s">
        <v>2040</v>
      </c>
      <c r="I197" s="328" t="str">
        <f>INDEX(二三级标准!$Q:$Q,MATCH($H197,二三级标准!$O:$O,0))</f>
        <v>Pre-NDA 会议支持</v>
      </c>
      <c r="J197" s="328" t="s">
        <v>2042</v>
      </c>
      <c r="K197" s="328" t="str">
        <f>INDEX(二三级标准!$C:$C,MATCH(注册申报底表!J197,二三级标准!$B:$B,0))</f>
        <v>第一次 Pre-NDA 会议准备（临床部分&amp;药学部分，包含会议PPT）</v>
      </c>
      <c r="L197" s="328" t="s">
        <v>2189</v>
      </c>
      <c r="M197" s="328" t="str">
        <f>INDEX(二三级标准!$M:$M,MATCH(注册申报底表!$L197,二三级标准!$L:$L,0))</f>
        <v>第一次 Pre-NDA 会议准备（临床部分&amp;药学部分，包含会议PPT）</v>
      </c>
      <c r="N197" s="328"/>
      <c r="O197" s="327">
        <f>IF($Q197=1,INDEX(注册申报明细!$E:$E,MATCH(注册申报底表!$J197,注册申报明细!$B:$B,0)),0)</f>
        <v>0</v>
      </c>
      <c r="P197" s="328" t="str">
        <f t="shared" si="170"/>
        <v>次</v>
      </c>
      <c r="Q197" s="329">
        <v>0</v>
      </c>
      <c r="R197" s="328" t="s">
        <v>578</v>
      </c>
      <c r="S197" s="328" t="s">
        <v>615</v>
      </c>
      <c r="T197" s="331">
        <f>INDEX('Rate Card'!$J:$J,MATCH($S197,'Rate Card'!$F:$F,0))</f>
        <v>650</v>
      </c>
      <c r="U197" s="331">
        <f t="shared" si="192"/>
        <v>48</v>
      </c>
      <c r="V197" s="327">
        <v>48</v>
      </c>
      <c r="W197" s="328"/>
      <c r="X197" s="332">
        <f t="shared" si="193"/>
        <v>48</v>
      </c>
      <c r="Y197" s="333">
        <f t="shared" si="194"/>
        <v>0</v>
      </c>
      <c r="Z197" s="328">
        <f t="shared" si="195"/>
        <v>0</v>
      </c>
      <c r="AA197" s="334">
        <f t="shared" si="196"/>
        <v>0</v>
      </c>
      <c r="AB197" s="334">
        <f>$Y197*(1-INDEX(项目参数!$D$5:$D$15,MATCH($R197,项目参数!$B$5:$B$15,0)))</f>
        <v>0</v>
      </c>
      <c r="AC197" s="334">
        <f>$AA197*INDEX(项目参数!$D$5:$D$15,MATCH($R197,项目参数!$B$5:$B$15,0))</f>
        <v>0</v>
      </c>
      <c r="AD197" s="334">
        <f t="shared" si="197"/>
        <v>0</v>
      </c>
      <c r="AE197" s="328"/>
      <c r="AF197" s="328"/>
      <c r="AG197" s="327"/>
      <c r="AH197" s="327"/>
      <c r="AI197" s="327"/>
      <c r="AJ197" s="327"/>
      <c r="AK197" s="327"/>
      <c r="AL197" s="327"/>
      <c r="AM197" s="327"/>
      <c r="AN197" s="328"/>
      <c r="AO197" s="327"/>
      <c r="AP197" s="327"/>
      <c r="AQ197" s="327"/>
      <c r="AR197" s="327"/>
      <c r="AS197" s="327"/>
      <c r="AT197" s="327"/>
      <c r="AU197" s="327"/>
      <c r="AV197" s="328">
        <f t="shared" si="198"/>
        <v>0</v>
      </c>
      <c r="AW197" s="328">
        <f t="shared" si="199"/>
        <v>0</v>
      </c>
      <c r="AX197" s="328">
        <f t="shared" si="200"/>
        <v>0</v>
      </c>
      <c r="AY197" s="328" t="b">
        <f t="shared" si="169"/>
        <v>1</v>
      </c>
    </row>
    <row r="198" ht="27" customHeight="1" spans="1:51">
      <c r="A198" s="326" t="str">
        <f>INDEX('Rate Card'!$A:$A,MATCH($S198,'Rate Card'!$F:$F,0))</f>
        <v>注册</v>
      </c>
      <c r="B198" s="327" t="str">
        <f>INDEX(二三级标准!$G:$G,MATCH($J198,二三级标准!B:B,0))</f>
        <v>次</v>
      </c>
      <c r="C198" s="327">
        <f>INDEX(注册申报明细!$E:$E,MATCH($J198,注册申报明细!$B:$B,0))</f>
        <v>0</v>
      </c>
      <c r="D198" s="327" t="str">
        <f t="shared" ref="D198:D203" si="201">J198&amp;S198</f>
        <v>A335RAM</v>
      </c>
      <c r="E198" s="328"/>
      <c r="F198" s="328" t="s">
        <v>684</v>
      </c>
      <c r="G198" s="326" t="str">
        <f>INDEX('Rate Card'!$B:$B,MATCH($S198,'Rate Card'!$F:$F,0))</f>
        <v>注册</v>
      </c>
      <c r="H198" s="328" t="s">
        <v>2040</v>
      </c>
      <c r="I198" s="328" t="str">
        <f>INDEX(二三级标准!$Q:$Q,MATCH($H198,二三级标准!$O:$O,0))</f>
        <v>Pre-NDA 会议支持</v>
      </c>
      <c r="J198" s="328" t="s">
        <v>2043</v>
      </c>
      <c r="K198" s="328" t="str">
        <f>INDEX(二三级标准!$C:$C,MATCH(注册申报底表!J198,二三级标准!$B:$B,0))</f>
        <v>第一次 Pre-NDA CDE意见的书面回复（临床部分&amp;药学部分）</v>
      </c>
      <c r="L198" s="328" t="s">
        <v>2190</v>
      </c>
      <c r="M198" s="328" t="str">
        <f>INDEX(二三级标准!$M:$M,MATCH(注册申报底表!$L198,二三级标准!$L:$L,0))</f>
        <v>第一次 Pre-NDA CDE意见的书面回复（临床部分&amp;药学部分）</v>
      </c>
      <c r="N198" s="328"/>
      <c r="O198" s="327">
        <f>IF($Q198=1,INDEX(注册申报明细!$E:$E,MATCH(注册申报底表!$J198,注册申报明细!$B:$B,0)),0)</f>
        <v>0</v>
      </c>
      <c r="P198" s="328" t="str">
        <f t="shared" si="170"/>
        <v>次</v>
      </c>
      <c r="Q198" s="329">
        <f>INDEX(注册申报明细!$D:$D,MATCH($J198,注册申报明细!$B:$B,0))</f>
        <v>0</v>
      </c>
      <c r="R198" s="328" t="str">
        <f>INDEX('Rate Card'!$D:$D,MATCH($S198,'Rate Card'!$F:$F,0))</f>
        <v>注册事务</v>
      </c>
      <c r="S198" s="328" t="s">
        <v>607</v>
      </c>
      <c r="T198" s="331">
        <f>INDEX('Rate Card'!$J:$J,MATCH($S198,'Rate Card'!$F:$F,0))</f>
        <v>650</v>
      </c>
      <c r="U198" s="331">
        <f t="shared" ref="U198:U203" si="202">$U$1*V198</f>
        <v>32</v>
      </c>
      <c r="V198" s="327">
        <v>32</v>
      </c>
      <c r="W198" s="328"/>
      <c r="X198" s="332">
        <f t="shared" ref="X198:X203" si="203">IF(ISBLANK($W198),$V198,$W198)</f>
        <v>32</v>
      </c>
      <c r="Y198" s="333">
        <f t="shared" ref="Y198:Y203" si="204">IFERROR(AA198/O198,0)</f>
        <v>0</v>
      </c>
      <c r="Z198" s="328">
        <f t="shared" ref="Z198:Z203" si="205">X198*O198*Q198</f>
        <v>0</v>
      </c>
      <c r="AA198" s="334">
        <f t="shared" ref="AA198:AA203" si="206">Z198*T198</f>
        <v>0</v>
      </c>
      <c r="AB198" s="334">
        <f>$Y198*(1-INDEX(项目参数!$D$5:$D$15,MATCH($R198,项目参数!$B$5:$B$15,0)))</f>
        <v>0</v>
      </c>
      <c r="AC198" s="334">
        <f>$AA198*INDEX(项目参数!$D$5:$D$15,MATCH($R198,项目参数!$B$5:$B$15,0))</f>
        <v>0</v>
      </c>
      <c r="AD198" s="334">
        <f t="shared" ref="AD198:AD203" si="207">AA198-AC198</f>
        <v>0</v>
      </c>
      <c r="AE198" s="328"/>
      <c r="AF198" s="328"/>
      <c r="AG198" s="327"/>
      <c r="AH198" s="327"/>
      <c r="AI198" s="327"/>
      <c r="AJ198" s="327"/>
      <c r="AK198" s="327"/>
      <c r="AL198" s="327"/>
      <c r="AM198" s="327"/>
      <c r="AN198" s="328"/>
      <c r="AO198" s="327"/>
      <c r="AP198" s="327"/>
      <c r="AQ198" s="327"/>
      <c r="AR198" s="327"/>
      <c r="AS198" s="327"/>
      <c r="AT198" s="327"/>
      <c r="AU198" s="327"/>
      <c r="AV198" s="328">
        <f t="shared" ref="AV198:AV203" si="208">Z198</f>
        <v>0</v>
      </c>
      <c r="AW198" s="328">
        <f t="shared" ref="AW198:AW203" si="209">V198*O198</f>
        <v>0</v>
      </c>
      <c r="AX198" s="328">
        <f t="shared" ref="AX198:AX203" si="210">AW198*$U$1</f>
        <v>0</v>
      </c>
      <c r="AY198" s="328" t="b">
        <f t="shared" si="169"/>
        <v>0</v>
      </c>
    </row>
    <row r="199" ht="27" customHeight="1" spans="1:51">
      <c r="A199" s="326" t="str">
        <f>INDEX('Rate Card'!$A:$A,MATCH($S199,'Rate Card'!$F:$F,0))</f>
        <v>医学</v>
      </c>
      <c r="B199" s="327" t="str">
        <f>INDEX(二三级标准!$G:$G,MATCH($J199,二三级标准!B:B,0))</f>
        <v>次</v>
      </c>
      <c r="C199" s="327">
        <f>INDEX(注册申报明细!$E:$E,MATCH($J199,注册申报明细!$B:$B,0))</f>
        <v>0</v>
      </c>
      <c r="D199" s="327" t="str">
        <f t="shared" si="201"/>
        <v>A335MM</v>
      </c>
      <c r="E199" s="328"/>
      <c r="F199" s="328" t="s">
        <v>684</v>
      </c>
      <c r="G199" s="326" t="str">
        <f>INDEX('Rate Card'!$B:$B,MATCH($S199,'Rate Card'!$F:$F,0))</f>
        <v>医学</v>
      </c>
      <c r="H199" s="328" t="s">
        <v>2040</v>
      </c>
      <c r="I199" s="328" t="str">
        <f>INDEX(二三级标准!$Q:$Q,MATCH($H199,二三级标准!$O:$O,0))</f>
        <v>Pre-NDA 会议支持</v>
      </c>
      <c r="J199" s="328" t="s">
        <v>2043</v>
      </c>
      <c r="K199" s="328" t="str">
        <f>INDEX(二三级标准!$C:$C,MATCH(注册申报底表!J199,二三级标准!$B:$B,0))</f>
        <v>第一次 Pre-NDA CDE意见的书面回复（临床部分&amp;药学部分）</v>
      </c>
      <c r="L199" s="328" t="s">
        <v>2190</v>
      </c>
      <c r="M199" s="328" t="str">
        <f>INDEX(二三级标准!$M:$M,MATCH(注册申报底表!$L199,二三级标准!$L:$L,0))</f>
        <v>第一次 Pre-NDA CDE意见的书面回复（临床部分&amp;药学部分）</v>
      </c>
      <c r="N199" s="328"/>
      <c r="O199" s="327">
        <f>IF($Q199=1,INDEX(注册申报明细!$E:$E,MATCH(注册申报底表!$J199,注册申报明细!$B:$B,0)),0)</f>
        <v>0</v>
      </c>
      <c r="P199" s="328" t="str">
        <f t="shared" si="170"/>
        <v>次</v>
      </c>
      <c r="Q199" s="329">
        <v>0</v>
      </c>
      <c r="R199" s="328" t="s">
        <v>578</v>
      </c>
      <c r="S199" s="328" t="s">
        <v>615</v>
      </c>
      <c r="T199" s="331">
        <f>INDEX('Rate Card'!$J:$J,MATCH($S199,'Rate Card'!$F:$F,0))</f>
        <v>650</v>
      </c>
      <c r="U199" s="331">
        <f t="shared" si="202"/>
        <v>32</v>
      </c>
      <c r="V199" s="327">
        <v>32</v>
      </c>
      <c r="W199" s="328"/>
      <c r="X199" s="332">
        <f t="shared" si="203"/>
        <v>32</v>
      </c>
      <c r="Y199" s="333">
        <f t="shared" si="204"/>
        <v>0</v>
      </c>
      <c r="Z199" s="328">
        <f t="shared" si="205"/>
        <v>0</v>
      </c>
      <c r="AA199" s="334">
        <f t="shared" si="206"/>
        <v>0</v>
      </c>
      <c r="AB199" s="334">
        <f>$Y199*(1-INDEX(项目参数!$D$5:$D$15,MATCH($R199,项目参数!$B$5:$B$15,0)))</f>
        <v>0</v>
      </c>
      <c r="AC199" s="334">
        <f>$AA199*INDEX(项目参数!$D$5:$D$15,MATCH($R199,项目参数!$B$5:$B$15,0))</f>
        <v>0</v>
      </c>
      <c r="AD199" s="334">
        <f t="shared" si="207"/>
        <v>0</v>
      </c>
      <c r="AE199" s="328"/>
      <c r="AF199" s="328"/>
      <c r="AG199" s="327"/>
      <c r="AH199" s="327"/>
      <c r="AI199" s="327"/>
      <c r="AJ199" s="327"/>
      <c r="AK199" s="327"/>
      <c r="AL199" s="327"/>
      <c r="AM199" s="327"/>
      <c r="AN199" s="328"/>
      <c r="AO199" s="327"/>
      <c r="AP199" s="327"/>
      <c r="AQ199" s="327"/>
      <c r="AR199" s="327"/>
      <c r="AS199" s="327"/>
      <c r="AT199" s="327"/>
      <c r="AU199" s="327"/>
      <c r="AV199" s="328">
        <f t="shared" si="208"/>
        <v>0</v>
      </c>
      <c r="AW199" s="328">
        <f t="shared" si="209"/>
        <v>0</v>
      </c>
      <c r="AX199" s="328">
        <f t="shared" si="210"/>
        <v>0</v>
      </c>
      <c r="AY199" s="328" t="b">
        <f t="shared" si="169"/>
        <v>0</v>
      </c>
    </row>
    <row r="200" ht="27" customHeight="1" spans="1:51">
      <c r="A200" s="326" t="str">
        <f>INDEX('Rate Card'!$A:$A,MATCH($S200,'Rate Card'!$F:$F,0))</f>
        <v>注册</v>
      </c>
      <c r="B200" s="327" t="str">
        <f>INDEX(二三级标准!$G:$G,MATCH($J200,二三级标准!B:B,0))</f>
        <v>次</v>
      </c>
      <c r="C200" s="327">
        <f>INDEX(注册申报明细!$E:$E,MATCH($J200,注册申报明细!$B:$B,0))</f>
        <v>0</v>
      </c>
      <c r="D200" s="327" t="str">
        <f t="shared" si="201"/>
        <v>A336RAM</v>
      </c>
      <c r="E200" s="328"/>
      <c r="F200" s="328" t="s">
        <v>684</v>
      </c>
      <c r="G200" s="326" t="str">
        <f>INDEX('Rate Card'!$B:$B,MATCH($S200,'Rate Card'!$F:$F,0))</f>
        <v>注册</v>
      </c>
      <c r="H200" s="328" t="s">
        <v>2040</v>
      </c>
      <c r="I200" s="328" t="str">
        <f>INDEX(二三级标准!$Q:$Q,MATCH($H200,二三级标准!$O:$O,0))</f>
        <v>Pre-NDA 会议支持</v>
      </c>
      <c r="J200" s="328" t="s">
        <v>2044</v>
      </c>
      <c r="K200" s="328" t="str">
        <f>INDEX(二三级标准!$C:$C,MATCH(注册申报底表!J200,二三级标准!$B:$B,0))</f>
        <v>第二次 Pre-NDA 会议准备（临床部分&amp;药学部分，包含会议PPT）</v>
      </c>
      <c r="L200" s="328" t="s">
        <v>2191</v>
      </c>
      <c r="M200" s="328" t="str">
        <f>INDEX(二三级标准!$M:$M,MATCH(注册申报底表!$L200,二三级标准!$L:$L,0))</f>
        <v>第二次 Pre-NDA 会议准备（临床部分&amp;药学部分，包含会议PPT）</v>
      </c>
      <c r="N200" s="328"/>
      <c r="O200" s="327">
        <f>IF($Q200=1,INDEX(注册申报明细!$E:$E,MATCH(注册申报底表!$J200,注册申报明细!$B:$B,0)),0)</f>
        <v>0</v>
      </c>
      <c r="P200" s="328" t="str">
        <f t="shared" si="170"/>
        <v>次</v>
      </c>
      <c r="Q200" s="329">
        <f>INDEX(注册申报明细!$D:$D,MATCH($J200,注册申报明细!$B:$B,0))</f>
        <v>0</v>
      </c>
      <c r="R200" s="328" t="str">
        <f>INDEX('Rate Card'!$D:$D,MATCH($S200,'Rate Card'!$F:$F,0))</f>
        <v>注册事务</v>
      </c>
      <c r="S200" s="328" t="s">
        <v>607</v>
      </c>
      <c r="T200" s="331">
        <f>INDEX('Rate Card'!$J:$J,MATCH($S200,'Rate Card'!$F:$F,0))</f>
        <v>650</v>
      </c>
      <c r="U200" s="331">
        <f t="shared" si="202"/>
        <v>32</v>
      </c>
      <c r="V200" s="327">
        <v>32</v>
      </c>
      <c r="W200" s="328"/>
      <c r="X200" s="332">
        <f t="shared" si="203"/>
        <v>32</v>
      </c>
      <c r="Y200" s="333">
        <f t="shared" si="204"/>
        <v>0</v>
      </c>
      <c r="Z200" s="328">
        <f t="shared" si="205"/>
        <v>0</v>
      </c>
      <c r="AA200" s="334">
        <f t="shared" si="206"/>
        <v>0</v>
      </c>
      <c r="AB200" s="334">
        <f>$Y200*(1-INDEX(项目参数!$D$5:$D$15,MATCH($R200,项目参数!$B$5:$B$15,0)))</f>
        <v>0</v>
      </c>
      <c r="AC200" s="334">
        <f>$AA200*INDEX(项目参数!$D$5:$D$15,MATCH($R200,项目参数!$B$5:$B$15,0))</f>
        <v>0</v>
      </c>
      <c r="AD200" s="334">
        <f t="shared" si="207"/>
        <v>0</v>
      </c>
      <c r="AE200" s="328"/>
      <c r="AF200" s="328"/>
      <c r="AG200" s="327"/>
      <c r="AH200" s="327"/>
      <c r="AI200" s="327"/>
      <c r="AJ200" s="327"/>
      <c r="AK200" s="327"/>
      <c r="AL200" s="327"/>
      <c r="AM200" s="327"/>
      <c r="AN200" s="328"/>
      <c r="AO200" s="327"/>
      <c r="AP200" s="327"/>
      <c r="AQ200" s="327"/>
      <c r="AR200" s="327"/>
      <c r="AS200" s="327"/>
      <c r="AT200" s="327"/>
      <c r="AU200" s="327"/>
      <c r="AV200" s="328">
        <f t="shared" si="208"/>
        <v>0</v>
      </c>
      <c r="AW200" s="328">
        <f t="shared" si="209"/>
        <v>0</v>
      </c>
      <c r="AX200" s="328">
        <f t="shared" si="210"/>
        <v>0</v>
      </c>
      <c r="AY200" s="328" t="b">
        <f t="shared" si="169"/>
        <v>1</v>
      </c>
    </row>
    <row r="201" ht="27" customHeight="1" spans="1:51">
      <c r="A201" s="326" t="str">
        <f>INDEX('Rate Card'!$A:$A,MATCH($S201,'Rate Card'!$F:$F,0))</f>
        <v>医学</v>
      </c>
      <c r="B201" s="327" t="str">
        <f>INDEX(二三级标准!$G:$G,MATCH($J201,二三级标准!B:B,0))</f>
        <v>次</v>
      </c>
      <c r="C201" s="327">
        <f>INDEX(注册申报明细!$E:$E,MATCH($J201,注册申报明细!$B:$B,0))</f>
        <v>0</v>
      </c>
      <c r="D201" s="327" t="str">
        <f t="shared" si="201"/>
        <v>A336MM</v>
      </c>
      <c r="E201" s="328"/>
      <c r="F201" s="328" t="s">
        <v>684</v>
      </c>
      <c r="G201" s="326" t="str">
        <f>INDEX('Rate Card'!$B:$B,MATCH($S201,'Rate Card'!$F:$F,0))</f>
        <v>医学</v>
      </c>
      <c r="H201" s="328" t="s">
        <v>2040</v>
      </c>
      <c r="I201" s="328" t="str">
        <f>INDEX(二三级标准!$Q:$Q,MATCH($H201,二三级标准!$O:$O,0))</f>
        <v>Pre-NDA 会议支持</v>
      </c>
      <c r="J201" s="328" t="s">
        <v>2044</v>
      </c>
      <c r="K201" s="328" t="str">
        <f>INDEX(二三级标准!$C:$C,MATCH(注册申报底表!J201,二三级标准!$B:$B,0))</f>
        <v>第二次 Pre-NDA 会议准备（临床部分&amp;药学部分，包含会议PPT）</v>
      </c>
      <c r="L201" s="328" t="s">
        <v>2191</v>
      </c>
      <c r="M201" s="328" t="str">
        <f>INDEX(二三级标准!$M:$M,MATCH(注册申报底表!$L201,二三级标准!$L:$L,0))</f>
        <v>第二次 Pre-NDA 会议准备（临床部分&amp;药学部分，包含会议PPT）</v>
      </c>
      <c r="N201" s="328"/>
      <c r="O201" s="327">
        <f>IF($Q201=1,INDEX(注册申报明细!$E:$E,MATCH(注册申报底表!$J201,注册申报明细!$B:$B,0)),0)</f>
        <v>0</v>
      </c>
      <c r="P201" s="328" t="str">
        <f t="shared" si="170"/>
        <v>次</v>
      </c>
      <c r="Q201" s="329">
        <v>0</v>
      </c>
      <c r="R201" s="328" t="s">
        <v>578</v>
      </c>
      <c r="S201" s="328" t="s">
        <v>615</v>
      </c>
      <c r="T201" s="331">
        <f>INDEX('Rate Card'!$J:$J,MATCH($S201,'Rate Card'!$F:$F,0))</f>
        <v>650</v>
      </c>
      <c r="U201" s="331">
        <f t="shared" si="202"/>
        <v>32</v>
      </c>
      <c r="V201" s="327">
        <v>32</v>
      </c>
      <c r="W201" s="328"/>
      <c r="X201" s="332">
        <f t="shared" si="203"/>
        <v>32</v>
      </c>
      <c r="Y201" s="333">
        <f t="shared" si="204"/>
        <v>0</v>
      </c>
      <c r="Z201" s="328">
        <f t="shared" si="205"/>
        <v>0</v>
      </c>
      <c r="AA201" s="334">
        <f t="shared" si="206"/>
        <v>0</v>
      </c>
      <c r="AB201" s="334">
        <f>$Y201*(1-INDEX(项目参数!$D$5:$D$15,MATCH($R201,项目参数!$B$5:$B$15,0)))</f>
        <v>0</v>
      </c>
      <c r="AC201" s="334">
        <f>$AA201*INDEX(项目参数!$D$5:$D$15,MATCH($R201,项目参数!$B$5:$B$15,0))</f>
        <v>0</v>
      </c>
      <c r="AD201" s="334">
        <f t="shared" si="207"/>
        <v>0</v>
      </c>
      <c r="AE201" s="328"/>
      <c r="AF201" s="328"/>
      <c r="AG201" s="327"/>
      <c r="AH201" s="327"/>
      <c r="AI201" s="327"/>
      <c r="AJ201" s="327"/>
      <c r="AK201" s="327"/>
      <c r="AL201" s="327"/>
      <c r="AM201" s="327"/>
      <c r="AN201" s="328"/>
      <c r="AO201" s="327"/>
      <c r="AP201" s="327"/>
      <c r="AQ201" s="327"/>
      <c r="AR201" s="327"/>
      <c r="AS201" s="327"/>
      <c r="AT201" s="327"/>
      <c r="AU201" s="327"/>
      <c r="AV201" s="328">
        <f t="shared" si="208"/>
        <v>0</v>
      </c>
      <c r="AW201" s="328">
        <f t="shared" si="209"/>
        <v>0</v>
      </c>
      <c r="AX201" s="328">
        <f t="shared" si="210"/>
        <v>0</v>
      </c>
      <c r="AY201" s="328" t="b">
        <f t="shared" si="169"/>
        <v>1</v>
      </c>
    </row>
    <row r="202" ht="27" customHeight="1" spans="1:51">
      <c r="A202" s="326" t="str">
        <f>INDEX('Rate Card'!$A:$A,MATCH($S202,'Rate Card'!$F:$F,0))</f>
        <v>注册</v>
      </c>
      <c r="B202" s="327" t="str">
        <f>INDEX(二三级标准!$G:$G,MATCH($J202,二三级标准!B:B,0))</f>
        <v>次</v>
      </c>
      <c r="C202" s="327">
        <f>INDEX(注册申报明细!$E:$E,MATCH($J202,注册申报明细!$B:$B,0))</f>
        <v>0</v>
      </c>
      <c r="D202" s="327" t="str">
        <f t="shared" si="201"/>
        <v>A337RAM</v>
      </c>
      <c r="E202" s="328"/>
      <c r="F202" s="328" t="s">
        <v>684</v>
      </c>
      <c r="G202" s="326" t="str">
        <f>INDEX('Rate Card'!$B:$B,MATCH($S202,'Rate Card'!$F:$F,0))</f>
        <v>注册</v>
      </c>
      <c r="H202" s="328" t="s">
        <v>2040</v>
      </c>
      <c r="I202" s="328" t="str">
        <f>INDEX(二三级标准!$Q:$Q,MATCH($H202,二三级标准!$O:$O,0))</f>
        <v>Pre-NDA 会议支持</v>
      </c>
      <c r="J202" s="328" t="s">
        <v>2045</v>
      </c>
      <c r="K202" s="328" t="str">
        <f>INDEX(二三级标准!$C:$C,MATCH(注册申报底表!J202,二三级标准!$B:$B,0))</f>
        <v>第二次 Pre-NDA CDE意见的书面回复（临床部分&amp;药学部分）</v>
      </c>
      <c r="L202" s="328" t="s">
        <v>2192</v>
      </c>
      <c r="M202" s="328" t="str">
        <f>INDEX(二三级标准!$M:$M,MATCH(注册申报底表!$L202,二三级标准!$L:$L,0))</f>
        <v>第二次 Pre-NDA CDE意见的书面回复（临床部分&amp;药学部分）</v>
      </c>
      <c r="N202" s="328"/>
      <c r="O202" s="327">
        <f>IF($Q202=1,INDEX(注册申报明细!$E:$E,MATCH(注册申报底表!$J202,注册申报明细!$B:$B,0)),0)</f>
        <v>0</v>
      </c>
      <c r="P202" s="328" t="str">
        <f t="shared" si="170"/>
        <v>次</v>
      </c>
      <c r="Q202" s="329">
        <f>INDEX(注册申报明细!$D:$D,MATCH($J202,注册申报明细!$B:$B,0))</f>
        <v>0</v>
      </c>
      <c r="R202" s="328" t="str">
        <f>INDEX('Rate Card'!$D:$D,MATCH($S202,'Rate Card'!$F:$F,0))</f>
        <v>注册事务</v>
      </c>
      <c r="S202" s="328" t="s">
        <v>607</v>
      </c>
      <c r="T202" s="331">
        <f>INDEX('Rate Card'!$J:$J,MATCH($S202,'Rate Card'!$F:$F,0))</f>
        <v>650</v>
      </c>
      <c r="U202" s="331">
        <f t="shared" si="202"/>
        <v>24</v>
      </c>
      <c r="V202" s="327">
        <v>24</v>
      </c>
      <c r="W202" s="328"/>
      <c r="X202" s="332">
        <f t="shared" si="203"/>
        <v>24</v>
      </c>
      <c r="Y202" s="333">
        <f t="shared" si="204"/>
        <v>0</v>
      </c>
      <c r="Z202" s="328">
        <f t="shared" si="205"/>
        <v>0</v>
      </c>
      <c r="AA202" s="334">
        <f t="shared" si="206"/>
        <v>0</v>
      </c>
      <c r="AB202" s="334">
        <f>$Y202*(1-INDEX(项目参数!$D$5:$D$15,MATCH($R202,项目参数!$B$5:$B$15,0)))</f>
        <v>0</v>
      </c>
      <c r="AC202" s="334">
        <f>$AA202*INDEX(项目参数!$D$5:$D$15,MATCH($R202,项目参数!$B$5:$B$15,0))</f>
        <v>0</v>
      </c>
      <c r="AD202" s="334">
        <f t="shared" si="207"/>
        <v>0</v>
      </c>
      <c r="AE202" s="328"/>
      <c r="AF202" s="328"/>
      <c r="AG202" s="327"/>
      <c r="AH202" s="327"/>
      <c r="AI202" s="327"/>
      <c r="AJ202" s="327"/>
      <c r="AK202" s="327"/>
      <c r="AL202" s="327"/>
      <c r="AM202" s="327"/>
      <c r="AN202" s="328"/>
      <c r="AO202" s="327"/>
      <c r="AP202" s="327"/>
      <c r="AQ202" s="327"/>
      <c r="AR202" s="327"/>
      <c r="AS202" s="327"/>
      <c r="AT202" s="327"/>
      <c r="AU202" s="327"/>
      <c r="AV202" s="328">
        <f t="shared" si="208"/>
        <v>0</v>
      </c>
      <c r="AW202" s="328">
        <f t="shared" si="209"/>
        <v>0</v>
      </c>
      <c r="AX202" s="328">
        <f t="shared" si="210"/>
        <v>0</v>
      </c>
      <c r="AY202" s="328" t="b">
        <f t="shared" si="169"/>
        <v>0</v>
      </c>
    </row>
    <row r="203" ht="27" customHeight="1" spans="1:51">
      <c r="A203" s="326" t="str">
        <f>INDEX('Rate Card'!$A:$A,MATCH($S203,'Rate Card'!$F:$F,0))</f>
        <v>医学</v>
      </c>
      <c r="B203" s="327" t="str">
        <f>INDEX(二三级标准!$G:$G,MATCH($J203,二三级标准!B:B,0))</f>
        <v>次</v>
      </c>
      <c r="C203" s="327">
        <f>INDEX(注册申报明细!$E:$E,MATCH($J203,注册申报明细!$B:$B,0))</f>
        <v>0</v>
      </c>
      <c r="D203" s="327" t="str">
        <f t="shared" si="201"/>
        <v>A337MM</v>
      </c>
      <c r="E203" s="328"/>
      <c r="F203" s="328" t="s">
        <v>684</v>
      </c>
      <c r="G203" s="326" t="str">
        <f>INDEX('Rate Card'!$B:$B,MATCH($S203,'Rate Card'!$F:$F,0))</f>
        <v>医学</v>
      </c>
      <c r="H203" s="328" t="s">
        <v>2040</v>
      </c>
      <c r="I203" s="328" t="str">
        <f>INDEX(二三级标准!$Q:$Q,MATCH($H203,二三级标准!$O:$O,0))</f>
        <v>Pre-NDA 会议支持</v>
      </c>
      <c r="J203" s="328" t="s">
        <v>2045</v>
      </c>
      <c r="K203" s="328" t="str">
        <f>INDEX(二三级标准!$C:$C,MATCH(注册申报底表!J203,二三级标准!$B:$B,0))</f>
        <v>第二次 Pre-NDA CDE意见的书面回复（临床部分&amp;药学部分）</v>
      </c>
      <c r="L203" s="328" t="s">
        <v>2192</v>
      </c>
      <c r="M203" s="328" t="str">
        <f>INDEX(二三级标准!$M:$M,MATCH(注册申报底表!$L203,二三级标准!$L:$L,0))</f>
        <v>第二次 Pre-NDA CDE意见的书面回复（临床部分&amp;药学部分）</v>
      </c>
      <c r="N203" s="328"/>
      <c r="O203" s="327">
        <f>IF($Q203=1,INDEX(注册申报明细!$E:$E,MATCH(注册申报底表!$J203,注册申报明细!$B:$B,0)),0)</f>
        <v>0</v>
      </c>
      <c r="P203" s="328" t="str">
        <f t="shared" si="170"/>
        <v>次</v>
      </c>
      <c r="Q203" s="329">
        <v>0</v>
      </c>
      <c r="R203" s="328" t="s">
        <v>578</v>
      </c>
      <c r="S203" s="328" t="s">
        <v>615</v>
      </c>
      <c r="T203" s="331">
        <f>INDEX('Rate Card'!$J:$J,MATCH($S203,'Rate Card'!$F:$F,0))</f>
        <v>650</v>
      </c>
      <c r="U203" s="331">
        <f t="shared" si="202"/>
        <v>24</v>
      </c>
      <c r="V203" s="327">
        <v>24</v>
      </c>
      <c r="W203" s="328"/>
      <c r="X203" s="332">
        <f t="shared" si="203"/>
        <v>24</v>
      </c>
      <c r="Y203" s="333">
        <f t="shared" si="204"/>
        <v>0</v>
      </c>
      <c r="Z203" s="328">
        <f t="shared" si="205"/>
        <v>0</v>
      </c>
      <c r="AA203" s="334">
        <f t="shared" si="206"/>
        <v>0</v>
      </c>
      <c r="AB203" s="334">
        <f>$Y203*(1-INDEX(项目参数!$D$5:$D$15,MATCH($R203,项目参数!$B$5:$B$15,0)))</f>
        <v>0</v>
      </c>
      <c r="AC203" s="334">
        <f>$AA203*INDEX(项目参数!$D$5:$D$15,MATCH($R203,项目参数!$B$5:$B$15,0))</f>
        <v>0</v>
      </c>
      <c r="AD203" s="334">
        <f t="shared" si="207"/>
        <v>0</v>
      </c>
      <c r="AE203" s="328"/>
      <c r="AF203" s="328"/>
      <c r="AG203" s="327"/>
      <c r="AH203" s="327"/>
      <c r="AI203" s="327"/>
      <c r="AJ203" s="327"/>
      <c r="AK203" s="327"/>
      <c r="AL203" s="327"/>
      <c r="AM203" s="327"/>
      <c r="AN203" s="328"/>
      <c r="AO203" s="327"/>
      <c r="AP203" s="327"/>
      <c r="AQ203" s="327"/>
      <c r="AR203" s="327"/>
      <c r="AS203" s="327"/>
      <c r="AT203" s="327"/>
      <c r="AU203" s="327"/>
      <c r="AV203" s="328">
        <f t="shared" si="208"/>
        <v>0</v>
      </c>
      <c r="AW203" s="328">
        <f t="shared" si="209"/>
        <v>0</v>
      </c>
      <c r="AX203" s="328">
        <f t="shared" si="210"/>
        <v>0</v>
      </c>
      <c r="AY203" s="328" t="b">
        <f t="shared" si="169"/>
        <v>0</v>
      </c>
    </row>
    <row r="204" ht="27" customHeight="1" spans="1:51">
      <c r="A204" s="154"/>
      <c r="T204" s="314"/>
      <c r="U204" s="314"/>
      <c r="X204" s="342"/>
      <c r="Y204" s="343"/>
      <c r="AA204" s="344"/>
      <c r="AB204" s="344"/>
      <c r="AC204" s="344"/>
      <c r="AD204" s="344"/>
    </row>
    <row r="205" ht="27" customHeight="1" spans="1:51">
      <c r="A205" s="154"/>
      <c r="T205" s="314"/>
      <c r="U205" s="314"/>
      <c r="X205" s="342"/>
      <c r="Y205" s="343"/>
      <c r="AA205" s="344"/>
      <c r="AB205" s="344"/>
      <c r="AC205" s="344"/>
      <c r="AD205" s="344"/>
    </row>
    <row r="206" ht="27" customHeight="1" spans="1:51">
      <c r="A206" s="154"/>
      <c r="T206" s="314"/>
      <c r="U206" s="314"/>
      <c r="X206" s="342"/>
      <c r="Y206" s="343"/>
      <c r="AA206" s="344"/>
      <c r="AB206" s="344"/>
      <c r="AC206" s="344"/>
      <c r="AD206" s="344"/>
    </row>
    <row r="207" ht="27" customHeight="1" spans="1:51">
      <c r="A207" s="154"/>
      <c r="T207" s="314"/>
      <c r="U207" s="314"/>
      <c r="X207" s="342"/>
      <c r="Y207" s="343"/>
      <c r="AA207" s="344"/>
      <c r="AB207" s="344"/>
      <c r="AC207" s="344"/>
      <c r="AD207" s="344"/>
    </row>
    <row r="208" ht="27" customHeight="1" spans="1:51">
      <c r="A208" s="154"/>
      <c r="T208" s="314"/>
      <c r="U208" s="314"/>
      <c r="X208" s="342"/>
      <c r="Y208" s="343"/>
      <c r="AA208" s="344"/>
      <c r="AB208" s="344"/>
      <c r="AC208" s="344"/>
      <c r="AD208" s="344"/>
    </row>
    <row r="209" ht="27" customHeight="1" spans="1:30">
      <c r="A209" s="154"/>
      <c r="T209" s="314"/>
      <c r="U209" s="314"/>
      <c r="X209" s="342"/>
      <c r="Y209" s="343"/>
      <c r="AA209" s="344"/>
      <c r="AB209" s="344"/>
      <c r="AC209" s="344"/>
      <c r="AD209" s="344"/>
    </row>
    <row r="210" ht="27" customHeight="1" spans="1:30">
      <c r="A210" s="154"/>
      <c r="T210" s="314"/>
      <c r="U210" s="314"/>
      <c r="X210" s="342"/>
      <c r="Y210" s="343"/>
      <c r="AA210" s="344"/>
      <c r="AB210" s="344"/>
      <c r="AC210" s="344"/>
      <c r="AD210" s="344"/>
    </row>
    <row r="211" ht="27" customHeight="1" spans="1:30">
      <c r="A211" s="154"/>
      <c r="T211" s="314"/>
      <c r="U211" s="314"/>
      <c r="X211" s="342"/>
      <c r="Y211" s="343"/>
      <c r="AA211" s="344"/>
      <c r="AB211" s="344"/>
      <c r="AC211" s="344"/>
      <c r="AD211" s="344"/>
    </row>
    <row r="212" ht="27" customHeight="1" spans="1:30">
      <c r="A212" s="154"/>
      <c r="T212" s="314"/>
      <c r="U212" s="314"/>
      <c r="X212" s="342"/>
      <c r="Y212" s="343"/>
      <c r="AA212" s="344"/>
      <c r="AB212" s="344"/>
      <c r="AC212" s="344"/>
      <c r="AD212" s="344"/>
    </row>
    <row r="213" ht="27" customHeight="1" spans="1:30">
      <c r="A213" s="154"/>
      <c r="T213" s="314"/>
      <c r="U213" s="314"/>
      <c r="X213" s="342"/>
      <c r="Y213" s="343"/>
      <c r="AA213" s="344"/>
      <c r="AB213" s="344"/>
      <c r="AC213" s="344"/>
      <c r="AD213" s="344"/>
    </row>
    <row r="214" ht="27" customHeight="1" spans="1:30">
      <c r="A214" s="154"/>
      <c r="T214" s="314"/>
      <c r="U214" s="314"/>
      <c r="X214" s="342"/>
      <c r="Y214" s="343"/>
      <c r="AA214" s="344"/>
      <c r="AB214" s="344"/>
      <c r="AC214" s="344"/>
      <c r="AD214" s="344"/>
    </row>
    <row r="215" ht="27" customHeight="1" spans="1:30">
      <c r="A215" s="154"/>
      <c r="T215" s="314"/>
      <c r="U215" s="314"/>
      <c r="X215" s="342"/>
      <c r="Y215" s="343"/>
      <c r="AA215" s="344"/>
      <c r="AB215" s="344"/>
      <c r="AC215" s="344"/>
      <c r="AD215" s="344"/>
    </row>
    <row r="216" ht="27" customHeight="1" spans="1:30">
      <c r="A216" s="154"/>
      <c r="T216" s="314"/>
      <c r="U216" s="314"/>
      <c r="X216" s="342"/>
      <c r="Y216" s="343"/>
      <c r="AA216" s="344"/>
      <c r="AB216" s="344"/>
      <c r="AC216" s="344"/>
      <c r="AD216" s="344"/>
    </row>
    <row r="217" ht="27" customHeight="1" spans="1:30">
      <c r="A217" s="154"/>
      <c r="T217" s="314"/>
      <c r="U217" s="314"/>
      <c r="X217" s="342"/>
      <c r="Y217" s="343"/>
      <c r="AA217" s="344"/>
      <c r="AB217" s="344"/>
      <c r="AC217" s="344"/>
      <c r="AD217" s="344"/>
    </row>
    <row r="218" ht="27" customHeight="1" spans="1:30">
      <c r="A218" s="154"/>
      <c r="T218" s="314"/>
      <c r="U218" s="314"/>
      <c r="X218" s="342"/>
      <c r="Y218" s="343"/>
      <c r="AA218" s="344"/>
      <c r="AB218" s="344"/>
      <c r="AC218" s="344"/>
      <c r="AD218" s="344"/>
    </row>
    <row r="219" ht="27" customHeight="1" spans="1:30">
      <c r="A219" s="154"/>
      <c r="T219" s="314"/>
      <c r="U219" s="314"/>
      <c r="X219" s="342"/>
      <c r="Y219" s="343"/>
      <c r="AA219" s="344"/>
      <c r="AB219" s="344"/>
      <c r="AC219" s="344"/>
      <c r="AD219" s="344"/>
    </row>
    <row r="220" ht="27" customHeight="1" spans="1:30">
      <c r="A220" s="154"/>
      <c r="T220" s="314"/>
      <c r="U220" s="314"/>
      <c r="X220" s="342"/>
      <c r="Y220" s="343"/>
      <c r="AA220" s="344"/>
      <c r="AB220" s="344"/>
      <c r="AC220" s="344"/>
      <c r="AD220" s="344"/>
    </row>
    <row r="221" ht="27" customHeight="1" spans="1:30">
      <c r="A221" s="154"/>
      <c r="T221" s="314"/>
      <c r="U221" s="314"/>
      <c r="X221" s="342"/>
      <c r="Y221" s="343"/>
      <c r="AA221" s="344"/>
      <c r="AB221" s="344"/>
      <c r="AC221" s="344"/>
      <c r="AD221" s="344"/>
    </row>
    <row r="222" ht="27" customHeight="1" spans="1:30">
      <c r="A222" s="154"/>
      <c r="T222" s="314"/>
      <c r="U222" s="314"/>
      <c r="X222" s="342"/>
      <c r="Y222" s="343"/>
      <c r="AA222" s="344"/>
      <c r="AB222" s="344"/>
      <c r="AC222" s="344"/>
      <c r="AD222" s="344"/>
    </row>
    <row r="223" ht="27" customHeight="1" spans="1:30">
      <c r="A223" s="154"/>
      <c r="T223" s="314"/>
      <c r="U223" s="314"/>
      <c r="X223" s="342"/>
      <c r="Y223" s="343"/>
      <c r="AA223" s="344"/>
      <c r="AB223" s="344"/>
      <c r="AC223" s="344"/>
      <c r="AD223" s="344"/>
    </row>
    <row r="224" ht="27" customHeight="1" spans="1:30">
      <c r="A224" s="154"/>
      <c r="T224" s="314"/>
      <c r="U224" s="314"/>
      <c r="X224" s="342"/>
      <c r="Y224" s="343"/>
      <c r="AA224" s="344"/>
      <c r="AB224" s="344"/>
      <c r="AC224" s="344"/>
      <c r="AD224" s="344"/>
    </row>
    <row r="225" ht="27" customHeight="1" spans="1:30">
      <c r="A225" s="154"/>
      <c r="T225" s="314"/>
      <c r="U225" s="314"/>
      <c r="X225" s="342"/>
      <c r="Y225" s="343"/>
      <c r="AA225" s="344"/>
      <c r="AB225" s="344"/>
      <c r="AC225" s="344"/>
      <c r="AD225" s="344"/>
    </row>
    <row r="226" ht="27" customHeight="1" spans="1:30">
      <c r="A226" s="154"/>
      <c r="T226" s="314"/>
      <c r="U226" s="314"/>
      <c r="X226" s="342"/>
      <c r="Y226" s="343"/>
      <c r="AA226" s="344"/>
      <c r="AB226" s="344"/>
      <c r="AC226" s="344"/>
      <c r="AD226" s="344"/>
    </row>
    <row r="227" ht="27" customHeight="1" spans="1:30">
      <c r="A227" s="154"/>
      <c r="T227" s="314"/>
      <c r="U227" s="314"/>
      <c r="X227" s="342"/>
      <c r="Y227" s="343"/>
      <c r="AA227" s="344"/>
      <c r="AB227" s="344"/>
      <c r="AC227" s="344"/>
      <c r="AD227" s="344"/>
    </row>
    <row r="228" ht="27" customHeight="1" spans="1:30">
      <c r="A228" s="154"/>
      <c r="T228" s="314"/>
      <c r="U228" s="314"/>
      <c r="X228" s="342"/>
      <c r="Y228" s="343"/>
      <c r="AA228" s="344"/>
      <c r="AB228" s="344"/>
      <c r="AC228" s="344"/>
      <c r="AD228" s="344"/>
    </row>
    <row r="229" ht="27" customHeight="1" spans="1:30">
      <c r="A229" s="154"/>
      <c r="T229" s="314"/>
      <c r="U229" s="314"/>
      <c r="X229" s="342"/>
      <c r="Y229" s="343"/>
      <c r="AA229" s="344"/>
      <c r="AB229" s="344"/>
      <c r="AC229" s="344"/>
      <c r="AD229" s="344"/>
    </row>
    <row r="230" ht="27" customHeight="1" spans="1:30">
      <c r="A230" s="154"/>
      <c r="T230" s="314"/>
      <c r="U230" s="314"/>
      <c r="X230" s="342"/>
      <c r="Y230" s="343"/>
      <c r="AA230" s="344"/>
      <c r="AB230" s="344"/>
      <c r="AC230" s="344"/>
      <c r="AD230" s="344"/>
    </row>
    <row r="231" ht="27" customHeight="1" spans="1:30">
      <c r="A231" s="154"/>
      <c r="T231" s="314"/>
      <c r="U231" s="314"/>
      <c r="X231" s="342"/>
      <c r="Y231" s="343"/>
      <c r="AA231" s="344"/>
      <c r="AB231" s="344"/>
      <c r="AC231" s="344"/>
      <c r="AD231" s="344"/>
    </row>
    <row r="232" ht="27" customHeight="1" spans="1:30">
      <c r="A232" s="154"/>
      <c r="T232" s="314"/>
      <c r="U232" s="314"/>
      <c r="X232" s="342"/>
      <c r="Y232" s="343"/>
      <c r="AA232" s="344"/>
      <c r="AB232" s="344"/>
      <c r="AC232" s="344"/>
      <c r="AD232" s="344"/>
    </row>
    <row r="233" ht="27" customHeight="1" spans="1:30">
      <c r="A233" s="154"/>
      <c r="T233" s="314"/>
      <c r="U233" s="314"/>
      <c r="X233" s="342"/>
      <c r="Y233" s="343"/>
      <c r="AA233" s="344"/>
      <c r="AB233" s="344"/>
      <c r="AC233" s="344"/>
      <c r="AD233" s="344"/>
    </row>
    <row r="234" ht="27" customHeight="1" spans="1:30">
      <c r="A234" s="154"/>
      <c r="T234" s="314"/>
      <c r="U234" s="314"/>
      <c r="X234" s="342"/>
      <c r="Y234" s="343"/>
      <c r="AA234" s="344"/>
      <c r="AB234" s="344"/>
      <c r="AC234" s="344"/>
      <c r="AD234" s="344"/>
    </row>
    <row r="235" ht="27" customHeight="1" spans="1:30">
      <c r="A235" s="154"/>
      <c r="T235" s="314"/>
      <c r="U235" s="314"/>
      <c r="X235" s="342"/>
      <c r="Y235" s="343"/>
      <c r="AA235" s="344"/>
      <c r="AB235" s="344"/>
      <c r="AC235" s="344"/>
      <c r="AD235" s="344"/>
    </row>
    <row r="236" ht="27" customHeight="1" spans="1:30">
      <c r="A236" s="154"/>
      <c r="T236" s="314"/>
      <c r="U236" s="314"/>
      <c r="X236" s="342"/>
      <c r="Y236" s="343"/>
      <c r="AA236" s="344"/>
      <c r="AB236" s="344"/>
      <c r="AC236" s="344"/>
      <c r="AD236" s="344"/>
    </row>
    <row r="237" ht="27" customHeight="1" spans="1:30">
      <c r="A237" s="154"/>
      <c r="T237" s="314"/>
      <c r="U237" s="314"/>
      <c r="X237" s="342"/>
      <c r="Y237" s="343"/>
      <c r="AA237" s="344"/>
      <c r="AB237" s="344"/>
      <c r="AC237" s="344"/>
      <c r="AD237" s="344"/>
    </row>
    <row r="238" ht="27" customHeight="1" spans="1:30">
      <c r="A238" s="154"/>
      <c r="T238" s="314"/>
      <c r="U238" s="314"/>
      <c r="X238" s="342"/>
      <c r="Y238" s="343"/>
      <c r="AA238" s="344"/>
      <c r="AB238" s="344"/>
      <c r="AC238" s="344"/>
      <c r="AD238" s="344"/>
    </row>
    <row r="239" ht="27" customHeight="1" spans="1:30">
      <c r="A239" s="154"/>
      <c r="T239" s="314"/>
      <c r="U239" s="314"/>
      <c r="X239" s="342"/>
      <c r="Y239" s="343"/>
      <c r="AA239" s="344"/>
      <c r="AB239" s="344"/>
      <c r="AC239" s="344"/>
      <c r="AD239" s="344"/>
    </row>
    <row r="240" ht="27" customHeight="1" spans="1:30">
      <c r="A240" s="154"/>
      <c r="T240" s="314"/>
      <c r="U240" s="314"/>
      <c r="X240" s="342"/>
      <c r="Y240" s="343"/>
      <c r="AA240" s="344"/>
      <c r="AB240" s="344"/>
      <c r="AC240" s="344"/>
      <c r="AD240" s="344"/>
    </row>
    <row r="241" ht="27" customHeight="1" spans="1:30">
      <c r="A241" s="154"/>
      <c r="T241" s="314"/>
      <c r="U241" s="314"/>
      <c r="X241" s="342"/>
      <c r="Y241" s="343"/>
      <c r="AA241" s="344"/>
      <c r="AB241" s="344"/>
      <c r="AC241" s="344"/>
      <c r="AD241" s="344"/>
    </row>
    <row r="242" ht="27" customHeight="1" spans="1:30">
      <c r="A242" s="154"/>
      <c r="T242" s="314"/>
      <c r="U242" s="314"/>
      <c r="X242" s="342"/>
      <c r="Y242" s="343"/>
      <c r="AA242" s="344"/>
      <c r="AB242" s="344"/>
      <c r="AC242" s="344"/>
      <c r="AD242" s="344"/>
    </row>
    <row r="243" ht="27" customHeight="1" spans="1:30">
      <c r="A243" s="154"/>
      <c r="T243" s="314"/>
      <c r="U243" s="314"/>
      <c r="X243" s="342"/>
      <c r="Y243" s="343"/>
      <c r="AA243" s="344"/>
      <c r="AB243" s="344"/>
      <c r="AC243" s="344"/>
      <c r="AD243" s="344"/>
    </row>
    <row r="244" ht="27" customHeight="1" spans="1:30">
      <c r="A244" s="154"/>
      <c r="T244" s="314"/>
      <c r="U244" s="314"/>
      <c r="X244" s="342"/>
      <c r="Y244" s="343"/>
      <c r="AA244" s="344"/>
      <c r="AB244" s="344"/>
      <c r="AC244" s="344"/>
      <c r="AD244" s="344"/>
    </row>
    <row r="245" ht="27" customHeight="1" spans="1:30">
      <c r="A245" s="154"/>
      <c r="T245" s="314"/>
      <c r="U245" s="314"/>
      <c r="X245" s="342"/>
      <c r="Y245" s="343"/>
      <c r="AA245" s="344"/>
      <c r="AB245" s="344"/>
      <c r="AC245" s="344"/>
      <c r="AD245" s="344"/>
    </row>
    <row r="246" ht="27" customHeight="1" spans="1:30">
      <c r="A246" s="154"/>
      <c r="T246" s="314"/>
      <c r="U246" s="314"/>
      <c r="X246" s="342"/>
      <c r="Y246" s="343"/>
      <c r="AA246" s="344"/>
      <c r="AB246" s="344"/>
      <c r="AC246" s="344"/>
      <c r="AD246" s="344"/>
    </row>
    <row r="247" ht="27" customHeight="1" spans="1:30">
      <c r="A247" s="154"/>
      <c r="O247" s="345"/>
      <c r="T247" s="314"/>
      <c r="U247" s="314"/>
      <c r="X247" s="342"/>
      <c r="Y247" s="343"/>
      <c r="AA247" s="344"/>
      <c r="AB247" s="344"/>
      <c r="AC247" s="344"/>
      <c r="AD247" s="344"/>
    </row>
    <row r="248" ht="27" customHeight="1" spans="1:30">
      <c r="A248" s="154"/>
      <c r="O248" s="345"/>
      <c r="T248" s="314"/>
      <c r="U248" s="314"/>
      <c r="X248" s="342"/>
      <c r="Y248" s="343"/>
      <c r="AA248" s="344"/>
      <c r="AB248" s="344"/>
      <c r="AC248" s="344"/>
      <c r="AD248" s="344"/>
    </row>
    <row r="249" ht="27" customHeight="1" spans="1:30">
      <c r="A249" s="154"/>
      <c r="O249" s="345"/>
      <c r="T249" s="314"/>
      <c r="U249" s="314"/>
      <c r="X249" s="342"/>
      <c r="Y249" s="343"/>
      <c r="AA249" s="344"/>
      <c r="AB249" s="344"/>
      <c r="AC249" s="344"/>
      <c r="AD249" s="344"/>
    </row>
    <row r="250" ht="27" customHeight="1" spans="1:30">
      <c r="A250" s="154"/>
      <c r="O250" s="345"/>
      <c r="T250" s="314"/>
      <c r="U250" s="314"/>
      <c r="X250" s="342"/>
      <c r="Y250" s="343"/>
      <c r="AA250" s="344"/>
      <c r="AB250" s="344"/>
      <c r="AC250" s="344"/>
      <c r="AD250" s="344"/>
    </row>
    <row r="251" ht="27" customHeight="1" spans="1:30">
      <c r="A251" s="154"/>
      <c r="O251" s="345"/>
      <c r="T251" s="314"/>
      <c r="U251" s="314"/>
      <c r="X251" s="342"/>
      <c r="Y251" s="343"/>
      <c r="AA251" s="344"/>
      <c r="AB251" s="344"/>
      <c r="AC251" s="344"/>
      <c r="AD251" s="344"/>
    </row>
    <row r="252" ht="27" customHeight="1" spans="1:30">
      <c r="A252" s="154"/>
      <c r="O252" s="345"/>
      <c r="T252" s="314"/>
      <c r="U252" s="314"/>
      <c r="X252" s="342"/>
      <c r="Y252" s="343"/>
      <c r="AA252" s="344"/>
      <c r="AB252" s="344"/>
      <c r="AC252" s="344"/>
      <c r="AD252" s="344"/>
    </row>
    <row r="253" ht="27" customHeight="1" spans="1:30">
      <c r="A253" s="154"/>
      <c r="O253" s="345"/>
      <c r="T253" s="314"/>
      <c r="U253" s="314"/>
      <c r="X253" s="342"/>
      <c r="Y253" s="343"/>
      <c r="AA253" s="344"/>
      <c r="AB253" s="344"/>
      <c r="AC253" s="344"/>
      <c r="AD253" s="344"/>
    </row>
    <row r="254" ht="27" customHeight="1" spans="1:30">
      <c r="A254" s="154"/>
      <c r="O254" s="345"/>
      <c r="T254" s="314"/>
      <c r="U254" s="314"/>
      <c r="X254" s="342"/>
      <c r="Y254" s="343"/>
      <c r="AA254" s="344"/>
      <c r="AB254" s="344"/>
      <c r="AC254" s="344"/>
      <c r="AD254" s="344"/>
    </row>
    <row r="255" ht="27" customHeight="1" spans="1:30">
      <c r="A255" s="154"/>
      <c r="O255" s="345"/>
      <c r="T255" s="314"/>
      <c r="U255" s="314"/>
      <c r="X255" s="342"/>
      <c r="Y255" s="343"/>
      <c r="AA255" s="344"/>
      <c r="AB255" s="344"/>
      <c r="AC255" s="344"/>
      <c r="AD255" s="344"/>
    </row>
    <row r="256" ht="27" customHeight="1" spans="1:30">
      <c r="A256" s="154"/>
      <c r="O256" s="345"/>
      <c r="T256" s="314"/>
      <c r="U256" s="314"/>
      <c r="X256" s="342"/>
      <c r="Y256" s="343"/>
      <c r="AA256" s="344"/>
      <c r="AB256" s="344"/>
      <c r="AC256" s="344"/>
      <c r="AD256" s="344"/>
    </row>
    <row r="257" ht="27" customHeight="1" spans="1:47">
      <c r="A257" s="154"/>
      <c r="O257" s="345"/>
      <c r="T257" s="314"/>
      <c r="U257" s="314"/>
      <c r="X257" s="342"/>
      <c r="Y257" s="343"/>
      <c r="AA257" s="344"/>
      <c r="AB257" s="344"/>
      <c r="AC257" s="344"/>
      <c r="AD257" s="344"/>
    </row>
    <row r="258" ht="27" customHeight="1" spans="1:47">
      <c r="A258" s="154"/>
      <c r="O258" s="345"/>
      <c r="T258" s="314"/>
      <c r="U258" s="314"/>
      <c r="X258" s="342"/>
      <c r="Y258" s="343"/>
      <c r="AA258" s="344"/>
      <c r="AB258" s="344"/>
      <c r="AC258" s="344"/>
      <c r="AD258" s="344"/>
    </row>
    <row r="259" ht="27" customHeight="1" spans="1:47">
      <c r="A259" s="154"/>
      <c r="O259" s="345"/>
      <c r="T259" s="314"/>
      <c r="U259" s="314"/>
      <c r="X259" s="342"/>
      <c r="Y259" s="343"/>
      <c r="AA259" s="344"/>
      <c r="AB259" s="344"/>
      <c r="AC259" s="344"/>
      <c r="AD259" s="344"/>
    </row>
    <row r="260" ht="27" customHeight="1" spans="1:47">
      <c r="A260" s="154"/>
      <c r="O260" s="345"/>
      <c r="T260" s="314"/>
      <c r="U260" s="314"/>
      <c r="X260" s="342"/>
      <c r="Y260" s="343"/>
      <c r="AA260" s="344"/>
      <c r="AB260" s="344"/>
      <c r="AC260" s="344"/>
      <c r="AD260" s="344"/>
    </row>
    <row r="261" ht="27" customHeight="1" spans="1:47">
      <c r="A261" s="154"/>
      <c r="O261" s="345"/>
      <c r="R261" s="346"/>
      <c r="T261" s="314"/>
      <c r="U261" s="314"/>
      <c r="X261" s="342"/>
      <c r="Y261" s="343"/>
      <c r="AA261" s="344"/>
      <c r="AB261" s="344"/>
      <c r="AC261" s="344"/>
      <c r="AD261" s="344"/>
      <c r="AH261" s="128"/>
      <c r="AI261" s="128"/>
      <c r="AJ261" s="128"/>
      <c r="AK261" s="128"/>
      <c r="AL261" s="128"/>
      <c r="AM261" s="128"/>
      <c r="AP261" s="128"/>
      <c r="AQ261" s="128"/>
      <c r="AR261" s="128"/>
      <c r="AS261" s="128"/>
      <c r="AT261" s="128"/>
      <c r="AU261" s="128"/>
    </row>
    <row r="262" ht="27" customHeight="1" spans="1:47">
      <c r="A262" s="154"/>
      <c r="O262" s="345"/>
      <c r="T262" s="314"/>
      <c r="U262" s="314"/>
      <c r="X262" s="342"/>
      <c r="Y262" s="343"/>
      <c r="AA262" s="344"/>
      <c r="AB262" s="344"/>
      <c r="AC262" s="344"/>
      <c r="AD262" s="344"/>
      <c r="AH262" s="128"/>
      <c r="AI262" s="128"/>
      <c r="AJ262" s="128"/>
      <c r="AK262" s="128"/>
      <c r="AL262" s="128"/>
      <c r="AM262" s="128"/>
      <c r="AP262" s="128"/>
      <c r="AQ262" s="128"/>
      <c r="AR262" s="128"/>
      <c r="AS262" s="128"/>
      <c r="AT262" s="128"/>
      <c r="AU262" s="128"/>
    </row>
    <row r="263" ht="27" customHeight="1" spans="1:47">
      <c r="A263" s="154"/>
      <c r="O263" s="345"/>
      <c r="T263" s="314"/>
      <c r="U263" s="314"/>
      <c r="X263" s="342"/>
      <c r="Y263" s="343"/>
      <c r="AA263" s="344"/>
      <c r="AB263" s="344"/>
      <c r="AC263" s="344"/>
      <c r="AD263" s="344"/>
      <c r="AH263" s="128"/>
      <c r="AI263" s="128"/>
      <c r="AJ263" s="128"/>
      <c r="AK263" s="128"/>
      <c r="AL263" s="128"/>
      <c r="AM263" s="128"/>
      <c r="AP263" s="128"/>
      <c r="AQ263" s="128"/>
      <c r="AR263" s="128"/>
      <c r="AS263" s="128"/>
      <c r="AT263" s="128"/>
      <c r="AU263" s="128"/>
    </row>
    <row r="264" ht="27" customHeight="1" spans="1:47">
      <c r="A264" s="154"/>
      <c r="O264" s="345"/>
      <c r="T264" s="314"/>
      <c r="U264" s="314"/>
      <c r="X264" s="342"/>
      <c r="Y264" s="343"/>
      <c r="AA264" s="344"/>
      <c r="AB264" s="344"/>
      <c r="AC264" s="344"/>
      <c r="AD264" s="344"/>
      <c r="AH264" s="128"/>
      <c r="AI264" s="128"/>
      <c r="AJ264" s="128"/>
      <c r="AK264" s="128"/>
      <c r="AL264" s="128"/>
      <c r="AM264" s="128"/>
      <c r="AP264" s="128"/>
      <c r="AQ264" s="128"/>
      <c r="AR264" s="128"/>
      <c r="AS264" s="128"/>
      <c r="AT264" s="128"/>
      <c r="AU264" s="128"/>
    </row>
    <row r="265" ht="27" customHeight="1" spans="1:47">
      <c r="A265" s="154"/>
      <c r="O265" s="345"/>
      <c r="T265" s="314"/>
      <c r="U265" s="314"/>
      <c r="X265" s="342"/>
      <c r="Y265" s="343"/>
      <c r="AA265" s="344"/>
      <c r="AB265" s="344"/>
      <c r="AC265" s="344"/>
      <c r="AD265" s="344"/>
      <c r="AH265" s="128"/>
      <c r="AI265" s="128"/>
      <c r="AJ265" s="128"/>
      <c r="AK265" s="128"/>
      <c r="AL265" s="128"/>
      <c r="AM265" s="128"/>
      <c r="AP265" s="128"/>
      <c r="AQ265" s="128"/>
      <c r="AR265" s="128"/>
      <c r="AS265" s="128"/>
      <c r="AT265" s="128"/>
      <c r="AU265" s="128"/>
    </row>
    <row r="266" ht="27" customHeight="1" spans="1:47">
      <c r="A266" s="154"/>
      <c r="O266" s="345"/>
      <c r="T266" s="314"/>
      <c r="U266" s="314"/>
      <c r="X266" s="342"/>
      <c r="Y266" s="343"/>
      <c r="AA266" s="344"/>
      <c r="AB266" s="344"/>
      <c r="AC266" s="344"/>
      <c r="AD266" s="344"/>
    </row>
    <row r="267" ht="27" customHeight="1" spans="1:47">
      <c r="A267" s="154"/>
      <c r="O267" s="345"/>
      <c r="T267" s="314"/>
      <c r="U267" s="314"/>
      <c r="X267" s="342"/>
      <c r="Y267" s="343"/>
      <c r="AA267" s="344"/>
      <c r="AB267" s="344"/>
      <c r="AC267" s="344"/>
      <c r="AD267" s="344"/>
    </row>
    <row r="268" ht="27" customHeight="1" spans="1:47">
      <c r="A268" s="154"/>
      <c r="O268" s="345"/>
      <c r="T268" s="314"/>
      <c r="U268" s="314"/>
      <c r="X268" s="342"/>
      <c r="Y268" s="343"/>
      <c r="AA268" s="344"/>
      <c r="AB268" s="344"/>
      <c r="AC268" s="344"/>
      <c r="AD268" s="344"/>
    </row>
    <row r="269" ht="27" customHeight="1" spans="1:47">
      <c r="A269" s="154"/>
      <c r="O269" s="345"/>
      <c r="R269" s="346"/>
      <c r="T269" s="314"/>
      <c r="U269" s="314"/>
      <c r="X269" s="342"/>
      <c r="Y269" s="343"/>
      <c r="AA269" s="344"/>
      <c r="AB269" s="344"/>
      <c r="AC269" s="344"/>
      <c r="AD269" s="344"/>
      <c r="AH269" s="128"/>
      <c r="AI269" s="128"/>
      <c r="AJ269" s="128"/>
      <c r="AK269" s="128"/>
      <c r="AL269" s="128"/>
      <c r="AM269" s="128"/>
      <c r="AP269" s="128"/>
      <c r="AQ269" s="128"/>
      <c r="AR269" s="128"/>
      <c r="AS269" s="128"/>
      <c r="AT269" s="128"/>
      <c r="AU269" s="128"/>
    </row>
    <row r="270" ht="27" customHeight="1" spans="1:47">
      <c r="A270" s="154"/>
      <c r="O270" s="345"/>
      <c r="R270" s="346"/>
      <c r="T270" s="314"/>
      <c r="U270" s="314"/>
      <c r="X270" s="342"/>
      <c r="Y270" s="343"/>
      <c r="AA270" s="344"/>
      <c r="AB270" s="344"/>
      <c r="AC270" s="344"/>
      <c r="AD270" s="344"/>
      <c r="AH270" s="128"/>
      <c r="AI270" s="128"/>
      <c r="AJ270" s="128"/>
      <c r="AK270" s="128"/>
      <c r="AL270" s="128"/>
      <c r="AM270" s="128"/>
      <c r="AP270" s="128"/>
      <c r="AQ270" s="128"/>
      <c r="AR270" s="128"/>
      <c r="AS270" s="128"/>
      <c r="AT270" s="128"/>
      <c r="AU270" s="128"/>
    </row>
    <row r="271" ht="27" customHeight="1" spans="1:47">
      <c r="A271" s="154"/>
      <c r="O271" s="345"/>
      <c r="T271" s="314"/>
      <c r="U271" s="314"/>
      <c r="X271" s="342"/>
      <c r="Y271" s="343"/>
      <c r="AA271" s="344"/>
      <c r="AB271" s="344"/>
      <c r="AC271" s="344"/>
      <c r="AD271" s="344"/>
    </row>
    <row r="272" ht="27" customHeight="1" spans="1:47">
      <c r="A272" s="154"/>
      <c r="O272" s="345"/>
      <c r="R272" s="346"/>
      <c r="T272" s="314"/>
      <c r="U272" s="314"/>
      <c r="X272" s="342"/>
      <c r="Y272" s="343"/>
      <c r="AA272" s="344"/>
      <c r="AB272" s="344"/>
      <c r="AC272" s="344"/>
      <c r="AD272" s="344"/>
      <c r="AH272" s="128"/>
      <c r="AI272" s="128"/>
      <c r="AJ272" s="128"/>
      <c r="AK272" s="128"/>
      <c r="AL272" s="128"/>
      <c r="AM272" s="128"/>
      <c r="AP272" s="128"/>
      <c r="AQ272" s="128"/>
      <c r="AR272" s="128"/>
      <c r="AS272" s="128"/>
      <c r="AT272" s="128"/>
      <c r="AU272" s="128"/>
    </row>
    <row r="273" ht="27" customHeight="1" spans="1:47">
      <c r="A273" s="154"/>
      <c r="O273" s="345"/>
      <c r="T273" s="314"/>
      <c r="U273" s="314"/>
      <c r="X273" s="342"/>
      <c r="Y273" s="343"/>
      <c r="AA273" s="344"/>
      <c r="AB273" s="344"/>
      <c r="AC273" s="344"/>
      <c r="AD273" s="344"/>
    </row>
    <row r="274" ht="27" customHeight="1" spans="1:47">
      <c r="A274" s="154"/>
      <c r="O274" s="345"/>
      <c r="T274" s="314"/>
      <c r="U274" s="314"/>
      <c r="X274" s="342"/>
      <c r="Y274" s="343"/>
      <c r="AA274" s="344"/>
      <c r="AB274" s="344"/>
      <c r="AC274" s="344"/>
      <c r="AD274" s="344"/>
    </row>
    <row r="275" ht="27" customHeight="1" spans="1:47">
      <c r="A275" s="154"/>
      <c r="O275" s="345"/>
      <c r="R275" s="346"/>
      <c r="T275" s="314"/>
      <c r="U275" s="314"/>
      <c r="X275" s="342"/>
      <c r="Y275" s="343"/>
      <c r="AA275" s="344"/>
      <c r="AB275" s="344"/>
      <c r="AC275" s="344"/>
      <c r="AD275" s="344"/>
      <c r="AH275" s="128"/>
      <c r="AI275" s="128"/>
      <c r="AJ275" s="128"/>
      <c r="AK275" s="128"/>
      <c r="AL275" s="128"/>
      <c r="AM275" s="128"/>
      <c r="AP275" s="128"/>
      <c r="AQ275" s="128"/>
      <c r="AR275" s="128"/>
      <c r="AS275" s="128"/>
      <c r="AT275" s="128"/>
      <c r="AU275" s="128"/>
    </row>
    <row r="276" ht="27" customHeight="1" spans="1:47">
      <c r="A276" s="154"/>
      <c r="O276" s="345"/>
      <c r="T276" s="314"/>
      <c r="U276" s="314"/>
      <c r="X276" s="342"/>
      <c r="Y276" s="343"/>
      <c r="AA276" s="344"/>
      <c r="AB276" s="344"/>
      <c r="AC276" s="344"/>
      <c r="AD276" s="344"/>
    </row>
    <row r="277" ht="27" customHeight="1" spans="1:47">
      <c r="A277" s="154"/>
      <c r="O277" s="345"/>
      <c r="T277" s="314"/>
      <c r="U277" s="314"/>
      <c r="X277" s="342"/>
      <c r="Y277" s="343"/>
      <c r="AA277" s="344"/>
      <c r="AB277" s="344"/>
      <c r="AC277" s="344"/>
      <c r="AD277" s="344"/>
      <c r="AG277" s="347"/>
      <c r="AH277" s="128"/>
      <c r="AI277" s="128"/>
      <c r="AJ277" s="128"/>
      <c r="AK277" s="128"/>
      <c r="AL277" s="128"/>
      <c r="AM277" s="128"/>
      <c r="AO277" s="347"/>
      <c r="AP277" s="128"/>
      <c r="AQ277" s="128"/>
      <c r="AR277" s="128"/>
      <c r="AS277" s="128"/>
      <c r="AT277" s="128"/>
      <c r="AU277" s="128"/>
    </row>
    <row r="278" ht="27" customHeight="1" spans="1:47">
      <c r="A278" s="154"/>
      <c r="O278" s="345"/>
      <c r="T278" s="314"/>
      <c r="U278" s="314"/>
      <c r="X278" s="342"/>
      <c r="Y278" s="343"/>
      <c r="AA278" s="344"/>
      <c r="AB278" s="344"/>
      <c r="AC278" s="344"/>
      <c r="AD278" s="344"/>
      <c r="AG278" s="347"/>
      <c r="AH278" s="128"/>
      <c r="AI278" s="128"/>
      <c r="AJ278" s="128"/>
      <c r="AK278" s="128"/>
      <c r="AL278" s="128"/>
      <c r="AM278" s="128"/>
      <c r="AO278" s="347"/>
      <c r="AP278" s="128"/>
      <c r="AQ278" s="128"/>
      <c r="AR278" s="128"/>
      <c r="AS278" s="128"/>
      <c r="AT278" s="128"/>
      <c r="AU278" s="128"/>
    </row>
    <row r="279" ht="27" customHeight="1" spans="1:47">
      <c r="A279" s="154"/>
      <c r="O279" s="345"/>
      <c r="T279" s="314"/>
      <c r="U279" s="314"/>
      <c r="X279" s="342"/>
      <c r="Y279" s="343"/>
      <c r="AA279" s="344"/>
      <c r="AB279" s="344"/>
      <c r="AC279" s="344"/>
      <c r="AD279" s="344"/>
      <c r="AH279" s="128"/>
      <c r="AI279" s="128"/>
      <c r="AJ279" s="128"/>
      <c r="AK279" s="128"/>
      <c r="AL279" s="128"/>
      <c r="AM279" s="128"/>
      <c r="AP279" s="128"/>
      <c r="AQ279" s="128"/>
      <c r="AR279" s="128"/>
      <c r="AS279" s="128"/>
      <c r="AT279" s="128"/>
      <c r="AU279" s="128"/>
    </row>
    <row r="280" ht="27" customHeight="1" spans="1:47">
      <c r="A280" s="154"/>
      <c r="O280" s="345"/>
      <c r="T280" s="314"/>
      <c r="U280" s="314"/>
      <c r="X280" s="342"/>
      <c r="Y280" s="343"/>
      <c r="AA280" s="344"/>
      <c r="AB280" s="344"/>
      <c r="AC280" s="344"/>
      <c r="AD280" s="344"/>
      <c r="AH280" s="128"/>
      <c r="AI280" s="128"/>
      <c r="AJ280" s="128"/>
      <c r="AK280" s="128"/>
      <c r="AL280" s="128"/>
      <c r="AM280" s="128"/>
      <c r="AP280" s="128"/>
      <c r="AQ280" s="128"/>
      <c r="AR280" s="128"/>
      <c r="AS280" s="128"/>
      <c r="AT280" s="128"/>
      <c r="AU280" s="128"/>
    </row>
    <row r="281" ht="27" customHeight="1" spans="1:47">
      <c r="A281" s="154"/>
      <c r="O281" s="345"/>
      <c r="T281" s="314"/>
      <c r="U281" s="314"/>
      <c r="X281" s="342"/>
      <c r="Y281" s="343"/>
      <c r="AA281" s="344"/>
      <c r="AB281" s="344"/>
      <c r="AC281" s="344"/>
      <c r="AD281" s="344"/>
    </row>
    <row r="282" ht="27" customHeight="1" spans="1:47">
      <c r="A282" s="154"/>
      <c r="O282" s="345"/>
      <c r="T282" s="314"/>
      <c r="U282" s="314"/>
      <c r="X282" s="342"/>
      <c r="Y282" s="343"/>
      <c r="AA282" s="344"/>
      <c r="AB282" s="344"/>
      <c r="AC282" s="344"/>
      <c r="AD282" s="344"/>
    </row>
    <row r="283" ht="27" customHeight="1" spans="1:47">
      <c r="A283" s="154"/>
      <c r="O283" s="345"/>
      <c r="T283" s="314"/>
      <c r="U283" s="314"/>
      <c r="X283" s="342"/>
      <c r="Y283" s="343"/>
      <c r="AA283" s="344"/>
      <c r="AB283" s="344"/>
      <c r="AC283" s="344"/>
      <c r="AD283" s="344"/>
    </row>
    <row r="284" ht="27" customHeight="1" spans="1:47">
      <c r="A284" s="154"/>
      <c r="O284" s="345"/>
      <c r="T284" s="314"/>
      <c r="U284" s="314"/>
      <c r="X284" s="342"/>
      <c r="Y284" s="343"/>
      <c r="AA284" s="344"/>
      <c r="AB284" s="344"/>
      <c r="AC284" s="344"/>
      <c r="AD284" s="344"/>
    </row>
    <row r="285" ht="27" customHeight="1" spans="1:47">
      <c r="A285" s="154"/>
      <c r="O285" s="345"/>
      <c r="T285" s="314"/>
      <c r="U285" s="314"/>
      <c r="X285" s="342"/>
      <c r="Y285" s="343"/>
      <c r="AA285" s="344"/>
      <c r="AB285" s="344"/>
      <c r="AC285" s="344"/>
      <c r="AD285" s="344"/>
    </row>
    <row r="286" ht="27" customHeight="1" spans="1:47">
      <c r="A286" s="154"/>
      <c r="O286" s="345"/>
      <c r="T286" s="314"/>
      <c r="U286" s="314"/>
      <c r="X286" s="342"/>
      <c r="Y286" s="343"/>
      <c r="AA286" s="344"/>
      <c r="AB286" s="344"/>
      <c r="AC286" s="344"/>
      <c r="AD286" s="344"/>
    </row>
    <row r="287" ht="27" customHeight="1" spans="1:47">
      <c r="A287" s="154"/>
      <c r="O287" s="345"/>
      <c r="R287" s="346"/>
      <c r="T287" s="314"/>
      <c r="U287" s="314"/>
      <c r="X287" s="342"/>
      <c r="Y287" s="343"/>
      <c r="AA287" s="344"/>
      <c r="AB287" s="344"/>
      <c r="AC287" s="344"/>
      <c r="AD287" s="344"/>
      <c r="AH287" s="128"/>
      <c r="AI287" s="128"/>
      <c r="AJ287" s="128"/>
      <c r="AK287" s="128"/>
      <c r="AL287" s="128"/>
      <c r="AM287" s="128"/>
      <c r="AP287" s="128"/>
      <c r="AQ287" s="128"/>
      <c r="AR287" s="128"/>
      <c r="AS287" s="128"/>
      <c r="AT287" s="128"/>
      <c r="AU287" s="128"/>
    </row>
    <row r="288" ht="27" customHeight="1" spans="1:47">
      <c r="A288" s="154"/>
      <c r="O288" s="345"/>
      <c r="R288" s="346"/>
      <c r="T288" s="314"/>
      <c r="U288" s="314"/>
      <c r="X288" s="342"/>
      <c r="Y288" s="343"/>
      <c r="AA288" s="344"/>
      <c r="AB288" s="344"/>
      <c r="AC288" s="344"/>
      <c r="AD288" s="344"/>
      <c r="AH288" s="128"/>
      <c r="AI288" s="128"/>
      <c r="AJ288" s="128"/>
      <c r="AK288" s="128"/>
      <c r="AL288" s="128"/>
      <c r="AM288" s="128"/>
      <c r="AP288" s="128"/>
      <c r="AQ288" s="128"/>
      <c r="AR288" s="128"/>
      <c r="AS288" s="128"/>
      <c r="AT288" s="128"/>
      <c r="AU288" s="128"/>
    </row>
    <row r="289" ht="27" customHeight="1" spans="1:47">
      <c r="A289" s="154"/>
      <c r="O289" s="345"/>
      <c r="R289" s="346"/>
      <c r="T289" s="314"/>
      <c r="U289" s="314"/>
      <c r="X289" s="342"/>
      <c r="Y289" s="343"/>
      <c r="AA289" s="344"/>
      <c r="AB289" s="344"/>
      <c r="AC289" s="344"/>
      <c r="AD289" s="344"/>
      <c r="AH289" s="128"/>
      <c r="AI289" s="128"/>
      <c r="AJ289" s="128"/>
      <c r="AK289" s="128"/>
      <c r="AL289" s="128"/>
      <c r="AM289" s="128"/>
      <c r="AP289" s="128"/>
      <c r="AQ289" s="128"/>
      <c r="AR289" s="128"/>
      <c r="AS289" s="128"/>
      <c r="AT289" s="128"/>
      <c r="AU289" s="128"/>
    </row>
    <row r="290" ht="27" customHeight="1" spans="1:47">
      <c r="A290" s="154"/>
      <c r="O290" s="345"/>
      <c r="R290" s="346"/>
      <c r="T290" s="314"/>
      <c r="U290" s="314"/>
      <c r="X290" s="342"/>
      <c r="Y290" s="343"/>
      <c r="AA290" s="344"/>
      <c r="AB290" s="344"/>
      <c r="AC290" s="344"/>
      <c r="AD290" s="344"/>
      <c r="AH290" s="128"/>
      <c r="AI290" s="128"/>
      <c r="AJ290" s="128"/>
      <c r="AK290" s="128"/>
      <c r="AL290" s="128"/>
      <c r="AM290" s="128"/>
      <c r="AP290" s="128"/>
      <c r="AQ290" s="128"/>
      <c r="AR290" s="128"/>
      <c r="AS290" s="128"/>
      <c r="AT290" s="128"/>
      <c r="AU290" s="128"/>
    </row>
    <row r="291" ht="27" customHeight="1" spans="1:47">
      <c r="A291" s="154"/>
      <c r="O291" s="345"/>
      <c r="R291" s="346"/>
      <c r="T291" s="314"/>
      <c r="U291" s="314"/>
      <c r="X291" s="342"/>
      <c r="Y291" s="343"/>
      <c r="AA291" s="344"/>
      <c r="AB291" s="344"/>
      <c r="AC291" s="344"/>
      <c r="AD291" s="344"/>
      <c r="AH291" s="128"/>
      <c r="AI291" s="128"/>
      <c r="AJ291" s="128"/>
      <c r="AK291" s="128"/>
      <c r="AL291" s="128"/>
      <c r="AM291" s="128"/>
      <c r="AP291" s="128"/>
      <c r="AQ291" s="128"/>
      <c r="AR291" s="128"/>
      <c r="AS291" s="128"/>
      <c r="AT291" s="128"/>
      <c r="AU291" s="128"/>
    </row>
    <row r="292" ht="27" customHeight="1" spans="1:47">
      <c r="A292" s="154"/>
      <c r="O292" s="345"/>
      <c r="R292" s="346"/>
      <c r="T292" s="314"/>
      <c r="U292" s="314"/>
      <c r="X292" s="342"/>
      <c r="Y292" s="343"/>
      <c r="AA292" s="344"/>
      <c r="AB292" s="344"/>
      <c r="AC292" s="344"/>
      <c r="AD292" s="344"/>
      <c r="AH292" s="128"/>
      <c r="AI292" s="128"/>
      <c r="AJ292" s="128"/>
      <c r="AK292" s="128"/>
      <c r="AL292" s="128"/>
      <c r="AM292" s="128"/>
      <c r="AP292" s="128"/>
      <c r="AQ292" s="128"/>
      <c r="AR292" s="128"/>
      <c r="AS292" s="128"/>
      <c r="AT292" s="128"/>
      <c r="AU292" s="128"/>
    </row>
    <row r="293" ht="27" customHeight="1" spans="1:47">
      <c r="A293" s="154"/>
      <c r="O293" s="345"/>
      <c r="R293" s="346"/>
      <c r="T293" s="314"/>
      <c r="U293" s="314"/>
      <c r="X293" s="342"/>
      <c r="Y293" s="343"/>
      <c r="AA293" s="344"/>
      <c r="AB293" s="344"/>
      <c r="AC293" s="344"/>
      <c r="AD293" s="344"/>
      <c r="AH293" s="128"/>
      <c r="AI293" s="128"/>
      <c r="AJ293" s="128"/>
      <c r="AK293" s="128"/>
      <c r="AL293" s="128"/>
      <c r="AM293" s="128"/>
      <c r="AP293" s="128"/>
      <c r="AQ293" s="128"/>
      <c r="AR293" s="128"/>
      <c r="AS293" s="128"/>
      <c r="AT293" s="128"/>
      <c r="AU293" s="128"/>
    </row>
    <row r="294" ht="27" customHeight="1" spans="1:47">
      <c r="A294" s="154"/>
      <c r="O294" s="345"/>
      <c r="R294" s="346"/>
      <c r="T294" s="314"/>
      <c r="U294" s="314"/>
      <c r="X294" s="342"/>
      <c r="Y294" s="343"/>
      <c r="AA294" s="344"/>
      <c r="AB294" s="344"/>
      <c r="AC294" s="344"/>
      <c r="AD294" s="344"/>
      <c r="AH294" s="128"/>
      <c r="AI294" s="128"/>
      <c r="AJ294" s="128"/>
      <c r="AK294" s="128"/>
      <c r="AL294" s="128"/>
      <c r="AM294" s="128"/>
      <c r="AP294" s="128"/>
      <c r="AQ294" s="128"/>
      <c r="AR294" s="128"/>
      <c r="AS294" s="128"/>
      <c r="AT294" s="128"/>
      <c r="AU294" s="128"/>
    </row>
    <row r="295" ht="27" customHeight="1" spans="1:47">
      <c r="A295" s="154"/>
      <c r="O295" s="345"/>
      <c r="R295" s="346"/>
      <c r="T295" s="314"/>
      <c r="U295" s="314"/>
      <c r="X295" s="342"/>
      <c r="Y295" s="343"/>
      <c r="AA295" s="344"/>
      <c r="AB295" s="344"/>
      <c r="AC295" s="344"/>
      <c r="AD295" s="344"/>
      <c r="AH295" s="128"/>
      <c r="AI295" s="128"/>
      <c r="AJ295" s="128"/>
      <c r="AK295" s="128"/>
      <c r="AL295" s="128"/>
      <c r="AM295" s="128"/>
      <c r="AP295" s="128"/>
      <c r="AQ295" s="128"/>
      <c r="AR295" s="128"/>
      <c r="AS295" s="128"/>
      <c r="AT295" s="128"/>
      <c r="AU295" s="128"/>
    </row>
    <row r="296" ht="27" customHeight="1" spans="1:47">
      <c r="A296" s="154"/>
      <c r="O296" s="345"/>
      <c r="R296" s="346"/>
      <c r="T296" s="314"/>
      <c r="U296" s="314"/>
      <c r="X296" s="342"/>
      <c r="Y296" s="343"/>
      <c r="AA296" s="344"/>
      <c r="AB296" s="344"/>
      <c r="AC296" s="344"/>
      <c r="AD296" s="344"/>
      <c r="AH296" s="128"/>
      <c r="AI296" s="128"/>
      <c r="AJ296" s="128"/>
      <c r="AK296" s="128"/>
      <c r="AL296" s="128"/>
      <c r="AM296" s="128"/>
      <c r="AP296" s="128"/>
      <c r="AQ296" s="128"/>
      <c r="AR296" s="128"/>
      <c r="AS296" s="128"/>
      <c r="AT296" s="128"/>
      <c r="AU296" s="128"/>
    </row>
    <row r="297" ht="27" customHeight="1" spans="1:47">
      <c r="A297" s="154"/>
      <c r="O297" s="345"/>
      <c r="R297" s="346"/>
      <c r="T297" s="314"/>
      <c r="U297" s="314"/>
      <c r="X297" s="342"/>
      <c r="Y297" s="343"/>
      <c r="AA297" s="344"/>
      <c r="AB297" s="344"/>
      <c r="AC297" s="344"/>
      <c r="AD297" s="344"/>
      <c r="AH297" s="128"/>
      <c r="AI297" s="128"/>
      <c r="AJ297" s="128"/>
      <c r="AK297" s="128"/>
      <c r="AL297" s="128"/>
      <c r="AM297" s="128"/>
      <c r="AP297" s="128"/>
      <c r="AQ297" s="128"/>
      <c r="AR297" s="128"/>
      <c r="AS297" s="128"/>
      <c r="AT297" s="128"/>
      <c r="AU297" s="128"/>
    </row>
    <row r="298" ht="27" customHeight="1" spans="1:47">
      <c r="A298" s="154"/>
      <c r="O298" s="345"/>
      <c r="R298" s="346"/>
      <c r="T298" s="314"/>
      <c r="U298" s="314"/>
      <c r="X298" s="342"/>
      <c r="Y298" s="343"/>
      <c r="AA298" s="344"/>
      <c r="AB298" s="344"/>
      <c r="AC298" s="344"/>
      <c r="AD298" s="344"/>
      <c r="AH298" s="128"/>
      <c r="AI298" s="128"/>
      <c r="AJ298" s="128"/>
      <c r="AK298" s="128"/>
      <c r="AL298" s="128"/>
      <c r="AM298" s="128"/>
      <c r="AP298" s="128"/>
      <c r="AQ298" s="128"/>
      <c r="AR298" s="128"/>
      <c r="AS298" s="128"/>
      <c r="AT298" s="128"/>
      <c r="AU298" s="128"/>
    </row>
    <row r="299" ht="27" customHeight="1" spans="1:47">
      <c r="A299" s="154"/>
      <c r="O299" s="345"/>
      <c r="R299" s="346"/>
      <c r="T299" s="314"/>
      <c r="U299" s="314"/>
      <c r="X299" s="342"/>
      <c r="Y299" s="343"/>
      <c r="AA299" s="344"/>
      <c r="AB299" s="344"/>
      <c r="AC299" s="344"/>
      <c r="AD299" s="344"/>
      <c r="AH299" s="128"/>
      <c r="AI299" s="128"/>
      <c r="AJ299" s="128"/>
      <c r="AK299" s="128"/>
      <c r="AL299" s="128"/>
      <c r="AM299" s="128"/>
      <c r="AP299" s="128"/>
      <c r="AQ299" s="128"/>
      <c r="AR299" s="128"/>
      <c r="AS299" s="128"/>
      <c r="AT299" s="128"/>
      <c r="AU299" s="128"/>
    </row>
    <row r="300" ht="27" customHeight="1" spans="1:47">
      <c r="A300" s="154"/>
      <c r="O300" s="345"/>
      <c r="R300" s="346"/>
      <c r="T300" s="314"/>
      <c r="U300" s="314"/>
      <c r="X300" s="342"/>
      <c r="Y300" s="343"/>
      <c r="AA300" s="344"/>
      <c r="AB300" s="344"/>
      <c r="AC300" s="344"/>
      <c r="AD300" s="344"/>
      <c r="AH300" s="128"/>
      <c r="AI300" s="128"/>
      <c r="AJ300" s="128"/>
      <c r="AK300" s="128"/>
      <c r="AL300" s="128"/>
      <c r="AM300" s="128"/>
      <c r="AP300" s="128"/>
      <c r="AQ300" s="128"/>
      <c r="AR300" s="128"/>
      <c r="AS300" s="128"/>
      <c r="AT300" s="128"/>
      <c r="AU300" s="128"/>
    </row>
    <row r="301" ht="27" customHeight="1" spans="1:47">
      <c r="A301" s="154"/>
      <c r="O301" s="345"/>
      <c r="R301" s="346"/>
      <c r="T301" s="314"/>
      <c r="U301" s="314"/>
      <c r="X301" s="342"/>
      <c r="Y301" s="343"/>
      <c r="AA301" s="344"/>
      <c r="AB301" s="344"/>
      <c r="AC301" s="344"/>
      <c r="AD301" s="344"/>
      <c r="AH301" s="128"/>
      <c r="AI301" s="128"/>
      <c r="AJ301" s="128"/>
      <c r="AK301" s="128"/>
      <c r="AL301" s="128"/>
      <c r="AM301" s="128"/>
      <c r="AP301" s="128"/>
      <c r="AQ301" s="128"/>
      <c r="AR301" s="128"/>
      <c r="AS301" s="128"/>
      <c r="AT301" s="128"/>
      <c r="AU301" s="128"/>
    </row>
    <row r="302" ht="27" customHeight="1" spans="1:47">
      <c r="A302" s="154"/>
      <c r="O302" s="345"/>
      <c r="R302" s="346"/>
      <c r="T302" s="314"/>
      <c r="U302" s="314"/>
      <c r="X302" s="342"/>
      <c r="Y302" s="343"/>
      <c r="AA302" s="344"/>
      <c r="AB302" s="344"/>
      <c r="AC302" s="344"/>
      <c r="AD302" s="344"/>
      <c r="AH302" s="128"/>
      <c r="AI302" s="128"/>
      <c r="AJ302" s="128"/>
      <c r="AK302" s="128"/>
      <c r="AL302" s="128"/>
      <c r="AM302" s="128"/>
      <c r="AP302" s="128"/>
      <c r="AQ302" s="128"/>
      <c r="AR302" s="128"/>
      <c r="AS302" s="128"/>
      <c r="AT302" s="128"/>
      <c r="AU302" s="128"/>
    </row>
    <row r="303" ht="27" customHeight="1" spans="1:47">
      <c r="A303" s="154"/>
      <c r="O303" s="345"/>
      <c r="R303" s="346"/>
      <c r="T303" s="314"/>
      <c r="U303" s="314"/>
      <c r="X303" s="342"/>
      <c r="Y303" s="343"/>
      <c r="AA303" s="344"/>
      <c r="AB303" s="344"/>
      <c r="AC303" s="344"/>
      <c r="AD303" s="344"/>
      <c r="AH303" s="128"/>
      <c r="AI303" s="128"/>
      <c r="AJ303" s="128"/>
      <c r="AK303" s="128"/>
      <c r="AL303" s="128"/>
      <c r="AM303" s="128"/>
      <c r="AP303" s="128"/>
      <c r="AQ303" s="128"/>
      <c r="AR303" s="128"/>
      <c r="AS303" s="128"/>
      <c r="AT303" s="128"/>
      <c r="AU303" s="128"/>
    </row>
    <row r="304" ht="27" customHeight="1" spans="1:47">
      <c r="A304" s="154"/>
      <c r="O304" s="345"/>
      <c r="R304" s="346"/>
      <c r="T304" s="314"/>
      <c r="U304" s="314"/>
      <c r="X304" s="342"/>
      <c r="Y304" s="343"/>
      <c r="AA304" s="344"/>
      <c r="AB304" s="344"/>
      <c r="AC304" s="344"/>
      <c r="AD304" s="344"/>
      <c r="AH304" s="128"/>
      <c r="AI304" s="128"/>
      <c r="AJ304" s="128"/>
      <c r="AK304" s="128"/>
      <c r="AL304" s="128"/>
      <c r="AM304" s="128"/>
      <c r="AP304" s="128"/>
      <c r="AQ304" s="128"/>
      <c r="AR304" s="128"/>
      <c r="AS304" s="128"/>
      <c r="AT304" s="128"/>
      <c r="AU304" s="128"/>
    </row>
    <row r="305" ht="27" customHeight="1" spans="1:47">
      <c r="A305" s="154"/>
      <c r="O305" s="345"/>
      <c r="R305" s="346"/>
      <c r="T305" s="314"/>
      <c r="U305" s="314"/>
      <c r="X305" s="342"/>
      <c r="Y305" s="343"/>
      <c r="AA305" s="344"/>
      <c r="AB305" s="344"/>
      <c r="AC305" s="344"/>
      <c r="AD305" s="344"/>
      <c r="AH305" s="128"/>
      <c r="AI305" s="128"/>
      <c r="AJ305" s="128"/>
      <c r="AK305" s="128"/>
      <c r="AL305" s="128"/>
      <c r="AM305" s="128"/>
      <c r="AP305" s="128"/>
      <c r="AQ305" s="128"/>
      <c r="AR305" s="128"/>
      <c r="AS305" s="128"/>
      <c r="AT305" s="128"/>
      <c r="AU305" s="128"/>
    </row>
    <row r="306" ht="27" customHeight="1" spans="1:47">
      <c r="A306" s="154"/>
      <c r="O306" s="345"/>
      <c r="R306" s="346"/>
      <c r="T306" s="314"/>
      <c r="U306" s="314"/>
      <c r="X306" s="342"/>
      <c r="Y306" s="343"/>
      <c r="AA306" s="344"/>
      <c r="AB306" s="344"/>
      <c r="AC306" s="344"/>
      <c r="AD306" s="344"/>
      <c r="AH306" s="128"/>
      <c r="AI306" s="128"/>
      <c r="AJ306" s="128"/>
      <c r="AK306" s="128"/>
      <c r="AL306" s="128"/>
      <c r="AM306" s="128"/>
      <c r="AP306" s="128"/>
      <c r="AQ306" s="128"/>
      <c r="AR306" s="128"/>
      <c r="AS306" s="128"/>
      <c r="AT306" s="128"/>
      <c r="AU306" s="128"/>
    </row>
    <row r="307" ht="27" customHeight="1" spans="1:47">
      <c r="A307" s="154"/>
      <c r="O307" s="345"/>
      <c r="R307" s="346"/>
      <c r="T307" s="314"/>
      <c r="U307" s="314"/>
      <c r="X307" s="342"/>
      <c r="Y307" s="343"/>
      <c r="AA307" s="344"/>
      <c r="AB307" s="344"/>
      <c r="AC307" s="344"/>
      <c r="AD307" s="344"/>
      <c r="AH307" s="128"/>
      <c r="AI307" s="128"/>
      <c r="AJ307" s="128"/>
      <c r="AK307" s="128"/>
      <c r="AL307" s="128"/>
      <c r="AM307" s="128"/>
      <c r="AP307" s="128"/>
      <c r="AQ307" s="128"/>
      <c r="AR307" s="128"/>
      <c r="AS307" s="128"/>
      <c r="AT307" s="128"/>
      <c r="AU307" s="128"/>
    </row>
    <row r="308" ht="27" customHeight="1" spans="1:47">
      <c r="A308" s="154"/>
      <c r="O308" s="345"/>
      <c r="R308" s="346"/>
      <c r="T308" s="314"/>
      <c r="U308" s="314"/>
      <c r="X308" s="342"/>
      <c r="Y308" s="343"/>
      <c r="AA308" s="344"/>
      <c r="AB308" s="344"/>
      <c r="AC308" s="344"/>
      <c r="AD308" s="344"/>
      <c r="AH308" s="128"/>
      <c r="AI308" s="128"/>
      <c r="AJ308" s="128"/>
      <c r="AK308" s="128"/>
      <c r="AL308" s="128"/>
      <c r="AM308" s="128"/>
      <c r="AP308" s="128"/>
      <c r="AQ308" s="128"/>
      <c r="AR308" s="128"/>
      <c r="AS308" s="128"/>
      <c r="AT308" s="128"/>
      <c r="AU308" s="128"/>
    </row>
    <row r="309" ht="27" customHeight="1" spans="1:47">
      <c r="A309" s="154"/>
      <c r="O309" s="345"/>
      <c r="R309" s="346"/>
      <c r="T309" s="314"/>
      <c r="U309" s="314"/>
      <c r="X309" s="342"/>
      <c r="Y309" s="343"/>
      <c r="AA309" s="344"/>
      <c r="AB309" s="344"/>
      <c r="AC309" s="344"/>
      <c r="AD309" s="344"/>
      <c r="AH309" s="128"/>
      <c r="AI309" s="128"/>
      <c r="AJ309" s="128"/>
      <c r="AK309" s="128"/>
      <c r="AL309" s="128"/>
      <c r="AM309" s="128"/>
      <c r="AP309" s="128"/>
      <c r="AQ309" s="128"/>
      <c r="AR309" s="128"/>
      <c r="AS309" s="128"/>
      <c r="AT309" s="128"/>
      <c r="AU309" s="128"/>
    </row>
    <row r="310" ht="27" customHeight="1" spans="1:47">
      <c r="A310" s="154"/>
      <c r="O310" s="345"/>
      <c r="T310" s="314"/>
      <c r="U310" s="314"/>
      <c r="X310" s="342"/>
      <c r="Y310" s="343"/>
      <c r="AA310" s="344"/>
      <c r="AB310" s="344"/>
      <c r="AC310" s="344"/>
      <c r="AD310" s="344"/>
      <c r="AH310" s="128"/>
      <c r="AI310" s="128"/>
      <c r="AJ310" s="128"/>
      <c r="AK310" s="128"/>
      <c r="AL310" s="128"/>
      <c r="AM310" s="128"/>
      <c r="AP310" s="128"/>
      <c r="AQ310" s="128"/>
      <c r="AR310" s="128"/>
      <c r="AS310" s="128"/>
      <c r="AT310" s="128"/>
      <c r="AU310" s="128"/>
    </row>
    <row r="311" ht="27" customHeight="1" spans="1:47">
      <c r="A311" s="154"/>
      <c r="O311" s="345"/>
      <c r="T311" s="314"/>
      <c r="U311" s="314"/>
      <c r="X311" s="342"/>
      <c r="Y311" s="343"/>
      <c r="AA311" s="344"/>
      <c r="AB311" s="344"/>
      <c r="AC311" s="344"/>
      <c r="AD311" s="344"/>
      <c r="AH311" s="128"/>
      <c r="AI311" s="128"/>
      <c r="AJ311" s="128"/>
      <c r="AK311" s="128"/>
      <c r="AL311" s="128"/>
      <c r="AM311" s="128"/>
      <c r="AP311" s="128"/>
      <c r="AQ311" s="128"/>
      <c r="AR311" s="128"/>
      <c r="AS311" s="128"/>
      <c r="AT311" s="128"/>
      <c r="AU311" s="128"/>
    </row>
    <row r="312" ht="27" customHeight="1" spans="1:47">
      <c r="A312" s="154"/>
      <c r="O312" s="345"/>
      <c r="T312" s="314"/>
      <c r="U312" s="314"/>
      <c r="X312" s="342"/>
      <c r="Y312" s="343"/>
      <c r="AA312" s="344"/>
      <c r="AB312" s="344"/>
      <c r="AC312" s="344"/>
      <c r="AD312" s="344"/>
      <c r="AH312" s="128"/>
      <c r="AI312" s="128"/>
      <c r="AJ312" s="128"/>
      <c r="AK312" s="128"/>
      <c r="AL312" s="128"/>
      <c r="AM312" s="128"/>
      <c r="AP312" s="128"/>
      <c r="AQ312" s="128"/>
      <c r="AR312" s="128"/>
      <c r="AS312" s="128"/>
      <c r="AT312" s="128"/>
      <c r="AU312" s="128"/>
    </row>
    <row r="313" ht="27" customHeight="1" spans="1:47">
      <c r="A313" s="154"/>
      <c r="O313" s="345"/>
      <c r="T313" s="314"/>
      <c r="U313" s="314"/>
      <c r="X313" s="342"/>
      <c r="Y313" s="343"/>
      <c r="AA313" s="344"/>
      <c r="AB313" s="344"/>
      <c r="AC313" s="344"/>
      <c r="AD313" s="344"/>
      <c r="AH313" s="128"/>
      <c r="AI313" s="128"/>
      <c r="AJ313" s="128"/>
      <c r="AK313" s="128"/>
      <c r="AL313" s="128"/>
      <c r="AM313" s="128"/>
      <c r="AP313" s="128"/>
      <c r="AQ313" s="128"/>
      <c r="AR313" s="128"/>
      <c r="AS313" s="128"/>
      <c r="AT313" s="128"/>
      <c r="AU313" s="128"/>
    </row>
    <row r="314" ht="27" customHeight="1" spans="1:47">
      <c r="A314" s="154"/>
      <c r="O314" s="345"/>
      <c r="R314" s="346"/>
      <c r="T314" s="314"/>
      <c r="U314" s="314"/>
      <c r="X314" s="342"/>
      <c r="Y314" s="343"/>
      <c r="AA314" s="344"/>
      <c r="AB314" s="344"/>
      <c r="AC314" s="344"/>
      <c r="AD314" s="344"/>
      <c r="AH314" s="128"/>
      <c r="AI314" s="128"/>
      <c r="AJ314" s="128"/>
      <c r="AK314" s="128"/>
      <c r="AL314" s="128"/>
      <c r="AM314" s="128"/>
      <c r="AP314" s="128"/>
      <c r="AQ314" s="128"/>
      <c r="AR314" s="128"/>
      <c r="AS314" s="128"/>
      <c r="AT314" s="128"/>
      <c r="AU314" s="128"/>
    </row>
    <row r="315" ht="27" customHeight="1" spans="1:47">
      <c r="A315" s="154"/>
      <c r="O315" s="345"/>
      <c r="R315" s="346"/>
      <c r="T315" s="314"/>
      <c r="U315" s="314"/>
      <c r="X315" s="342"/>
      <c r="Y315" s="343"/>
      <c r="AA315" s="344"/>
      <c r="AB315" s="344"/>
      <c r="AC315" s="344"/>
      <c r="AD315" s="344"/>
      <c r="AH315" s="128"/>
      <c r="AI315" s="128"/>
      <c r="AJ315" s="128"/>
      <c r="AK315" s="128"/>
      <c r="AL315" s="128"/>
      <c r="AM315" s="128"/>
      <c r="AP315" s="128"/>
      <c r="AQ315" s="128"/>
      <c r="AR315" s="128"/>
      <c r="AS315" s="128"/>
      <c r="AT315" s="128"/>
      <c r="AU315" s="128"/>
    </row>
    <row r="316" ht="27" customHeight="1" spans="1:47">
      <c r="A316" s="154"/>
      <c r="O316" s="345"/>
      <c r="R316" s="346"/>
      <c r="T316" s="314"/>
      <c r="U316" s="314"/>
      <c r="X316" s="342"/>
      <c r="Y316" s="343"/>
      <c r="AA316" s="344"/>
      <c r="AB316" s="344"/>
      <c r="AC316" s="344"/>
      <c r="AD316" s="344"/>
      <c r="AH316" s="128"/>
      <c r="AI316" s="128"/>
      <c r="AJ316" s="128"/>
      <c r="AK316" s="128"/>
      <c r="AL316" s="128"/>
      <c r="AM316" s="128"/>
      <c r="AP316" s="128"/>
      <c r="AQ316" s="128"/>
      <c r="AR316" s="128"/>
      <c r="AS316" s="128"/>
      <c r="AT316" s="128"/>
      <c r="AU316" s="128"/>
    </row>
    <row r="317" ht="27" customHeight="1" spans="1:47">
      <c r="A317" s="154"/>
      <c r="O317" s="345"/>
      <c r="R317" s="346"/>
      <c r="T317" s="314"/>
      <c r="U317" s="314"/>
      <c r="X317" s="342"/>
      <c r="Y317" s="343"/>
      <c r="AA317" s="344"/>
      <c r="AB317" s="344"/>
      <c r="AC317" s="344"/>
      <c r="AD317" s="344"/>
      <c r="AH317" s="128"/>
      <c r="AI317" s="128"/>
      <c r="AJ317" s="128"/>
      <c r="AK317" s="128"/>
      <c r="AL317" s="128"/>
      <c r="AM317" s="128"/>
      <c r="AP317" s="128"/>
      <c r="AQ317" s="128"/>
      <c r="AR317" s="128"/>
      <c r="AS317" s="128"/>
      <c r="AT317" s="128"/>
      <c r="AU317" s="128"/>
    </row>
    <row r="318" ht="27" customHeight="1" spans="1:47">
      <c r="A318" s="154"/>
      <c r="O318" s="345"/>
      <c r="R318" s="346"/>
      <c r="T318" s="314"/>
      <c r="U318" s="314"/>
      <c r="X318" s="342"/>
      <c r="Y318" s="343"/>
      <c r="AA318" s="344"/>
      <c r="AB318" s="344"/>
      <c r="AC318" s="344"/>
      <c r="AD318" s="344"/>
      <c r="AH318" s="128"/>
      <c r="AI318" s="128"/>
      <c r="AJ318" s="128"/>
      <c r="AK318" s="128"/>
      <c r="AL318" s="128"/>
      <c r="AM318" s="128"/>
      <c r="AP318" s="128"/>
      <c r="AQ318" s="128"/>
      <c r="AR318" s="128"/>
      <c r="AS318" s="128"/>
      <c r="AT318" s="128"/>
      <c r="AU318" s="128"/>
    </row>
    <row r="319" ht="27" customHeight="1" spans="1:47">
      <c r="A319" s="154"/>
      <c r="O319" s="345"/>
      <c r="R319" s="346"/>
      <c r="T319" s="314"/>
      <c r="U319" s="314"/>
      <c r="X319" s="342"/>
      <c r="Y319" s="343"/>
      <c r="AA319" s="344"/>
      <c r="AB319" s="344"/>
      <c r="AC319" s="344"/>
      <c r="AD319" s="344"/>
      <c r="AH319" s="128"/>
      <c r="AI319" s="128"/>
      <c r="AJ319" s="128"/>
      <c r="AK319" s="128"/>
      <c r="AL319" s="128"/>
      <c r="AM319" s="128"/>
      <c r="AP319" s="128"/>
      <c r="AQ319" s="128"/>
      <c r="AR319" s="128"/>
      <c r="AS319" s="128"/>
      <c r="AT319" s="128"/>
      <c r="AU319" s="128"/>
    </row>
    <row r="320" ht="27" customHeight="1" spans="1:47">
      <c r="A320" s="154"/>
      <c r="O320" s="345"/>
      <c r="T320" s="314"/>
      <c r="U320" s="314"/>
      <c r="X320" s="342"/>
      <c r="Y320" s="343"/>
      <c r="AA320" s="344"/>
      <c r="AB320" s="344"/>
      <c r="AC320" s="344"/>
      <c r="AD320" s="344"/>
      <c r="AH320" s="128"/>
      <c r="AI320" s="128"/>
      <c r="AJ320" s="128"/>
      <c r="AK320" s="128"/>
      <c r="AL320" s="128"/>
      <c r="AM320" s="128"/>
      <c r="AP320" s="128"/>
      <c r="AQ320" s="128"/>
      <c r="AR320" s="128"/>
      <c r="AS320" s="128"/>
      <c r="AT320" s="128"/>
      <c r="AU320" s="128"/>
    </row>
    <row r="321" ht="27" customHeight="1" spans="1:47">
      <c r="A321" s="154"/>
      <c r="O321" s="345"/>
      <c r="T321" s="314"/>
      <c r="U321" s="314"/>
      <c r="X321" s="342"/>
      <c r="Y321" s="343"/>
      <c r="AA321" s="344"/>
      <c r="AB321" s="344"/>
      <c r="AC321" s="344"/>
      <c r="AD321" s="344"/>
      <c r="AH321" s="128"/>
      <c r="AI321" s="128"/>
      <c r="AJ321" s="128"/>
      <c r="AK321" s="128"/>
      <c r="AL321" s="128"/>
      <c r="AM321" s="128"/>
      <c r="AP321" s="128"/>
      <c r="AQ321" s="128"/>
      <c r="AR321" s="128"/>
      <c r="AS321" s="128"/>
      <c r="AT321" s="128"/>
      <c r="AU321" s="128"/>
    </row>
    <row r="322" ht="27" customHeight="1" spans="1:47">
      <c r="A322" s="154"/>
      <c r="O322" s="345"/>
      <c r="T322" s="314"/>
      <c r="U322" s="314"/>
      <c r="X322" s="342"/>
      <c r="Y322" s="343"/>
      <c r="AA322" s="344"/>
      <c r="AB322" s="344"/>
      <c r="AC322" s="344"/>
      <c r="AD322" s="344"/>
      <c r="AH322" s="128"/>
      <c r="AI322" s="128"/>
      <c r="AJ322" s="128"/>
      <c r="AK322" s="128"/>
      <c r="AL322" s="128"/>
      <c r="AM322" s="128"/>
      <c r="AP322" s="128"/>
      <c r="AQ322" s="128"/>
      <c r="AR322" s="128"/>
      <c r="AS322" s="128"/>
      <c r="AT322" s="128"/>
      <c r="AU322" s="128"/>
    </row>
    <row r="323" ht="27" customHeight="1" spans="1:47">
      <c r="A323" s="154"/>
      <c r="O323" s="345"/>
      <c r="R323" s="346"/>
      <c r="T323" s="314"/>
      <c r="U323" s="314"/>
      <c r="X323" s="342"/>
      <c r="Y323" s="343"/>
      <c r="AA323" s="344"/>
      <c r="AB323" s="344"/>
      <c r="AC323" s="344"/>
      <c r="AD323" s="344"/>
      <c r="AH323" s="128"/>
      <c r="AI323" s="128"/>
      <c r="AJ323" s="128"/>
      <c r="AK323" s="128"/>
      <c r="AL323" s="128"/>
      <c r="AM323" s="128"/>
      <c r="AP323" s="128"/>
      <c r="AQ323" s="128"/>
      <c r="AR323" s="128"/>
      <c r="AS323" s="128"/>
      <c r="AT323" s="128"/>
      <c r="AU323" s="128"/>
    </row>
    <row r="324" ht="27" customHeight="1" spans="1:47">
      <c r="A324" s="154"/>
      <c r="O324" s="345"/>
      <c r="T324" s="314"/>
      <c r="U324" s="314"/>
      <c r="X324" s="342"/>
      <c r="Y324" s="343"/>
      <c r="AA324" s="344"/>
      <c r="AB324" s="344"/>
      <c r="AC324" s="344"/>
      <c r="AD324" s="344"/>
    </row>
    <row r="325" ht="27" customHeight="1" spans="1:47">
      <c r="A325" s="154"/>
      <c r="O325" s="345"/>
      <c r="T325" s="314"/>
      <c r="U325" s="314"/>
      <c r="X325" s="342"/>
      <c r="Y325" s="343"/>
      <c r="AA325" s="344"/>
      <c r="AB325" s="344"/>
      <c r="AC325" s="344"/>
      <c r="AD325" s="344"/>
      <c r="AH325" s="128"/>
      <c r="AI325" s="128"/>
      <c r="AJ325" s="128"/>
      <c r="AK325" s="128"/>
      <c r="AL325" s="128"/>
      <c r="AM325" s="128"/>
      <c r="AP325" s="128"/>
      <c r="AQ325" s="128"/>
      <c r="AR325" s="128"/>
      <c r="AS325" s="128"/>
      <c r="AT325" s="128"/>
      <c r="AU325" s="128"/>
    </row>
    <row r="326" ht="27" customHeight="1" spans="1:47">
      <c r="A326" s="154"/>
      <c r="O326" s="345"/>
      <c r="T326" s="314"/>
      <c r="U326" s="314"/>
      <c r="X326" s="342"/>
      <c r="Y326" s="343"/>
      <c r="AA326" s="344"/>
      <c r="AB326" s="344"/>
      <c r="AC326" s="344"/>
      <c r="AD326" s="344"/>
      <c r="AH326" s="128"/>
      <c r="AI326" s="128"/>
      <c r="AJ326" s="128"/>
      <c r="AK326" s="128"/>
      <c r="AL326" s="128"/>
      <c r="AM326" s="128"/>
      <c r="AP326" s="128"/>
      <c r="AQ326" s="128"/>
      <c r="AR326" s="128"/>
      <c r="AS326" s="128"/>
      <c r="AT326" s="128"/>
      <c r="AU326" s="128"/>
    </row>
    <row r="327" ht="27" customHeight="1" spans="1:47">
      <c r="A327" s="154"/>
      <c r="O327" s="345"/>
      <c r="R327" s="346"/>
      <c r="T327" s="314"/>
      <c r="U327" s="314"/>
      <c r="X327" s="342"/>
      <c r="Y327" s="343"/>
      <c r="AA327" s="344"/>
      <c r="AB327" s="344"/>
      <c r="AC327" s="344"/>
      <c r="AD327" s="344"/>
      <c r="AH327" s="128"/>
      <c r="AI327" s="128"/>
      <c r="AJ327" s="128"/>
      <c r="AK327" s="128"/>
      <c r="AL327" s="128"/>
      <c r="AM327" s="128"/>
      <c r="AP327" s="128"/>
      <c r="AQ327" s="128"/>
      <c r="AR327" s="128"/>
      <c r="AS327" s="128"/>
      <c r="AT327" s="128"/>
      <c r="AU327" s="128"/>
    </row>
    <row r="328" ht="27" customHeight="1" spans="1:47">
      <c r="A328" s="154"/>
      <c r="O328" s="345"/>
      <c r="T328" s="314"/>
      <c r="U328" s="314"/>
      <c r="X328" s="342"/>
      <c r="Y328" s="343"/>
      <c r="AA328" s="344"/>
      <c r="AB328" s="344"/>
      <c r="AC328" s="344"/>
      <c r="AD328" s="344"/>
      <c r="AH328" s="128"/>
      <c r="AI328" s="128"/>
      <c r="AJ328" s="128"/>
      <c r="AK328" s="128"/>
      <c r="AL328" s="128"/>
      <c r="AM328" s="128"/>
      <c r="AP328" s="128"/>
      <c r="AQ328" s="128"/>
      <c r="AR328" s="128"/>
      <c r="AS328" s="128"/>
      <c r="AT328" s="128"/>
      <c r="AU328" s="128"/>
    </row>
    <row r="329" ht="27" customHeight="1" spans="1:47">
      <c r="A329" s="154"/>
      <c r="O329" s="345"/>
      <c r="T329" s="314"/>
      <c r="U329" s="314"/>
      <c r="X329" s="342"/>
      <c r="Y329" s="343"/>
      <c r="AA329" s="344"/>
      <c r="AB329" s="344"/>
      <c r="AC329" s="344"/>
      <c r="AD329" s="344"/>
      <c r="AH329" s="128"/>
      <c r="AI329" s="128"/>
      <c r="AJ329" s="128"/>
      <c r="AK329" s="128"/>
      <c r="AL329" s="128"/>
      <c r="AM329" s="128"/>
      <c r="AP329" s="128"/>
      <c r="AQ329" s="128"/>
      <c r="AR329" s="128"/>
      <c r="AS329" s="128"/>
      <c r="AT329" s="128"/>
      <c r="AU329" s="128"/>
    </row>
    <row r="330" ht="27" customHeight="1" spans="1:47">
      <c r="A330" s="154"/>
      <c r="O330" s="345"/>
      <c r="T330" s="314"/>
      <c r="U330" s="314"/>
      <c r="X330" s="342"/>
      <c r="Y330" s="343"/>
      <c r="AA330" s="344"/>
      <c r="AB330" s="344"/>
      <c r="AC330" s="344"/>
      <c r="AD330" s="344"/>
      <c r="AH330" s="128"/>
      <c r="AI330" s="128"/>
      <c r="AJ330" s="128"/>
      <c r="AK330" s="128"/>
      <c r="AL330" s="128"/>
      <c r="AM330" s="128"/>
      <c r="AP330" s="128"/>
      <c r="AQ330" s="128"/>
      <c r="AR330" s="128"/>
      <c r="AS330" s="128"/>
      <c r="AT330" s="128"/>
      <c r="AU330" s="128"/>
    </row>
    <row r="331" ht="27" customHeight="1" spans="1:47">
      <c r="A331" s="154"/>
      <c r="O331" s="345"/>
      <c r="T331" s="314"/>
      <c r="U331" s="314"/>
      <c r="X331" s="342"/>
      <c r="Y331" s="343"/>
      <c r="AA331" s="344"/>
      <c r="AB331" s="344"/>
      <c r="AC331" s="344"/>
      <c r="AD331" s="344"/>
      <c r="AH331" s="128"/>
      <c r="AI331" s="128"/>
      <c r="AJ331" s="128"/>
      <c r="AK331" s="128"/>
      <c r="AL331" s="128"/>
      <c r="AM331" s="128"/>
      <c r="AP331" s="128"/>
      <c r="AQ331" s="128"/>
      <c r="AR331" s="128"/>
      <c r="AS331" s="128"/>
      <c r="AT331" s="128"/>
      <c r="AU331" s="128"/>
    </row>
    <row r="332" ht="27" customHeight="1" spans="1:47">
      <c r="A332" s="154"/>
      <c r="O332" s="345"/>
      <c r="R332" s="346"/>
      <c r="T332" s="314"/>
      <c r="U332" s="314"/>
      <c r="X332" s="342"/>
      <c r="Y332" s="343"/>
      <c r="AA332" s="344"/>
      <c r="AB332" s="344"/>
      <c r="AC332" s="344"/>
      <c r="AD332" s="344"/>
      <c r="AH332" s="128"/>
      <c r="AI332" s="128"/>
      <c r="AJ332" s="128"/>
      <c r="AK332" s="128"/>
      <c r="AL332" s="128"/>
      <c r="AM332" s="128"/>
      <c r="AP332" s="128"/>
      <c r="AQ332" s="128"/>
      <c r="AR332" s="128"/>
      <c r="AS332" s="128"/>
      <c r="AT332" s="128"/>
      <c r="AU332" s="128"/>
    </row>
    <row r="333" ht="27" customHeight="1" spans="1:47">
      <c r="A333" s="154"/>
      <c r="O333" s="345"/>
      <c r="T333" s="314"/>
      <c r="U333" s="314"/>
      <c r="X333" s="342"/>
      <c r="Y333" s="343"/>
      <c r="AA333" s="344"/>
      <c r="AB333" s="344"/>
      <c r="AC333" s="344"/>
      <c r="AD333" s="344"/>
      <c r="AH333" s="128"/>
      <c r="AI333" s="128"/>
      <c r="AJ333" s="128"/>
      <c r="AK333" s="128"/>
      <c r="AL333" s="128"/>
      <c r="AM333" s="128"/>
      <c r="AP333" s="128"/>
      <c r="AQ333" s="128"/>
      <c r="AR333" s="128"/>
      <c r="AS333" s="128"/>
      <c r="AT333" s="128"/>
      <c r="AU333" s="128"/>
    </row>
    <row r="334" ht="27" customHeight="1" spans="1:47">
      <c r="A334" s="154"/>
      <c r="O334" s="345"/>
      <c r="T334" s="314"/>
      <c r="U334" s="314"/>
      <c r="X334" s="342"/>
      <c r="Y334" s="343"/>
      <c r="AA334" s="344"/>
      <c r="AB334" s="344"/>
      <c r="AC334" s="344"/>
      <c r="AD334" s="344"/>
      <c r="AH334" s="128"/>
      <c r="AI334" s="128"/>
      <c r="AJ334" s="128"/>
      <c r="AK334" s="128"/>
      <c r="AL334" s="128"/>
      <c r="AM334" s="128"/>
      <c r="AP334" s="128"/>
      <c r="AQ334" s="128"/>
      <c r="AR334" s="128"/>
      <c r="AS334" s="128"/>
      <c r="AT334" s="128"/>
      <c r="AU334" s="128"/>
    </row>
    <row r="335" ht="27" customHeight="1" spans="1:47">
      <c r="A335" s="154"/>
      <c r="O335" s="345"/>
      <c r="T335" s="314"/>
      <c r="U335" s="314"/>
      <c r="X335" s="342"/>
      <c r="Y335" s="343"/>
      <c r="AA335" s="344"/>
      <c r="AB335" s="344"/>
      <c r="AC335" s="344"/>
      <c r="AD335" s="344"/>
      <c r="AH335" s="128"/>
      <c r="AI335" s="128"/>
      <c r="AJ335" s="128"/>
      <c r="AK335" s="128"/>
      <c r="AL335" s="128"/>
      <c r="AM335" s="128"/>
      <c r="AP335" s="128"/>
      <c r="AQ335" s="128"/>
      <c r="AR335" s="128"/>
      <c r="AS335" s="128"/>
      <c r="AT335" s="128"/>
      <c r="AU335" s="128"/>
    </row>
    <row r="336" ht="27" customHeight="1" spans="1:47">
      <c r="A336" s="154"/>
      <c r="O336" s="345"/>
      <c r="T336" s="314"/>
      <c r="U336" s="314"/>
      <c r="X336" s="342"/>
      <c r="Y336" s="343"/>
      <c r="AA336" s="344"/>
      <c r="AB336" s="344"/>
      <c r="AC336" s="344"/>
      <c r="AD336" s="344"/>
      <c r="AH336" s="128"/>
      <c r="AI336" s="128"/>
      <c r="AJ336" s="128"/>
      <c r="AK336" s="128"/>
      <c r="AL336" s="128"/>
      <c r="AM336" s="128"/>
      <c r="AP336" s="128"/>
      <c r="AQ336" s="128"/>
      <c r="AR336" s="128"/>
      <c r="AS336" s="128"/>
      <c r="AT336" s="128"/>
      <c r="AU336" s="128"/>
    </row>
    <row r="337" ht="27" customHeight="1" spans="1:47">
      <c r="A337" s="154"/>
      <c r="O337" s="345"/>
      <c r="T337" s="314"/>
      <c r="U337" s="314"/>
      <c r="X337" s="342"/>
      <c r="Y337" s="343"/>
      <c r="AA337" s="344"/>
      <c r="AB337" s="344"/>
      <c r="AC337" s="344"/>
      <c r="AD337" s="344"/>
      <c r="AH337" s="128"/>
      <c r="AI337" s="128"/>
      <c r="AJ337" s="128"/>
      <c r="AK337" s="128"/>
      <c r="AL337" s="128"/>
      <c r="AM337" s="128"/>
      <c r="AP337" s="128"/>
      <c r="AQ337" s="128"/>
      <c r="AR337" s="128"/>
      <c r="AS337" s="128"/>
      <c r="AT337" s="128"/>
      <c r="AU337" s="128"/>
    </row>
    <row r="338" ht="27" customHeight="1" spans="1:47">
      <c r="A338" s="154"/>
      <c r="O338" s="345"/>
      <c r="T338" s="314"/>
      <c r="U338" s="314"/>
      <c r="X338" s="342"/>
      <c r="Y338" s="343"/>
      <c r="AA338" s="344"/>
      <c r="AB338" s="344"/>
      <c r="AC338" s="344"/>
      <c r="AD338" s="344"/>
      <c r="AH338" s="128"/>
      <c r="AI338" s="128"/>
      <c r="AJ338" s="128"/>
      <c r="AK338" s="128"/>
      <c r="AL338" s="128"/>
      <c r="AM338" s="128"/>
      <c r="AP338" s="128"/>
      <c r="AQ338" s="128"/>
      <c r="AR338" s="128"/>
      <c r="AS338" s="128"/>
      <c r="AT338" s="128"/>
      <c r="AU338" s="128"/>
    </row>
    <row r="339" ht="27" customHeight="1" spans="1:47">
      <c r="A339" s="154"/>
      <c r="O339" s="345"/>
      <c r="T339" s="314"/>
      <c r="U339" s="314"/>
      <c r="X339" s="342"/>
      <c r="Y339" s="343"/>
      <c r="AA339" s="344"/>
      <c r="AB339" s="344"/>
      <c r="AC339" s="344"/>
      <c r="AD339" s="344"/>
      <c r="AH339" s="128"/>
      <c r="AI339" s="128"/>
      <c r="AJ339" s="128"/>
      <c r="AK339" s="128"/>
      <c r="AL339" s="128"/>
      <c r="AM339" s="128"/>
      <c r="AP339" s="128"/>
      <c r="AQ339" s="128"/>
      <c r="AR339" s="128"/>
      <c r="AS339" s="128"/>
      <c r="AT339" s="128"/>
      <c r="AU339" s="128"/>
    </row>
    <row r="340" ht="27" customHeight="1" spans="1:47">
      <c r="A340" s="154"/>
      <c r="O340" s="345"/>
      <c r="T340" s="314"/>
      <c r="U340" s="314"/>
      <c r="X340" s="342"/>
      <c r="Y340" s="343"/>
      <c r="AA340" s="344"/>
      <c r="AB340" s="344"/>
      <c r="AC340" s="344"/>
      <c r="AD340" s="344"/>
      <c r="AH340" s="128"/>
      <c r="AI340" s="128"/>
      <c r="AJ340" s="128"/>
      <c r="AK340" s="128"/>
      <c r="AL340" s="128"/>
      <c r="AM340" s="128"/>
      <c r="AP340" s="128"/>
      <c r="AQ340" s="128"/>
      <c r="AR340" s="128"/>
      <c r="AS340" s="128"/>
      <c r="AT340" s="128"/>
      <c r="AU340" s="128"/>
    </row>
    <row r="341" ht="27" customHeight="1" spans="1:47">
      <c r="A341" s="154"/>
      <c r="O341" s="345"/>
      <c r="T341" s="314"/>
      <c r="U341" s="314"/>
      <c r="X341" s="342"/>
      <c r="Y341" s="343"/>
      <c r="AA341" s="344"/>
      <c r="AB341" s="344"/>
      <c r="AC341" s="344"/>
      <c r="AD341" s="344"/>
      <c r="AH341" s="128"/>
      <c r="AI341" s="128"/>
      <c r="AJ341" s="128"/>
      <c r="AK341" s="128"/>
      <c r="AL341" s="128"/>
      <c r="AM341" s="128"/>
      <c r="AP341" s="128"/>
      <c r="AQ341" s="128"/>
      <c r="AR341" s="128"/>
      <c r="AS341" s="128"/>
      <c r="AT341" s="128"/>
      <c r="AU341" s="128"/>
    </row>
    <row r="342" ht="27" customHeight="1" spans="1:47">
      <c r="A342" s="154"/>
      <c r="O342" s="345"/>
      <c r="T342" s="314"/>
      <c r="U342" s="314"/>
      <c r="X342" s="342"/>
      <c r="Y342" s="343"/>
      <c r="AA342" s="344"/>
      <c r="AB342" s="344"/>
      <c r="AC342" s="344"/>
      <c r="AD342" s="344"/>
      <c r="AH342" s="128"/>
      <c r="AI342" s="128"/>
      <c r="AJ342" s="128"/>
      <c r="AK342" s="128"/>
      <c r="AL342" s="128"/>
      <c r="AM342" s="128"/>
      <c r="AP342" s="128"/>
      <c r="AQ342" s="128"/>
      <c r="AR342" s="128"/>
      <c r="AS342" s="128"/>
      <c r="AT342" s="128"/>
      <c r="AU342" s="128"/>
    </row>
    <row r="343" ht="27" customHeight="1" spans="1:47">
      <c r="A343" s="154"/>
      <c r="O343" s="345"/>
      <c r="T343" s="314"/>
      <c r="U343" s="314"/>
      <c r="X343" s="342"/>
      <c r="Y343" s="343"/>
      <c r="AA343" s="344"/>
      <c r="AB343" s="344"/>
      <c r="AC343" s="344"/>
      <c r="AD343" s="344"/>
      <c r="AH343" s="128"/>
      <c r="AI343" s="128"/>
      <c r="AJ343" s="128"/>
      <c r="AK343" s="128"/>
      <c r="AL343" s="128"/>
      <c r="AM343" s="128"/>
      <c r="AP343" s="128"/>
      <c r="AQ343" s="128"/>
      <c r="AR343" s="128"/>
      <c r="AS343" s="128"/>
      <c r="AT343" s="128"/>
      <c r="AU343" s="128"/>
    </row>
    <row r="344" ht="27" customHeight="1" spans="1:47">
      <c r="A344" s="154"/>
      <c r="O344" s="345"/>
      <c r="T344" s="314"/>
      <c r="U344" s="314"/>
      <c r="X344" s="342"/>
      <c r="Y344" s="343"/>
      <c r="AA344" s="344"/>
      <c r="AB344" s="344"/>
      <c r="AC344" s="344"/>
      <c r="AD344" s="344"/>
      <c r="AH344" s="128"/>
      <c r="AI344" s="128"/>
      <c r="AJ344" s="128"/>
      <c r="AK344" s="128"/>
      <c r="AL344" s="128"/>
      <c r="AM344" s="128"/>
      <c r="AP344" s="128"/>
      <c r="AQ344" s="128"/>
      <c r="AR344" s="128"/>
      <c r="AS344" s="128"/>
      <c r="AT344" s="128"/>
      <c r="AU344" s="128"/>
    </row>
    <row r="345" ht="27" customHeight="1" spans="1:47">
      <c r="A345" s="154"/>
      <c r="O345" s="345"/>
      <c r="T345" s="314"/>
      <c r="U345" s="314"/>
      <c r="X345" s="342"/>
      <c r="Y345" s="343"/>
      <c r="AA345" s="344"/>
      <c r="AB345" s="344"/>
      <c r="AC345" s="344"/>
      <c r="AD345" s="344"/>
      <c r="AH345" s="128"/>
      <c r="AI345" s="128"/>
      <c r="AJ345" s="128"/>
      <c r="AK345" s="128"/>
      <c r="AL345" s="128"/>
      <c r="AM345" s="128"/>
      <c r="AP345" s="128"/>
      <c r="AQ345" s="128"/>
      <c r="AR345" s="128"/>
      <c r="AS345" s="128"/>
      <c r="AT345" s="128"/>
      <c r="AU345" s="128"/>
    </row>
    <row r="346" ht="27" customHeight="1" spans="1:47">
      <c r="A346" s="154"/>
      <c r="O346" s="345"/>
      <c r="T346" s="314"/>
      <c r="U346" s="314"/>
      <c r="X346" s="342"/>
      <c r="Y346" s="343"/>
      <c r="AA346" s="344"/>
      <c r="AB346" s="344"/>
      <c r="AC346" s="344"/>
      <c r="AD346" s="344"/>
      <c r="AH346" s="128"/>
      <c r="AI346" s="128"/>
      <c r="AJ346" s="128"/>
      <c r="AK346" s="128"/>
      <c r="AL346" s="128"/>
      <c r="AM346" s="128"/>
      <c r="AP346" s="128"/>
      <c r="AQ346" s="128"/>
      <c r="AR346" s="128"/>
      <c r="AS346" s="128"/>
      <c r="AT346" s="128"/>
      <c r="AU346" s="128"/>
    </row>
    <row r="347" ht="27" customHeight="1" spans="1:47">
      <c r="A347" s="154"/>
      <c r="O347" s="345"/>
      <c r="T347" s="314"/>
      <c r="U347" s="314"/>
      <c r="X347" s="342"/>
      <c r="Y347" s="343"/>
      <c r="AA347" s="344"/>
      <c r="AB347" s="344"/>
      <c r="AC347" s="344"/>
      <c r="AD347" s="344"/>
      <c r="AH347" s="128"/>
      <c r="AI347" s="128"/>
      <c r="AJ347" s="128"/>
      <c r="AK347" s="128"/>
      <c r="AL347" s="128"/>
      <c r="AM347" s="128"/>
      <c r="AP347" s="128"/>
      <c r="AQ347" s="128"/>
      <c r="AR347" s="128"/>
      <c r="AS347" s="128"/>
      <c r="AT347" s="128"/>
      <c r="AU347" s="128"/>
    </row>
    <row r="348" ht="27" customHeight="1" spans="1:47">
      <c r="A348" s="154"/>
      <c r="O348" s="345"/>
      <c r="T348" s="314"/>
      <c r="U348" s="314"/>
      <c r="X348" s="342"/>
      <c r="Y348" s="343"/>
      <c r="AA348" s="344"/>
      <c r="AB348" s="344"/>
      <c r="AC348" s="344"/>
      <c r="AD348" s="344"/>
      <c r="AH348" s="128"/>
      <c r="AI348" s="128"/>
      <c r="AJ348" s="128"/>
      <c r="AK348" s="128"/>
      <c r="AL348" s="128"/>
      <c r="AM348" s="128"/>
      <c r="AP348" s="128"/>
      <c r="AQ348" s="128"/>
      <c r="AR348" s="128"/>
      <c r="AS348" s="128"/>
      <c r="AT348" s="128"/>
      <c r="AU348" s="128"/>
    </row>
    <row r="349" ht="27" customHeight="1" spans="1:47">
      <c r="A349" s="154"/>
      <c r="O349" s="345"/>
      <c r="T349" s="314"/>
      <c r="U349" s="314"/>
      <c r="X349" s="342"/>
      <c r="Y349" s="343"/>
      <c r="AA349" s="344"/>
      <c r="AB349" s="344"/>
      <c r="AC349" s="344"/>
      <c r="AD349" s="344"/>
      <c r="AH349" s="128"/>
      <c r="AI349" s="128"/>
      <c r="AJ349" s="128"/>
      <c r="AK349" s="128"/>
      <c r="AL349" s="128"/>
      <c r="AM349" s="128"/>
      <c r="AP349" s="128"/>
      <c r="AQ349" s="128"/>
      <c r="AR349" s="128"/>
      <c r="AS349" s="128"/>
      <c r="AT349" s="128"/>
      <c r="AU349" s="128"/>
    </row>
    <row r="350" ht="27" customHeight="1" spans="1:47">
      <c r="A350" s="154"/>
      <c r="O350" s="345"/>
      <c r="T350" s="314"/>
      <c r="U350" s="314"/>
      <c r="X350" s="342"/>
      <c r="Y350" s="343"/>
      <c r="AA350" s="344"/>
      <c r="AB350" s="344"/>
      <c r="AC350" s="344"/>
      <c r="AD350" s="344"/>
      <c r="AH350" s="128"/>
      <c r="AI350" s="128"/>
      <c r="AJ350" s="128"/>
      <c r="AK350" s="128"/>
      <c r="AL350" s="128"/>
      <c r="AM350" s="128"/>
      <c r="AP350" s="128"/>
      <c r="AQ350" s="128"/>
      <c r="AR350" s="128"/>
      <c r="AS350" s="128"/>
      <c r="AT350" s="128"/>
      <c r="AU350" s="128"/>
    </row>
    <row r="351" ht="27" customHeight="1" spans="1:47">
      <c r="A351" s="154"/>
      <c r="O351" s="345"/>
      <c r="T351" s="314"/>
      <c r="U351" s="314"/>
      <c r="X351" s="342"/>
      <c r="Y351" s="343"/>
      <c r="AA351" s="344"/>
      <c r="AB351" s="344"/>
      <c r="AC351" s="344"/>
      <c r="AD351" s="344"/>
      <c r="AH351" s="128"/>
      <c r="AI351" s="128"/>
      <c r="AJ351" s="128"/>
      <c r="AK351" s="128"/>
      <c r="AL351" s="128"/>
      <c r="AM351" s="128"/>
      <c r="AP351" s="128"/>
      <c r="AQ351" s="128"/>
      <c r="AR351" s="128"/>
      <c r="AS351" s="128"/>
      <c r="AT351" s="128"/>
      <c r="AU351" s="128"/>
    </row>
    <row r="352" ht="27" customHeight="1" spans="1:47">
      <c r="A352" s="154"/>
      <c r="O352" s="345"/>
      <c r="T352" s="314"/>
      <c r="U352" s="314"/>
      <c r="X352" s="342"/>
      <c r="Y352" s="343"/>
      <c r="AA352" s="344"/>
      <c r="AB352" s="344"/>
      <c r="AC352" s="344"/>
      <c r="AD352" s="344"/>
      <c r="AH352" s="128"/>
      <c r="AI352" s="128"/>
      <c r="AJ352" s="128"/>
      <c r="AK352" s="128"/>
      <c r="AL352" s="128"/>
      <c r="AM352" s="128"/>
      <c r="AP352" s="128"/>
      <c r="AQ352" s="128"/>
      <c r="AR352" s="128"/>
      <c r="AS352" s="128"/>
      <c r="AT352" s="128"/>
      <c r="AU352" s="128"/>
    </row>
    <row r="353" ht="27" customHeight="1" spans="1:47">
      <c r="A353" s="154"/>
      <c r="O353" s="345"/>
      <c r="T353" s="314"/>
      <c r="U353" s="314"/>
      <c r="X353" s="342"/>
      <c r="Y353" s="343"/>
      <c r="AA353" s="344"/>
      <c r="AB353" s="344"/>
      <c r="AC353" s="344"/>
      <c r="AD353" s="344"/>
      <c r="AH353" s="128"/>
      <c r="AI353" s="128"/>
      <c r="AJ353" s="128"/>
      <c r="AK353" s="128"/>
      <c r="AL353" s="128"/>
      <c r="AM353" s="128"/>
      <c r="AP353" s="128"/>
      <c r="AQ353" s="128"/>
      <c r="AR353" s="128"/>
      <c r="AS353" s="128"/>
      <c r="AT353" s="128"/>
      <c r="AU353" s="128"/>
    </row>
    <row r="354" ht="27" customHeight="1" spans="1:47">
      <c r="A354" s="154"/>
      <c r="O354" s="345"/>
      <c r="T354" s="314"/>
      <c r="U354" s="314"/>
      <c r="X354" s="342"/>
      <c r="Y354" s="343"/>
      <c r="AA354" s="344"/>
      <c r="AB354" s="344"/>
      <c r="AC354" s="344"/>
      <c r="AD354" s="344"/>
      <c r="AH354" s="128"/>
      <c r="AI354" s="128"/>
      <c r="AJ354" s="128"/>
      <c r="AK354" s="128"/>
      <c r="AL354" s="128"/>
      <c r="AM354" s="128"/>
      <c r="AP354" s="128"/>
      <c r="AQ354" s="128"/>
      <c r="AR354" s="128"/>
      <c r="AS354" s="128"/>
      <c r="AT354" s="128"/>
      <c r="AU354" s="128"/>
    </row>
    <row r="355" ht="27" customHeight="1" spans="1:47">
      <c r="A355" s="154"/>
      <c r="O355" s="345"/>
      <c r="T355" s="314"/>
      <c r="U355" s="314"/>
      <c r="X355" s="342"/>
      <c r="Y355" s="343"/>
      <c r="AA355" s="344"/>
      <c r="AB355" s="344"/>
      <c r="AC355" s="344"/>
      <c r="AD355" s="344"/>
      <c r="AH355" s="128"/>
      <c r="AI355" s="128"/>
      <c r="AJ355" s="128"/>
      <c r="AK355" s="128"/>
      <c r="AL355" s="128"/>
      <c r="AM355" s="128"/>
      <c r="AP355" s="128"/>
      <c r="AQ355" s="128"/>
      <c r="AR355" s="128"/>
      <c r="AS355" s="128"/>
      <c r="AT355" s="128"/>
      <c r="AU355" s="128"/>
    </row>
    <row r="356" ht="27" customHeight="1" spans="1:47">
      <c r="A356" s="154"/>
      <c r="O356" s="345"/>
      <c r="T356" s="314"/>
      <c r="U356" s="314"/>
      <c r="X356" s="342"/>
      <c r="Y356" s="343"/>
      <c r="AA356" s="344"/>
      <c r="AB356" s="344"/>
      <c r="AC356" s="344"/>
      <c r="AD356" s="344"/>
      <c r="AH356" s="128"/>
      <c r="AI356" s="128"/>
      <c r="AJ356" s="128"/>
      <c r="AK356" s="128"/>
      <c r="AL356" s="128"/>
      <c r="AM356" s="128"/>
      <c r="AP356" s="128"/>
      <c r="AQ356" s="128"/>
      <c r="AR356" s="128"/>
      <c r="AS356" s="128"/>
      <c r="AT356" s="128"/>
      <c r="AU356" s="128"/>
    </row>
    <row r="357" ht="27" customHeight="1" spans="1:47">
      <c r="A357" s="154"/>
      <c r="O357" s="345"/>
      <c r="T357" s="314"/>
      <c r="U357" s="314"/>
      <c r="X357" s="342"/>
      <c r="Y357" s="343"/>
      <c r="AA357" s="344"/>
      <c r="AB357" s="344"/>
      <c r="AC357" s="344"/>
      <c r="AD357" s="344"/>
      <c r="AH357" s="128"/>
      <c r="AI357" s="128"/>
      <c r="AJ357" s="128"/>
      <c r="AK357" s="128"/>
      <c r="AL357" s="128"/>
      <c r="AM357" s="128"/>
      <c r="AP357" s="128"/>
      <c r="AQ357" s="128"/>
      <c r="AR357" s="128"/>
      <c r="AS357" s="128"/>
      <c r="AT357" s="128"/>
      <c r="AU357" s="128"/>
    </row>
    <row r="358" ht="27" customHeight="1" spans="1:47">
      <c r="A358" s="154"/>
      <c r="O358" s="345"/>
      <c r="T358" s="314"/>
      <c r="U358" s="314"/>
      <c r="X358" s="342"/>
      <c r="Y358" s="343"/>
      <c r="AA358" s="344"/>
      <c r="AB358" s="344"/>
      <c r="AC358" s="344"/>
      <c r="AD358" s="344"/>
      <c r="AH358" s="128"/>
      <c r="AI358" s="128"/>
      <c r="AJ358" s="128"/>
      <c r="AK358" s="128"/>
      <c r="AL358" s="128"/>
      <c r="AM358" s="128"/>
      <c r="AP358" s="128"/>
      <c r="AQ358" s="128"/>
      <c r="AR358" s="128"/>
      <c r="AS358" s="128"/>
      <c r="AT358" s="128"/>
      <c r="AU358" s="128"/>
    </row>
    <row r="359" ht="27" customHeight="1" spans="1:47">
      <c r="A359" s="154"/>
      <c r="O359" s="345"/>
      <c r="T359" s="314"/>
      <c r="U359" s="314"/>
      <c r="X359" s="342"/>
      <c r="Y359" s="343"/>
      <c r="AA359" s="344"/>
      <c r="AB359" s="344"/>
      <c r="AC359" s="344"/>
      <c r="AD359" s="344"/>
      <c r="AH359" s="128"/>
      <c r="AI359" s="128"/>
      <c r="AJ359" s="128"/>
      <c r="AK359" s="128"/>
      <c r="AL359" s="128"/>
      <c r="AM359" s="128"/>
      <c r="AP359" s="128"/>
      <c r="AQ359" s="128"/>
      <c r="AR359" s="128"/>
      <c r="AS359" s="128"/>
      <c r="AT359" s="128"/>
      <c r="AU359" s="128"/>
    </row>
    <row r="360" ht="27" customHeight="1" spans="1:47">
      <c r="A360" s="154"/>
      <c r="O360" s="345"/>
      <c r="T360" s="314"/>
      <c r="U360" s="314"/>
      <c r="X360" s="342"/>
      <c r="Y360" s="343"/>
      <c r="AA360" s="344"/>
      <c r="AB360" s="344"/>
      <c r="AC360" s="344"/>
      <c r="AD360" s="344"/>
      <c r="AH360" s="128"/>
      <c r="AI360" s="128"/>
      <c r="AJ360" s="128"/>
      <c r="AK360" s="128"/>
      <c r="AL360" s="128"/>
      <c r="AM360" s="128"/>
      <c r="AP360" s="128"/>
      <c r="AQ360" s="128"/>
      <c r="AR360" s="128"/>
      <c r="AS360" s="128"/>
      <c r="AT360" s="128"/>
      <c r="AU360" s="128"/>
    </row>
    <row r="361" ht="27" customHeight="1" spans="1:47">
      <c r="A361" s="154"/>
      <c r="O361" s="345"/>
      <c r="T361" s="314"/>
      <c r="U361" s="314"/>
      <c r="X361" s="342"/>
      <c r="Y361" s="343"/>
      <c r="AA361" s="344"/>
      <c r="AB361" s="344"/>
      <c r="AC361" s="344"/>
      <c r="AD361" s="344"/>
      <c r="AH361" s="128"/>
      <c r="AI361" s="128"/>
      <c r="AJ361" s="128"/>
      <c r="AK361" s="128"/>
      <c r="AL361" s="128"/>
      <c r="AM361" s="128"/>
      <c r="AP361" s="128"/>
      <c r="AQ361" s="128"/>
      <c r="AR361" s="128"/>
      <c r="AS361" s="128"/>
      <c r="AT361" s="128"/>
      <c r="AU361" s="128"/>
    </row>
    <row r="362" ht="27" customHeight="1" spans="1:47">
      <c r="A362" s="154"/>
      <c r="O362" s="345"/>
      <c r="T362" s="314"/>
      <c r="U362" s="314"/>
      <c r="X362" s="342"/>
      <c r="Y362" s="343"/>
      <c r="AA362" s="344"/>
      <c r="AB362" s="344"/>
      <c r="AC362" s="344"/>
      <c r="AD362" s="344"/>
      <c r="AH362" s="128"/>
      <c r="AI362" s="128"/>
      <c r="AJ362" s="128"/>
      <c r="AK362" s="128"/>
      <c r="AL362" s="128"/>
      <c r="AM362" s="128"/>
      <c r="AP362" s="128"/>
      <c r="AQ362" s="128"/>
      <c r="AR362" s="128"/>
      <c r="AS362" s="128"/>
      <c r="AT362" s="128"/>
      <c r="AU362" s="128"/>
    </row>
    <row r="363" ht="27" customHeight="1" spans="1:47">
      <c r="A363" s="154"/>
      <c r="O363" s="345"/>
      <c r="T363" s="314"/>
      <c r="U363" s="314"/>
      <c r="X363" s="342"/>
      <c r="Y363" s="343"/>
      <c r="AA363" s="344"/>
      <c r="AB363" s="344"/>
      <c r="AC363" s="344"/>
      <c r="AD363" s="344"/>
      <c r="AH363" s="128"/>
      <c r="AI363" s="128"/>
      <c r="AJ363" s="128"/>
      <c r="AK363" s="128"/>
      <c r="AL363" s="128"/>
      <c r="AM363" s="128"/>
      <c r="AP363" s="128"/>
      <c r="AQ363" s="128"/>
      <c r="AR363" s="128"/>
      <c r="AS363" s="128"/>
      <c r="AT363" s="128"/>
      <c r="AU363" s="128"/>
    </row>
    <row r="364" ht="27" customHeight="1" spans="1:47">
      <c r="A364" s="154"/>
      <c r="O364" s="345"/>
      <c r="T364" s="314"/>
      <c r="U364" s="314"/>
      <c r="X364" s="342"/>
      <c r="Y364" s="343"/>
      <c r="AA364" s="344"/>
      <c r="AB364" s="344"/>
      <c r="AC364" s="344"/>
      <c r="AD364" s="344"/>
      <c r="AH364" s="128"/>
      <c r="AI364" s="128"/>
      <c r="AJ364" s="128"/>
      <c r="AK364" s="128"/>
      <c r="AL364" s="128"/>
      <c r="AM364" s="128"/>
      <c r="AP364" s="128"/>
      <c r="AQ364" s="128"/>
      <c r="AR364" s="128"/>
      <c r="AS364" s="128"/>
      <c r="AT364" s="128"/>
      <c r="AU364" s="128"/>
    </row>
    <row r="365" ht="27" customHeight="1" spans="1:47">
      <c r="A365" s="154"/>
      <c r="O365" s="345"/>
      <c r="T365" s="314"/>
      <c r="U365" s="314"/>
      <c r="X365" s="342"/>
      <c r="Y365" s="343"/>
      <c r="AA365" s="344"/>
      <c r="AB365" s="344"/>
      <c r="AC365" s="344"/>
      <c r="AD365" s="344"/>
      <c r="AH365" s="128"/>
      <c r="AI365" s="128"/>
      <c r="AJ365" s="128"/>
      <c r="AK365" s="128"/>
      <c r="AL365" s="128"/>
      <c r="AM365" s="128"/>
      <c r="AP365" s="128"/>
      <c r="AQ365" s="128"/>
      <c r="AR365" s="128"/>
      <c r="AS365" s="128"/>
      <c r="AT365" s="128"/>
      <c r="AU365" s="128"/>
    </row>
    <row r="366" ht="27" customHeight="1" spans="1:47">
      <c r="A366" s="154"/>
      <c r="O366" s="345"/>
      <c r="T366" s="314"/>
      <c r="U366" s="314"/>
      <c r="X366" s="342"/>
      <c r="Y366" s="343"/>
      <c r="AA366" s="344"/>
      <c r="AB366" s="344"/>
      <c r="AC366" s="344"/>
      <c r="AD366" s="344"/>
      <c r="AH366" s="128"/>
      <c r="AI366" s="128"/>
      <c r="AJ366" s="128"/>
      <c r="AK366" s="128"/>
      <c r="AL366" s="128"/>
      <c r="AM366" s="128"/>
      <c r="AP366" s="128"/>
      <c r="AQ366" s="128"/>
      <c r="AR366" s="128"/>
      <c r="AS366" s="128"/>
      <c r="AT366" s="128"/>
      <c r="AU366" s="128"/>
    </row>
    <row r="367" ht="27" customHeight="1" spans="1:47">
      <c r="A367" s="154"/>
      <c r="O367" s="345"/>
      <c r="T367" s="314"/>
      <c r="U367" s="314"/>
      <c r="X367" s="342"/>
      <c r="Y367" s="343"/>
      <c r="AA367" s="344"/>
      <c r="AB367" s="344"/>
      <c r="AC367" s="344"/>
      <c r="AD367" s="344"/>
      <c r="AH367" s="128"/>
      <c r="AI367" s="128"/>
      <c r="AJ367" s="128"/>
      <c r="AK367" s="128"/>
      <c r="AL367" s="128"/>
      <c r="AM367" s="128"/>
      <c r="AP367" s="128"/>
      <c r="AQ367" s="128"/>
      <c r="AR367" s="128"/>
      <c r="AS367" s="128"/>
      <c r="AT367" s="128"/>
      <c r="AU367" s="128"/>
    </row>
    <row r="368" ht="27" customHeight="1" spans="1:47">
      <c r="A368" s="154"/>
      <c r="O368" s="345"/>
      <c r="T368" s="314"/>
      <c r="U368" s="314"/>
      <c r="X368" s="342"/>
      <c r="Y368" s="343"/>
      <c r="AA368" s="344"/>
      <c r="AB368" s="344"/>
      <c r="AC368" s="344"/>
      <c r="AD368" s="344"/>
      <c r="AH368" s="128"/>
      <c r="AI368" s="128"/>
      <c r="AJ368" s="128"/>
      <c r="AK368" s="128"/>
      <c r="AL368" s="128"/>
      <c r="AM368" s="128"/>
      <c r="AP368" s="128"/>
      <c r="AQ368" s="128"/>
      <c r="AR368" s="128"/>
      <c r="AS368" s="128"/>
      <c r="AT368" s="128"/>
      <c r="AU368" s="128"/>
    </row>
    <row r="369" ht="27" customHeight="1" spans="1:47">
      <c r="A369" s="154"/>
      <c r="O369" s="345"/>
      <c r="T369" s="314"/>
      <c r="U369" s="314"/>
      <c r="X369" s="342"/>
      <c r="Y369" s="343"/>
      <c r="AA369" s="344"/>
      <c r="AB369" s="344"/>
      <c r="AC369" s="344"/>
      <c r="AD369" s="344"/>
      <c r="AH369" s="128"/>
      <c r="AI369" s="128"/>
      <c r="AJ369" s="128"/>
      <c r="AK369" s="128"/>
      <c r="AL369" s="128"/>
      <c r="AM369" s="128"/>
      <c r="AP369" s="128"/>
      <c r="AQ369" s="128"/>
      <c r="AR369" s="128"/>
      <c r="AS369" s="128"/>
      <c r="AT369" s="128"/>
      <c r="AU369" s="128"/>
    </row>
    <row r="370" ht="27" customHeight="1" spans="1:47">
      <c r="A370" s="154"/>
      <c r="O370" s="345"/>
      <c r="T370" s="314"/>
      <c r="U370" s="314"/>
      <c r="X370" s="342"/>
      <c r="Y370" s="343"/>
      <c r="AA370" s="344"/>
      <c r="AB370" s="344"/>
      <c r="AC370" s="344"/>
      <c r="AD370" s="344"/>
      <c r="AH370" s="128"/>
      <c r="AI370" s="128"/>
      <c r="AJ370" s="128"/>
      <c r="AK370" s="128"/>
      <c r="AL370" s="128"/>
      <c r="AM370" s="128"/>
      <c r="AP370" s="128"/>
      <c r="AQ370" s="128"/>
      <c r="AR370" s="128"/>
      <c r="AS370" s="128"/>
      <c r="AT370" s="128"/>
      <c r="AU370" s="128"/>
    </row>
    <row r="371" ht="27" customHeight="1" spans="1:47">
      <c r="A371" s="154"/>
      <c r="O371" s="345"/>
      <c r="T371" s="314"/>
      <c r="U371" s="314"/>
      <c r="X371" s="342"/>
      <c r="Y371" s="343"/>
      <c r="AA371" s="344"/>
      <c r="AB371" s="344"/>
      <c r="AC371" s="344"/>
      <c r="AD371" s="344"/>
      <c r="AH371" s="128"/>
      <c r="AI371" s="128"/>
      <c r="AJ371" s="128"/>
      <c r="AK371" s="128"/>
      <c r="AL371" s="128"/>
      <c r="AM371" s="128"/>
      <c r="AP371" s="128"/>
      <c r="AQ371" s="128"/>
      <c r="AR371" s="128"/>
      <c r="AS371" s="128"/>
      <c r="AT371" s="128"/>
      <c r="AU371" s="128"/>
    </row>
    <row r="372" ht="27" customHeight="1" spans="1:47">
      <c r="A372" s="154"/>
      <c r="O372" s="345"/>
      <c r="T372" s="314"/>
      <c r="U372" s="314"/>
      <c r="X372" s="342"/>
      <c r="Y372" s="343"/>
      <c r="AA372" s="344"/>
      <c r="AB372" s="344"/>
      <c r="AC372" s="344"/>
      <c r="AD372" s="344"/>
      <c r="AH372" s="128"/>
      <c r="AI372" s="128"/>
      <c r="AJ372" s="128"/>
      <c r="AK372" s="128"/>
      <c r="AL372" s="128"/>
      <c r="AM372" s="128"/>
      <c r="AP372" s="128"/>
      <c r="AQ372" s="128"/>
      <c r="AR372" s="128"/>
      <c r="AS372" s="128"/>
      <c r="AT372" s="128"/>
      <c r="AU372" s="128"/>
    </row>
    <row r="373" ht="27" customHeight="1" spans="1:47">
      <c r="A373" s="154"/>
      <c r="O373" s="345"/>
      <c r="T373" s="314"/>
      <c r="U373" s="314"/>
      <c r="X373" s="342"/>
      <c r="Y373" s="343"/>
      <c r="AA373" s="344"/>
      <c r="AB373" s="344"/>
      <c r="AC373" s="344"/>
      <c r="AD373" s="344"/>
      <c r="AH373" s="128"/>
      <c r="AI373" s="128"/>
      <c r="AJ373" s="128"/>
      <c r="AK373" s="128"/>
      <c r="AL373" s="128"/>
      <c r="AM373" s="128"/>
      <c r="AP373" s="128"/>
      <c r="AQ373" s="128"/>
      <c r="AR373" s="128"/>
      <c r="AS373" s="128"/>
      <c r="AT373" s="128"/>
      <c r="AU373" s="128"/>
    </row>
    <row r="374" ht="27" customHeight="1" spans="1:47">
      <c r="A374" s="154"/>
      <c r="O374" s="345"/>
      <c r="T374" s="314"/>
      <c r="U374" s="314"/>
      <c r="X374" s="342"/>
      <c r="Y374" s="343"/>
      <c r="AA374" s="344"/>
      <c r="AB374" s="344"/>
      <c r="AC374" s="344"/>
      <c r="AD374" s="344"/>
      <c r="AH374" s="128"/>
      <c r="AI374" s="128"/>
      <c r="AJ374" s="128"/>
      <c r="AK374" s="128"/>
      <c r="AL374" s="128"/>
      <c r="AM374" s="128"/>
      <c r="AP374" s="128"/>
      <c r="AQ374" s="128"/>
      <c r="AR374" s="128"/>
      <c r="AS374" s="128"/>
      <c r="AT374" s="128"/>
      <c r="AU374" s="128"/>
    </row>
    <row r="375" ht="27" customHeight="1" spans="1:47">
      <c r="A375" s="154"/>
      <c r="O375" s="345"/>
      <c r="T375" s="314"/>
      <c r="U375" s="314"/>
      <c r="X375" s="342"/>
      <c r="Y375" s="343"/>
      <c r="AA375" s="344"/>
      <c r="AB375" s="344"/>
      <c r="AC375" s="344"/>
      <c r="AD375" s="344"/>
      <c r="AH375" s="128"/>
      <c r="AI375" s="128"/>
      <c r="AJ375" s="128"/>
      <c r="AK375" s="128"/>
      <c r="AL375" s="128"/>
      <c r="AM375" s="128"/>
      <c r="AP375" s="128"/>
      <c r="AQ375" s="128"/>
      <c r="AR375" s="128"/>
      <c r="AS375" s="128"/>
      <c r="AT375" s="128"/>
      <c r="AU375" s="128"/>
    </row>
    <row r="376" ht="27" customHeight="1" spans="1:47">
      <c r="A376" s="154"/>
      <c r="O376" s="345"/>
      <c r="T376" s="314"/>
      <c r="U376" s="314"/>
      <c r="X376" s="342"/>
      <c r="Y376" s="343"/>
      <c r="AA376" s="344"/>
      <c r="AB376" s="344"/>
      <c r="AC376" s="344"/>
      <c r="AD376" s="344"/>
      <c r="AH376" s="128"/>
      <c r="AI376" s="128"/>
      <c r="AJ376" s="128"/>
      <c r="AK376" s="128"/>
      <c r="AL376" s="128"/>
      <c r="AM376" s="128"/>
      <c r="AP376" s="128"/>
      <c r="AQ376" s="128"/>
      <c r="AR376" s="128"/>
      <c r="AS376" s="128"/>
      <c r="AT376" s="128"/>
      <c r="AU376" s="128"/>
    </row>
    <row r="377" ht="27" customHeight="1" spans="1:47">
      <c r="A377" s="154"/>
      <c r="O377" s="345"/>
      <c r="T377" s="314"/>
      <c r="U377" s="314"/>
      <c r="X377" s="342"/>
      <c r="Y377" s="343"/>
      <c r="AA377" s="344"/>
      <c r="AB377" s="344"/>
      <c r="AC377" s="344"/>
      <c r="AD377" s="344"/>
      <c r="AH377" s="128"/>
      <c r="AI377" s="128"/>
      <c r="AJ377" s="128"/>
      <c r="AK377" s="128"/>
      <c r="AL377" s="128"/>
      <c r="AM377" s="128"/>
      <c r="AP377" s="128"/>
      <c r="AQ377" s="128"/>
      <c r="AR377" s="128"/>
      <c r="AS377" s="128"/>
      <c r="AT377" s="128"/>
      <c r="AU377" s="128"/>
    </row>
    <row r="378" ht="27" customHeight="1" spans="1:47">
      <c r="A378" s="154"/>
      <c r="O378" s="345"/>
      <c r="T378" s="314"/>
      <c r="U378" s="314"/>
      <c r="X378" s="342"/>
      <c r="Y378" s="343"/>
      <c r="AA378" s="344"/>
      <c r="AB378" s="344"/>
      <c r="AC378" s="344"/>
      <c r="AD378" s="344"/>
      <c r="AH378" s="128"/>
      <c r="AI378" s="128"/>
      <c r="AJ378" s="128"/>
      <c r="AK378" s="128"/>
      <c r="AL378" s="128"/>
      <c r="AM378" s="128"/>
      <c r="AP378" s="128"/>
      <c r="AQ378" s="128"/>
      <c r="AR378" s="128"/>
      <c r="AS378" s="128"/>
      <c r="AT378" s="128"/>
      <c r="AU378" s="128"/>
    </row>
    <row r="379" ht="27" customHeight="1" spans="1:47">
      <c r="A379" s="154"/>
      <c r="O379" s="345"/>
      <c r="T379" s="314"/>
      <c r="U379" s="314"/>
      <c r="X379" s="342"/>
      <c r="Y379" s="343"/>
      <c r="AA379" s="344"/>
      <c r="AB379" s="344"/>
      <c r="AC379" s="344"/>
      <c r="AD379" s="344"/>
      <c r="AH379" s="128"/>
      <c r="AI379" s="128"/>
      <c r="AJ379" s="128"/>
      <c r="AK379" s="128"/>
      <c r="AL379" s="128"/>
      <c r="AM379" s="128"/>
      <c r="AP379" s="128"/>
      <c r="AQ379" s="128"/>
      <c r="AR379" s="128"/>
      <c r="AS379" s="128"/>
      <c r="AT379" s="128"/>
      <c r="AU379" s="128"/>
    </row>
    <row r="380" ht="27" customHeight="1" spans="1:47">
      <c r="A380" s="154"/>
      <c r="O380" s="345"/>
      <c r="T380" s="314"/>
      <c r="U380" s="314"/>
      <c r="X380" s="342"/>
      <c r="Y380" s="343"/>
      <c r="AA380" s="344"/>
      <c r="AB380" s="344"/>
      <c r="AC380" s="344"/>
      <c r="AD380" s="344"/>
      <c r="AH380" s="128"/>
      <c r="AI380" s="128"/>
      <c r="AJ380" s="128"/>
      <c r="AK380" s="128"/>
      <c r="AL380" s="128"/>
      <c r="AM380" s="128"/>
      <c r="AP380" s="128"/>
      <c r="AQ380" s="128"/>
      <c r="AR380" s="128"/>
      <c r="AS380" s="128"/>
      <c r="AT380" s="128"/>
      <c r="AU380" s="128"/>
    </row>
    <row r="381" ht="27" customHeight="1" spans="1:47">
      <c r="A381" s="154"/>
      <c r="O381" s="345"/>
      <c r="T381" s="314"/>
      <c r="U381" s="314"/>
      <c r="X381" s="342"/>
      <c r="Y381" s="343"/>
      <c r="AA381" s="344"/>
      <c r="AB381" s="344"/>
      <c r="AC381" s="344"/>
      <c r="AD381" s="344"/>
      <c r="AH381" s="128"/>
      <c r="AI381" s="128"/>
      <c r="AJ381" s="128"/>
      <c r="AK381" s="128"/>
      <c r="AL381" s="128"/>
      <c r="AM381" s="128"/>
      <c r="AP381" s="128"/>
      <c r="AQ381" s="128"/>
      <c r="AR381" s="128"/>
      <c r="AS381" s="128"/>
      <c r="AT381" s="128"/>
      <c r="AU381" s="128"/>
    </row>
    <row r="382" ht="27" customHeight="1" spans="1:47">
      <c r="A382" s="154"/>
      <c r="O382" s="345"/>
      <c r="T382" s="314"/>
      <c r="U382" s="314"/>
      <c r="X382" s="342"/>
      <c r="Y382" s="343"/>
      <c r="AA382" s="344"/>
      <c r="AB382" s="344"/>
      <c r="AC382" s="344"/>
      <c r="AD382" s="344"/>
      <c r="AH382" s="128"/>
      <c r="AI382" s="128"/>
      <c r="AJ382" s="128"/>
      <c r="AK382" s="128"/>
      <c r="AL382" s="128"/>
      <c r="AM382" s="128"/>
      <c r="AP382" s="128"/>
      <c r="AQ382" s="128"/>
      <c r="AR382" s="128"/>
      <c r="AS382" s="128"/>
      <c r="AT382" s="128"/>
      <c r="AU382" s="128"/>
    </row>
    <row r="383" ht="27" customHeight="1" spans="1:47">
      <c r="A383" s="154"/>
      <c r="O383" s="345"/>
      <c r="T383" s="314"/>
      <c r="U383" s="314"/>
      <c r="X383" s="342"/>
      <c r="Y383" s="343"/>
      <c r="AA383" s="344"/>
      <c r="AB383" s="344"/>
      <c r="AC383" s="344"/>
      <c r="AD383" s="344"/>
      <c r="AH383" s="128"/>
      <c r="AI383" s="128"/>
      <c r="AJ383" s="128"/>
      <c r="AK383" s="128"/>
      <c r="AL383" s="128"/>
      <c r="AM383" s="128"/>
      <c r="AP383" s="128"/>
      <c r="AQ383" s="128"/>
      <c r="AR383" s="128"/>
      <c r="AS383" s="128"/>
      <c r="AT383" s="128"/>
      <c r="AU383" s="128"/>
    </row>
    <row r="384" ht="27" customHeight="1" spans="1:47">
      <c r="A384" s="154"/>
      <c r="O384" s="345"/>
      <c r="T384" s="314"/>
      <c r="U384" s="314"/>
      <c r="X384" s="342"/>
      <c r="Y384" s="343"/>
      <c r="AA384" s="344"/>
      <c r="AB384" s="344"/>
      <c r="AC384" s="344"/>
      <c r="AD384" s="344"/>
      <c r="AH384" s="128"/>
      <c r="AI384" s="128"/>
      <c r="AJ384" s="128"/>
      <c r="AK384" s="128"/>
      <c r="AL384" s="128"/>
      <c r="AM384" s="128"/>
      <c r="AP384" s="128"/>
      <c r="AQ384" s="128"/>
      <c r="AR384" s="128"/>
      <c r="AS384" s="128"/>
      <c r="AT384" s="128"/>
      <c r="AU384" s="128"/>
    </row>
    <row r="385" ht="27" customHeight="1" spans="1:47">
      <c r="A385" s="154"/>
      <c r="O385" s="345"/>
      <c r="T385" s="314"/>
      <c r="U385" s="314"/>
      <c r="X385" s="342"/>
      <c r="Y385" s="343"/>
      <c r="AA385" s="344"/>
      <c r="AB385" s="344"/>
      <c r="AC385" s="344"/>
      <c r="AD385" s="344"/>
      <c r="AH385" s="128"/>
      <c r="AI385" s="128"/>
      <c r="AJ385" s="128"/>
      <c r="AK385" s="128"/>
      <c r="AL385" s="128"/>
      <c r="AM385" s="128"/>
      <c r="AP385" s="128"/>
      <c r="AQ385" s="128"/>
      <c r="AR385" s="128"/>
      <c r="AS385" s="128"/>
      <c r="AT385" s="128"/>
      <c r="AU385" s="128"/>
    </row>
    <row r="386" ht="27" customHeight="1" spans="1:47">
      <c r="A386" s="154"/>
      <c r="O386" s="345"/>
      <c r="T386" s="314"/>
      <c r="U386" s="314"/>
      <c r="X386" s="342"/>
      <c r="Y386" s="343"/>
      <c r="AA386" s="344"/>
      <c r="AB386" s="344"/>
      <c r="AC386" s="344"/>
      <c r="AD386" s="344"/>
      <c r="AH386" s="128"/>
      <c r="AI386" s="128"/>
      <c r="AJ386" s="128"/>
      <c r="AK386" s="128"/>
      <c r="AL386" s="128"/>
      <c r="AM386" s="128"/>
      <c r="AP386" s="128"/>
      <c r="AQ386" s="128"/>
      <c r="AR386" s="128"/>
      <c r="AS386" s="128"/>
      <c r="AT386" s="128"/>
      <c r="AU386" s="128"/>
    </row>
    <row r="387" ht="27" customHeight="1" spans="1:47">
      <c r="A387" s="154"/>
      <c r="O387" s="345"/>
      <c r="T387" s="314"/>
      <c r="U387" s="314"/>
      <c r="X387" s="342"/>
      <c r="Y387" s="343"/>
      <c r="AA387" s="344"/>
      <c r="AB387" s="344"/>
      <c r="AC387" s="344"/>
      <c r="AD387" s="344"/>
      <c r="AH387" s="128"/>
      <c r="AI387" s="128"/>
      <c r="AJ387" s="128"/>
      <c r="AK387" s="128"/>
      <c r="AL387" s="128"/>
      <c r="AM387" s="128"/>
      <c r="AP387" s="128"/>
      <c r="AQ387" s="128"/>
      <c r="AR387" s="128"/>
      <c r="AS387" s="128"/>
      <c r="AT387" s="128"/>
      <c r="AU387" s="128"/>
    </row>
    <row r="388" ht="27" customHeight="1" spans="1:47">
      <c r="A388" s="154"/>
      <c r="O388" s="345"/>
      <c r="T388" s="314"/>
      <c r="U388" s="314"/>
      <c r="X388" s="342"/>
      <c r="Y388" s="343"/>
      <c r="AA388" s="344"/>
      <c r="AB388" s="344"/>
      <c r="AC388" s="344"/>
      <c r="AD388" s="344"/>
      <c r="AH388" s="128"/>
      <c r="AI388" s="128"/>
      <c r="AJ388" s="128"/>
      <c r="AK388" s="128"/>
      <c r="AL388" s="128"/>
      <c r="AM388" s="128"/>
      <c r="AP388" s="128"/>
      <c r="AQ388" s="128"/>
      <c r="AR388" s="128"/>
      <c r="AS388" s="128"/>
      <c r="AT388" s="128"/>
      <c r="AU388" s="128"/>
    </row>
    <row r="389" ht="27" customHeight="1" spans="1:47">
      <c r="A389" s="154"/>
      <c r="O389" s="345"/>
      <c r="T389" s="314"/>
      <c r="U389" s="314"/>
      <c r="X389" s="342"/>
      <c r="Y389" s="343"/>
      <c r="AA389" s="344"/>
      <c r="AB389" s="344"/>
      <c r="AC389" s="344"/>
      <c r="AD389" s="344"/>
      <c r="AH389" s="128"/>
      <c r="AI389" s="128"/>
      <c r="AJ389" s="128"/>
      <c r="AK389" s="128"/>
      <c r="AL389" s="128"/>
      <c r="AM389" s="128"/>
      <c r="AP389" s="128"/>
      <c r="AQ389" s="128"/>
      <c r="AR389" s="128"/>
      <c r="AS389" s="128"/>
      <c r="AT389" s="128"/>
      <c r="AU389" s="128"/>
    </row>
    <row r="390" ht="27" customHeight="1" spans="1:47">
      <c r="A390" s="154"/>
      <c r="O390" s="345"/>
      <c r="T390" s="314"/>
      <c r="U390" s="314"/>
      <c r="X390" s="342"/>
      <c r="Y390" s="343"/>
      <c r="AA390" s="344"/>
      <c r="AB390" s="344"/>
      <c r="AC390" s="344"/>
      <c r="AD390" s="344"/>
      <c r="AH390" s="128"/>
      <c r="AI390" s="128"/>
      <c r="AJ390" s="128"/>
      <c r="AK390" s="128"/>
      <c r="AL390" s="128"/>
      <c r="AM390" s="128"/>
      <c r="AP390" s="128"/>
      <c r="AQ390" s="128"/>
      <c r="AR390" s="128"/>
      <c r="AS390" s="128"/>
      <c r="AT390" s="128"/>
      <c r="AU390" s="128"/>
    </row>
    <row r="391" ht="27" customHeight="1" spans="1:47">
      <c r="A391" s="154"/>
      <c r="O391" s="345"/>
      <c r="T391" s="314"/>
      <c r="U391" s="314"/>
      <c r="X391" s="342"/>
      <c r="Y391" s="343"/>
      <c r="AA391" s="344"/>
      <c r="AB391" s="344"/>
      <c r="AC391" s="344"/>
      <c r="AD391" s="344"/>
      <c r="AH391" s="128"/>
      <c r="AI391" s="128"/>
      <c r="AJ391" s="128"/>
      <c r="AK391" s="128"/>
      <c r="AL391" s="128"/>
      <c r="AM391" s="128"/>
      <c r="AP391" s="128"/>
      <c r="AQ391" s="128"/>
      <c r="AR391" s="128"/>
      <c r="AS391" s="128"/>
      <c r="AT391" s="128"/>
      <c r="AU391" s="128"/>
    </row>
    <row r="392" ht="27" customHeight="1" spans="1:47">
      <c r="A392" s="154"/>
      <c r="O392" s="345"/>
      <c r="T392" s="314"/>
      <c r="U392" s="314"/>
      <c r="X392" s="342"/>
      <c r="Y392" s="343"/>
      <c r="AA392" s="344"/>
      <c r="AB392" s="344"/>
      <c r="AC392" s="344"/>
      <c r="AD392" s="344"/>
      <c r="AH392" s="128"/>
      <c r="AI392" s="128"/>
      <c r="AJ392" s="128"/>
      <c r="AK392" s="128"/>
      <c r="AL392" s="128"/>
      <c r="AM392" s="128"/>
      <c r="AP392" s="128"/>
      <c r="AQ392" s="128"/>
      <c r="AR392" s="128"/>
      <c r="AS392" s="128"/>
      <c r="AT392" s="128"/>
      <c r="AU392" s="128"/>
    </row>
    <row r="393" ht="27" customHeight="1" spans="1:47">
      <c r="A393" s="154"/>
      <c r="O393" s="345"/>
      <c r="T393" s="314"/>
      <c r="U393" s="314"/>
      <c r="X393" s="342"/>
      <c r="Y393" s="343"/>
      <c r="AA393" s="344"/>
      <c r="AB393" s="344"/>
      <c r="AC393" s="344"/>
      <c r="AD393" s="344"/>
      <c r="AH393" s="128"/>
      <c r="AI393" s="128"/>
      <c r="AJ393" s="128"/>
      <c r="AK393" s="128"/>
      <c r="AL393" s="128"/>
      <c r="AM393" s="128"/>
      <c r="AP393" s="128"/>
      <c r="AQ393" s="128"/>
      <c r="AR393" s="128"/>
      <c r="AS393" s="128"/>
      <c r="AT393" s="128"/>
      <c r="AU393" s="128"/>
    </row>
    <row r="394" ht="27" customHeight="1" spans="1:47">
      <c r="A394" s="154"/>
      <c r="O394" s="345"/>
      <c r="T394" s="314"/>
      <c r="U394" s="314"/>
      <c r="X394" s="342"/>
      <c r="Y394" s="343"/>
      <c r="AA394" s="344"/>
      <c r="AB394" s="344"/>
      <c r="AC394" s="344"/>
      <c r="AD394" s="344"/>
      <c r="AH394" s="128"/>
      <c r="AI394" s="128"/>
      <c r="AJ394" s="128"/>
      <c r="AK394" s="128"/>
      <c r="AL394" s="128"/>
      <c r="AM394" s="128"/>
      <c r="AP394" s="128"/>
      <c r="AQ394" s="128"/>
      <c r="AR394" s="128"/>
      <c r="AS394" s="128"/>
      <c r="AT394" s="128"/>
      <c r="AU394" s="128"/>
    </row>
    <row r="395" ht="27" customHeight="1" spans="1:47">
      <c r="A395" s="154"/>
      <c r="O395" s="345"/>
      <c r="T395" s="314"/>
      <c r="U395" s="314"/>
      <c r="X395" s="342"/>
      <c r="Y395" s="343"/>
      <c r="AA395" s="344"/>
      <c r="AB395" s="344"/>
      <c r="AC395" s="344"/>
      <c r="AD395" s="344"/>
      <c r="AH395" s="128"/>
      <c r="AI395" s="128"/>
      <c r="AJ395" s="128"/>
      <c r="AK395" s="128"/>
      <c r="AL395" s="128"/>
      <c r="AM395" s="128"/>
      <c r="AP395" s="128"/>
      <c r="AQ395" s="128"/>
      <c r="AR395" s="128"/>
      <c r="AS395" s="128"/>
      <c r="AT395" s="128"/>
      <c r="AU395" s="128"/>
    </row>
    <row r="396" ht="27" customHeight="1" spans="1:47">
      <c r="A396" s="154"/>
      <c r="O396" s="345"/>
      <c r="T396" s="314"/>
      <c r="U396" s="314"/>
      <c r="X396" s="342"/>
      <c r="Y396" s="343"/>
      <c r="AA396" s="344"/>
      <c r="AB396" s="344"/>
      <c r="AC396" s="344"/>
      <c r="AD396" s="344"/>
      <c r="AH396" s="128"/>
      <c r="AI396" s="128"/>
      <c r="AJ396" s="128"/>
      <c r="AK396" s="128"/>
      <c r="AL396" s="128"/>
      <c r="AM396" s="128"/>
      <c r="AP396" s="128"/>
      <c r="AQ396" s="128"/>
      <c r="AR396" s="128"/>
      <c r="AS396" s="128"/>
      <c r="AT396" s="128"/>
      <c r="AU396" s="128"/>
    </row>
    <row r="397" ht="27" customHeight="1" spans="1:47">
      <c r="A397" s="154"/>
      <c r="O397" s="345"/>
      <c r="T397" s="314"/>
      <c r="U397" s="314"/>
      <c r="X397" s="342"/>
      <c r="Y397" s="343"/>
      <c r="AA397" s="344"/>
      <c r="AB397" s="344"/>
      <c r="AC397" s="344"/>
      <c r="AD397" s="344"/>
      <c r="AH397" s="128"/>
      <c r="AI397" s="128"/>
      <c r="AJ397" s="128"/>
      <c r="AK397" s="128"/>
      <c r="AL397" s="128"/>
      <c r="AM397" s="128"/>
      <c r="AP397" s="128"/>
      <c r="AQ397" s="128"/>
      <c r="AR397" s="128"/>
      <c r="AS397" s="128"/>
      <c r="AT397" s="128"/>
      <c r="AU397" s="128"/>
    </row>
    <row r="398" ht="27" customHeight="1" spans="1:47">
      <c r="A398" s="154"/>
      <c r="O398" s="345"/>
      <c r="T398" s="314"/>
      <c r="U398" s="314"/>
      <c r="X398" s="342"/>
      <c r="Y398" s="343"/>
      <c r="AA398" s="344"/>
      <c r="AB398" s="344"/>
      <c r="AC398" s="344"/>
      <c r="AD398" s="344"/>
      <c r="AH398" s="128"/>
      <c r="AI398" s="128"/>
      <c r="AJ398" s="128"/>
      <c r="AK398" s="128"/>
      <c r="AL398" s="128"/>
      <c r="AM398" s="128"/>
      <c r="AP398" s="128"/>
      <c r="AQ398" s="128"/>
      <c r="AR398" s="128"/>
      <c r="AS398" s="128"/>
      <c r="AT398" s="128"/>
      <c r="AU398" s="128"/>
    </row>
    <row r="399" ht="27" customHeight="1" spans="1:47">
      <c r="A399" s="154"/>
      <c r="O399" s="345"/>
      <c r="T399" s="314"/>
      <c r="U399" s="314"/>
      <c r="X399" s="342"/>
      <c r="Y399" s="343"/>
      <c r="AA399" s="344"/>
      <c r="AB399" s="344"/>
      <c r="AC399" s="344"/>
      <c r="AD399" s="344"/>
      <c r="AH399" s="128"/>
      <c r="AI399" s="128"/>
      <c r="AJ399" s="128"/>
      <c r="AK399" s="128"/>
      <c r="AL399" s="128"/>
      <c r="AM399" s="128"/>
      <c r="AP399" s="128"/>
      <c r="AQ399" s="128"/>
      <c r="AR399" s="128"/>
      <c r="AS399" s="128"/>
      <c r="AT399" s="128"/>
      <c r="AU399" s="128"/>
    </row>
    <row r="400" ht="27" customHeight="1" spans="1:47">
      <c r="A400" s="154"/>
      <c r="O400" s="345"/>
      <c r="T400" s="314"/>
      <c r="U400" s="314"/>
      <c r="X400" s="342"/>
      <c r="Y400" s="343"/>
      <c r="AA400" s="344"/>
      <c r="AB400" s="344"/>
      <c r="AC400" s="344"/>
      <c r="AD400" s="344"/>
      <c r="AH400" s="128"/>
      <c r="AI400" s="128"/>
      <c r="AJ400" s="128"/>
      <c r="AK400" s="128"/>
      <c r="AL400" s="128"/>
      <c r="AM400" s="128"/>
      <c r="AP400" s="128"/>
      <c r="AQ400" s="128"/>
      <c r="AR400" s="128"/>
      <c r="AS400" s="128"/>
      <c r="AT400" s="128"/>
      <c r="AU400" s="128"/>
    </row>
    <row r="401" ht="27" customHeight="1" spans="1:47">
      <c r="A401" s="154"/>
      <c r="O401" s="345"/>
      <c r="T401" s="314"/>
      <c r="U401" s="314"/>
      <c r="X401" s="342"/>
      <c r="Y401" s="343"/>
      <c r="AA401" s="344"/>
      <c r="AB401" s="344"/>
      <c r="AC401" s="344"/>
      <c r="AD401" s="344"/>
      <c r="AH401" s="128"/>
      <c r="AI401" s="128"/>
      <c r="AJ401" s="128"/>
      <c r="AK401" s="128"/>
      <c r="AL401" s="128"/>
      <c r="AM401" s="128"/>
      <c r="AP401" s="128"/>
      <c r="AQ401" s="128"/>
      <c r="AR401" s="128"/>
      <c r="AS401" s="128"/>
      <c r="AT401" s="128"/>
      <c r="AU401" s="128"/>
    </row>
    <row r="402" ht="27" customHeight="1" spans="1:47">
      <c r="A402" s="154"/>
      <c r="O402" s="345"/>
      <c r="T402" s="314"/>
      <c r="U402" s="314"/>
      <c r="X402" s="342"/>
      <c r="Y402" s="343"/>
      <c r="AA402" s="344"/>
      <c r="AB402" s="344"/>
      <c r="AC402" s="344"/>
      <c r="AD402" s="344"/>
      <c r="AH402" s="128"/>
      <c r="AI402" s="128"/>
      <c r="AJ402" s="128"/>
      <c r="AK402" s="128"/>
      <c r="AL402" s="128"/>
      <c r="AM402" s="128"/>
      <c r="AP402" s="128"/>
      <c r="AQ402" s="128"/>
      <c r="AR402" s="128"/>
      <c r="AS402" s="128"/>
      <c r="AT402" s="128"/>
      <c r="AU402" s="128"/>
    </row>
    <row r="403" ht="27" customHeight="1" spans="1:47">
      <c r="A403" s="154"/>
      <c r="T403" s="314"/>
      <c r="U403" s="314"/>
      <c r="X403" s="342"/>
      <c r="Y403" s="343"/>
      <c r="AA403" s="344"/>
      <c r="AB403" s="344"/>
      <c r="AC403" s="344"/>
      <c r="AD403" s="344"/>
      <c r="AH403" s="128"/>
      <c r="AI403" s="128"/>
      <c r="AJ403" s="128"/>
      <c r="AK403" s="128"/>
      <c r="AL403" s="128"/>
      <c r="AM403" s="128"/>
      <c r="AP403" s="128"/>
      <c r="AQ403" s="128"/>
      <c r="AR403" s="128"/>
      <c r="AS403" s="128"/>
      <c r="AT403" s="128"/>
      <c r="AU403" s="128"/>
    </row>
    <row r="404" ht="27" customHeight="1" spans="1:47">
      <c r="A404" s="154"/>
      <c r="T404" s="314"/>
      <c r="U404" s="314"/>
      <c r="X404" s="342"/>
      <c r="Y404" s="343"/>
      <c r="AA404" s="344"/>
      <c r="AB404" s="344"/>
      <c r="AC404" s="344"/>
      <c r="AD404" s="344"/>
      <c r="AH404" s="128"/>
      <c r="AI404" s="128"/>
      <c r="AJ404" s="128"/>
      <c r="AK404" s="128"/>
      <c r="AL404" s="128"/>
      <c r="AM404" s="128"/>
      <c r="AP404" s="128"/>
      <c r="AQ404" s="128"/>
      <c r="AR404" s="128"/>
      <c r="AS404" s="128"/>
      <c r="AT404" s="128"/>
      <c r="AU404" s="128"/>
    </row>
    <row r="405" ht="27" customHeight="1" spans="1:47">
      <c r="A405" s="154"/>
      <c r="O405" s="345"/>
      <c r="T405" s="314"/>
      <c r="U405" s="314"/>
      <c r="X405" s="342"/>
      <c r="Y405" s="343"/>
      <c r="AA405" s="344"/>
      <c r="AB405" s="344"/>
      <c r="AC405" s="344"/>
      <c r="AD405" s="344"/>
      <c r="AH405" s="128"/>
      <c r="AI405" s="128"/>
      <c r="AJ405" s="128"/>
      <c r="AK405" s="128"/>
      <c r="AL405" s="128"/>
      <c r="AM405" s="128"/>
      <c r="AP405" s="128"/>
      <c r="AQ405" s="128"/>
      <c r="AR405" s="128"/>
      <c r="AS405" s="128"/>
      <c r="AT405" s="128"/>
      <c r="AU405" s="128"/>
    </row>
    <row r="406" ht="27" customHeight="1" spans="1:47">
      <c r="A406" s="154"/>
      <c r="O406" s="345"/>
      <c r="T406" s="314"/>
      <c r="U406" s="314"/>
      <c r="X406" s="342"/>
      <c r="Y406" s="343"/>
      <c r="AA406" s="344"/>
      <c r="AB406" s="344"/>
      <c r="AC406" s="344"/>
      <c r="AD406" s="344"/>
      <c r="AH406" s="128"/>
      <c r="AI406" s="128"/>
      <c r="AJ406" s="128"/>
      <c r="AK406" s="128"/>
      <c r="AL406" s="128"/>
      <c r="AM406" s="128"/>
      <c r="AP406" s="128"/>
      <c r="AQ406" s="128"/>
      <c r="AR406" s="128"/>
      <c r="AS406" s="128"/>
      <c r="AT406" s="128"/>
      <c r="AU406" s="128"/>
    </row>
    <row r="407" ht="27" customHeight="1" spans="1:47">
      <c r="A407" s="154"/>
      <c r="O407" s="345"/>
      <c r="T407" s="314"/>
      <c r="U407" s="314"/>
      <c r="X407" s="342"/>
      <c r="Y407" s="343"/>
      <c r="AA407" s="344"/>
      <c r="AB407" s="344"/>
      <c r="AC407" s="344"/>
      <c r="AD407" s="344"/>
      <c r="AH407" s="128"/>
      <c r="AI407" s="128"/>
      <c r="AJ407" s="128"/>
      <c r="AK407" s="128"/>
      <c r="AL407" s="128"/>
      <c r="AM407" s="128"/>
      <c r="AP407" s="128"/>
      <c r="AQ407" s="128"/>
      <c r="AR407" s="128"/>
      <c r="AS407" s="128"/>
      <c r="AT407" s="128"/>
      <c r="AU407" s="128"/>
    </row>
    <row r="408" ht="27" customHeight="1" spans="1:47">
      <c r="A408" s="154"/>
      <c r="O408" s="345"/>
      <c r="T408" s="314"/>
      <c r="U408" s="314"/>
      <c r="X408" s="342"/>
      <c r="Y408" s="343"/>
      <c r="AA408" s="344"/>
      <c r="AB408" s="344"/>
      <c r="AC408" s="344"/>
      <c r="AD408" s="344"/>
      <c r="AH408" s="128"/>
      <c r="AI408" s="128"/>
      <c r="AJ408" s="128"/>
      <c r="AK408" s="128"/>
      <c r="AL408" s="128"/>
      <c r="AM408" s="128"/>
      <c r="AP408" s="128"/>
      <c r="AQ408" s="128"/>
      <c r="AR408" s="128"/>
      <c r="AS408" s="128"/>
      <c r="AT408" s="128"/>
      <c r="AU408" s="128"/>
    </row>
    <row r="409" ht="27" customHeight="1" spans="1:47">
      <c r="A409" s="154"/>
      <c r="O409" s="345"/>
      <c r="T409" s="314"/>
      <c r="U409" s="314"/>
      <c r="X409" s="342"/>
      <c r="Y409" s="343"/>
      <c r="AA409" s="344"/>
      <c r="AB409" s="344"/>
      <c r="AC409" s="344"/>
      <c r="AD409" s="344"/>
      <c r="AH409" s="128"/>
      <c r="AI409" s="128"/>
      <c r="AJ409" s="128"/>
      <c r="AK409" s="128"/>
      <c r="AL409" s="128"/>
      <c r="AM409" s="128"/>
      <c r="AP409" s="128"/>
      <c r="AQ409" s="128"/>
      <c r="AR409" s="128"/>
      <c r="AS409" s="128"/>
      <c r="AT409" s="128"/>
      <c r="AU409" s="128"/>
    </row>
    <row r="410" ht="27" customHeight="1" spans="1:47">
      <c r="A410" s="154"/>
      <c r="O410" s="345"/>
      <c r="T410" s="314"/>
      <c r="U410" s="314"/>
      <c r="X410" s="342"/>
      <c r="Y410" s="343"/>
      <c r="AA410" s="344"/>
      <c r="AB410" s="344"/>
      <c r="AC410" s="344"/>
      <c r="AD410" s="344"/>
      <c r="AH410" s="128"/>
      <c r="AI410" s="128"/>
      <c r="AJ410" s="128"/>
      <c r="AK410" s="128"/>
      <c r="AL410" s="128"/>
      <c r="AM410" s="128"/>
      <c r="AP410" s="128"/>
      <c r="AQ410" s="128"/>
      <c r="AR410" s="128"/>
      <c r="AS410" s="128"/>
      <c r="AT410" s="128"/>
      <c r="AU410" s="128"/>
    </row>
    <row r="411" ht="27" customHeight="1" spans="1:47">
      <c r="A411" s="154"/>
      <c r="O411" s="345"/>
      <c r="T411" s="314"/>
      <c r="U411" s="314"/>
      <c r="X411" s="342"/>
      <c r="Y411" s="343"/>
      <c r="AA411" s="344"/>
      <c r="AB411" s="344"/>
      <c r="AC411" s="344"/>
      <c r="AD411" s="344"/>
      <c r="AH411" s="128"/>
      <c r="AI411" s="128"/>
      <c r="AJ411" s="128"/>
      <c r="AK411" s="128"/>
      <c r="AL411" s="128"/>
      <c r="AM411" s="128"/>
      <c r="AP411" s="128"/>
      <c r="AQ411" s="128"/>
      <c r="AR411" s="128"/>
      <c r="AS411" s="128"/>
      <c r="AT411" s="128"/>
      <c r="AU411" s="128"/>
    </row>
    <row r="412" ht="27" customHeight="1" spans="1:47">
      <c r="A412" s="154"/>
      <c r="O412" s="345"/>
      <c r="T412" s="314"/>
      <c r="U412" s="314"/>
      <c r="X412" s="342"/>
      <c r="Y412" s="343"/>
      <c r="AA412" s="344"/>
      <c r="AB412" s="344"/>
      <c r="AC412" s="344"/>
      <c r="AD412" s="344"/>
      <c r="AH412" s="128"/>
      <c r="AI412" s="128"/>
      <c r="AJ412" s="128"/>
      <c r="AK412" s="128"/>
      <c r="AL412" s="128"/>
      <c r="AM412" s="128"/>
      <c r="AP412" s="128"/>
      <c r="AQ412" s="128"/>
      <c r="AR412" s="128"/>
      <c r="AS412" s="128"/>
      <c r="AT412" s="128"/>
      <c r="AU412" s="128"/>
    </row>
    <row r="413" ht="27" customHeight="1" spans="1:47">
      <c r="A413" s="154"/>
      <c r="O413" s="345"/>
      <c r="T413" s="314"/>
      <c r="U413" s="314"/>
      <c r="X413" s="342"/>
      <c r="Y413" s="343"/>
      <c r="AA413" s="344"/>
      <c r="AB413" s="344"/>
      <c r="AC413" s="344"/>
      <c r="AD413" s="344"/>
      <c r="AH413" s="128"/>
      <c r="AI413" s="128"/>
      <c r="AJ413" s="128"/>
      <c r="AK413" s="128"/>
      <c r="AL413" s="128"/>
      <c r="AM413" s="128"/>
      <c r="AP413" s="128"/>
      <c r="AQ413" s="128"/>
      <c r="AR413" s="128"/>
      <c r="AS413" s="128"/>
      <c r="AT413" s="128"/>
      <c r="AU413" s="128"/>
    </row>
    <row r="414" ht="27" customHeight="1" spans="1:47">
      <c r="A414" s="154"/>
      <c r="O414" s="345"/>
      <c r="T414" s="314"/>
      <c r="U414" s="314"/>
      <c r="X414" s="342"/>
      <c r="Y414" s="343"/>
      <c r="AA414" s="344"/>
      <c r="AB414" s="344"/>
      <c r="AC414" s="344"/>
      <c r="AD414" s="344"/>
      <c r="AH414" s="128"/>
      <c r="AI414" s="128"/>
      <c r="AJ414" s="128"/>
      <c r="AK414" s="128"/>
      <c r="AL414" s="128"/>
      <c r="AM414" s="128"/>
      <c r="AP414" s="128"/>
      <c r="AQ414" s="128"/>
      <c r="AR414" s="128"/>
      <c r="AS414" s="128"/>
      <c r="AT414" s="128"/>
      <c r="AU414" s="128"/>
    </row>
    <row r="415" ht="27" customHeight="1" spans="1:47">
      <c r="A415" s="154"/>
      <c r="O415" s="345"/>
      <c r="T415" s="314"/>
      <c r="U415" s="314"/>
      <c r="X415" s="342"/>
      <c r="Y415" s="343"/>
      <c r="AA415" s="344"/>
      <c r="AB415" s="344"/>
      <c r="AC415" s="344"/>
      <c r="AD415" s="344"/>
      <c r="AH415" s="128"/>
      <c r="AI415" s="128"/>
      <c r="AJ415" s="128"/>
      <c r="AK415" s="128"/>
      <c r="AL415" s="128"/>
      <c r="AM415" s="128"/>
      <c r="AP415" s="128"/>
      <c r="AQ415" s="128"/>
      <c r="AR415" s="128"/>
      <c r="AS415" s="128"/>
      <c r="AT415" s="128"/>
      <c r="AU415" s="128"/>
    </row>
    <row r="416" ht="27" customHeight="1" spans="1:47">
      <c r="A416" s="154"/>
      <c r="O416" s="345"/>
      <c r="T416" s="314"/>
      <c r="U416" s="314"/>
      <c r="X416" s="342"/>
      <c r="Y416" s="343"/>
      <c r="AA416" s="344"/>
      <c r="AB416" s="344"/>
      <c r="AC416" s="344"/>
      <c r="AD416" s="344"/>
      <c r="AH416" s="128"/>
      <c r="AI416" s="128"/>
      <c r="AJ416" s="128"/>
      <c r="AK416" s="128"/>
      <c r="AL416" s="128"/>
      <c r="AM416" s="128"/>
      <c r="AP416" s="128"/>
      <c r="AQ416" s="128"/>
      <c r="AR416" s="128"/>
      <c r="AS416" s="128"/>
      <c r="AT416" s="128"/>
      <c r="AU416" s="128"/>
    </row>
    <row r="417" ht="27" customHeight="1" spans="1:47">
      <c r="A417" s="154"/>
      <c r="O417" s="345"/>
      <c r="T417" s="314"/>
      <c r="U417" s="314"/>
      <c r="X417" s="342"/>
      <c r="Y417" s="343"/>
      <c r="AA417" s="344"/>
      <c r="AB417" s="344"/>
      <c r="AC417" s="344"/>
      <c r="AD417" s="344"/>
      <c r="AH417" s="128"/>
      <c r="AI417" s="128"/>
      <c r="AJ417" s="128"/>
      <c r="AK417" s="128"/>
      <c r="AL417" s="128"/>
      <c r="AM417" s="128"/>
      <c r="AP417" s="128"/>
      <c r="AQ417" s="128"/>
      <c r="AR417" s="128"/>
      <c r="AS417" s="128"/>
      <c r="AT417" s="128"/>
      <c r="AU417" s="128"/>
    </row>
    <row r="418" ht="27" customHeight="1" spans="1:47">
      <c r="A418" s="154"/>
      <c r="O418" s="345"/>
      <c r="T418" s="314"/>
      <c r="U418" s="314"/>
      <c r="X418" s="342"/>
      <c r="Y418" s="343"/>
      <c r="AA418" s="344"/>
      <c r="AB418" s="344"/>
      <c r="AC418" s="344"/>
      <c r="AD418" s="344"/>
      <c r="AH418" s="128"/>
      <c r="AI418" s="128"/>
      <c r="AJ418" s="128"/>
      <c r="AK418" s="128"/>
      <c r="AL418" s="128"/>
      <c r="AM418" s="128"/>
      <c r="AP418" s="128"/>
      <c r="AQ418" s="128"/>
      <c r="AR418" s="128"/>
      <c r="AS418" s="128"/>
      <c r="AT418" s="128"/>
      <c r="AU418" s="128"/>
    </row>
    <row r="419" ht="27" customHeight="1" spans="1:47">
      <c r="A419" s="154"/>
      <c r="O419" s="345"/>
      <c r="T419" s="314"/>
      <c r="U419" s="314"/>
      <c r="X419" s="342"/>
      <c r="Y419" s="343"/>
      <c r="AA419" s="344"/>
      <c r="AB419" s="344"/>
      <c r="AC419" s="344"/>
      <c r="AD419" s="344"/>
      <c r="AH419" s="128"/>
      <c r="AI419" s="128"/>
      <c r="AJ419" s="128"/>
      <c r="AK419" s="128"/>
      <c r="AL419" s="128"/>
      <c r="AM419" s="128"/>
      <c r="AP419" s="128"/>
      <c r="AQ419" s="128"/>
      <c r="AR419" s="128"/>
      <c r="AS419" s="128"/>
      <c r="AT419" s="128"/>
      <c r="AU419" s="128"/>
    </row>
    <row r="420" ht="27" customHeight="1" spans="1:47">
      <c r="A420" s="154"/>
      <c r="O420" s="345"/>
      <c r="T420" s="314"/>
      <c r="U420" s="314"/>
      <c r="X420" s="342"/>
      <c r="Y420" s="343"/>
      <c r="AA420" s="344"/>
      <c r="AB420" s="344"/>
      <c r="AC420" s="344"/>
      <c r="AD420" s="344"/>
      <c r="AH420" s="128"/>
      <c r="AI420" s="128"/>
      <c r="AJ420" s="128"/>
      <c r="AK420" s="128"/>
      <c r="AL420" s="128"/>
      <c r="AM420" s="128"/>
      <c r="AP420" s="128"/>
      <c r="AQ420" s="128"/>
      <c r="AR420" s="128"/>
      <c r="AS420" s="128"/>
      <c r="AT420" s="128"/>
      <c r="AU420" s="128"/>
    </row>
    <row r="421" ht="27" customHeight="1" spans="1:47">
      <c r="A421" s="154"/>
      <c r="O421" s="345"/>
      <c r="T421" s="314"/>
      <c r="U421" s="314"/>
      <c r="X421" s="342"/>
      <c r="Y421" s="343"/>
      <c r="AA421" s="344"/>
      <c r="AB421" s="344"/>
      <c r="AC421" s="344"/>
      <c r="AD421" s="344"/>
      <c r="AH421" s="128"/>
      <c r="AI421" s="128"/>
      <c r="AJ421" s="128"/>
      <c r="AK421" s="128"/>
      <c r="AL421" s="128"/>
      <c r="AM421" s="128"/>
      <c r="AP421" s="128"/>
      <c r="AQ421" s="128"/>
      <c r="AR421" s="128"/>
      <c r="AS421" s="128"/>
      <c r="AT421" s="128"/>
      <c r="AU421" s="128"/>
    </row>
    <row r="422" ht="27" customHeight="1" spans="1:47">
      <c r="A422" s="154"/>
      <c r="O422" s="345"/>
      <c r="T422" s="314"/>
      <c r="U422" s="314"/>
      <c r="X422" s="342"/>
      <c r="Y422" s="343"/>
      <c r="AA422" s="344"/>
      <c r="AB422" s="344"/>
      <c r="AC422" s="344"/>
      <c r="AD422" s="344"/>
      <c r="AH422" s="128"/>
      <c r="AI422" s="128"/>
      <c r="AJ422" s="128"/>
      <c r="AK422" s="128"/>
      <c r="AL422" s="128"/>
      <c r="AM422" s="128"/>
      <c r="AP422" s="128"/>
      <c r="AQ422" s="128"/>
      <c r="AR422" s="128"/>
      <c r="AS422" s="128"/>
      <c r="AT422" s="128"/>
      <c r="AU422" s="128"/>
    </row>
    <row r="423" ht="27" customHeight="1" spans="1:47">
      <c r="A423" s="154"/>
      <c r="O423" s="345"/>
      <c r="T423" s="314"/>
      <c r="U423" s="314"/>
      <c r="X423" s="342"/>
      <c r="Y423" s="343"/>
      <c r="AA423" s="344"/>
      <c r="AB423" s="344"/>
      <c r="AC423" s="344"/>
      <c r="AD423" s="344"/>
      <c r="AH423" s="128"/>
      <c r="AI423" s="128"/>
      <c r="AJ423" s="128"/>
      <c r="AK423" s="128"/>
      <c r="AL423" s="128"/>
      <c r="AM423" s="128"/>
      <c r="AP423" s="128"/>
      <c r="AQ423" s="128"/>
      <c r="AR423" s="128"/>
      <c r="AS423" s="128"/>
      <c r="AT423" s="128"/>
      <c r="AU423" s="128"/>
    </row>
    <row r="424" ht="27" customHeight="1" spans="1:47">
      <c r="A424" s="154"/>
      <c r="O424" s="345"/>
      <c r="T424" s="314"/>
      <c r="U424" s="314"/>
      <c r="X424" s="342"/>
      <c r="Y424" s="343"/>
      <c r="AA424" s="344"/>
      <c r="AB424" s="344"/>
      <c r="AC424" s="344"/>
      <c r="AD424" s="344"/>
      <c r="AH424" s="128"/>
      <c r="AI424" s="128"/>
      <c r="AJ424" s="128"/>
      <c r="AK424" s="128"/>
      <c r="AL424" s="128"/>
      <c r="AM424" s="128"/>
      <c r="AP424" s="128"/>
      <c r="AQ424" s="128"/>
      <c r="AR424" s="128"/>
      <c r="AS424" s="128"/>
      <c r="AT424" s="128"/>
      <c r="AU424" s="128"/>
    </row>
    <row r="425" ht="27" customHeight="1" spans="1:47">
      <c r="A425" s="154"/>
      <c r="O425" s="345"/>
      <c r="T425" s="314"/>
      <c r="U425" s="314"/>
      <c r="X425" s="342"/>
      <c r="Y425" s="343"/>
      <c r="AA425" s="344"/>
      <c r="AB425" s="344"/>
      <c r="AC425" s="344"/>
      <c r="AD425" s="344"/>
      <c r="AH425" s="128"/>
      <c r="AI425" s="128"/>
      <c r="AJ425" s="128"/>
      <c r="AK425" s="128"/>
      <c r="AL425" s="128"/>
      <c r="AM425" s="128"/>
      <c r="AP425" s="128"/>
      <c r="AQ425" s="128"/>
      <c r="AR425" s="128"/>
      <c r="AS425" s="128"/>
      <c r="AT425" s="128"/>
      <c r="AU425" s="128"/>
    </row>
    <row r="426" ht="27" customHeight="1" spans="1:47">
      <c r="A426" s="154"/>
      <c r="O426" s="345"/>
      <c r="T426" s="314"/>
      <c r="U426" s="314"/>
      <c r="X426" s="342"/>
      <c r="Y426" s="343"/>
      <c r="AA426" s="344"/>
      <c r="AB426" s="344"/>
      <c r="AC426" s="344"/>
      <c r="AD426" s="344"/>
      <c r="AH426" s="128"/>
      <c r="AI426" s="128"/>
      <c r="AJ426" s="128"/>
      <c r="AK426" s="128"/>
      <c r="AL426" s="128"/>
      <c r="AM426" s="128"/>
      <c r="AP426" s="128"/>
      <c r="AQ426" s="128"/>
      <c r="AR426" s="128"/>
      <c r="AS426" s="128"/>
      <c r="AT426" s="128"/>
      <c r="AU426" s="128"/>
    </row>
    <row r="427" ht="27" customHeight="1" spans="1:47">
      <c r="A427" s="154"/>
      <c r="O427" s="345"/>
      <c r="T427" s="314"/>
      <c r="U427" s="314"/>
      <c r="X427" s="342"/>
      <c r="Y427" s="343"/>
      <c r="AA427" s="344"/>
      <c r="AB427" s="344"/>
      <c r="AC427" s="344"/>
      <c r="AD427" s="344"/>
      <c r="AH427" s="128"/>
      <c r="AI427" s="128"/>
      <c r="AJ427" s="128"/>
      <c r="AK427" s="128"/>
      <c r="AL427" s="128"/>
      <c r="AM427" s="128"/>
      <c r="AP427" s="128"/>
      <c r="AQ427" s="128"/>
      <c r="AR427" s="128"/>
      <c r="AS427" s="128"/>
      <c r="AT427" s="128"/>
      <c r="AU427" s="128"/>
    </row>
    <row r="428" ht="27" customHeight="1" spans="1:47">
      <c r="A428" s="154"/>
      <c r="O428" s="345"/>
      <c r="T428" s="314"/>
      <c r="U428" s="314"/>
      <c r="X428" s="342"/>
      <c r="Y428" s="343"/>
      <c r="AA428" s="344"/>
      <c r="AB428" s="344"/>
      <c r="AC428" s="344"/>
      <c r="AD428" s="344"/>
      <c r="AH428" s="128"/>
      <c r="AI428" s="128"/>
      <c r="AJ428" s="128"/>
      <c r="AK428" s="128"/>
      <c r="AL428" s="128"/>
      <c r="AM428" s="128"/>
      <c r="AP428" s="128"/>
      <c r="AQ428" s="128"/>
      <c r="AR428" s="128"/>
      <c r="AS428" s="128"/>
      <c r="AT428" s="128"/>
      <c r="AU428" s="128"/>
    </row>
    <row r="429" ht="27" customHeight="1" spans="1:47">
      <c r="A429" s="154"/>
      <c r="O429" s="345"/>
      <c r="T429" s="314"/>
      <c r="U429" s="314"/>
      <c r="X429" s="342"/>
      <c r="Y429" s="343"/>
      <c r="AA429" s="344"/>
      <c r="AB429" s="344"/>
      <c r="AC429" s="344"/>
      <c r="AD429" s="344"/>
      <c r="AH429" s="128"/>
      <c r="AI429" s="128"/>
      <c r="AJ429" s="128"/>
      <c r="AK429" s="128"/>
      <c r="AL429" s="128"/>
      <c r="AM429" s="128"/>
      <c r="AP429" s="128"/>
      <c r="AQ429" s="128"/>
      <c r="AR429" s="128"/>
      <c r="AS429" s="128"/>
      <c r="AT429" s="128"/>
      <c r="AU429" s="128"/>
    </row>
    <row r="430" ht="27" customHeight="1" spans="1:47">
      <c r="A430" s="154"/>
      <c r="O430" s="345"/>
      <c r="R430" s="346"/>
      <c r="T430" s="314"/>
      <c r="U430" s="314"/>
      <c r="X430" s="342"/>
      <c r="Y430" s="343"/>
      <c r="AA430" s="344"/>
      <c r="AB430" s="344"/>
      <c r="AC430" s="344"/>
      <c r="AD430" s="344"/>
      <c r="AH430" s="128"/>
      <c r="AI430" s="128"/>
      <c r="AJ430" s="128"/>
      <c r="AK430" s="128"/>
      <c r="AL430" s="128"/>
      <c r="AM430" s="128"/>
      <c r="AP430" s="128"/>
      <c r="AQ430" s="128"/>
      <c r="AR430" s="128"/>
      <c r="AS430" s="128"/>
      <c r="AT430" s="128"/>
      <c r="AU430" s="128"/>
    </row>
    <row r="431" ht="27" customHeight="1" spans="1:47">
      <c r="A431" s="154"/>
      <c r="O431" s="345"/>
      <c r="T431" s="314"/>
      <c r="U431" s="314"/>
      <c r="X431" s="342"/>
      <c r="Y431" s="343"/>
      <c r="AA431" s="344"/>
      <c r="AB431" s="344"/>
      <c r="AC431" s="344"/>
      <c r="AD431" s="344"/>
      <c r="AH431" s="128"/>
      <c r="AI431" s="128"/>
      <c r="AJ431" s="128"/>
      <c r="AK431" s="128"/>
      <c r="AL431" s="128"/>
      <c r="AM431" s="128"/>
      <c r="AP431" s="128"/>
      <c r="AQ431" s="128"/>
      <c r="AR431" s="128"/>
      <c r="AS431" s="128"/>
      <c r="AT431" s="128"/>
      <c r="AU431" s="128"/>
    </row>
    <row r="432" ht="27" customHeight="1" spans="1:47">
      <c r="A432" s="154"/>
      <c r="O432" s="345"/>
      <c r="T432" s="314"/>
      <c r="U432" s="314"/>
      <c r="X432" s="342"/>
      <c r="Y432" s="343"/>
      <c r="AA432" s="344"/>
      <c r="AB432" s="344"/>
      <c r="AC432" s="344"/>
      <c r="AD432" s="344"/>
      <c r="AH432" s="128"/>
      <c r="AI432" s="128"/>
      <c r="AJ432" s="128"/>
      <c r="AK432" s="128"/>
      <c r="AL432" s="128"/>
      <c r="AM432" s="128"/>
      <c r="AP432" s="128"/>
      <c r="AQ432" s="128"/>
      <c r="AR432" s="128"/>
      <c r="AS432" s="128"/>
      <c r="AT432" s="128"/>
      <c r="AU432" s="128"/>
    </row>
    <row r="433" ht="27" customHeight="1" spans="1:47">
      <c r="A433" s="154"/>
      <c r="O433" s="345"/>
      <c r="T433" s="314"/>
      <c r="U433" s="314"/>
      <c r="X433" s="342"/>
      <c r="Y433" s="343"/>
      <c r="AA433" s="344"/>
      <c r="AB433" s="344"/>
      <c r="AC433" s="344"/>
      <c r="AD433" s="344"/>
      <c r="AH433" s="128"/>
      <c r="AI433" s="128"/>
      <c r="AJ433" s="128"/>
      <c r="AK433" s="128"/>
      <c r="AL433" s="128"/>
      <c r="AM433" s="128"/>
      <c r="AP433" s="128"/>
      <c r="AQ433" s="128"/>
      <c r="AR433" s="128"/>
      <c r="AS433" s="128"/>
      <c r="AT433" s="128"/>
      <c r="AU433" s="128"/>
    </row>
    <row r="434" ht="27" customHeight="1" spans="1:47">
      <c r="A434" s="154"/>
      <c r="O434" s="345"/>
      <c r="T434" s="314"/>
      <c r="U434" s="314"/>
      <c r="X434" s="342"/>
      <c r="Y434" s="343"/>
      <c r="AA434" s="344"/>
      <c r="AB434" s="344"/>
      <c r="AC434" s="344"/>
      <c r="AD434" s="344"/>
      <c r="AH434" s="128"/>
      <c r="AI434" s="128"/>
      <c r="AJ434" s="128"/>
      <c r="AK434" s="128"/>
      <c r="AL434" s="128"/>
      <c r="AM434" s="128"/>
      <c r="AP434" s="128"/>
      <c r="AQ434" s="128"/>
      <c r="AR434" s="128"/>
      <c r="AS434" s="128"/>
      <c r="AT434" s="128"/>
      <c r="AU434" s="128"/>
    </row>
    <row r="435" ht="27" customHeight="1" spans="1:47">
      <c r="A435" s="154"/>
      <c r="O435" s="345"/>
      <c r="T435" s="314"/>
      <c r="U435" s="314"/>
      <c r="X435" s="342"/>
      <c r="Y435" s="343"/>
      <c r="AA435" s="344"/>
      <c r="AB435" s="344"/>
      <c r="AC435" s="344"/>
      <c r="AD435" s="344"/>
      <c r="AH435" s="128"/>
      <c r="AI435" s="128"/>
      <c r="AJ435" s="128"/>
      <c r="AK435" s="128"/>
      <c r="AL435" s="128"/>
      <c r="AM435" s="128"/>
      <c r="AP435" s="128"/>
      <c r="AQ435" s="128"/>
      <c r="AR435" s="128"/>
      <c r="AS435" s="128"/>
      <c r="AT435" s="128"/>
      <c r="AU435" s="128"/>
    </row>
    <row r="436" ht="27" customHeight="1" spans="1:47">
      <c r="A436" s="154"/>
      <c r="O436" s="345"/>
      <c r="T436" s="314"/>
      <c r="U436" s="314"/>
      <c r="X436" s="342"/>
      <c r="Y436" s="343"/>
      <c r="AA436" s="344"/>
      <c r="AB436" s="344"/>
      <c r="AC436" s="344"/>
      <c r="AD436" s="344"/>
      <c r="AH436" s="128"/>
      <c r="AI436" s="128"/>
      <c r="AJ436" s="128"/>
      <c r="AK436" s="128"/>
      <c r="AL436" s="128"/>
      <c r="AM436" s="128"/>
      <c r="AP436" s="128"/>
      <c r="AQ436" s="128"/>
      <c r="AR436" s="128"/>
      <c r="AS436" s="128"/>
      <c r="AT436" s="128"/>
      <c r="AU436" s="128"/>
    </row>
    <row r="437" ht="27" customHeight="1" spans="1:47">
      <c r="A437" s="154"/>
      <c r="O437" s="345"/>
      <c r="R437" s="346"/>
      <c r="T437" s="314"/>
      <c r="U437" s="314"/>
      <c r="X437" s="342"/>
      <c r="Y437" s="343"/>
      <c r="AA437" s="344"/>
      <c r="AB437" s="344"/>
      <c r="AC437" s="344"/>
      <c r="AD437" s="344"/>
      <c r="AH437" s="128"/>
      <c r="AI437" s="128"/>
      <c r="AJ437" s="128"/>
      <c r="AK437" s="128"/>
      <c r="AL437" s="128"/>
      <c r="AM437" s="128"/>
      <c r="AP437" s="128"/>
      <c r="AQ437" s="128"/>
      <c r="AR437" s="128"/>
      <c r="AS437" s="128"/>
      <c r="AT437" s="128"/>
      <c r="AU437" s="128"/>
    </row>
    <row r="438" ht="27" customHeight="1" spans="1:47">
      <c r="A438" s="154"/>
      <c r="O438" s="345"/>
      <c r="T438" s="314"/>
      <c r="U438" s="314"/>
      <c r="X438" s="342"/>
      <c r="Y438" s="343"/>
      <c r="AA438" s="344"/>
      <c r="AB438" s="344"/>
      <c r="AC438" s="344"/>
      <c r="AD438" s="344"/>
    </row>
    <row r="439" ht="27" customHeight="1" spans="1:47">
      <c r="A439" s="154"/>
      <c r="O439" s="345"/>
      <c r="T439" s="314"/>
      <c r="U439" s="314"/>
      <c r="X439" s="342"/>
      <c r="Y439" s="343"/>
      <c r="AA439" s="344"/>
      <c r="AB439" s="344"/>
      <c r="AC439" s="344"/>
      <c r="AD439" s="344"/>
      <c r="AH439" s="128"/>
      <c r="AI439" s="128"/>
      <c r="AJ439" s="128"/>
      <c r="AK439" s="128"/>
      <c r="AL439" s="128"/>
      <c r="AM439" s="128"/>
      <c r="AP439" s="128"/>
      <c r="AQ439" s="128"/>
      <c r="AR439" s="128"/>
      <c r="AS439" s="128"/>
      <c r="AT439" s="128"/>
      <c r="AU439" s="128"/>
    </row>
    <row r="440" ht="27" customHeight="1" spans="1:47">
      <c r="A440" s="154"/>
      <c r="O440" s="345"/>
      <c r="T440" s="314"/>
      <c r="U440" s="314"/>
      <c r="X440" s="342"/>
      <c r="Y440" s="343"/>
      <c r="AA440" s="344"/>
      <c r="AB440" s="344"/>
      <c r="AC440" s="344"/>
      <c r="AD440" s="344"/>
      <c r="AH440" s="128"/>
      <c r="AI440" s="128"/>
      <c r="AJ440" s="128"/>
      <c r="AK440" s="128"/>
      <c r="AL440" s="128"/>
      <c r="AM440" s="128"/>
      <c r="AP440" s="128"/>
      <c r="AQ440" s="128"/>
      <c r="AR440" s="128"/>
      <c r="AS440" s="128"/>
      <c r="AT440" s="128"/>
      <c r="AU440" s="128"/>
    </row>
    <row r="441" ht="27" customHeight="1" spans="1:47">
      <c r="A441" s="154"/>
      <c r="O441" s="345"/>
      <c r="T441" s="314"/>
      <c r="U441" s="314"/>
      <c r="X441" s="342"/>
      <c r="Y441" s="343"/>
      <c r="AA441" s="344"/>
      <c r="AB441" s="344"/>
      <c r="AC441" s="344"/>
      <c r="AD441" s="344"/>
      <c r="AH441" s="128"/>
      <c r="AI441" s="128"/>
      <c r="AJ441" s="128"/>
      <c r="AK441" s="128"/>
      <c r="AL441" s="128"/>
      <c r="AM441" s="128"/>
      <c r="AP441" s="128"/>
      <c r="AQ441" s="128"/>
      <c r="AR441" s="128"/>
      <c r="AS441" s="128"/>
      <c r="AT441" s="128"/>
      <c r="AU441" s="128"/>
    </row>
    <row r="442" ht="27" customHeight="1" spans="1:47">
      <c r="A442" s="154"/>
      <c r="O442" s="345"/>
      <c r="T442" s="314"/>
      <c r="U442" s="314"/>
      <c r="X442" s="342"/>
      <c r="Y442" s="343"/>
      <c r="AA442" s="344"/>
      <c r="AB442" s="344"/>
      <c r="AC442" s="344"/>
      <c r="AD442" s="344"/>
      <c r="AH442" s="128"/>
      <c r="AI442" s="128"/>
      <c r="AJ442" s="128"/>
      <c r="AK442" s="128"/>
      <c r="AL442" s="128"/>
      <c r="AM442" s="128"/>
      <c r="AP442" s="128"/>
      <c r="AQ442" s="128"/>
      <c r="AR442" s="128"/>
      <c r="AS442" s="128"/>
      <c r="AT442" s="128"/>
      <c r="AU442" s="128"/>
    </row>
    <row r="443" ht="27" customHeight="1" spans="1:47">
      <c r="A443" s="154"/>
      <c r="O443" s="345"/>
      <c r="T443" s="314"/>
      <c r="U443" s="314"/>
      <c r="X443" s="342"/>
      <c r="Y443" s="343"/>
      <c r="AA443" s="344"/>
      <c r="AB443" s="344"/>
      <c r="AC443" s="344"/>
      <c r="AD443" s="344"/>
      <c r="AH443" s="128"/>
      <c r="AI443" s="128"/>
      <c r="AJ443" s="128"/>
      <c r="AK443" s="128"/>
      <c r="AL443" s="128"/>
      <c r="AM443" s="128"/>
      <c r="AP443" s="128"/>
      <c r="AQ443" s="128"/>
      <c r="AR443" s="128"/>
      <c r="AS443" s="128"/>
      <c r="AT443" s="128"/>
      <c r="AU443" s="128"/>
    </row>
    <row r="444" ht="27" customHeight="1" spans="1:47">
      <c r="A444" s="154"/>
      <c r="O444" s="345"/>
      <c r="T444" s="314"/>
      <c r="U444" s="314"/>
      <c r="X444" s="342"/>
      <c r="Y444" s="343"/>
      <c r="AA444" s="344"/>
      <c r="AB444" s="344"/>
      <c r="AC444" s="344"/>
      <c r="AD444" s="344"/>
      <c r="AH444" s="128"/>
      <c r="AI444" s="128"/>
      <c r="AJ444" s="128"/>
      <c r="AK444" s="128"/>
      <c r="AL444" s="128"/>
      <c r="AM444" s="128"/>
      <c r="AP444" s="128"/>
      <c r="AQ444" s="128"/>
      <c r="AR444" s="128"/>
      <c r="AS444" s="128"/>
      <c r="AT444" s="128"/>
      <c r="AU444" s="128"/>
    </row>
    <row r="445" ht="27" customHeight="1" spans="1:47">
      <c r="A445" s="154"/>
      <c r="O445" s="345"/>
      <c r="T445" s="314"/>
      <c r="U445" s="314"/>
      <c r="X445" s="342"/>
      <c r="Y445" s="343"/>
      <c r="AA445" s="344"/>
      <c r="AB445" s="344"/>
      <c r="AC445" s="344"/>
      <c r="AD445" s="344"/>
      <c r="AH445" s="128"/>
      <c r="AI445" s="128"/>
      <c r="AJ445" s="128"/>
      <c r="AK445" s="128"/>
      <c r="AL445" s="128"/>
      <c r="AM445" s="128"/>
      <c r="AP445" s="128"/>
      <c r="AQ445" s="128"/>
      <c r="AR445" s="128"/>
      <c r="AS445" s="128"/>
      <c r="AT445" s="128"/>
      <c r="AU445" s="128"/>
    </row>
    <row r="446" ht="27" customHeight="1" spans="1:47">
      <c r="A446" s="154"/>
      <c r="O446" s="345"/>
      <c r="T446" s="314"/>
      <c r="U446" s="314"/>
      <c r="X446" s="342"/>
      <c r="Y446" s="343"/>
      <c r="AA446" s="344"/>
      <c r="AB446" s="344"/>
      <c r="AC446" s="344"/>
      <c r="AD446" s="344"/>
      <c r="AH446" s="128"/>
      <c r="AI446" s="128"/>
      <c r="AJ446" s="128"/>
      <c r="AK446" s="128"/>
      <c r="AL446" s="128"/>
      <c r="AM446" s="128"/>
      <c r="AP446" s="128"/>
      <c r="AQ446" s="128"/>
      <c r="AR446" s="128"/>
      <c r="AS446" s="128"/>
      <c r="AT446" s="128"/>
      <c r="AU446" s="128"/>
    </row>
    <row r="447" ht="27" customHeight="1" spans="1:47">
      <c r="A447" s="154"/>
      <c r="O447" s="345"/>
      <c r="T447" s="314"/>
      <c r="U447" s="314"/>
      <c r="X447" s="342"/>
      <c r="Y447" s="343"/>
      <c r="AA447" s="344"/>
      <c r="AB447" s="344"/>
      <c r="AC447" s="344"/>
      <c r="AD447" s="344"/>
      <c r="AH447" s="128"/>
      <c r="AI447" s="128"/>
      <c r="AJ447" s="128"/>
      <c r="AK447" s="128"/>
      <c r="AL447" s="128"/>
      <c r="AM447" s="128"/>
      <c r="AP447" s="128"/>
      <c r="AQ447" s="128"/>
      <c r="AR447" s="128"/>
      <c r="AS447" s="128"/>
      <c r="AT447" s="128"/>
      <c r="AU447" s="128"/>
    </row>
    <row r="448" ht="27" customHeight="1" spans="1:47">
      <c r="A448" s="154"/>
      <c r="O448" s="345"/>
      <c r="T448" s="314"/>
      <c r="U448" s="314"/>
      <c r="X448" s="342"/>
      <c r="Y448" s="343"/>
      <c r="AA448" s="344"/>
      <c r="AB448" s="344"/>
      <c r="AC448" s="344"/>
      <c r="AD448" s="344"/>
      <c r="AH448" s="128"/>
      <c r="AI448" s="128"/>
      <c r="AJ448" s="128"/>
      <c r="AK448" s="128"/>
      <c r="AL448" s="128"/>
      <c r="AM448" s="128"/>
      <c r="AP448" s="128"/>
      <c r="AQ448" s="128"/>
      <c r="AR448" s="128"/>
      <c r="AS448" s="128"/>
      <c r="AT448" s="128"/>
      <c r="AU448" s="128"/>
    </row>
    <row r="449" ht="27" customHeight="1" spans="1:47">
      <c r="A449" s="154"/>
      <c r="O449" s="345"/>
      <c r="T449" s="314"/>
      <c r="U449" s="314"/>
      <c r="X449" s="342"/>
      <c r="Y449" s="343"/>
      <c r="AA449" s="344"/>
      <c r="AB449" s="344"/>
      <c r="AC449" s="344"/>
      <c r="AD449" s="344"/>
      <c r="AH449" s="128"/>
      <c r="AI449" s="128"/>
      <c r="AJ449" s="128"/>
      <c r="AK449" s="128"/>
      <c r="AL449" s="128"/>
      <c r="AM449" s="128"/>
      <c r="AP449" s="128"/>
      <c r="AQ449" s="128"/>
      <c r="AR449" s="128"/>
      <c r="AS449" s="128"/>
      <c r="AT449" s="128"/>
      <c r="AU449" s="128"/>
    </row>
    <row r="450" ht="27" customHeight="1" spans="1:47">
      <c r="A450" s="154"/>
      <c r="O450" s="345"/>
      <c r="T450" s="314"/>
      <c r="U450" s="314"/>
      <c r="X450" s="342"/>
      <c r="Y450" s="343"/>
      <c r="AA450" s="344"/>
      <c r="AB450" s="344"/>
      <c r="AC450" s="344"/>
      <c r="AD450" s="344"/>
      <c r="AH450" s="128"/>
      <c r="AI450" s="128"/>
      <c r="AJ450" s="128"/>
      <c r="AK450" s="128"/>
      <c r="AL450" s="128"/>
      <c r="AM450" s="128"/>
      <c r="AP450" s="128"/>
      <c r="AQ450" s="128"/>
      <c r="AR450" s="128"/>
      <c r="AS450" s="128"/>
      <c r="AT450" s="128"/>
      <c r="AU450" s="128"/>
    </row>
    <row r="451" ht="27" customHeight="1" spans="1:47">
      <c r="A451" s="154"/>
      <c r="O451" s="345"/>
      <c r="T451" s="314"/>
      <c r="U451" s="314"/>
      <c r="X451" s="342"/>
      <c r="Y451" s="343"/>
      <c r="AA451" s="344"/>
      <c r="AB451" s="344"/>
      <c r="AC451" s="344"/>
      <c r="AD451" s="344"/>
      <c r="AH451" s="128"/>
      <c r="AI451" s="128"/>
      <c r="AJ451" s="128"/>
      <c r="AK451" s="128"/>
      <c r="AL451" s="128"/>
      <c r="AM451" s="128"/>
      <c r="AP451" s="128"/>
      <c r="AQ451" s="128"/>
      <c r="AR451" s="128"/>
      <c r="AS451" s="128"/>
      <c r="AT451" s="128"/>
      <c r="AU451" s="128"/>
    </row>
    <row r="452" ht="27" customHeight="1" spans="1:47">
      <c r="A452" s="154"/>
      <c r="O452" s="345"/>
      <c r="T452" s="314"/>
      <c r="U452" s="314"/>
      <c r="X452" s="342"/>
      <c r="Y452" s="343"/>
      <c r="AA452" s="344"/>
      <c r="AB452" s="344"/>
      <c r="AC452" s="344"/>
      <c r="AD452" s="344"/>
      <c r="AH452" s="128"/>
      <c r="AI452" s="128"/>
      <c r="AJ452" s="128"/>
      <c r="AK452" s="128"/>
      <c r="AL452" s="128"/>
      <c r="AM452" s="128"/>
      <c r="AP452" s="128"/>
      <c r="AQ452" s="128"/>
      <c r="AR452" s="128"/>
      <c r="AS452" s="128"/>
      <c r="AT452" s="128"/>
      <c r="AU452" s="128"/>
    </row>
    <row r="453" ht="27" customHeight="1" spans="1:47">
      <c r="A453" s="154"/>
      <c r="O453" s="345"/>
      <c r="T453" s="314"/>
      <c r="U453" s="314"/>
      <c r="X453" s="342"/>
      <c r="Y453" s="343"/>
      <c r="AA453" s="344"/>
      <c r="AB453" s="344"/>
      <c r="AC453" s="344"/>
      <c r="AD453" s="344"/>
      <c r="AH453" s="128"/>
      <c r="AI453" s="128"/>
      <c r="AJ453" s="128"/>
      <c r="AK453" s="128"/>
      <c r="AL453" s="128"/>
      <c r="AM453" s="128"/>
      <c r="AP453" s="128"/>
      <c r="AQ453" s="128"/>
      <c r="AR453" s="128"/>
      <c r="AS453" s="128"/>
      <c r="AT453" s="128"/>
      <c r="AU453" s="128"/>
    </row>
    <row r="454" ht="27" customHeight="1" spans="1:47">
      <c r="A454" s="154"/>
      <c r="O454" s="345"/>
      <c r="T454" s="314"/>
      <c r="U454" s="314"/>
      <c r="X454" s="342"/>
      <c r="Y454" s="343"/>
      <c r="AA454" s="344"/>
      <c r="AB454" s="344"/>
      <c r="AC454" s="344"/>
      <c r="AD454" s="344"/>
      <c r="AH454" s="128"/>
      <c r="AI454" s="128"/>
      <c r="AJ454" s="128"/>
      <c r="AK454" s="128"/>
      <c r="AL454" s="128"/>
      <c r="AM454" s="128"/>
      <c r="AP454" s="128"/>
      <c r="AQ454" s="128"/>
      <c r="AR454" s="128"/>
      <c r="AS454" s="128"/>
      <c r="AT454" s="128"/>
      <c r="AU454" s="128"/>
    </row>
    <row r="455" ht="27" customHeight="1" spans="1:47">
      <c r="A455" s="154"/>
      <c r="O455" s="345"/>
      <c r="T455" s="314"/>
      <c r="U455" s="314"/>
      <c r="X455" s="342"/>
      <c r="Y455" s="343"/>
      <c r="AA455" s="344"/>
      <c r="AB455" s="344"/>
      <c r="AC455" s="344"/>
      <c r="AD455" s="344"/>
      <c r="AH455" s="128"/>
      <c r="AI455" s="128"/>
      <c r="AJ455" s="128"/>
      <c r="AK455" s="128"/>
      <c r="AL455" s="128"/>
      <c r="AM455" s="128"/>
      <c r="AP455" s="128"/>
      <c r="AQ455" s="128"/>
      <c r="AR455" s="128"/>
      <c r="AS455" s="128"/>
      <c r="AT455" s="128"/>
      <c r="AU455" s="128"/>
    </row>
    <row r="456" ht="27" customHeight="1" spans="1:47">
      <c r="A456" s="154"/>
      <c r="O456" s="345"/>
      <c r="T456" s="314"/>
      <c r="U456" s="314"/>
      <c r="X456" s="342"/>
      <c r="Y456" s="343"/>
      <c r="AA456" s="344"/>
      <c r="AB456" s="344"/>
      <c r="AC456" s="344"/>
      <c r="AD456" s="344"/>
      <c r="AH456" s="128"/>
      <c r="AI456" s="128"/>
      <c r="AJ456" s="128"/>
      <c r="AK456" s="128"/>
      <c r="AL456" s="128"/>
      <c r="AM456" s="128"/>
      <c r="AP456" s="128"/>
      <c r="AQ456" s="128"/>
      <c r="AR456" s="128"/>
      <c r="AS456" s="128"/>
      <c r="AT456" s="128"/>
      <c r="AU456" s="128"/>
    </row>
    <row r="457" ht="27" customHeight="1" spans="1:47">
      <c r="A457" s="154"/>
      <c r="T457" s="314"/>
      <c r="U457" s="314"/>
      <c r="X457" s="342"/>
      <c r="Y457" s="343"/>
      <c r="AA457" s="344"/>
      <c r="AB457" s="344"/>
      <c r="AC457" s="344"/>
      <c r="AD457" s="344"/>
      <c r="AH457" s="128"/>
      <c r="AI457" s="128"/>
      <c r="AJ457" s="128"/>
      <c r="AK457" s="128"/>
      <c r="AL457" s="128"/>
      <c r="AM457" s="128"/>
      <c r="AP457" s="128"/>
      <c r="AQ457" s="128"/>
      <c r="AR457" s="128"/>
      <c r="AS457" s="128"/>
      <c r="AT457" s="128"/>
      <c r="AU457" s="128"/>
    </row>
    <row r="458" ht="27" customHeight="1" spans="1:47">
      <c r="A458" s="154"/>
      <c r="O458" s="345"/>
      <c r="T458" s="314"/>
      <c r="U458" s="314"/>
      <c r="X458" s="342"/>
      <c r="Y458" s="343"/>
      <c r="AA458" s="344"/>
      <c r="AB458" s="344"/>
      <c r="AC458" s="344"/>
      <c r="AD458" s="344"/>
      <c r="AH458" s="128"/>
      <c r="AI458" s="128"/>
      <c r="AJ458" s="128"/>
      <c r="AK458" s="128"/>
      <c r="AL458" s="128"/>
      <c r="AM458" s="128"/>
      <c r="AP458" s="128"/>
      <c r="AQ458" s="128"/>
      <c r="AR458" s="128"/>
      <c r="AS458" s="128"/>
      <c r="AT458" s="128"/>
      <c r="AU458" s="128"/>
    </row>
    <row r="459" ht="27" customHeight="1" spans="1:47">
      <c r="A459" s="154"/>
      <c r="O459" s="345"/>
      <c r="T459" s="314"/>
      <c r="U459" s="314"/>
      <c r="X459" s="342"/>
      <c r="Y459" s="343"/>
      <c r="AA459" s="344"/>
      <c r="AB459" s="344"/>
      <c r="AC459" s="344"/>
      <c r="AD459" s="344"/>
      <c r="AH459" s="128"/>
      <c r="AI459" s="128"/>
      <c r="AJ459" s="128"/>
      <c r="AK459" s="128"/>
      <c r="AL459" s="128"/>
      <c r="AM459" s="128"/>
      <c r="AP459" s="128"/>
      <c r="AQ459" s="128"/>
      <c r="AR459" s="128"/>
      <c r="AS459" s="128"/>
      <c r="AT459" s="128"/>
      <c r="AU459" s="128"/>
    </row>
    <row r="460" ht="27" customHeight="1" spans="1:47">
      <c r="A460" s="154"/>
      <c r="O460" s="345"/>
      <c r="T460" s="314"/>
      <c r="U460" s="314"/>
      <c r="X460" s="342"/>
      <c r="Y460" s="343"/>
      <c r="AA460" s="344"/>
      <c r="AB460" s="344"/>
      <c r="AC460" s="344"/>
      <c r="AD460" s="344"/>
      <c r="AH460" s="128"/>
      <c r="AI460" s="128"/>
      <c r="AJ460" s="128"/>
      <c r="AK460" s="128"/>
      <c r="AL460" s="128"/>
      <c r="AM460" s="128"/>
      <c r="AP460" s="128"/>
      <c r="AQ460" s="128"/>
      <c r="AR460" s="128"/>
      <c r="AS460" s="128"/>
      <c r="AT460" s="128"/>
      <c r="AU460" s="128"/>
    </row>
    <row r="461" ht="27" customHeight="1" spans="1:47">
      <c r="A461" s="154"/>
      <c r="O461" s="345"/>
      <c r="T461" s="314"/>
      <c r="U461" s="314"/>
      <c r="X461" s="342"/>
      <c r="Y461" s="343"/>
      <c r="AA461" s="344"/>
      <c r="AB461" s="344"/>
      <c r="AC461" s="344"/>
      <c r="AD461" s="344"/>
      <c r="AH461" s="128"/>
      <c r="AI461" s="128"/>
      <c r="AJ461" s="128"/>
      <c r="AK461" s="128"/>
      <c r="AL461" s="128"/>
      <c r="AM461" s="128"/>
      <c r="AP461" s="128"/>
      <c r="AQ461" s="128"/>
      <c r="AR461" s="128"/>
      <c r="AS461" s="128"/>
      <c r="AT461" s="128"/>
      <c r="AU461" s="128"/>
    </row>
    <row r="462" ht="27" customHeight="1" spans="1:47">
      <c r="A462" s="154"/>
      <c r="T462" s="314"/>
      <c r="U462" s="314"/>
      <c r="X462" s="342"/>
      <c r="Y462" s="343"/>
      <c r="AA462" s="344"/>
      <c r="AB462" s="344"/>
      <c r="AC462" s="344"/>
      <c r="AD462" s="344"/>
      <c r="AH462" s="128"/>
      <c r="AI462" s="128"/>
      <c r="AJ462" s="128"/>
      <c r="AK462" s="128"/>
      <c r="AL462" s="128"/>
      <c r="AM462" s="128"/>
      <c r="AP462" s="128"/>
      <c r="AQ462" s="128"/>
      <c r="AR462" s="128"/>
      <c r="AS462" s="128"/>
      <c r="AT462" s="128"/>
      <c r="AU462" s="128"/>
    </row>
    <row r="463" ht="27" customHeight="1" spans="1:47">
      <c r="A463" s="154"/>
      <c r="T463" s="314"/>
      <c r="U463" s="314"/>
      <c r="X463" s="342"/>
      <c r="Y463" s="343"/>
      <c r="AA463" s="344"/>
      <c r="AB463" s="344"/>
      <c r="AC463" s="344"/>
      <c r="AD463" s="344"/>
      <c r="AH463" s="128"/>
      <c r="AI463" s="128"/>
      <c r="AJ463" s="128"/>
      <c r="AK463" s="128"/>
      <c r="AL463" s="128"/>
      <c r="AM463" s="128"/>
      <c r="AP463" s="128"/>
      <c r="AQ463" s="128"/>
      <c r="AR463" s="128"/>
      <c r="AS463" s="128"/>
      <c r="AT463" s="128"/>
      <c r="AU463" s="128"/>
    </row>
    <row r="464" ht="27" customHeight="1" spans="1:47">
      <c r="A464" s="154"/>
      <c r="T464" s="314"/>
      <c r="U464" s="314"/>
      <c r="X464" s="342"/>
      <c r="Y464" s="343"/>
      <c r="AA464" s="344"/>
      <c r="AB464" s="344"/>
      <c r="AC464" s="344"/>
      <c r="AD464" s="344"/>
      <c r="AH464" s="128"/>
      <c r="AI464" s="128"/>
      <c r="AJ464" s="128"/>
      <c r="AK464" s="128"/>
      <c r="AL464" s="128"/>
      <c r="AM464" s="128"/>
      <c r="AP464" s="128"/>
      <c r="AQ464" s="128"/>
      <c r="AR464" s="128"/>
      <c r="AS464" s="128"/>
      <c r="AT464" s="128"/>
      <c r="AU464" s="128"/>
    </row>
    <row r="465" ht="27" customHeight="1" spans="1:47">
      <c r="A465" s="154"/>
      <c r="T465" s="314"/>
      <c r="U465" s="314"/>
      <c r="X465" s="342"/>
      <c r="Y465" s="343"/>
      <c r="AA465" s="344"/>
      <c r="AB465" s="344"/>
      <c r="AC465" s="344"/>
      <c r="AD465" s="344"/>
      <c r="AH465" s="128"/>
      <c r="AI465" s="128"/>
      <c r="AJ465" s="128"/>
      <c r="AK465" s="128"/>
      <c r="AL465" s="128"/>
      <c r="AM465" s="128"/>
      <c r="AP465" s="128"/>
      <c r="AQ465" s="128"/>
      <c r="AR465" s="128"/>
      <c r="AS465" s="128"/>
      <c r="AT465" s="128"/>
      <c r="AU465" s="128"/>
    </row>
    <row r="466" ht="27" customHeight="1" spans="1:47">
      <c r="A466" s="154"/>
      <c r="T466" s="314"/>
      <c r="U466" s="314"/>
      <c r="X466" s="342"/>
      <c r="Y466" s="343"/>
      <c r="AA466" s="344"/>
      <c r="AB466" s="344"/>
      <c r="AC466" s="344"/>
      <c r="AD466" s="344"/>
      <c r="AH466" s="128"/>
      <c r="AI466" s="128"/>
      <c r="AJ466" s="128"/>
      <c r="AK466" s="128"/>
      <c r="AL466" s="128"/>
      <c r="AM466" s="128"/>
      <c r="AP466" s="128"/>
      <c r="AQ466" s="128"/>
      <c r="AR466" s="128"/>
      <c r="AS466" s="128"/>
      <c r="AT466" s="128"/>
      <c r="AU466" s="128"/>
    </row>
    <row r="467" ht="27" customHeight="1" spans="1:47">
      <c r="A467" s="154"/>
      <c r="T467" s="314"/>
      <c r="U467" s="314"/>
      <c r="X467" s="342"/>
      <c r="Y467" s="343"/>
      <c r="AA467" s="344"/>
      <c r="AB467" s="344"/>
      <c r="AC467" s="344"/>
      <c r="AD467" s="344"/>
      <c r="AH467" s="128"/>
      <c r="AI467" s="128"/>
      <c r="AJ467" s="128"/>
      <c r="AK467" s="128"/>
      <c r="AL467" s="128"/>
      <c r="AM467" s="128"/>
      <c r="AP467" s="128"/>
      <c r="AQ467" s="128"/>
      <c r="AR467" s="128"/>
      <c r="AS467" s="128"/>
      <c r="AT467" s="128"/>
      <c r="AU467" s="128"/>
    </row>
    <row r="468" ht="27" customHeight="1" spans="1:47">
      <c r="A468" s="154"/>
      <c r="T468" s="314"/>
      <c r="U468" s="314"/>
      <c r="X468" s="342"/>
      <c r="Y468" s="343"/>
      <c r="AA468" s="344"/>
      <c r="AB468" s="344"/>
      <c r="AC468" s="344"/>
      <c r="AD468" s="344"/>
      <c r="AH468" s="128"/>
      <c r="AI468" s="128"/>
      <c r="AJ468" s="128"/>
      <c r="AK468" s="128"/>
      <c r="AL468" s="128"/>
      <c r="AM468" s="128"/>
      <c r="AP468" s="128"/>
      <c r="AQ468" s="128"/>
      <c r="AR468" s="128"/>
      <c r="AS468" s="128"/>
      <c r="AT468" s="128"/>
      <c r="AU468" s="128"/>
    </row>
    <row r="469" ht="27" customHeight="1" spans="1:47">
      <c r="A469" s="154"/>
      <c r="T469" s="314"/>
      <c r="U469" s="314"/>
      <c r="X469" s="342"/>
      <c r="Y469" s="343"/>
      <c r="AA469" s="344"/>
      <c r="AB469" s="344"/>
      <c r="AC469" s="344"/>
      <c r="AD469" s="344"/>
      <c r="AH469" s="128"/>
      <c r="AI469" s="128"/>
      <c r="AJ469" s="128"/>
      <c r="AK469" s="128"/>
      <c r="AL469" s="128"/>
      <c r="AM469" s="128"/>
      <c r="AP469" s="128"/>
      <c r="AQ469" s="128"/>
      <c r="AR469" s="128"/>
      <c r="AS469" s="128"/>
      <c r="AT469" s="128"/>
      <c r="AU469" s="128"/>
    </row>
    <row r="470" ht="27" customHeight="1" spans="1:47">
      <c r="A470" s="154"/>
      <c r="T470" s="314"/>
      <c r="U470" s="314"/>
      <c r="X470" s="342"/>
      <c r="Y470" s="343"/>
      <c r="AA470" s="344"/>
      <c r="AB470" s="344"/>
      <c r="AC470" s="344"/>
      <c r="AD470" s="344"/>
      <c r="AH470" s="128"/>
      <c r="AI470" s="128"/>
      <c r="AJ470" s="128"/>
      <c r="AK470" s="128"/>
      <c r="AL470" s="128"/>
      <c r="AM470" s="128"/>
      <c r="AP470" s="128"/>
      <c r="AQ470" s="128"/>
      <c r="AR470" s="128"/>
      <c r="AS470" s="128"/>
      <c r="AT470" s="128"/>
      <c r="AU470" s="128"/>
    </row>
    <row r="471" ht="27" customHeight="1" spans="1:47">
      <c r="A471" s="154"/>
      <c r="O471" s="345"/>
      <c r="T471" s="314"/>
      <c r="U471" s="314"/>
      <c r="X471" s="342"/>
      <c r="Y471" s="343"/>
      <c r="AA471" s="344"/>
      <c r="AB471" s="344"/>
      <c r="AC471" s="344"/>
      <c r="AD471" s="344"/>
      <c r="AH471" s="128"/>
      <c r="AI471" s="128"/>
      <c r="AJ471" s="128"/>
      <c r="AK471" s="128"/>
      <c r="AL471" s="128"/>
      <c r="AM471" s="128"/>
      <c r="AP471" s="128"/>
      <c r="AQ471" s="128"/>
      <c r="AR471" s="128"/>
      <c r="AS471" s="128"/>
      <c r="AT471" s="128"/>
      <c r="AU471" s="128"/>
    </row>
    <row r="472" ht="27" customHeight="1" spans="1:47">
      <c r="A472" s="154"/>
      <c r="O472" s="345"/>
      <c r="T472" s="314"/>
      <c r="U472" s="314"/>
      <c r="X472" s="342"/>
      <c r="Y472" s="343"/>
      <c r="AA472" s="344"/>
      <c r="AB472" s="344"/>
      <c r="AC472" s="344"/>
      <c r="AD472" s="344"/>
      <c r="AH472" s="128"/>
      <c r="AI472" s="128"/>
      <c r="AJ472" s="128"/>
      <c r="AK472" s="128"/>
      <c r="AL472" s="128"/>
      <c r="AM472" s="128"/>
      <c r="AP472" s="128"/>
      <c r="AQ472" s="128"/>
      <c r="AR472" s="128"/>
      <c r="AS472" s="128"/>
      <c r="AT472" s="128"/>
      <c r="AU472" s="128"/>
    </row>
    <row r="473" ht="27" customHeight="1" spans="1:47">
      <c r="A473" s="154"/>
      <c r="O473" s="345"/>
      <c r="T473" s="314"/>
      <c r="U473" s="314"/>
      <c r="X473" s="342"/>
      <c r="Y473" s="343"/>
      <c r="AA473" s="344"/>
      <c r="AB473" s="344"/>
      <c r="AC473" s="344"/>
      <c r="AD473" s="344"/>
      <c r="AH473" s="128"/>
      <c r="AI473" s="128"/>
      <c r="AJ473" s="128"/>
      <c r="AK473" s="128"/>
      <c r="AL473" s="128"/>
      <c r="AM473" s="128"/>
      <c r="AP473" s="128"/>
      <c r="AQ473" s="128"/>
      <c r="AR473" s="128"/>
      <c r="AS473" s="128"/>
      <c r="AT473" s="128"/>
      <c r="AU473" s="128"/>
    </row>
    <row r="474" ht="27" customHeight="1" spans="1:47">
      <c r="A474" s="154"/>
      <c r="O474" s="345"/>
      <c r="T474" s="314"/>
      <c r="U474" s="314"/>
      <c r="X474" s="342"/>
      <c r="Y474" s="343"/>
      <c r="AA474" s="344"/>
      <c r="AB474" s="344"/>
      <c r="AC474" s="344"/>
      <c r="AD474" s="344"/>
      <c r="AH474" s="128"/>
      <c r="AI474" s="128"/>
      <c r="AJ474" s="128"/>
      <c r="AK474" s="128"/>
      <c r="AL474" s="128"/>
      <c r="AM474" s="128"/>
      <c r="AP474" s="128"/>
      <c r="AQ474" s="128"/>
      <c r="AR474" s="128"/>
      <c r="AS474" s="128"/>
      <c r="AT474" s="128"/>
      <c r="AU474" s="128"/>
    </row>
    <row r="475" ht="27" customHeight="1" spans="1:47">
      <c r="A475" s="154"/>
      <c r="O475" s="345"/>
      <c r="T475" s="314"/>
      <c r="U475" s="314"/>
      <c r="X475" s="342"/>
      <c r="Y475" s="343"/>
      <c r="AA475" s="344"/>
      <c r="AB475" s="344"/>
      <c r="AC475" s="344"/>
      <c r="AD475" s="344"/>
      <c r="AH475" s="128"/>
      <c r="AI475" s="128"/>
      <c r="AJ475" s="128"/>
      <c r="AK475" s="128"/>
      <c r="AL475" s="128"/>
      <c r="AM475" s="128"/>
      <c r="AP475" s="128"/>
      <c r="AQ475" s="128"/>
      <c r="AR475" s="128"/>
      <c r="AS475" s="128"/>
      <c r="AT475" s="128"/>
      <c r="AU475" s="128"/>
    </row>
    <row r="476" ht="27" customHeight="1" spans="1:47">
      <c r="A476" s="154"/>
      <c r="O476" s="345"/>
      <c r="T476" s="314"/>
      <c r="U476" s="314"/>
      <c r="X476" s="342"/>
      <c r="Y476" s="343"/>
      <c r="AA476" s="344"/>
      <c r="AB476" s="344"/>
      <c r="AC476" s="344"/>
      <c r="AD476" s="344"/>
      <c r="AH476" s="128"/>
      <c r="AI476" s="128"/>
      <c r="AJ476" s="128"/>
      <c r="AK476" s="128"/>
      <c r="AL476" s="128"/>
      <c r="AM476" s="128"/>
      <c r="AP476" s="128"/>
      <c r="AQ476" s="128"/>
      <c r="AR476" s="128"/>
      <c r="AS476" s="128"/>
      <c r="AT476" s="128"/>
      <c r="AU476" s="128"/>
    </row>
    <row r="477" ht="27" customHeight="1" spans="1:47">
      <c r="A477" s="154"/>
      <c r="O477" s="345"/>
      <c r="T477" s="314"/>
      <c r="U477" s="314"/>
      <c r="X477" s="342"/>
      <c r="Y477" s="343"/>
      <c r="AA477" s="344"/>
      <c r="AB477" s="344"/>
      <c r="AC477" s="344"/>
      <c r="AD477" s="344"/>
      <c r="AH477" s="128"/>
      <c r="AI477" s="128"/>
      <c r="AJ477" s="128"/>
      <c r="AK477" s="128"/>
      <c r="AL477" s="128"/>
      <c r="AM477" s="128"/>
      <c r="AP477" s="128"/>
      <c r="AQ477" s="128"/>
      <c r="AR477" s="128"/>
      <c r="AS477" s="128"/>
      <c r="AT477" s="128"/>
      <c r="AU477" s="128"/>
    </row>
    <row r="478" ht="27" customHeight="1" spans="1:47">
      <c r="A478" s="154"/>
      <c r="O478" s="345"/>
      <c r="T478" s="314"/>
      <c r="U478" s="314"/>
      <c r="X478" s="342"/>
      <c r="Y478" s="343"/>
      <c r="AA478" s="344"/>
      <c r="AB478" s="344"/>
      <c r="AC478" s="344"/>
      <c r="AD478" s="344"/>
      <c r="AH478" s="128"/>
      <c r="AI478" s="128"/>
      <c r="AJ478" s="128"/>
      <c r="AK478" s="128"/>
      <c r="AL478" s="128"/>
      <c r="AM478" s="128"/>
      <c r="AP478" s="128"/>
      <c r="AQ478" s="128"/>
      <c r="AR478" s="128"/>
      <c r="AS478" s="128"/>
      <c r="AT478" s="128"/>
      <c r="AU478" s="128"/>
    </row>
    <row r="479" ht="27" customHeight="1" spans="1:47">
      <c r="A479" s="154"/>
      <c r="O479" s="345"/>
      <c r="T479" s="314"/>
      <c r="U479" s="314"/>
      <c r="X479" s="342"/>
      <c r="Y479" s="343"/>
      <c r="AA479" s="344"/>
      <c r="AB479" s="344"/>
      <c r="AC479" s="344"/>
      <c r="AD479" s="344"/>
      <c r="AH479" s="128"/>
      <c r="AI479" s="128"/>
      <c r="AJ479" s="128"/>
      <c r="AK479" s="128"/>
      <c r="AL479" s="128"/>
      <c r="AM479" s="128"/>
      <c r="AP479" s="128"/>
      <c r="AQ479" s="128"/>
      <c r="AR479" s="128"/>
      <c r="AS479" s="128"/>
      <c r="AT479" s="128"/>
      <c r="AU479" s="128"/>
    </row>
    <row r="480" ht="27" customHeight="1" spans="1:47">
      <c r="A480" s="154"/>
      <c r="O480" s="345"/>
      <c r="T480" s="314"/>
      <c r="U480" s="314"/>
      <c r="X480" s="342"/>
      <c r="Y480" s="343"/>
      <c r="AA480" s="344"/>
      <c r="AB480" s="344"/>
      <c r="AC480" s="344"/>
      <c r="AD480" s="344"/>
      <c r="AH480" s="128"/>
      <c r="AI480" s="128"/>
      <c r="AJ480" s="128"/>
      <c r="AK480" s="128"/>
      <c r="AL480" s="128"/>
      <c r="AM480" s="128"/>
      <c r="AP480" s="128"/>
      <c r="AQ480" s="128"/>
      <c r="AR480" s="128"/>
      <c r="AS480" s="128"/>
      <c r="AT480" s="128"/>
      <c r="AU480" s="128"/>
    </row>
    <row r="481" ht="27" customHeight="1" spans="1:47">
      <c r="A481" s="154"/>
      <c r="O481" s="345"/>
      <c r="T481" s="314"/>
      <c r="U481" s="314"/>
      <c r="X481" s="342"/>
      <c r="Y481" s="343"/>
      <c r="AA481" s="344"/>
      <c r="AB481" s="344"/>
      <c r="AC481" s="344"/>
      <c r="AD481" s="344"/>
      <c r="AH481" s="128"/>
      <c r="AI481" s="128"/>
      <c r="AJ481" s="128"/>
      <c r="AK481" s="128"/>
      <c r="AL481" s="128"/>
      <c r="AM481" s="128"/>
      <c r="AP481" s="128"/>
      <c r="AQ481" s="128"/>
      <c r="AR481" s="128"/>
      <c r="AS481" s="128"/>
      <c r="AT481" s="128"/>
      <c r="AU481" s="128"/>
    </row>
    <row r="482" ht="27" customHeight="1" spans="1:47">
      <c r="A482" s="154"/>
      <c r="O482" s="345"/>
      <c r="T482" s="314"/>
      <c r="U482" s="314"/>
      <c r="X482" s="342"/>
      <c r="Y482" s="343"/>
      <c r="AA482" s="344"/>
      <c r="AB482" s="344"/>
      <c r="AC482" s="344"/>
      <c r="AD482" s="344"/>
      <c r="AH482" s="128"/>
      <c r="AI482" s="128"/>
      <c r="AJ482" s="128"/>
      <c r="AK482" s="128"/>
      <c r="AL482" s="128"/>
      <c r="AM482" s="128"/>
      <c r="AP482" s="128"/>
      <c r="AQ482" s="128"/>
      <c r="AR482" s="128"/>
      <c r="AS482" s="128"/>
      <c r="AT482" s="128"/>
      <c r="AU482" s="128"/>
    </row>
    <row r="483" ht="27" customHeight="1" spans="1:47">
      <c r="A483" s="154"/>
      <c r="O483" s="345"/>
      <c r="T483" s="314"/>
      <c r="U483" s="314"/>
      <c r="X483" s="342"/>
      <c r="Y483" s="343"/>
      <c r="AA483" s="344"/>
      <c r="AB483" s="344"/>
      <c r="AC483" s="344"/>
      <c r="AD483" s="344"/>
      <c r="AH483" s="128"/>
      <c r="AI483" s="128"/>
      <c r="AJ483" s="128"/>
      <c r="AK483" s="128"/>
      <c r="AL483" s="128"/>
      <c r="AM483" s="128"/>
      <c r="AP483" s="128"/>
      <c r="AQ483" s="128"/>
      <c r="AR483" s="128"/>
      <c r="AS483" s="128"/>
      <c r="AT483" s="128"/>
      <c r="AU483" s="128"/>
    </row>
    <row r="484" ht="27" customHeight="1" spans="1:47">
      <c r="A484" s="154"/>
      <c r="O484" s="345"/>
      <c r="T484" s="314"/>
      <c r="U484" s="314"/>
      <c r="X484" s="342"/>
      <c r="Y484" s="343"/>
      <c r="AA484" s="344"/>
      <c r="AB484" s="344"/>
      <c r="AC484" s="344"/>
      <c r="AD484" s="344"/>
      <c r="AH484" s="128"/>
      <c r="AI484" s="128"/>
      <c r="AJ484" s="128"/>
      <c r="AK484" s="128"/>
      <c r="AL484" s="128"/>
      <c r="AM484" s="128"/>
      <c r="AP484" s="128"/>
      <c r="AQ484" s="128"/>
      <c r="AR484" s="128"/>
      <c r="AS484" s="128"/>
      <c r="AT484" s="128"/>
      <c r="AU484" s="128"/>
    </row>
    <row r="485" ht="27" customHeight="1" spans="1:47">
      <c r="A485" s="154"/>
      <c r="O485" s="345"/>
      <c r="T485" s="314"/>
      <c r="U485" s="314"/>
      <c r="X485" s="342"/>
      <c r="Y485" s="343"/>
      <c r="AA485" s="344"/>
      <c r="AB485" s="344"/>
      <c r="AC485" s="344"/>
      <c r="AD485" s="344"/>
      <c r="AH485" s="128"/>
      <c r="AI485" s="128"/>
      <c r="AJ485" s="128"/>
      <c r="AK485" s="128"/>
      <c r="AL485" s="128"/>
      <c r="AM485" s="128"/>
      <c r="AP485" s="128"/>
      <c r="AQ485" s="128"/>
      <c r="AR485" s="128"/>
      <c r="AS485" s="128"/>
      <c r="AT485" s="128"/>
      <c r="AU485" s="128"/>
    </row>
    <row r="486" ht="27" customHeight="1" spans="1:47">
      <c r="A486" s="154"/>
      <c r="O486" s="345"/>
      <c r="T486" s="314"/>
      <c r="U486" s="314"/>
      <c r="X486" s="342"/>
      <c r="Y486" s="343"/>
      <c r="AA486" s="344"/>
      <c r="AB486" s="344"/>
      <c r="AC486" s="344"/>
      <c r="AD486" s="344"/>
      <c r="AH486" s="128"/>
      <c r="AI486" s="128"/>
      <c r="AJ486" s="128"/>
      <c r="AK486" s="128"/>
      <c r="AL486" s="128"/>
      <c r="AM486" s="128"/>
      <c r="AP486" s="128"/>
      <c r="AQ486" s="128"/>
      <c r="AR486" s="128"/>
      <c r="AS486" s="128"/>
      <c r="AT486" s="128"/>
      <c r="AU486" s="128"/>
    </row>
    <row r="487" ht="27" customHeight="1" spans="1:47">
      <c r="A487" s="154"/>
      <c r="O487" s="345"/>
      <c r="T487" s="314"/>
      <c r="U487" s="314"/>
      <c r="X487" s="342"/>
      <c r="Y487" s="343"/>
      <c r="AA487" s="344"/>
      <c r="AB487" s="344"/>
      <c r="AC487" s="344"/>
      <c r="AD487" s="344"/>
      <c r="AH487" s="128"/>
      <c r="AI487" s="128"/>
      <c r="AJ487" s="128"/>
      <c r="AK487" s="128"/>
      <c r="AL487" s="128"/>
      <c r="AM487" s="128"/>
      <c r="AP487" s="128"/>
      <c r="AQ487" s="128"/>
      <c r="AR487" s="128"/>
      <c r="AS487" s="128"/>
      <c r="AT487" s="128"/>
      <c r="AU487" s="128"/>
    </row>
    <row r="488" ht="27" customHeight="1" spans="1:47">
      <c r="A488" s="154"/>
      <c r="O488" s="345"/>
      <c r="T488" s="314"/>
      <c r="U488" s="314"/>
      <c r="X488" s="342"/>
      <c r="Y488" s="343"/>
      <c r="AA488" s="344"/>
      <c r="AB488" s="344"/>
      <c r="AC488" s="344"/>
      <c r="AD488" s="344"/>
      <c r="AH488" s="128"/>
      <c r="AI488" s="128"/>
      <c r="AJ488" s="128"/>
      <c r="AK488" s="128"/>
      <c r="AL488" s="128"/>
      <c r="AM488" s="128"/>
      <c r="AP488" s="128"/>
      <c r="AQ488" s="128"/>
      <c r="AR488" s="128"/>
      <c r="AS488" s="128"/>
      <c r="AT488" s="128"/>
      <c r="AU488" s="128"/>
    </row>
    <row r="489" ht="27" customHeight="1" spans="1:47">
      <c r="A489" s="154"/>
      <c r="O489" s="345"/>
      <c r="T489" s="314"/>
      <c r="U489" s="314"/>
      <c r="X489" s="342"/>
      <c r="Y489" s="343"/>
      <c r="AA489" s="344"/>
      <c r="AB489" s="344"/>
      <c r="AC489" s="344"/>
      <c r="AD489" s="344"/>
      <c r="AH489" s="128"/>
      <c r="AI489" s="128"/>
      <c r="AJ489" s="128"/>
      <c r="AK489" s="128"/>
      <c r="AL489" s="128"/>
      <c r="AM489" s="128"/>
      <c r="AP489" s="128"/>
      <c r="AQ489" s="128"/>
      <c r="AR489" s="128"/>
      <c r="AS489" s="128"/>
      <c r="AT489" s="128"/>
      <c r="AU489" s="128"/>
    </row>
    <row r="490" ht="27" customHeight="1" spans="1:47">
      <c r="A490" s="154"/>
      <c r="O490" s="345"/>
      <c r="R490" s="346"/>
      <c r="T490" s="314"/>
      <c r="U490" s="314"/>
      <c r="X490" s="342"/>
      <c r="Y490" s="343"/>
      <c r="AA490" s="344"/>
      <c r="AB490" s="344"/>
      <c r="AC490" s="344"/>
      <c r="AD490" s="344"/>
      <c r="AH490" s="128"/>
      <c r="AI490" s="128"/>
      <c r="AJ490" s="128"/>
      <c r="AK490" s="128"/>
      <c r="AL490" s="128"/>
      <c r="AM490" s="128"/>
      <c r="AP490" s="128"/>
      <c r="AQ490" s="128"/>
      <c r="AR490" s="128"/>
      <c r="AS490" s="128"/>
      <c r="AT490" s="128"/>
      <c r="AU490" s="128"/>
    </row>
    <row r="491" ht="27" customHeight="1" spans="1:47">
      <c r="A491" s="154"/>
      <c r="O491" s="345"/>
      <c r="T491" s="314"/>
      <c r="U491" s="314"/>
      <c r="X491" s="342"/>
      <c r="Y491" s="343"/>
      <c r="AA491" s="344"/>
      <c r="AB491" s="344"/>
      <c r="AC491" s="344"/>
      <c r="AD491" s="344"/>
      <c r="AH491" s="128"/>
      <c r="AI491" s="128"/>
      <c r="AJ491" s="128"/>
      <c r="AK491" s="128"/>
      <c r="AL491" s="128"/>
      <c r="AM491" s="128"/>
      <c r="AP491" s="128"/>
      <c r="AQ491" s="128"/>
      <c r="AR491" s="128"/>
      <c r="AS491" s="128"/>
      <c r="AT491" s="128"/>
      <c r="AU491" s="128"/>
    </row>
    <row r="492" ht="27" customHeight="1" spans="1:47">
      <c r="A492" s="154"/>
      <c r="O492" s="345"/>
      <c r="T492" s="314"/>
      <c r="U492" s="314"/>
      <c r="X492" s="342"/>
      <c r="Y492" s="343"/>
      <c r="AA492" s="344"/>
      <c r="AB492" s="344"/>
      <c r="AC492" s="344"/>
      <c r="AD492" s="344"/>
      <c r="AH492" s="128"/>
      <c r="AI492" s="128"/>
      <c r="AJ492" s="128"/>
      <c r="AK492" s="128"/>
      <c r="AL492" s="128"/>
      <c r="AM492" s="128"/>
      <c r="AP492" s="128"/>
      <c r="AQ492" s="128"/>
      <c r="AR492" s="128"/>
      <c r="AS492" s="128"/>
      <c r="AT492" s="128"/>
      <c r="AU492" s="128"/>
    </row>
    <row r="493" ht="27" customHeight="1" spans="1:47">
      <c r="A493" s="154"/>
      <c r="O493" s="345"/>
      <c r="T493" s="314"/>
      <c r="U493" s="314"/>
      <c r="X493" s="342"/>
      <c r="Y493" s="343"/>
      <c r="AA493" s="344"/>
      <c r="AB493" s="344"/>
      <c r="AC493" s="344"/>
      <c r="AD493" s="344"/>
      <c r="AH493" s="128"/>
      <c r="AI493" s="128"/>
      <c r="AJ493" s="128"/>
      <c r="AK493" s="128"/>
      <c r="AL493" s="128"/>
      <c r="AM493" s="128"/>
      <c r="AP493" s="128"/>
      <c r="AQ493" s="128"/>
      <c r="AR493" s="128"/>
      <c r="AS493" s="128"/>
      <c r="AT493" s="128"/>
      <c r="AU493" s="128"/>
    </row>
    <row r="494" ht="27" customHeight="1" spans="1:47">
      <c r="A494" s="154"/>
      <c r="O494" s="345"/>
      <c r="T494" s="314"/>
      <c r="U494" s="314"/>
      <c r="X494" s="342"/>
      <c r="Y494" s="343"/>
      <c r="AA494" s="344"/>
      <c r="AB494" s="344"/>
      <c r="AC494" s="344"/>
      <c r="AD494" s="344"/>
      <c r="AH494" s="128"/>
      <c r="AI494" s="128"/>
      <c r="AJ494" s="128"/>
      <c r="AK494" s="128"/>
      <c r="AL494" s="128"/>
      <c r="AM494" s="128"/>
      <c r="AP494" s="128"/>
      <c r="AQ494" s="128"/>
      <c r="AR494" s="128"/>
      <c r="AS494" s="128"/>
      <c r="AT494" s="128"/>
      <c r="AU494" s="128"/>
    </row>
    <row r="495" ht="27" customHeight="1" spans="1:47">
      <c r="A495" s="154"/>
      <c r="O495" s="345"/>
      <c r="T495" s="314"/>
      <c r="U495" s="314"/>
      <c r="X495" s="342"/>
      <c r="Y495" s="343"/>
      <c r="AA495" s="344"/>
      <c r="AB495" s="344"/>
      <c r="AC495" s="344"/>
      <c r="AD495" s="344"/>
      <c r="AH495" s="128"/>
      <c r="AI495" s="128"/>
      <c r="AJ495" s="128"/>
      <c r="AK495" s="128"/>
      <c r="AL495" s="128"/>
      <c r="AM495" s="128"/>
      <c r="AP495" s="128"/>
      <c r="AQ495" s="128"/>
      <c r="AR495" s="128"/>
      <c r="AS495" s="128"/>
      <c r="AT495" s="128"/>
      <c r="AU495" s="128"/>
    </row>
    <row r="496" ht="27" customHeight="1" spans="1:47">
      <c r="A496" s="154"/>
      <c r="O496" s="345"/>
      <c r="T496" s="314"/>
      <c r="U496" s="314"/>
      <c r="X496" s="342"/>
      <c r="Y496" s="343"/>
      <c r="AA496" s="344"/>
      <c r="AB496" s="344"/>
      <c r="AC496" s="344"/>
      <c r="AD496" s="344"/>
      <c r="AH496" s="128"/>
      <c r="AI496" s="128"/>
      <c r="AJ496" s="128"/>
      <c r="AK496" s="128"/>
      <c r="AL496" s="128"/>
      <c r="AM496" s="128"/>
      <c r="AP496" s="128"/>
      <c r="AQ496" s="128"/>
      <c r="AR496" s="128"/>
      <c r="AS496" s="128"/>
      <c r="AT496" s="128"/>
      <c r="AU496" s="128"/>
    </row>
    <row r="497" ht="27" customHeight="1" spans="1:47">
      <c r="A497" s="154"/>
      <c r="O497" s="345"/>
      <c r="T497" s="314"/>
      <c r="U497" s="314"/>
      <c r="X497" s="342"/>
      <c r="Y497" s="343"/>
      <c r="AA497" s="344"/>
      <c r="AB497" s="344"/>
      <c r="AC497" s="344"/>
      <c r="AD497" s="344"/>
      <c r="AH497" s="128"/>
      <c r="AI497" s="128"/>
      <c r="AJ497" s="128"/>
      <c r="AK497" s="128"/>
      <c r="AL497" s="128"/>
      <c r="AM497" s="128"/>
      <c r="AP497" s="128"/>
      <c r="AQ497" s="128"/>
      <c r="AR497" s="128"/>
      <c r="AS497" s="128"/>
      <c r="AT497" s="128"/>
      <c r="AU497" s="128"/>
    </row>
    <row r="498" ht="27" customHeight="1" spans="1:47">
      <c r="A498" s="154"/>
      <c r="O498" s="345"/>
      <c r="T498" s="314"/>
      <c r="U498" s="314"/>
      <c r="X498" s="342"/>
      <c r="Y498" s="343"/>
      <c r="AA498" s="344"/>
      <c r="AB498" s="344"/>
      <c r="AC498" s="344"/>
      <c r="AD498" s="344"/>
      <c r="AH498" s="128"/>
      <c r="AI498" s="128"/>
      <c r="AJ498" s="128"/>
      <c r="AK498" s="128"/>
      <c r="AL498" s="128"/>
      <c r="AM498" s="128"/>
      <c r="AP498" s="128"/>
      <c r="AQ498" s="128"/>
      <c r="AR498" s="128"/>
      <c r="AS498" s="128"/>
      <c r="AT498" s="128"/>
      <c r="AU498" s="128"/>
    </row>
    <row r="499" ht="27" customHeight="1" spans="1:47">
      <c r="A499" s="154"/>
      <c r="O499" s="345"/>
      <c r="T499" s="314"/>
      <c r="U499" s="314"/>
      <c r="X499" s="342"/>
      <c r="Y499" s="343"/>
      <c r="AA499" s="344"/>
      <c r="AB499" s="344"/>
      <c r="AC499" s="344"/>
      <c r="AD499" s="344"/>
      <c r="AH499" s="128"/>
      <c r="AI499" s="128"/>
      <c r="AJ499" s="128"/>
      <c r="AK499" s="128"/>
      <c r="AL499" s="128"/>
      <c r="AM499" s="128"/>
      <c r="AP499" s="128"/>
      <c r="AQ499" s="128"/>
      <c r="AR499" s="128"/>
      <c r="AS499" s="128"/>
      <c r="AT499" s="128"/>
      <c r="AU499" s="128"/>
    </row>
    <row r="500" ht="27" customHeight="1" spans="1:47">
      <c r="A500" s="154"/>
      <c r="O500" s="345"/>
      <c r="T500" s="314"/>
      <c r="U500" s="314"/>
      <c r="X500" s="342"/>
      <c r="Y500" s="343"/>
      <c r="AA500" s="344"/>
      <c r="AB500" s="344"/>
      <c r="AC500" s="344"/>
      <c r="AD500" s="344"/>
      <c r="AH500" s="128"/>
      <c r="AI500" s="128"/>
      <c r="AJ500" s="128"/>
      <c r="AK500" s="128"/>
      <c r="AL500" s="128"/>
      <c r="AM500" s="128"/>
      <c r="AP500" s="128"/>
      <c r="AQ500" s="128"/>
      <c r="AR500" s="128"/>
      <c r="AS500" s="128"/>
      <c r="AT500" s="128"/>
      <c r="AU500" s="128"/>
    </row>
    <row r="501" ht="27" customHeight="1" spans="1:47">
      <c r="A501" s="154"/>
      <c r="O501" s="345"/>
      <c r="T501" s="314"/>
      <c r="U501" s="314"/>
      <c r="X501" s="342"/>
      <c r="Y501" s="343"/>
      <c r="AA501" s="344"/>
      <c r="AB501" s="344"/>
      <c r="AC501" s="344"/>
      <c r="AD501" s="344"/>
      <c r="AH501" s="128"/>
      <c r="AI501" s="128"/>
      <c r="AJ501" s="128"/>
      <c r="AK501" s="128"/>
      <c r="AL501" s="128"/>
      <c r="AM501" s="128"/>
      <c r="AP501" s="128"/>
      <c r="AQ501" s="128"/>
      <c r="AR501" s="128"/>
      <c r="AS501" s="128"/>
      <c r="AT501" s="128"/>
      <c r="AU501" s="128"/>
    </row>
    <row r="502" ht="27" customHeight="1" spans="1:47">
      <c r="A502" s="154"/>
      <c r="O502" s="345"/>
      <c r="T502" s="314"/>
      <c r="U502" s="314"/>
      <c r="X502" s="342"/>
      <c r="Y502" s="343"/>
      <c r="AA502" s="344"/>
      <c r="AB502" s="344"/>
      <c r="AC502" s="344"/>
      <c r="AD502" s="344"/>
      <c r="AH502" s="128"/>
      <c r="AI502" s="128"/>
      <c r="AJ502" s="128"/>
      <c r="AK502" s="128"/>
      <c r="AL502" s="128"/>
      <c r="AM502" s="128"/>
      <c r="AP502" s="128"/>
      <c r="AQ502" s="128"/>
      <c r="AR502" s="128"/>
      <c r="AS502" s="128"/>
      <c r="AT502" s="128"/>
      <c r="AU502" s="128"/>
    </row>
    <row r="503" ht="27" customHeight="1" spans="1:47">
      <c r="A503" s="154"/>
      <c r="O503" s="345"/>
      <c r="T503" s="314"/>
      <c r="U503" s="314"/>
      <c r="X503" s="342"/>
      <c r="Y503" s="343"/>
      <c r="AA503" s="344"/>
      <c r="AB503" s="344"/>
      <c r="AC503" s="344"/>
      <c r="AD503" s="344"/>
      <c r="AH503" s="128"/>
      <c r="AI503" s="128"/>
      <c r="AJ503" s="128"/>
      <c r="AK503" s="128"/>
      <c r="AL503" s="128"/>
      <c r="AM503" s="128"/>
      <c r="AP503" s="128"/>
      <c r="AQ503" s="128"/>
      <c r="AR503" s="128"/>
      <c r="AS503" s="128"/>
      <c r="AT503" s="128"/>
      <c r="AU503" s="128"/>
    </row>
    <row r="504" ht="27" customHeight="1" spans="1:47">
      <c r="A504" s="154"/>
      <c r="O504" s="345"/>
      <c r="T504" s="314"/>
      <c r="U504" s="314"/>
      <c r="X504" s="342"/>
      <c r="Y504" s="343"/>
      <c r="AA504" s="344"/>
      <c r="AB504" s="344"/>
      <c r="AC504" s="344"/>
      <c r="AD504" s="344"/>
      <c r="AH504" s="128"/>
      <c r="AI504" s="128"/>
      <c r="AJ504" s="128"/>
      <c r="AK504" s="128"/>
      <c r="AL504" s="128"/>
      <c r="AM504" s="128"/>
      <c r="AP504" s="128"/>
      <c r="AQ504" s="128"/>
      <c r="AR504" s="128"/>
      <c r="AS504" s="128"/>
      <c r="AT504" s="128"/>
      <c r="AU504" s="128"/>
    </row>
    <row r="505" ht="27" customHeight="1" spans="1:47">
      <c r="A505" s="154"/>
      <c r="O505" s="345"/>
      <c r="T505" s="314"/>
      <c r="U505" s="314"/>
      <c r="X505" s="342"/>
      <c r="Y505" s="343"/>
      <c r="AA505" s="344"/>
      <c r="AB505" s="344"/>
      <c r="AC505" s="344"/>
      <c r="AD505" s="344"/>
      <c r="AH505" s="128"/>
      <c r="AI505" s="128"/>
      <c r="AJ505" s="128"/>
      <c r="AK505" s="128"/>
      <c r="AL505" s="128"/>
      <c r="AM505" s="128"/>
      <c r="AP505" s="128"/>
      <c r="AQ505" s="128"/>
      <c r="AR505" s="128"/>
      <c r="AS505" s="128"/>
      <c r="AT505" s="128"/>
      <c r="AU505" s="128"/>
    </row>
    <row r="506" ht="27" customHeight="1" spans="1:47">
      <c r="A506" s="154"/>
      <c r="O506" s="345"/>
      <c r="T506" s="314"/>
      <c r="U506" s="314"/>
      <c r="X506" s="342"/>
      <c r="Y506" s="343"/>
      <c r="AA506" s="344"/>
      <c r="AB506" s="344"/>
      <c r="AC506" s="344"/>
      <c r="AD506" s="344"/>
      <c r="AH506" s="128"/>
      <c r="AI506" s="128"/>
      <c r="AJ506" s="128"/>
      <c r="AK506" s="128"/>
      <c r="AL506" s="128"/>
      <c r="AM506" s="128"/>
      <c r="AP506" s="128"/>
      <c r="AQ506" s="128"/>
      <c r="AR506" s="128"/>
      <c r="AS506" s="128"/>
      <c r="AT506" s="128"/>
      <c r="AU506" s="128"/>
    </row>
    <row r="507" ht="27" customHeight="1" spans="1:47">
      <c r="A507" s="154"/>
      <c r="O507" s="345"/>
      <c r="R507" s="346"/>
      <c r="T507" s="314"/>
      <c r="U507" s="314"/>
      <c r="X507" s="342"/>
      <c r="Y507" s="343"/>
      <c r="AA507" s="344"/>
      <c r="AB507" s="344"/>
      <c r="AC507" s="344"/>
      <c r="AD507" s="344"/>
      <c r="AH507" s="128"/>
      <c r="AI507" s="128"/>
      <c r="AJ507" s="128"/>
      <c r="AK507" s="128"/>
      <c r="AL507" s="128"/>
      <c r="AM507" s="128"/>
      <c r="AP507" s="128"/>
      <c r="AQ507" s="128"/>
      <c r="AR507" s="128"/>
      <c r="AS507" s="128"/>
      <c r="AT507" s="128"/>
      <c r="AU507" s="128"/>
    </row>
    <row r="508" ht="27" customHeight="1" spans="1:47">
      <c r="A508" s="154"/>
      <c r="O508" s="345"/>
      <c r="T508" s="314"/>
      <c r="U508" s="314"/>
      <c r="X508" s="342"/>
      <c r="Y508" s="343"/>
      <c r="AA508" s="344"/>
      <c r="AB508" s="344"/>
      <c r="AC508" s="344"/>
      <c r="AD508" s="344"/>
      <c r="AH508" s="128"/>
      <c r="AI508" s="128"/>
      <c r="AJ508" s="128"/>
      <c r="AK508" s="128"/>
      <c r="AL508" s="128"/>
      <c r="AM508" s="128"/>
      <c r="AP508" s="128"/>
      <c r="AQ508" s="128"/>
      <c r="AR508" s="128"/>
      <c r="AS508" s="128"/>
      <c r="AT508" s="128"/>
      <c r="AU508" s="128"/>
    </row>
    <row r="509" ht="27" customHeight="1" spans="1:47">
      <c r="A509" s="154"/>
      <c r="O509" s="345"/>
      <c r="T509" s="314"/>
      <c r="U509" s="314"/>
      <c r="X509" s="342"/>
      <c r="Y509" s="343"/>
      <c r="AA509" s="344"/>
      <c r="AB509" s="344"/>
      <c r="AC509" s="344"/>
      <c r="AD509" s="344"/>
      <c r="AH509" s="128"/>
      <c r="AI509" s="128"/>
      <c r="AJ509" s="128"/>
      <c r="AK509" s="128"/>
      <c r="AL509" s="128"/>
      <c r="AM509" s="128"/>
      <c r="AP509" s="128"/>
      <c r="AQ509" s="128"/>
      <c r="AR509" s="128"/>
      <c r="AS509" s="128"/>
      <c r="AT509" s="128"/>
      <c r="AU509" s="128"/>
    </row>
    <row r="510" ht="27" customHeight="1" spans="1:47">
      <c r="A510" s="154"/>
      <c r="O510" s="345"/>
      <c r="T510" s="314"/>
      <c r="U510" s="314"/>
      <c r="X510" s="342"/>
      <c r="Y510" s="343"/>
      <c r="AA510" s="344"/>
      <c r="AB510" s="344"/>
      <c r="AC510" s="344"/>
      <c r="AD510" s="344"/>
      <c r="AH510" s="128"/>
      <c r="AI510" s="128"/>
      <c r="AJ510" s="128"/>
      <c r="AK510" s="128"/>
      <c r="AL510" s="128"/>
      <c r="AM510" s="128"/>
      <c r="AP510" s="128"/>
      <c r="AQ510" s="128"/>
      <c r="AR510" s="128"/>
      <c r="AS510" s="128"/>
      <c r="AT510" s="128"/>
      <c r="AU510" s="128"/>
    </row>
    <row r="511" ht="27" customHeight="1" spans="1:47">
      <c r="A511" s="154"/>
      <c r="O511" s="345"/>
      <c r="T511" s="314"/>
      <c r="U511" s="314"/>
      <c r="X511" s="342"/>
      <c r="Y511" s="343"/>
      <c r="AA511" s="344"/>
      <c r="AB511" s="344"/>
      <c r="AC511" s="344"/>
      <c r="AD511" s="344"/>
      <c r="AH511" s="128"/>
      <c r="AI511" s="128"/>
      <c r="AJ511" s="128"/>
      <c r="AK511" s="128"/>
      <c r="AL511" s="128"/>
      <c r="AM511" s="128"/>
      <c r="AP511" s="128"/>
      <c r="AQ511" s="128"/>
      <c r="AR511" s="128"/>
      <c r="AS511" s="128"/>
      <c r="AT511" s="128"/>
      <c r="AU511" s="128"/>
    </row>
    <row r="512" ht="27" customHeight="1" spans="1:47">
      <c r="A512" s="154"/>
      <c r="O512" s="345"/>
      <c r="T512" s="314"/>
      <c r="U512" s="314"/>
      <c r="X512" s="342"/>
      <c r="Y512" s="343"/>
      <c r="AA512" s="344"/>
      <c r="AB512" s="344"/>
      <c r="AC512" s="344"/>
      <c r="AD512" s="344"/>
      <c r="AH512" s="128"/>
      <c r="AI512" s="128"/>
      <c r="AJ512" s="128"/>
      <c r="AK512" s="128"/>
      <c r="AL512" s="128"/>
      <c r="AM512" s="128"/>
      <c r="AP512" s="128"/>
      <c r="AQ512" s="128"/>
      <c r="AR512" s="128"/>
      <c r="AS512" s="128"/>
      <c r="AT512" s="128"/>
      <c r="AU512" s="128"/>
    </row>
    <row r="513" ht="27" customHeight="1" spans="1:47">
      <c r="A513" s="154"/>
      <c r="O513" s="345"/>
      <c r="T513" s="314"/>
      <c r="U513" s="314"/>
      <c r="X513" s="342"/>
      <c r="Y513" s="343"/>
      <c r="AA513" s="344"/>
      <c r="AB513" s="344"/>
      <c r="AC513" s="344"/>
      <c r="AD513" s="344"/>
      <c r="AH513" s="128"/>
      <c r="AI513" s="128"/>
      <c r="AJ513" s="128"/>
      <c r="AK513" s="128"/>
      <c r="AL513" s="128"/>
      <c r="AM513" s="128"/>
      <c r="AP513" s="128"/>
      <c r="AQ513" s="128"/>
      <c r="AR513" s="128"/>
      <c r="AS513" s="128"/>
      <c r="AT513" s="128"/>
      <c r="AU513" s="128"/>
    </row>
    <row r="514" ht="27" customHeight="1" spans="1:47">
      <c r="A514" s="154"/>
      <c r="O514" s="345"/>
      <c r="T514" s="314"/>
      <c r="U514" s="314"/>
      <c r="X514" s="342"/>
      <c r="Y514" s="343"/>
      <c r="AA514" s="344"/>
      <c r="AB514" s="344"/>
      <c r="AC514" s="344"/>
      <c r="AD514" s="344"/>
      <c r="AH514" s="128"/>
      <c r="AI514" s="128"/>
      <c r="AJ514" s="128"/>
      <c r="AK514" s="128"/>
      <c r="AL514" s="128"/>
      <c r="AM514" s="128"/>
      <c r="AP514" s="128"/>
      <c r="AQ514" s="128"/>
      <c r="AR514" s="128"/>
      <c r="AS514" s="128"/>
      <c r="AT514" s="128"/>
      <c r="AU514" s="128"/>
    </row>
    <row r="515" ht="27" customHeight="1" spans="1:47">
      <c r="A515" s="154"/>
      <c r="O515" s="345"/>
      <c r="T515" s="314"/>
      <c r="U515" s="314"/>
      <c r="X515" s="342"/>
      <c r="Y515" s="343"/>
      <c r="AA515" s="344"/>
      <c r="AB515" s="344"/>
      <c r="AC515" s="344"/>
      <c r="AD515" s="344"/>
      <c r="AH515" s="128"/>
      <c r="AI515" s="128"/>
      <c r="AJ515" s="128"/>
      <c r="AK515" s="128"/>
      <c r="AL515" s="128"/>
      <c r="AM515" s="128"/>
      <c r="AP515" s="128"/>
      <c r="AQ515" s="128"/>
      <c r="AR515" s="128"/>
      <c r="AS515" s="128"/>
      <c r="AT515" s="128"/>
      <c r="AU515" s="128"/>
    </row>
    <row r="516" ht="27" customHeight="1" spans="1:47">
      <c r="A516" s="154"/>
      <c r="O516" s="345"/>
      <c r="T516" s="314"/>
      <c r="U516" s="314"/>
      <c r="X516" s="342"/>
      <c r="Y516" s="343"/>
      <c r="AA516" s="344"/>
      <c r="AB516" s="344"/>
      <c r="AC516" s="344"/>
      <c r="AD516" s="344"/>
      <c r="AH516" s="128"/>
      <c r="AI516" s="128"/>
      <c r="AJ516" s="128"/>
      <c r="AK516" s="128"/>
      <c r="AL516" s="128"/>
      <c r="AM516" s="128"/>
      <c r="AP516" s="128"/>
      <c r="AQ516" s="128"/>
      <c r="AR516" s="128"/>
      <c r="AS516" s="128"/>
      <c r="AT516" s="128"/>
      <c r="AU516" s="128"/>
    </row>
    <row r="517" ht="27" customHeight="1" spans="1:47">
      <c r="A517" s="154"/>
      <c r="O517" s="345"/>
      <c r="T517" s="314"/>
      <c r="U517" s="314"/>
      <c r="X517" s="342"/>
      <c r="Y517" s="343"/>
      <c r="AA517" s="344"/>
      <c r="AB517" s="344"/>
      <c r="AC517" s="344"/>
      <c r="AD517" s="344"/>
      <c r="AH517" s="128"/>
      <c r="AI517" s="128"/>
      <c r="AJ517" s="128"/>
      <c r="AK517" s="128"/>
      <c r="AL517" s="128"/>
      <c r="AM517" s="128"/>
      <c r="AP517" s="128"/>
      <c r="AQ517" s="128"/>
      <c r="AR517" s="128"/>
      <c r="AS517" s="128"/>
      <c r="AT517" s="128"/>
      <c r="AU517" s="128"/>
    </row>
    <row r="518" ht="27" customHeight="1" spans="1:47">
      <c r="A518" s="154"/>
      <c r="O518" s="345"/>
      <c r="T518" s="314"/>
      <c r="U518" s="314"/>
      <c r="X518" s="342"/>
      <c r="Y518" s="343"/>
      <c r="AA518" s="344"/>
      <c r="AB518" s="344"/>
      <c r="AC518" s="344"/>
      <c r="AD518" s="344"/>
      <c r="AH518" s="128"/>
      <c r="AI518" s="128"/>
      <c r="AJ518" s="128"/>
      <c r="AK518" s="128"/>
      <c r="AL518" s="128"/>
      <c r="AM518" s="128"/>
      <c r="AP518" s="128"/>
      <c r="AQ518" s="128"/>
      <c r="AR518" s="128"/>
      <c r="AS518" s="128"/>
      <c r="AT518" s="128"/>
      <c r="AU518" s="128"/>
    </row>
    <row r="519" ht="27" customHeight="1" spans="1:47">
      <c r="A519" s="154"/>
      <c r="O519" s="345"/>
      <c r="T519" s="314"/>
      <c r="U519" s="314"/>
      <c r="X519" s="342"/>
      <c r="Y519" s="343"/>
      <c r="AA519" s="344"/>
      <c r="AB519" s="344"/>
      <c r="AC519" s="344"/>
      <c r="AD519" s="344"/>
      <c r="AH519" s="128"/>
      <c r="AI519" s="128"/>
      <c r="AJ519" s="128"/>
      <c r="AK519" s="128"/>
      <c r="AL519" s="128"/>
      <c r="AM519" s="128"/>
      <c r="AP519" s="128"/>
      <c r="AQ519" s="128"/>
      <c r="AR519" s="128"/>
      <c r="AS519" s="128"/>
      <c r="AT519" s="128"/>
      <c r="AU519" s="128"/>
    </row>
    <row r="520" ht="27" customHeight="1" spans="1:47">
      <c r="A520" s="154"/>
      <c r="O520" s="345"/>
      <c r="T520" s="314"/>
      <c r="U520" s="314"/>
      <c r="X520" s="342"/>
      <c r="Y520" s="343"/>
      <c r="AA520" s="344"/>
      <c r="AB520" s="344"/>
      <c r="AC520" s="344"/>
      <c r="AD520" s="344"/>
      <c r="AH520" s="128"/>
      <c r="AI520" s="128"/>
      <c r="AJ520" s="128"/>
      <c r="AK520" s="128"/>
      <c r="AL520" s="128"/>
      <c r="AM520" s="128"/>
      <c r="AP520" s="128"/>
      <c r="AQ520" s="128"/>
      <c r="AR520" s="128"/>
      <c r="AS520" s="128"/>
      <c r="AT520" s="128"/>
      <c r="AU520" s="128"/>
    </row>
    <row r="521" ht="27" customHeight="1" spans="1:47">
      <c r="A521" s="154"/>
      <c r="O521" s="345"/>
      <c r="T521" s="314"/>
      <c r="U521" s="314"/>
      <c r="X521" s="342"/>
      <c r="Y521" s="343"/>
      <c r="AA521" s="344"/>
      <c r="AB521" s="344"/>
      <c r="AC521" s="344"/>
      <c r="AD521" s="344"/>
      <c r="AH521" s="128"/>
      <c r="AI521" s="128"/>
      <c r="AJ521" s="128"/>
      <c r="AK521" s="128"/>
      <c r="AL521" s="128"/>
      <c r="AM521" s="128"/>
      <c r="AP521" s="128"/>
      <c r="AQ521" s="128"/>
      <c r="AR521" s="128"/>
      <c r="AS521" s="128"/>
      <c r="AT521" s="128"/>
      <c r="AU521" s="128"/>
    </row>
    <row r="522" ht="27" customHeight="1" spans="1:47">
      <c r="A522" s="154"/>
      <c r="O522" s="345"/>
      <c r="T522" s="314"/>
      <c r="U522" s="314"/>
      <c r="X522" s="342"/>
      <c r="Y522" s="343"/>
      <c r="AA522" s="344"/>
      <c r="AB522" s="344"/>
      <c r="AC522" s="344"/>
      <c r="AD522" s="344"/>
      <c r="AH522" s="128"/>
      <c r="AI522" s="128"/>
      <c r="AJ522" s="128"/>
      <c r="AK522" s="128"/>
      <c r="AL522" s="128"/>
      <c r="AM522" s="128"/>
      <c r="AP522" s="128"/>
      <c r="AQ522" s="128"/>
      <c r="AR522" s="128"/>
      <c r="AS522" s="128"/>
      <c r="AT522" s="128"/>
      <c r="AU522" s="128"/>
    </row>
    <row r="523" ht="27" customHeight="1" spans="1:47">
      <c r="A523" s="154"/>
      <c r="O523" s="345"/>
      <c r="T523" s="314"/>
      <c r="U523" s="314"/>
      <c r="X523" s="342"/>
      <c r="Y523" s="343"/>
      <c r="AA523" s="344"/>
      <c r="AB523" s="344"/>
      <c r="AC523" s="344"/>
      <c r="AD523" s="344"/>
      <c r="AH523" s="128"/>
      <c r="AI523" s="128"/>
      <c r="AJ523" s="128"/>
      <c r="AK523" s="128"/>
      <c r="AL523" s="128"/>
      <c r="AM523" s="128"/>
      <c r="AP523" s="128"/>
      <c r="AQ523" s="128"/>
      <c r="AR523" s="128"/>
      <c r="AS523" s="128"/>
      <c r="AT523" s="128"/>
      <c r="AU523" s="128"/>
    </row>
    <row r="524" ht="27" customHeight="1" spans="1:47">
      <c r="A524" s="154"/>
      <c r="O524" s="345"/>
      <c r="T524" s="314"/>
      <c r="U524" s="314"/>
      <c r="X524" s="342"/>
      <c r="Y524" s="343"/>
      <c r="AA524" s="344"/>
      <c r="AB524" s="344"/>
      <c r="AC524" s="344"/>
      <c r="AD524" s="344"/>
      <c r="AH524" s="128"/>
      <c r="AI524" s="128"/>
      <c r="AJ524" s="128"/>
      <c r="AK524" s="128"/>
      <c r="AL524" s="128"/>
      <c r="AM524" s="128"/>
      <c r="AP524" s="128"/>
      <c r="AQ524" s="128"/>
      <c r="AR524" s="128"/>
      <c r="AS524" s="128"/>
      <c r="AT524" s="128"/>
      <c r="AU524" s="128"/>
    </row>
    <row r="525" ht="27" customHeight="1" spans="1:47">
      <c r="A525" s="154"/>
      <c r="O525" s="345"/>
      <c r="T525" s="314"/>
      <c r="U525" s="314"/>
      <c r="X525" s="342"/>
      <c r="Y525" s="343"/>
      <c r="AA525" s="344"/>
      <c r="AB525" s="344"/>
      <c r="AC525" s="344"/>
      <c r="AD525" s="344"/>
      <c r="AH525" s="128"/>
      <c r="AI525" s="128"/>
      <c r="AJ525" s="128"/>
      <c r="AK525" s="128"/>
      <c r="AL525" s="128"/>
      <c r="AM525" s="128"/>
      <c r="AP525" s="128"/>
      <c r="AQ525" s="128"/>
      <c r="AR525" s="128"/>
      <c r="AS525" s="128"/>
      <c r="AT525" s="128"/>
      <c r="AU525" s="128"/>
    </row>
    <row r="526" ht="27" customHeight="1" spans="1:47">
      <c r="A526" s="154"/>
      <c r="O526" s="345"/>
      <c r="T526" s="314"/>
      <c r="U526" s="314"/>
      <c r="X526" s="342"/>
      <c r="Y526" s="343"/>
      <c r="AA526" s="344"/>
      <c r="AB526" s="344"/>
      <c r="AC526" s="344"/>
      <c r="AD526" s="344"/>
      <c r="AH526" s="128"/>
      <c r="AI526" s="128"/>
      <c r="AJ526" s="128"/>
      <c r="AK526" s="128"/>
      <c r="AL526" s="128"/>
      <c r="AM526" s="128"/>
      <c r="AP526" s="128"/>
      <c r="AQ526" s="128"/>
      <c r="AR526" s="128"/>
      <c r="AS526" s="128"/>
      <c r="AT526" s="128"/>
      <c r="AU526" s="128"/>
    </row>
    <row r="527" ht="27" customHeight="1" spans="1:47">
      <c r="A527" s="154"/>
      <c r="O527" s="345"/>
      <c r="T527" s="314"/>
      <c r="U527" s="314"/>
      <c r="X527" s="342"/>
      <c r="Y527" s="343"/>
      <c r="AA527" s="344"/>
      <c r="AB527" s="344"/>
      <c r="AC527" s="344"/>
      <c r="AD527" s="344"/>
      <c r="AH527" s="128"/>
      <c r="AI527" s="128"/>
      <c r="AJ527" s="128"/>
      <c r="AK527" s="128"/>
      <c r="AL527" s="128"/>
      <c r="AM527" s="128"/>
      <c r="AP527" s="128"/>
      <c r="AQ527" s="128"/>
      <c r="AR527" s="128"/>
      <c r="AS527" s="128"/>
      <c r="AT527" s="128"/>
      <c r="AU527" s="128"/>
    </row>
    <row r="528" ht="27" customHeight="1" spans="1:47">
      <c r="A528" s="154"/>
      <c r="O528" s="345"/>
      <c r="T528" s="314"/>
      <c r="U528" s="314"/>
      <c r="X528" s="342"/>
      <c r="Y528" s="343"/>
      <c r="AA528" s="344"/>
      <c r="AB528" s="344"/>
      <c r="AC528" s="344"/>
      <c r="AD528" s="344"/>
      <c r="AH528" s="128"/>
      <c r="AI528" s="128"/>
      <c r="AJ528" s="128"/>
      <c r="AK528" s="128"/>
      <c r="AL528" s="128"/>
      <c r="AM528" s="128"/>
      <c r="AP528" s="128"/>
      <c r="AQ528" s="128"/>
      <c r="AR528" s="128"/>
      <c r="AS528" s="128"/>
      <c r="AT528" s="128"/>
      <c r="AU528" s="128"/>
    </row>
    <row r="529" ht="27" customHeight="1" spans="1:47">
      <c r="A529" s="154"/>
      <c r="O529" s="345"/>
      <c r="T529" s="314"/>
      <c r="U529" s="314"/>
      <c r="X529" s="342"/>
      <c r="Y529" s="343"/>
      <c r="AA529" s="344"/>
      <c r="AB529" s="344"/>
      <c r="AC529" s="344"/>
      <c r="AD529" s="344"/>
      <c r="AH529" s="128"/>
      <c r="AI529" s="128"/>
      <c r="AJ529" s="128"/>
      <c r="AK529" s="128"/>
      <c r="AL529" s="128"/>
      <c r="AM529" s="128"/>
      <c r="AP529" s="128"/>
      <c r="AQ529" s="128"/>
      <c r="AR529" s="128"/>
      <c r="AS529" s="128"/>
      <c r="AT529" s="128"/>
      <c r="AU529" s="128"/>
    </row>
    <row r="530" ht="27" customHeight="1" spans="1:47">
      <c r="A530" s="154"/>
      <c r="O530" s="345"/>
      <c r="T530" s="314"/>
      <c r="U530" s="314"/>
      <c r="X530" s="342"/>
      <c r="Y530" s="343"/>
      <c r="AA530" s="344"/>
      <c r="AB530" s="344"/>
      <c r="AC530" s="344"/>
      <c r="AD530" s="344"/>
      <c r="AH530" s="128"/>
      <c r="AI530" s="128"/>
      <c r="AJ530" s="128"/>
      <c r="AK530" s="128"/>
      <c r="AL530" s="128"/>
      <c r="AM530" s="128"/>
      <c r="AP530" s="128"/>
      <c r="AQ530" s="128"/>
      <c r="AR530" s="128"/>
      <c r="AS530" s="128"/>
      <c r="AT530" s="128"/>
      <c r="AU530" s="128"/>
    </row>
    <row r="531" ht="27" customHeight="1" spans="1:47">
      <c r="A531" s="154"/>
      <c r="O531" s="345"/>
      <c r="T531" s="314"/>
      <c r="U531" s="314"/>
      <c r="X531" s="342"/>
      <c r="Y531" s="343"/>
      <c r="AA531" s="344"/>
      <c r="AB531" s="344"/>
      <c r="AC531" s="344"/>
      <c r="AD531" s="344"/>
      <c r="AH531" s="128"/>
      <c r="AI531" s="128"/>
      <c r="AJ531" s="128"/>
      <c r="AK531" s="128"/>
      <c r="AL531" s="128"/>
      <c r="AM531" s="128"/>
      <c r="AP531" s="128"/>
      <c r="AQ531" s="128"/>
      <c r="AR531" s="128"/>
      <c r="AS531" s="128"/>
      <c r="AT531" s="128"/>
      <c r="AU531" s="128"/>
    </row>
    <row r="532" ht="27" customHeight="1" spans="1:47">
      <c r="A532" s="154"/>
      <c r="O532" s="345"/>
      <c r="T532" s="314"/>
      <c r="U532" s="314"/>
      <c r="X532" s="342"/>
      <c r="Y532" s="343"/>
      <c r="AA532" s="344"/>
      <c r="AB532" s="344"/>
      <c r="AC532" s="344"/>
      <c r="AD532" s="344"/>
      <c r="AH532" s="128"/>
      <c r="AI532" s="128"/>
      <c r="AJ532" s="128"/>
      <c r="AK532" s="128"/>
      <c r="AL532" s="128"/>
      <c r="AM532" s="128"/>
      <c r="AP532" s="128"/>
      <c r="AQ532" s="128"/>
      <c r="AR532" s="128"/>
      <c r="AS532" s="128"/>
      <c r="AT532" s="128"/>
      <c r="AU532" s="128"/>
    </row>
    <row r="533" ht="27" customHeight="1" spans="1:47">
      <c r="A533" s="154"/>
      <c r="O533" s="345"/>
      <c r="T533" s="314"/>
      <c r="U533" s="314"/>
      <c r="X533" s="342"/>
      <c r="Y533" s="343"/>
      <c r="AA533" s="344"/>
      <c r="AB533" s="344"/>
      <c r="AC533" s="344"/>
      <c r="AD533" s="344"/>
      <c r="AH533" s="128"/>
      <c r="AI533" s="128"/>
      <c r="AJ533" s="128"/>
      <c r="AK533" s="128"/>
      <c r="AL533" s="128"/>
      <c r="AM533" s="128"/>
      <c r="AP533" s="128"/>
      <c r="AQ533" s="128"/>
      <c r="AR533" s="128"/>
      <c r="AS533" s="128"/>
      <c r="AT533" s="128"/>
      <c r="AU533" s="128"/>
    </row>
    <row r="534" ht="27" customHeight="1" spans="1:47">
      <c r="A534" s="154"/>
      <c r="O534" s="345"/>
      <c r="T534" s="314"/>
      <c r="U534" s="314"/>
      <c r="X534" s="342"/>
      <c r="Y534" s="343"/>
      <c r="AA534" s="344"/>
      <c r="AB534" s="344"/>
      <c r="AC534" s="344"/>
      <c r="AD534" s="344"/>
      <c r="AH534" s="128"/>
      <c r="AI534" s="128"/>
      <c r="AJ534" s="128"/>
      <c r="AK534" s="128"/>
      <c r="AL534" s="128"/>
      <c r="AM534" s="128"/>
      <c r="AP534" s="128"/>
      <c r="AQ534" s="128"/>
      <c r="AR534" s="128"/>
      <c r="AS534" s="128"/>
      <c r="AT534" s="128"/>
      <c r="AU534" s="128"/>
    </row>
    <row r="535" ht="27" customHeight="1" spans="1:47">
      <c r="A535" s="154"/>
      <c r="O535" s="345"/>
      <c r="T535" s="314"/>
      <c r="U535" s="314"/>
      <c r="X535" s="342"/>
      <c r="Y535" s="343"/>
      <c r="AA535" s="344"/>
      <c r="AB535" s="344"/>
      <c r="AC535" s="344"/>
      <c r="AD535" s="344"/>
      <c r="AH535" s="128"/>
      <c r="AI535" s="128"/>
      <c r="AJ535" s="128"/>
      <c r="AK535" s="128"/>
      <c r="AL535" s="128"/>
      <c r="AM535" s="128"/>
      <c r="AP535" s="128"/>
      <c r="AQ535" s="128"/>
      <c r="AR535" s="128"/>
      <c r="AS535" s="128"/>
      <c r="AT535" s="128"/>
      <c r="AU535" s="128"/>
    </row>
    <row r="536" ht="27" customHeight="1" spans="1:47">
      <c r="A536" s="154"/>
      <c r="O536" s="345"/>
      <c r="T536" s="314"/>
      <c r="U536" s="314"/>
      <c r="X536" s="342"/>
      <c r="Y536" s="343"/>
      <c r="AA536" s="344"/>
      <c r="AB536" s="344"/>
      <c r="AC536" s="344"/>
      <c r="AD536" s="344"/>
      <c r="AH536" s="128"/>
      <c r="AI536" s="128"/>
      <c r="AJ536" s="128"/>
      <c r="AK536" s="128"/>
      <c r="AL536" s="128"/>
      <c r="AM536" s="128"/>
      <c r="AP536" s="128"/>
      <c r="AQ536" s="128"/>
      <c r="AR536" s="128"/>
      <c r="AS536" s="128"/>
      <c r="AT536" s="128"/>
      <c r="AU536" s="128"/>
    </row>
    <row r="537" ht="27" customHeight="1" spans="1:47">
      <c r="A537" s="154"/>
      <c r="O537" s="345"/>
      <c r="T537" s="314"/>
      <c r="U537" s="314"/>
      <c r="X537" s="342"/>
      <c r="Y537" s="343"/>
      <c r="AA537" s="344"/>
      <c r="AB537" s="344"/>
      <c r="AC537" s="344"/>
      <c r="AD537" s="344"/>
      <c r="AH537" s="128"/>
      <c r="AI537" s="128"/>
      <c r="AJ537" s="128"/>
      <c r="AK537" s="128"/>
      <c r="AL537" s="128"/>
      <c r="AM537" s="128"/>
      <c r="AP537" s="128"/>
      <c r="AQ537" s="128"/>
      <c r="AR537" s="128"/>
      <c r="AS537" s="128"/>
      <c r="AT537" s="128"/>
      <c r="AU537" s="128"/>
    </row>
    <row r="538" ht="27" customHeight="1" spans="1:47">
      <c r="A538" s="154"/>
      <c r="O538" s="345"/>
      <c r="T538" s="314"/>
      <c r="U538" s="314"/>
      <c r="X538" s="342"/>
      <c r="Y538" s="343"/>
      <c r="AA538" s="344"/>
      <c r="AB538" s="344"/>
      <c r="AC538" s="344"/>
      <c r="AD538" s="344"/>
      <c r="AH538" s="128"/>
      <c r="AI538" s="128"/>
      <c r="AJ538" s="128"/>
      <c r="AK538" s="128"/>
      <c r="AL538" s="128"/>
      <c r="AM538" s="128"/>
      <c r="AP538" s="128"/>
      <c r="AQ538" s="128"/>
      <c r="AR538" s="128"/>
      <c r="AS538" s="128"/>
      <c r="AT538" s="128"/>
      <c r="AU538" s="128"/>
    </row>
    <row r="539" ht="27" customHeight="1" spans="1:47">
      <c r="A539" s="154"/>
      <c r="O539" s="345"/>
      <c r="T539" s="314"/>
      <c r="U539" s="314"/>
      <c r="X539" s="342"/>
      <c r="Y539" s="343"/>
      <c r="AA539" s="344"/>
      <c r="AB539" s="344"/>
      <c r="AC539" s="344"/>
      <c r="AD539" s="344"/>
      <c r="AH539" s="128"/>
      <c r="AI539" s="128"/>
      <c r="AJ539" s="128"/>
      <c r="AK539" s="128"/>
      <c r="AL539" s="128"/>
      <c r="AM539" s="128"/>
      <c r="AP539" s="128"/>
      <c r="AQ539" s="128"/>
      <c r="AR539" s="128"/>
      <c r="AS539" s="128"/>
      <c r="AT539" s="128"/>
      <c r="AU539" s="128"/>
    </row>
    <row r="540" ht="27" customHeight="1" spans="1:47">
      <c r="A540" s="154"/>
      <c r="O540" s="345"/>
      <c r="T540" s="314"/>
      <c r="U540" s="314"/>
      <c r="X540" s="342"/>
      <c r="Y540" s="343"/>
      <c r="AA540" s="344"/>
      <c r="AB540" s="344"/>
      <c r="AC540" s="344"/>
      <c r="AD540" s="344"/>
      <c r="AH540" s="128"/>
      <c r="AI540" s="128"/>
      <c r="AJ540" s="128"/>
      <c r="AK540" s="128"/>
      <c r="AL540" s="128"/>
      <c r="AM540" s="128"/>
      <c r="AP540" s="128"/>
      <c r="AQ540" s="128"/>
      <c r="AR540" s="128"/>
      <c r="AS540" s="128"/>
      <c r="AT540" s="128"/>
      <c r="AU540" s="128"/>
    </row>
    <row r="541" ht="27" customHeight="1" spans="1:47">
      <c r="A541" s="154"/>
      <c r="O541" s="345"/>
      <c r="T541" s="314"/>
      <c r="U541" s="314"/>
      <c r="X541" s="342"/>
      <c r="Y541" s="343"/>
      <c r="AA541" s="344"/>
      <c r="AB541" s="344"/>
      <c r="AC541" s="344"/>
      <c r="AD541" s="344"/>
      <c r="AH541" s="128"/>
      <c r="AI541" s="128"/>
      <c r="AJ541" s="128"/>
      <c r="AK541" s="128"/>
      <c r="AL541" s="128"/>
      <c r="AM541" s="128"/>
      <c r="AP541" s="128"/>
      <c r="AQ541" s="128"/>
      <c r="AR541" s="128"/>
      <c r="AS541" s="128"/>
      <c r="AT541" s="128"/>
      <c r="AU541" s="128"/>
    </row>
    <row r="542" ht="27" customHeight="1" spans="1:47">
      <c r="A542" s="154"/>
      <c r="O542" s="345"/>
      <c r="T542" s="314"/>
      <c r="U542" s="314"/>
      <c r="X542" s="342"/>
      <c r="Y542" s="343"/>
      <c r="AA542" s="344"/>
      <c r="AB542" s="344"/>
      <c r="AC542" s="344"/>
      <c r="AD542" s="344"/>
      <c r="AH542" s="128"/>
      <c r="AI542" s="128"/>
      <c r="AJ542" s="128"/>
      <c r="AK542" s="128"/>
      <c r="AL542" s="128"/>
      <c r="AM542" s="128"/>
      <c r="AP542" s="128"/>
      <c r="AQ542" s="128"/>
      <c r="AR542" s="128"/>
      <c r="AS542" s="128"/>
      <c r="AT542" s="128"/>
      <c r="AU542" s="128"/>
    </row>
    <row r="543" ht="27" customHeight="1" spans="1:47">
      <c r="A543" s="154"/>
      <c r="O543" s="345"/>
      <c r="T543" s="314"/>
      <c r="U543" s="314"/>
      <c r="X543" s="342"/>
      <c r="Y543" s="343"/>
      <c r="AA543" s="344"/>
      <c r="AB543" s="344"/>
      <c r="AC543" s="344"/>
      <c r="AD543" s="344"/>
      <c r="AH543" s="128"/>
      <c r="AI543" s="128"/>
      <c r="AJ543" s="128"/>
      <c r="AK543" s="128"/>
      <c r="AL543" s="128"/>
      <c r="AM543" s="128"/>
      <c r="AP543" s="128"/>
      <c r="AQ543" s="128"/>
      <c r="AR543" s="128"/>
      <c r="AS543" s="128"/>
      <c r="AT543" s="128"/>
      <c r="AU543" s="128"/>
    </row>
    <row r="544" ht="27" customHeight="1" spans="1:47">
      <c r="A544" s="154"/>
      <c r="O544" s="345"/>
      <c r="T544" s="314"/>
      <c r="U544" s="314"/>
      <c r="X544" s="342"/>
      <c r="Y544" s="343"/>
      <c r="AA544" s="344"/>
      <c r="AB544" s="344"/>
      <c r="AC544" s="344"/>
      <c r="AD544" s="344"/>
      <c r="AH544" s="128"/>
      <c r="AI544" s="128"/>
      <c r="AJ544" s="128"/>
      <c r="AK544" s="128"/>
      <c r="AL544" s="128"/>
      <c r="AM544" s="128"/>
      <c r="AP544" s="128"/>
      <c r="AQ544" s="128"/>
      <c r="AR544" s="128"/>
      <c r="AS544" s="128"/>
      <c r="AT544" s="128"/>
      <c r="AU544" s="128"/>
    </row>
    <row r="545" ht="27" customHeight="1" spans="1:47">
      <c r="A545" s="154"/>
      <c r="O545" s="345"/>
      <c r="T545" s="314"/>
      <c r="U545" s="314"/>
      <c r="X545" s="342"/>
      <c r="Y545" s="343"/>
      <c r="AA545" s="344"/>
      <c r="AB545" s="344"/>
      <c r="AC545" s="344"/>
      <c r="AD545" s="344"/>
      <c r="AH545" s="128"/>
      <c r="AI545" s="128"/>
      <c r="AJ545" s="128"/>
      <c r="AK545" s="128"/>
      <c r="AL545" s="128"/>
      <c r="AM545" s="128"/>
      <c r="AP545" s="128"/>
      <c r="AQ545" s="128"/>
      <c r="AR545" s="128"/>
      <c r="AS545" s="128"/>
      <c r="AT545" s="128"/>
      <c r="AU545" s="128"/>
    </row>
    <row r="546" ht="27" customHeight="1" spans="1:47">
      <c r="A546" s="154"/>
      <c r="O546" s="345"/>
      <c r="T546" s="314"/>
      <c r="U546" s="314"/>
      <c r="X546" s="342"/>
      <c r="Y546" s="343"/>
      <c r="AA546" s="344"/>
      <c r="AB546" s="344"/>
      <c r="AC546" s="344"/>
      <c r="AD546" s="344"/>
      <c r="AH546" s="128"/>
      <c r="AI546" s="128"/>
      <c r="AJ546" s="128"/>
      <c r="AK546" s="128"/>
      <c r="AL546" s="128"/>
      <c r="AM546" s="128"/>
      <c r="AP546" s="128"/>
      <c r="AQ546" s="128"/>
      <c r="AR546" s="128"/>
      <c r="AS546" s="128"/>
      <c r="AT546" s="128"/>
      <c r="AU546" s="128"/>
    </row>
    <row r="547" ht="27" customHeight="1" spans="1:47">
      <c r="A547" s="154"/>
      <c r="O547" s="345"/>
      <c r="T547" s="314"/>
      <c r="U547" s="314"/>
      <c r="X547" s="342"/>
      <c r="Y547" s="343"/>
      <c r="AA547" s="344"/>
      <c r="AB547" s="344"/>
      <c r="AC547" s="344"/>
      <c r="AD547" s="344"/>
      <c r="AH547" s="128"/>
      <c r="AI547" s="128"/>
      <c r="AJ547" s="128"/>
      <c r="AK547" s="128"/>
      <c r="AL547" s="128"/>
      <c r="AM547" s="128"/>
      <c r="AP547" s="128"/>
      <c r="AQ547" s="128"/>
      <c r="AR547" s="128"/>
      <c r="AS547" s="128"/>
      <c r="AT547" s="128"/>
      <c r="AU547" s="128"/>
    </row>
    <row r="548" ht="27" customHeight="1" spans="1:47">
      <c r="A548" s="154"/>
      <c r="O548" s="345"/>
      <c r="T548" s="314"/>
      <c r="U548" s="314"/>
      <c r="X548" s="342"/>
      <c r="Y548" s="343"/>
      <c r="AA548" s="344"/>
      <c r="AB548" s="344"/>
      <c r="AC548" s="344"/>
      <c r="AD548" s="344"/>
      <c r="AH548" s="128"/>
      <c r="AI548" s="128"/>
      <c r="AJ548" s="128"/>
      <c r="AK548" s="128"/>
      <c r="AL548" s="128"/>
      <c r="AM548" s="128"/>
      <c r="AP548" s="128"/>
      <c r="AQ548" s="128"/>
      <c r="AR548" s="128"/>
      <c r="AS548" s="128"/>
      <c r="AT548" s="128"/>
      <c r="AU548" s="128"/>
    </row>
    <row r="549" ht="27" customHeight="1" spans="1:47">
      <c r="A549" s="154"/>
      <c r="O549" s="345"/>
      <c r="T549" s="314"/>
      <c r="U549" s="314"/>
      <c r="X549" s="342"/>
      <c r="Y549" s="343"/>
      <c r="AA549" s="344"/>
      <c r="AB549" s="344"/>
      <c r="AC549" s="344"/>
      <c r="AD549" s="344"/>
      <c r="AH549" s="128"/>
      <c r="AI549" s="128"/>
      <c r="AJ549" s="128"/>
      <c r="AK549" s="128"/>
      <c r="AL549" s="128"/>
      <c r="AM549" s="128"/>
      <c r="AP549" s="128"/>
      <c r="AQ549" s="128"/>
      <c r="AR549" s="128"/>
      <c r="AS549" s="128"/>
      <c r="AT549" s="128"/>
      <c r="AU549" s="128"/>
    </row>
    <row r="550" ht="27" customHeight="1" spans="1:47">
      <c r="A550" s="154"/>
      <c r="O550" s="345"/>
      <c r="T550" s="314"/>
      <c r="U550" s="314"/>
      <c r="X550" s="342"/>
      <c r="Y550" s="343"/>
      <c r="AA550" s="344"/>
      <c r="AB550" s="344"/>
      <c r="AC550" s="344"/>
      <c r="AD550" s="344"/>
      <c r="AH550" s="128"/>
      <c r="AI550" s="128"/>
      <c r="AJ550" s="128"/>
      <c r="AK550" s="128"/>
      <c r="AL550" s="128"/>
      <c r="AM550" s="128"/>
      <c r="AP550" s="128"/>
      <c r="AQ550" s="128"/>
      <c r="AR550" s="128"/>
      <c r="AS550" s="128"/>
      <c r="AT550" s="128"/>
      <c r="AU550" s="128"/>
    </row>
    <row r="551" ht="27" customHeight="1" spans="1:47">
      <c r="A551" s="154"/>
      <c r="O551" s="345"/>
      <c r="T551" s="314"/>
      <c r="U551" s="314"/>
      <c r="X551" s="342"/>
      <c r="Y551" s="343"/>
      <c r="AA551" s="344"/>
      <c r="AB551" s="344"/>
      <c r="AC551" s="344"/>
      <c r="AD551" s="344"/>
      <c r="AH551" s="128"/>
      <c r="AI551" s="128"/>
      <c r="AJ551" s="128"/>
      <c r="AK551" s="128"/>
      <c r="AL551" s="128"/>
      <c r="AM551" s="128"/>
      <c r="AP551" s="128"/>
      <c r="AQ551" s="128"/>
      <c r="AR551" s="128"/>
      <c r="AS551" s="128"/>
      <c r="AT551" s="128"/>
      <c r="AU551" s="128"/>
    </row>
    <row r="552" ht="27" customHeight="1" spans="1:47">
      <c r="A552" s="154"/>
      <c r="O552" s="345"/>
      <c r="T552" s="314"/>
      <c r="U552" s="314"/>
      <c r="X552" s="342"/>
      <c r="Y552" s="343"/>
      <c r="AA552" s="344"/>
      <c r="AB552" s="344"/>
      <c r="AC552" s="344"/>
      <c r="AD552" s="344"/>
      <c r="AH552" s="128"/>
      <c r="AI552" s="128"/>
      <c r="AJ552" s="128"/>
      <c r="AK552" s="128"/>
      <c r="AL552" s="128"/>
      <c r="AM552" s="128"/>
      <c r="AP552" s="128"/>
      <c r="AQ552" s="128"/>
      <c r="AR552" s="128"/>
      <c r="AS552" s="128"/>
      <c r="AT552" s="128"/>
      <c r="AU552" s="128"/>
    </row>
    <row r="553" ht="27" customHeight="1" spans="1:47">
      <c r="A553" s="154"/>
      <c r="O553" s="345"/>
      <c r="T553" s="314"/>
      <c r="U553" s="314"/>
      <c r="X553" s="342"/>
      <c r="Y553" s="343"/>
      <c r="AA553" s="344"/>
      <c r="AB553" s="344"/>
      <c r="AC553" s="344"/>
      <c r="AD553" s="344"/>
      <c r="AH553" s="128"/>
      <c r="AI553" s="128"/>
      <c r="AJ553" s="128"/>
      <c r="AK553" s="128"/>
      <c r="AL553" s="128"/>
      <c r="AM553" s="128"/>
      <c r="AP553" s="128"/>
      <c r="AQ553" s="128"/>
      <c r="AR553" s="128"/>
      <c r="AS553" s="128"/>
      <c r="AT553" s="128"/>
      <c r="AU553" s="128"/>
    </row>
    <row r="554" ht="27" customHeight="1" spans="1:47">
      <c r="A554" s="154"/>
      <c r="O554" s="345"/>
      <c r="T554" s="314"/>
      <c r="U554" s="314"/>
      <c r="X554" s="342"/>
      <c r="Y554" s="343"/>
      <c r="AA554" s="344"/>
      <c r="AB554" s="344"/>
      <c r="AC554" s="344"/>
      <c r="AD554" s="344"/>
      <c r="AH554" s="128"/>
      <c r="AI554" s="128"/>
      <c r="AJ554" s="128"/>
      <c r="AK554" s="128"/>
      <c r="AL554" s="128"/>
      <c r="AM554" s="128"/>
      <c r="AP554" s="128"/>
      <c r="AQ554" s="128"/>
      <c r="AR554" s="128"/>
      <c r="AS554" s="128"/>
      <c r="AT554" s="128"/>
      <c r="AU554" s="128"/>
    </row>
    <row r="555" ht="27" customHeight="1" spans="1:47">
      <c r="A555" s="154"/>
      <c r="O555" s="345"/>
      <c r="T555" s="314"/>
      <c r="U555" s="314"/>
      <c r="X555" s="342"/>
      <c r="Y555" s="343"/>
      <c r="AA555" s="344"/>
      <c r="AB555" s="344"/>
      <c r="AC555" s="344"/>
      <c r="AD555" s="344"/>
      <c r="AH555" s="128"/>
      <c r="AI555" s="128"/>
      <c r="AJ555" s="128"/>
      <c r="AK555" s="128"/>
      <c r="AL555" s="128"/>
      <c r="AM555" s="128"/>
      <c r="AP555" s="128"/>
      <c r="AQ555" s="128"/>
      <c r="AR555" s="128"/>
      <c r="AS555" s="128"/>
      <c r="AT555" s="128"/>
      <c r="AU555" s="128"/>
    </row>
    <row r="556" ht="27" customHeight="1" spans="1:47">
      <c r="A556" s="154"/>
      <c r="O556" s="345"/>
      <c r="T556" s="314"/>
      <c r="U556" s="314"/>
      <c r="X556" s="342"/>
      <c r="Y556" s="343"/>
      <c r="AA556" s="344"/>
      <c r="AB556" s="344"/>
      <c r="AC556" s="344"/>
      <c r="AD556" s="344"/>
      <c r="AH556" s="128"/>
      <c r="AI556" s="128"/>
      <c r="AJ556" s="128"/>
      <c r="AK556" s="128"/>
      <c r="AL556" s="128"/>
      <c r="AM556" s="128"/>
      <c r="AP556" s="128"/>
      <c r="AQ556" s="128"/>
      <c r="AR556" s="128"/>
      <c r="AS556" s="128"/>
      <c r="AT556" s="128"/>
      <c r="AU556" s="128"/>
    </row>
    <row r="557" ht="27" customHeight="1" spans="1:47">
      <c r="A557" s="154"/>
      <c r="O557" s="345"/>
      <c r="T557" s="314"/>
      <c r="U557" s="314"/>
      <c r="X557" s="342"/>
      <c r="Y557" s="343"/>
      <c r="AA557" s="344"/>
      <c r="AB557" s="344"/>
      <c r="AC557" s="344"/>
      <c r="AD557" s="344"/>
      <c r="AH557" s="128"/>
      <c r="AI557" s="128"/>
      <c r="AJ557" s="128"/>
      <c r="AK557" s="128"/>
      <c r="AL557" s="128"/>
      <c r="AM557" s="128"/>
      <c r="AP557" s="128"/>
      <c r="AQ557" s="128"/>
      <c r="AR557" s="128"/>
      <c r="AS557" s="128"/>
      <c r="AT557" s="128"/>
      <c r="AU557" s="128"/>
    </row>
    <row r="558" ht="27" customHeight="1" spans="1:47">
      <c r="A558" s="154"/>
      <c r="O558" s="345"/>
      <c r="T558" s="314"/>
      <c r="U558" s="314"/>
      <c r="X558" s="342"/>
      <c r="Y558" s="343"/>
      <c r="AA558" s="344"/>
      <c r="AB558" s="344"/>
      <c r="AC558" s="344"/>
      <c r="AD558" s="344"/>
      <c r="AH558" s="128"/>
      <c r="AI558" s="128"/>
      <c r="AJ558" s="128"/>
      <c r="AK558" s="128"/>
      <c r="AL558" s="128"/>
      <c r="AM558" s="128"/>
      <c r="AP558" s="128"/>
      <c r="AQ558" s="128"/>
      <c r="AR558" s="128"/>
      <c r="AS558" s="128"/>
      <c r="AT558" s="128"/>
      <c r="AU558" s="128"/>
    </row>
    <row r="559" ht="27" customHeight="1" spans="1:47">
      <c r="A559" s="154"/>
      <c r="O559" s="345"/>
      <c r="T559" s="314"/>
      <c r="U559" s="314"/>
      <c r="X559" s="342"/>
      <c r="Y559" s="343"/>
      <c r="AA559" s="344"/>
      <c r="AB559" s="344"/>
      <c r="AC559" s="344"/>
      <c r="AD559" s="344"/>
      <c r="AH559" s="128"/>
      <c r="AI559" s="128"/>
      <c r="AJ559" s="128"/>
      <c r="AK559" s="128"/>
      <c r="AL559" s="128"/>
      <c r="AM559" s="128"/>
      <c r="AP559" s="128"/>
      <c r="AQ559" s="128"/>
      <c r="AR559" s="128"/>
      <c r="AS559" s="128"/>
      <c r="AT559" s="128"/>
      <c r="AU559" s="128"/>
    </row>
    <row r="560" ht="27" customHeight="1" spans="1:47">
      <c r="A560" s="154"/>
      <c r="O560" s="345"/>
      <c r="T560" s="314"/>
      <c r="U560" s="314"/>
      <c r="X560" s="342"/>
      <c r="Y560" s="343"/>
      <c r="AA560" s="344"/>
      <c r="AB560" s="344"/>
      <c r="AC560" s="344"/>
      <c r="AD560" s="344"/>
      <c r="AH560" s="128"/>
      <c r="AI560" s="128"/>
      <c r="AJ560" s="128"/>
      <c r="AK560" s="128"/>
      <c r="AL560" s="128"/>
      <c r="AM560" s="128"/>
      <c r="AP560" s="128"/>
      <c r="AQ560" s="128"/>
      <c r="AR560" s="128"/>
      <c r="AS560" s="128"/>
      <c r="AT560" s="128"/>
      <c r="AU560" s="128"/>
    </row>
    <row r="561" ht="27" customHeight="1" spans="1:47">
      <c r="A561" s="154"/>
      <c r="O561" s="345"/>
      <c r="T561" s="314"/>
      <c r="U561" s="314"/>
      <c r="X561" s="342"/>
      <c r="Y561" s="343"/>
      <c r="AA561" s="344"/>
      <c r="AB561" s="344"/>
      <c r="AC561" s="344"/>
      <c r="AD561" s="344"/>
      <c r="AH561" s="128"/>
      <c r="AI561" s="128"/>
      <c r="AJ561" s="128"/>
      <c r="AK561" s="128"/>
      <c r="AL561" s="128"/>
      <c r="AM561" s="128"/>
      <c r="AP561" s="128"/>
      <c r="AQ561" s="128"/>
      <c r="AR561" s="128"/>
      <c r="AS561" s="128"/>
      <c r="AT561" s="128"/>
      <c r="AU561" s="128"/>
    </row>
    <row r="562" ht="27" customHeight="1" spans="1:47">
      <c r="A562" s="154"/>
      <c r="O562" s="345"/>
      <c r="T562" s="314"/>
      <c r="U562" s="314"/>
      <c r="X562" s="342"/>
      <c r="Y562" s="343"/>
      <c r="AA562" s="344"/>
      <c r="AB562" s="344"/>
      <c r="AC562" s="344"/>
      <c r="AD562" s="344"/>
      <c r="AH562" s="128"/>
      <c r="AI562" s="128"/>
      <c r="AJ562" s="128"/>
      <c r="AK562" s="128"/>
      <c r="AL562" s="128"/>
      <c r="AM562" s="128"/>
      <c r="AP562" s="128"/>
      <c r="AQ562" s="128"/>
      <c r="AR562" s="128"/>
      <c r="AS562" s="128"/>
      <c r="AT562" s="128"/>
      <c r="AU562" s="128"/>
    </row>
    <row r="563" ht="27" customHeight="1" spans="1:47">
      <c r="A563" s="154"/>
      <c r="O563" s="345"/>
      <c r="T563" s="314"/>
      <c r="U563" s="314"/>
      <c r="X563" s="342"/>
      <c r="Y563" s="343"/>
      <c r="AA563" s="344"/>
      <c r="AB563" s="344"/>
      <c r="AC563" s="344"/>
      <c r="AD563" s="344"/>
      <c r="AH563" s="128"/>
      <c r="AI563" s="128"/>
      <c r="AJ563" s="128"/>
      <c r="AK563" s="128"/>
      <c r="AL563" s="128"/>
      <c r="AM563" s="128"/>
      <c r="AP563" s="128"/>
      <c r="AQ563" s="128"/>
      <c r="AR563" s="128"/>
      <c r="AS563" s="128"/>
      <c r="AT563" s="128"/>
      <c r="AU563" s="128"/>
    </row>
    <row r="564" ht="27" customHeight="1" spans="1:47">
      <c r="A564" s="154"/>
      <c r="O564" s="345"/>
      <c r="T564" s="314"/>
      <c r="U564" s="314"/>
      <c r="X564" s="342"/>
      <c r="Y564" s="343"/>
      <c r="AA564" s="344"/>
      <c r="AB564" s="344"/>
      <c r="AC564" s="344"/>
      <c r="AD564" s="344"/>
      <c r="AH564" s="128"/>
      <c r="AI564" s="128"/>
      <c r="AJ564" s="128"/>
      <c r="AK564" s="128"/>
      <c r="AL564" s="128"/>
      <c r="AM564" s="128"/>
      <c r="AP564" s="128"/>
      <c r="AQ564" s="128"/>
      <c r="AR564" s="128"/>
      <c r="AS564" s="128"/>
      <c r="AT564" s="128"/>
      <c r="AU564" s="128"/>
    </row>
    <row r="565" ht="27" customHeight="1" spans="1:47">
      <c r="A565" s="154"/>
      <c r="O565" s="345"/>
      <c r="T565" s="314"/>
      <c r="U565" s="314"/>
      <c r="X565" s="342"/>
      <c r="Y565" s="343"/>
      <c r="AA565" s="344"/>
      <c r="AB565" s="344"/>
      <c r="AC565" s="344"/>
      <c r="AD565" s="344"/>
      <c r="AH565" s="128"/>
      <c r="AI565" s="128"/>
      <c r="AJ565" s="128"/>
      <c r="AK565" s="128"/>
      <c r="AL565" s="128"/>
      <c r="AM565" s="128"/>
      <c r="AP565" s="128"/>
      <c r="AQ565" s="128"/>
      <c r="AR565" s="128"/>
      <c r="AS565" s="128"/>
      <c r="AT565" s="128"/>
      <c r="AU565" s="128"/>
    </row>
    <row r="566" ht="27" customHeight="1" spans="1:47">
      <c r="A566" s="154"/>
      <c r="O566" s="345"/>
      <c r="T566" s="314"/>
      <c r="U566" s="314"/>
      <c r="X566" s="342"/>
      <c r="Y566" s="343"/>
      <c r="AA566" s="344"/>
      <c r="AB566" s="344"/>
      <c r="AC566" s="344"/>
      <c r="AD566" s="344"/>
      <c r="AH566" s="128"/>
      <c r="AI566" s="128"/>
      <c r="AJ566" s="128"/>
      <c r="AK566" s="128"/>
      <c r="AL566" s="128"/>
      <c r="AM566" s="128"/>
      <c r="AP566" s="128"/>
      <c r="AQ566" s="128"/>
      <c r="AR566" s="128"/>
      <c r="AS566" s="128"/>
      <c r="AT566" s="128"/>
      <c r="AU566" s="128"/>
    </row>
    <row r="567" ht="27" customHeight="1" spans="1:47">
      <c r="A567" s="154"/>
      <c r="O567" s="345"/>
      <c r="R567" s="346"/>
      <c r="T567" s="314"/>
      <c r="U567" s="314"/>
      <c r="X567" s="342"/>
      <c r="Y567" s="343"/>
      <c r="AA567" s="344"/>
      <c r="AB567" s="344"/>
      <c r="AC567" s="344"/>
      <c r="AD567" s="344"/>
      <c r="AH567" s="128"/>
      <c r="AI567" s="128"/>
      <c r="AJ567" s="128"/>
      <c r="AK567" s="128"/>
      <c r="AL567" s="128"/>
      <c r="AM567" s="128"/>
      <c r="AP567" s="128"/>
      <c r="AQ567" s="128"/>
      <c r="AR567" s="128"/>
      <c r="AS567" s="128"/>
      <c r="AT567" s="128"/>
      <c r="AU567" s="128"/>
    </row>
    <row r="568" ht="27" customHeight="1" spans="1:47">
      <c r="A568" s="154"/>
      <c r="O568" s="345"/>
      <c r="T568" s="314"/>
      <c r="U568" s="314"/>
      <c r="X568" s="342"/>
      <c r="Y568" s="343"/>
      <c r="AA568" s="344"/>
      <c r="AB568" s="344"/>
      <c r="AC568" s="344"/>
      <c r="AD568" s="344"/>
      <c r="AH568" s="128"/>
      <c r="AI568" s="128"/>
      <c r="AJ568" s="128"/>
      <c r="AK568" s="128"/>
      <c r="AL568" s="128"/>
      <c r="AM568" s="128"/>
      <c r="AP568" s="128"/>
      <c r="AQ568" s="128"/>
      <c r="AR568" s="128"/>
      <c r="AS568" s="128"/>
      <c r="AT568" s="128"/>
      <c r="AU568" s="128"/>
    </row>
    <row r="569" ht="27" customHeight="1" spans="1:47">
      <c r="A569" s="154"/>
      <c r="O569" s="345"/>
      <c r="T569" s="314"/>
      <c r="U569" s="314"/>
      <c r="X569" s="342"/>
      <c r="Y569" s="343"/>
      <c r="AA569" s="344"/>
      <c r="AB569" s="344"/>
      <c r="AC569" s="344"/>
      <c r="AD569" s="344"/>
      <c r="AH569" s="128"/>
      <c r="AI569" s="128"/>
      <c r="AJ569" s="128"/>
      <c r="AK569" s="128"/>
      <c r="AL569" s="128"/>
      <c r="AM569" s="128"/>
      <c r="AP569" s="128"/>
      <c r="AQ569" s="128"/>
      <c r="AR569" s="128"/>
      <c r="AS569" s="128"/>
      <c r="AT569" s="128"/>
      <c r="AU569" s="128"/>
    </row>
    <row r="570" ht="27" customHeight="1" spans="1:47">
      <c r="A570" s="154"/>
      <c r="O570" s="345"/>
      <c r="T570" s="314"/>
      <c r="U570" s="314"/>
      <c r="X570" s="342"/>
      <c r="Y570" s="343"/>
      <c r="AA570" s="344"/>
      <c r="AB570" s="344"/>
      <c r="AC570" s="344"/>
      <c r="AD570" s="344"/>
      <c r="AH570" s="128"/>
      <c r="AI570" s="128"/>
      <c r="AJ570" s="128"/>
      <c r="AK570" s="128"/>
      <c r="AL570" s="128"/>
      <c r="AM570" s="128"/>
      <c r="AP570" s="128"/>
      <c r="AQ570" s="128"/>
      <c r="AR570" s="128"/>
      <c r="AS570" s="128"/>
      <c r="AT570" s="128"/>
      <c r="AU570" s="128"/>
    </row>
    <row r="571" ht="27" customHeight="1" spans="1:47">
      <c r="A571" s="154"/>
      <c r="O571" s="345"/>
      <c r="T571" s="314"/>
      <c r="U571" s="314"/>
      <c r="X571" s="342"/>
      <c r="Y571" s="343"/>
      <c r="AA571" s="344"/>
      <c r="AB571" s="344"/>
      <c r="AC571" s="344"/>
      <c r="AD571" s="344"/>
      <c r="AH571" s="128"/>
      <c r="AI571" s="128"/>
      <c r="AJ571" s="128"/>
      <c r="AK571" s="128"/>
      <c r="AL571" s="128"/>
      <c r="AM571" s="128"/>
      <c r="AP571" s="128"/>
      <c r="AQ571" s="128"/>
      <c r="AR571" s="128"/>
      <c r="AS571" s="128"/>
      <c r="AT571" s="128"/>
      <c r="AU571" s="128"/>
    </row>
    <row r="572" ht="27" customHeight="1" spans="1:47">
      <c r="A572" s="154"/>
      <c r="O572" s="345"/>
      <c r="T572" s="314"/>
      <c r="U572" s="314"/>
      <c r="X572" s="342"/>
      <c r="Y572" s="343"/>
      <c r="AA572" s="344"/>
      <c r="AB572" s="344"/>
      <c r="AC572" s="344"/>
      <c r="AD572" s="344"/>
      <c r="AH572" s="128"/>
      <c r="AI572" s="128"/>
      <c r="AJ572" s="128"/>
      <c r="AK572" s="128"/>
      <c r="AL572" s="128"/>
      <c r="AM572" s="128"/>
      <c r="AP572" s="128"/>
      <c r="AQ572" s="128"/>
      <c r="AR572" s="128"/>
      <c r="AS572" s="128"/>
      <c r="AT572" s="128"/>
      <c r="AU572" s="128"/>
    </row>
    <row r="573" ht="27" customHeight="1" spans="1:47">
      <c r="A573" s="154"/>
      <c r="O573" s="345"/>
      <c r="T573" s="314"/>
      <c r="U573" s="314"/>
      <c r="X573" s="342"/>
      <c r="Y573" s="343"/>
      <c r="AA573" s="344"/>
      <c r="AB573" s="344"/>
      <c r="AC573" s="344"/>
      <c r="AD573" s="344"/>
      <c r="AH573" s="128"/>
      <c r="AI573" s="128"/>
      <c r="AJ573" s="128"/>
      <c r="AK573" s="128"/>
      <c r="AL573" s="128"/>
      <c r="AM573" s="128"/>
      <c r="AP573" s="128"/>
      <c r="AQ573" s="128"/>
      <c r="AR573" s="128"/>
      <c r="AS573" s="128"/>
      <c r="AT573" s="128"/>
      <c r="AU573" s="128"/>
    </row>
    <row r="574" ht="27" customHeight="1" spans="1:47">
      <c r="A574" s="154"/>
      <c r="O574" s="345"/>
      <c r="T574" s="314"/>
      <c r="U574" s="314"/>
      <c r="X574" s="342"/>
      <c r="Y574" s="343"/>
      <c r="AA574" s="344"/>
      <c r="AB574" s="344"/>
      <c r="AC574" s="344"/>
      <c r="AD574" s="344"/>
      <c r="AH574" s="128"/>
      <c r="AI574" s="128"/>
      <c r="AJ574" s="128"/>
      <c r="AK574" s="128"/>
      <c r="AL574" s="128"/>
      <c r="AM574" s="128"/>
      <c r="AP574" s="128"/>
      <c r="AQ574" s="128"/>
      <c r="AR574" s="128"/>
      <c r="AS574" s="128"/>
      <c r="AT574" s="128"/>
      <c r="AU574" s="128"/>
    </row>
    <row r="575" ht="27" customHeight="1" spans="1:47">
      <c r="A575" s="154"/>
      <c r="O575" s="345"/>
      <c r="T575" s="314"/>
      <c r="U575" s="314"/>
      <c r="X575" s="342"/>
      <c r="Y575" s="343"/>
      <c r="AA575" s="344"/>
      <c r="AB575" s="344"/>
      <c r="AC575" s="344"/>
      <c r="AD575" s="344"/>
      <c r="AH575" s="128"/>
      <c r="AI575" s="128"/>
      <c r="AJ575" s="128"/>
      <c r="AK575" s="128"/>
      <c r="AL575" s="128"/>
      <c r="AM575" s="128"/>
      <c r="AP575" s="128"/>
      <c r="AQ575" s="128"/>
      <c r="AR575" s="128"/>
      <c r="AS575" s="128"/>
      <c r="AT575" s="128"/>
      <c r="AU575" s="128"/>
    </row>
    <row r="576" ht="27" customHeight="1" spans="1:47">
      <c r="A576" s="154"/>
      <c r="O576" s="345"/>
      <c r="T576" s="314"/>
      <c r="U576" s="314"/>
      <c r="X576" s="342"/>
      <c r="Y576" s="343"/>
      <c r="AA576" s="344"/>
      <c r="AB576" s="344"/>
      <c r="AC576" s="344"/>
      <c r="AD576" s="344"/>
      <c r="AH576" s="128"/>
      <c r="AI576" s="128"/>
      <c r="AJ576" s="128"/>
      <c r="AK576" s="128"/>
      <c r="AL576" s="128"/>
      <c r="AM576" s="128"/>
      <c r="AP576" s="128"/>
      <c r="AQ576" s="128"/>
      <c r="AR576" s="128"/>
      <c r="AS576" s="128"/>
      <c r="AT576" s="128"/>
      <c r="AU576" s="128"/>
    </row>
    <row r="577" ht="27" customHeight="1" spans="1:47">
      <c r="A577" s="154"/>
      <c r="O577" s="345"/>
      <c r="T577" s="314"/>
      <c r="U577" s="314"/>
      <c r="X577" s="342"/>
      <c r="Y577" s="343"/>
      <c r="AA577" s="344"/>
      <c r="AB577" s="344"/>
      <c r="AC577" s="344"/>
      <c r="AD577" s="344"/>
      <c r="AH577" s="128"/>
      <c r="AI577" s="128"/>
      <c r="AJ577" s="128"/>
      <c r="AK577" s="128"/>
      <c r="AL577" s="128"/>
      <c r="AM577" s="128"/>
      <c r="AP577" s="128"/>
      <c r="AQ577" s="128"/>
      <c r="AR577" s="128"/>
      <c r="AS577" s="128"/>
      <c r="AT577" s="128"/>
      <c r="AU577" s="128"/>
    </row>
    <row r="578" ht="27" customHeight="1" spans="1:47">
      <c r="A578" s="154"/>
      <c r="O578" s="345"/>
      <c r="T578" s="314"/>
      <c r="U578" s="314"/>
      <c r="X578" s="342"/>
      <c r="Y578" s="343"/>
      <c r="AA578" s="344"/>
      <c r="AB578" s="344"/>
      <c r="AC578" s="344"/>
      <c r="AD578" s="344"/>
      <c r="AH578" s="128"/>
      <c r="AI578" s="128"/>
      <c r="AJ578" s="128"/>
      <c r="AK578" s="128"/>
      <c r="AL578" s="128"/>
      <c r="AM578" s="128"/>
      <c r="AP578" s="128"/>
      <c r="AQ578" s="128"/>
      <c r="AR578" s="128"/>
      <c r="AS578" s="128"/>
      <c r="AT578" s="128"/>
      <c r="AU578" s="128"/>
    </row>
    <row r="579" ht="27" customHeight="1" spans="1:47">
      <c r="A579" s="154"/>
      <c r="O579" s="345"/>
      <c r="T579" s="314"/>
      <c r="U579" s="314"/>
      <c r="X579" s="342"/>
      <c r="Y579" s="343"/>
      <c r="AA579" s="344"/>
      <c r="AB579" s="344"/>
      <c r="AC579" s="344"/>
      <c r="AD579" s="344"/>
      <c r="AH579" s="128"/>
      <c r="AI579" s="128"/>
      <c r="AJ579" s="128"/>
      <c r="AK579" s="128"/>
      <c r="AL579" s="128"/>
      <c r="AM579" s="128"/>
      <c r="AP579" s="128"/>
      <c r="AQ579" s="128"/>
      <c r="AR579" s="128"/>
      <c r="AS579" s="128"/>
      <c r="AT579" s="128"/>
      <c r="AU579" s="128"/>
    </row>
    <row r="580" ht="27" customHeight="1" spans="1:47">
      <c r="A580" s="154"/>
      <c r="O580" s="345"/>
      <c r="T580" s="314"/>
      <c r="U580" s="314"/>
      <c r="X580" s="342"/>
      <c r="Y580" s="343"/>
      <c r="AA580" s="344"/>
      <c r="AB580" s="344"/>
      <c r="AC580" s="344"/>
      <c r="AD580" s="344"/>
      <c r="AH580" s="128"/>
      <c r="AI580" s="128"/>
      <c r="AJ580" s="128"/>
      <c r="AK580" s="128"/>
      <c r="AL580" s="128"/>
      <c r="AM580" s="128"/>
      <c r="AP580" s="128"/>
      <c r="AQ580" s="128"/>
      <c r="AR580" s="128"/>
      <c r="AS580" s="128"/>
      <c r="AT580" s="128"/>
      <c r="AU580" s="128"/>
    </row>
    <row r="581" ht="27" customHeight="1" spans="1:47">
      <c r="A581" s="154"/>
      <c r="O581" s="345"/>
      <c r="T581" s="314"/>
      <c r="U581" s="314"/>
      <c r="X581" s="342"/>
      <c r="Y581" s="343"/>
      <c r="AA581" s="344"/>
      <c r="AB581" s="344"/>
      <c r="AC581" s="344"/>
      <c r="AD581" s="344"/>
      <c r="AH581" s="128"/>
      <c r="AI581" s="128"/>
      <c r="AJ581" s="128"/>
      <c r="AK581" s="128"/>
      <c r="AL581" s="128"/>
      <c r="AM581" s="128"/>
      <c r="AP581" s="128"/>
      <c r="AQ581" s="128"/>
      <c r="AR581" s="128"/>
      <c r="AS581" s="128"/>
      <c r="AT581" s="128"/>
      <c r="AU581" s="128"/>
    </row>
    <row r="582" ht="27" customHeight="1" spans="1:47">
      <c r="A582" s="154"/>
      <c r="O582" s="345"/>
      <c r="T582" s="314"/>
      <c r="U582" s="314"/>
      <c r="X582" s="342"/>
      <c r="Y582" s="343"/>
      <c r="AA582" s="344"/>
      <c r="AB582" s="344"/>
      <c r="AC582" s="344"/>
      <c r="AD582" s="344"/>
      <c r="AH582" s="128"/>
      <c r="AI582" s="128"/>
      <c r="AJ582" s="128"/>
      <c r="AK582" s="128"/>
      <c r="AL582" s="128"/>
      <c r="AM582" s="128"/>
      <c r="AP582" s="128"/>
      <c r="AQ582" s="128"/>
      <c r="AR582" s="128"/>
      <c r="AS582" s="128"/>
      <c r="AT582" s="128"/>
      <c r="AU582" s="128"/>
    </row>
    <row r="583" ht="27" customHeight="1" spans="1:47">
      <c r="A583" s="154"/>
      <c r="O583" s="345"/>
      <c r="T583" s="314"/>
      <c r="U583" s="314"/>
      <c r="X583" s="342"/>
      <c r="Y583" s="343"/>
      <c r="AA583" s="344"/>
      <c r="AB583" s="344"/>
      <c r="AC583" s="344"/>
      <c r="AD583" s="344"/>
      <c r="AH583" s="128"/>
      <c r="AI583" s="128"/>
      <c r="AJ583" s="128"/>
      <c r="AK583" s="128"/>
      <c r="AL583" s="128"/>
      <c r="AM583" s="128"/>
      <c r="AP583" s="128"/>
      <c r="AQ583" s="128"/>
      <c r="AR583" s="128"/>
      <c r="AS583" s="128"/>
      <c r="AT583" s="128"/>
      <c r="AU583" s="128"/>
    </row>
    <row r="584" ht="27" customHeight="1" spans="1:47">
      <c r="A584" s="154"/>
      <c r="O584" s="345"/>
      <c r="T584" s="314"/>
      <c r="U584" s="314"/>
      <c r="X584" s="342"/>
      <c r="Y584" s="343"/>
      <c r="AA584" s="344"/>
      <c r="AB584" s="344"/>
      <c r="AC584" s="344"/>
      <c r="AD584" s="344"/>
      <c r="AH584" s="128"/>
      <c r="AI584" s="128"/>
      <c r="AJ584" s="128"/>
      <c r="AK584" s="128"/>
      <c r="AL584" s="128"/>
      <c r="AM584" s="128"/>
      <c r="AP584" s="128"/>
      <c r="AQ584" s="128"/>
      <c r="AR584" s="128"/>
      <c r="AS584" s="128"/>
      <c r="AT584" s="128"/>
      <c r="AU584" s="128"/>
    </row>
    <row r="585" ht="27" customHeight="1" spans="1:47">
      <c r="A585" s="154"/>
      <c r="O585" s="345"/>
      <c r="T585" s="314"/>
      <c r="U585" s="314"/>
      <c r="X585" s="342"/>
      <c r="Y585" s="343"/>
      <c r="AA585" s="344"/>
      <c r="AB585" s="344"/>
      <c r="AC585" s="344"/>
      <c r="AD585" s="344"/>
      <c r="AH585" s="128"/>
      <c r="AI585" s="128"/>
      <c r="AJ585" s="128"/>
      <c r="AK585" s="128"/>
      <c r="AL585" s="128"/>
      <c r="AM585" s="128"/>
      <c r="AP585" s="128"/>
      <c r="AQ585" s="128"/>
      <c r="AR585" s="128"/>
      <c r="AS585" s="128"/>
      <c r="AT585" s="128"/>
      <c r="AU585" s="128"/>
    </row>
    <row r="586" ht="27" customHeight="1" spans="1:47">
      <c r="A586" s="154"/>
      <c r="O586" s="345"/>
      <c r="T586" s="314"/>
      <c r="U586" s="314"/>
      <c r="X586" s="342"/>
      <c r="Y586" s="343"/>
      <c r="AA586" s="344"/>
      <c r="AB586" s="344"/>
      <c r="AC586" s="344"/>
      <c r="AD586" s="344"/>
      <c r="AH586" s="128"/>
      <c r="AI586" s="128"/>
      <c r="AJ586" s="128"/>
      <c r="AK586" s="128"/>
      <c r="AL586" s="128"/>
      <c r="AM586" s="128"/>
      <c r="AP586" s="128"/>
      <c r="AQ586" s="128"/>
      <c r="AR586" s="128"/>
      <c r="AS586" s="128"/>
      <c r="AT586" s="128"/>
      <c r="AU586" s="128"/>
    </row>
    <row r="587" ht="27" customHeight="1" spans="1:47">
      <c r="A587" s="154"/>
      <c r="O587" s="345"/>
      <c r="T587" s="314"/>
      <c r="U587" s="314"/>
      <c r="X587" s="342"/>
      <c r="Y587" s="343"/>
      <c r="AA587" s="344"/>
      <c r="AB587" s="344"/>
      <c r="AC587" s="344"/>
      <c r="AD587" s="344"/>
      <c r="AH587" s="128"/>
      <c r="AI587" s="128"/>
      <c r="AJ587" s="128"/>
      <c r="AK587" s="128"/>
      <c r="AL587" s="128"/>
      <c r="AM587" s="128"/>
      <c r="AP587" s="128"/>
      <c r="AQ587" s="128"/>
      <c r="AR587" s="128"/>
      <c r="AS587" s="128"/>
      <c r="AT587" s="128"/>
      <c r="AU587" s="128"/>
    </row>
    <row r="588" ht="27" customHeight="1" spans="1:47">
      <c r="A588" s="154"/>
      <c r="O588" s="345"/>
      <c r="T588" s="314"/>
      <c r="U588" s="314"/>
      <c r="X588" s="342"/>
      <c r="Y588" s="343"/>
      <c r="AA588" s="344"/>
      <c r="AB588" s="344"/>
      <c r="AC588" s="344"/>
      <c r="AD588" s="344"/>
      <c r="AH588" s="128"/>
      <c r="AI588" s="128"/>
      <c r="AJ588" s="128"/>
      <c r="AK588" s="128"/>
      <c r="AL588" s="128"/>
      <c r="AM588" s="128"/>
      <c r="AP588" s="128"/>
      <c r="AQ588" s="128"/>
      <c r="AR588" s="128"/>
      <c r="AS588" s="128"/>
      <c r="AT588" s="128"/>
      <c r="AU588" s="128"/>
    </row>
    <row r="589" ht="27" customHeight="1" spans="1:47">
      <c r="A589" s="154"/>
      <c r="O589" s="345"/>
      <c r="T589" s="314"/>
      <c r="U589" s="314"/>
      <c r="X589" s="342"/>
      <c r="Y589" s="343"/>
      <c r="AA589" s="344"/>
      <c r="AB589" s="344"/>
      <c r="AC589" s="344"/>
      <c r="AD589" s="344"/>
      <c r="AH589" s="128"/>
      <c r="AI589" s="128"/>
      <c r="AJ589" s="128"/>
      <c r="AK589" s="128"/>
      <c r="AL589" s="128"/>
      <c r="AM589" s="128"/>
      <c r="AP589" s="128"/>
      <c r="AQ589" s="128"/>
      <c r="AR589" s="128"/>
      <c r="AS589" s="128"/>
      <c r="AT589" s="128"/>
      <c r="AU589" s="128"/>
    </row>
    <row r="590" ht="27" customHeight="1" spans="1:47">
      <c r="A590" s="154"/>
      <c r="O590" s="345"/>
      <c r="T590" s="314"/>
      <c r="U590" s="314"/>
      <c r="X590" s="342"/>
      <c r="Y590" s="343"/>
      <c r="AA590" s="344"/>
      <c r="AB590" s="344"/>
      <c r="AC590" s="344"/>
      <c r="AD590" s="344"/>
      <c r="AH590" s="128"/>
      <c r="AI590" s="128"/>
      <c r="AJ590" s="128"/>
      <c r="AK590" s="128"/>
      <c r="AL590" s="128"/>
      <c r="AM590" s="128"/>
      <c r="AP590" s="128"/>
      <c r="AQ590" s="128"/>
      <c r="AR590" s="128"/>
      <c r="AS590" s="128"/>
      <c r="AT590" s="128"/>
      <c r="AU590" s="128"/>
    </row>
    <row r="591" ht="27" customHeight="1" spans="1:47">
      <c r="A591" s="154"/>
      <c r="O591" s="345"/>
      <c r="T591" s="314"/>
      <c r="U591" s="314"/>
      <c r="X591" s="342"/>
      <c r="Y591" s="343"/>
      <c r="AA591" s="344"/>
      <c r="AB591" s="344"/>
      <c r="AC591" s="344"/>
      <c r="AD591" s="344"/>
      <c r="AH591" s="128"/>
      <c r="AI591" s="128"/>
      <c r="AJ591" s="128"/>
      <c r="AK591" s="128"/>
      <c r="AL591" s="128"/>
      <c r="AM591" s="128"/>
      <c r="AP591" s="128"/>
      <c r="AQ591" s="128"/>
      <c r="AR591" s="128"/>
      <c r="AS591" s="128"/>
      <c r="AT591" s="128"/>
      <c r="AU591" s="128"/>
    </row>
    <row r="592" ht="27" customHeight="1" spans="1:47">
      <c r="A592" s="154"/>
      <c r="O592" s="345"/>
      <c r="T592" s="314"/>
      <c r="U592" s="314"/>
      <c r="X592" s="342"/>
      <c r="Y592" s="343"/>
      <c r="AA592" s="344"/>
      <c r="AB592" s="344"/>
      <c r="AC592" s="344"/>
      <c r="AD592" s="344"/>
      <c r="AH592" s="128"/>
      <c r="AI592" s="128"/>
      <c r="AJ592" s="128"/>
      <c r="AK592" s="128"/>
      <c r="AL592" s="128"/>
      <c r="AM592" s="128"/>
      <c r="AP592" s="128"/>
      <c r="AQ592" s="128"/>
      <c r="AR592" s="128"/>
      <c r="AS592" s="128"/>
      <c r="AT592" s="128"/>
      <c r="AU592" s="128"/>
    </row>
    <row r="593" ht="27" customHeight="1" spans="1:47">
      <c r="A593" s="154"/>
      <c r="O593" s="345"/>
      <c r="T593" s="314"/>
      <c r="U593" s="314"/>
      <c r="X593" s="342"/>
      <c r="Y593" s="343"/>
      <c r="AA593" s="344"/>
      <c r="AB593" s="344"/>
      <c r="AC593" s="344"/>
      <c r="AD593" s="344"/>
      <c r="AH593" s="128"/>
      <c r="AI593" s="128"/>
      <c r="AJ593" s="128"/>
      <c r="AK593" s="128"/>
      <c r="AL593" s="128"/>
      <c r="AM593" s="128"/>
      <c r="AP593" s="128"/>
      <c r="AQ593" s="128"/>
      <c r="AR593" s="128"/>
      <c r="AS593" s="128"/>
      <c r="AT593" s="128"/>
      <c r="AU593" s="128"/>
    </row>
    <row r="594" ht="27" customHeight="1" spans="1:47">
      <c r="A594" s="154"/>
      <c r="O594" s="345"/>
      <c r="T594" s="314"/>
      <c r="U594" s="314"/>
      <c r="X594" s="342"/>
      <c r="Y594" s="343"/>
      <c r="AA594" s="344"/>
      <c r="AB594" s="344"/>
      <c r="AC594" s="344"/>
      <c r="AD594" s="344"/>
      <c r="AH594" s="128"/>
      <c r="AI594" s="128"/>
      <c r="AJ594" s="128"/>
      <c r="AK594" s="128"/>
      <c r="AL594" s="128"/>
      <c r="AM594" s="128"/>
      <c r="AP594" s="128"/>
      <c r="AQ594" s="128"/>
      <c r="AR594" s="128"/>
      <c r="AS594" s="128"/>
      <c r="AT594" s="128"/>
      <c r="AU594" s="128"/>
    </row>
    <row r="595" ht="27" customHeight="1" spans="1:47">
      <c r="A595" s="154"/>
      <c r="O595" s="345"/>
      <c r="T595" s="314"/>
      <c r="U595" s="314"/>
      <c r="X595" s="342"/>
      <c r="Y595" s="343"/>
      <c r="AA595" s="344"/>
      <c r="AB595" s="344"/>
      <c r="AC595" s="344"/>
      <c r="AD595" s="344"/>
      <c r="AH595" s="128"/>
      <c r="AI595" s="128"/>
      <c r="AJ595" s="128"/>
      <c r="AK595" s="128"/>
      <c r="AL595" s="128"/>
      <c r="AM595" s="128"/>
      <c r="AP595" s="128"/>
      <c r="AQ595" s="128"/>
      <c r="AR595" s="128"/>
      <c r="AS595" s="128"/>
      <c r="AT595" s="128"/>
      <c r="AU595" s="128"/>
    </row>
    <row r="596" ht="27" customHeight="1" spans="1:47">
      <c r="A596" s="154"/>
      <c r="O596" s="345"/>
      <c r="T596" s="314"/>
      <c r="U596" s="314"/>
      <c r="X596" s="342"/>
      <c r="Y596" s="343"/>
      <c r="AA596" s="344"/>
      <c r="AB596" s="344"/>
      <c r="AC596" s="344"/>
      <c r="AD596" s="344"/>
      <c r="AH596" s="128"/>
      <c r="AI596" s="128"/>
      <c r="AJ596" s="128"/>
      <c r="AK596" s="128"/>
      <c r="AL596" s="128"/>
      <c r="AM596" s="128"/>
      <c r="AP596" s="128"/>
      <c r="AQ596" s="128"/>
      <c r="AR596" s="128"/>
      <c r="AS596" s="128"/>
      <c r="AT596" s="128"/>
      <c r="AU596" s="128"/>
    </row>
    <row r="597" ht="27" customHeight="1" spans="1:47">
      <c r="A597" s="154"/>
      <c r="O597" s="345"/>
      <c r="T597" s="314"/>
      <c r="U597" s="314"/>
      <c r="X597" s="342"/>
      <c r="Y597" s="343"/>
      <c r="AA597" s="344"/>
      <c r="AB597" s="344"/>
      <c r="AC597" s="344"/>
      <c r="AD597" s="344"/>
      <c r="AH597" s="128"/>
      <c r="AI597" s="128"/>
      <c r="AJ597" s="128"/>
      <c r="AK597" s="128"/>
      <c r="AL597" s="128"/>
      <c r="AM597" s="128"/>
      <c r="AP597" s="128"/>
      <c r="AQ597" s="128"/>
      <c r="AR597" s="128"/>
      <c r="AS597" s="128"/>
      <c r="AT597" s="128"/>
      <c r="AU597" s="128"/>
    </row>
    <row r="598" ht="27" customHeight="1" spans="1:47">
      <c r="A598" s="154"/>
      <c r="O598" s="345"/>
      <c r="T598" s="314"/>
      <c r="U598" s="314"/>
      <c r="X598" s="342"/>
      <c r="Y598" s="343"/>
      <c r="AA598" s="344"/>
      <c r="AB598" s="344"/>
      <c r="AC598" s="344"/>
      <c r="AD598" s="344"/>
      <c r="AH598" s="128"/>
      <c r="AI598" s="128"/>
      <c r="AJ598" s="128"/>
      <c r="AK598" s="128"/>
      <c r="AL598" s="128"/>
      <c r="AM598" s="128"/>
      <c r="AP598" s="128"/>
      <c r="AQ598" s="128"/>
      <c r="AR598" s="128"/>
      <c r="AS598" s="128"/>
      <c r="AT598" s="128"/>
      <c r="AU598" s="128"/>
    </row>
    <row r="599" ht="27" customHeight="1" spans="1:47">
      <c r="A599" s="154"/>
      <c r="O599" s="345"/>
      <c r="T599" s="314"/>
      <c r="U599" s="314"/>
      <c r="X599" s="342"/>
      <c r="Y599" s="343"/>
      <c r="AA599" s="344"/>
      <c r="AB599" s="344"/>
      <c r="AC599" s="344"/>
      <c r="AD599" s="344"/>
      <c r="AH599" s="128"/>
      <c r="AI599" s="128"/>
      <c r="AJ599" s="128"/>
      <c r="AK599" s="128"/>
      <c r="AL599" s="128"/>
      <c r="AM599" s="128"/>
      <c r="AP599" s="128"/>
      <c r="AQ599" s="128"/>
      <c r="AR599" s="128"/>
      <c r="AS599" s="128"/>
      <c r="AT599" s="128"/>
      <c r="AU599" s="128"/>
    </row>
    <row r="600" ht="27" customHeight="1" spans="1:47">
      <c r="A600" s="154"/>
      <c r="O600" s="345"/>
      <c r="T600" s="314"/>
      <c r="U600" s="314"/>
      <c r="X600" s="342"/>
      <c r="Y600" s="343"/>
      <c r="AA600" s="344"/>
      <c r="AB600" s="344"/>
      <c r="AC600" s="344"/>
      <c r="AD600" s="344"/>
      <c r="AH600" s="128"/>
      <c r="AI600" s="128"/>
      <c r="AJ600" s="128"/>
      <c r="AK600" s="128"/>
      <c r="AL600" s="128"/>
      <c r="AM600" s="128"/>
      <c r="AP600" s="128"/>
      <c r="AQ600" s="128"/>
      <c r="AR600" s="128"/>
      <c r="AS600" s="128"/>
      <c r="AT600" s="128"/>
      <c r="AU600" s="128"/>
    </row>
    <row r="601" ht="27" customHeight="1" spans="1:47">
      <c r="A601" s="154"/>
      <c r="O601" s="345"/>
      <c r="T601" s="314"/>
      <c r="U601" s="314"/>
      <c r="X601" s="342"/>
      <c r="Y601" s="343"/>
      <c r="AA601" s="344"/>
      <c r="AB601" s="344"/>
      <c r="AC601" s="344"/>
      <c r="AD601" s="344"/>
      <c r="AH601" s="128"/>
      <c r="AI601" s="128"/>
      <c r="AJ601" s="128"/>
      <c r="AK601" s="128"/>
      <c r="AL601" s="128"/>
      <c r="AM601" s="128"/>
      <c r="AP601" s="128"/>
      <c r="AQ601" s="128"/>
      <c r="AR601" s="128"/>
      <c r="AS601" s="128"/>
      <c r="AT601" s="128"/>
      <c r="AU601" s="128"/>
    </row>
    <row r="602" ht="27" customHeight="1" spans="1:47">
      <c r="A602" s="154"/>
      <c r="O602" s="345"/>
      <c r="T602" s="314"/>
      <c r="U602" s="314"/>
      <c r="X602" s="342"/>
      <c r="Y602" s="343"/>
      <c r="AA602" s="344"/>
      <c r="AB602" s="344"/>
      <c r="AC602" s="344"/>
      <c r="AD602" s="344"/>
      <c r="AH602" s="128"/>
      <c r="AI602" s="128"/>
      <c r="AJ602" s="128"/>
      <c r="AK602" s="128"/>
      <c r="AL602" s="128"/>
      <c r="AM602" s="128"/>
      <c r="AP602" s="128"/>
      <c r="AQ602" s="128"/>
      <c r="AR602" s="128"/>
      <c r="AS602" s="128"/>
      <c r="AT602" s="128"/>
      <c r="AU602" s="128"/>
    </row>
    <row r="603" ht="27" customHeight="1" spans="1:47">
      <c r="A603" s="154"/>
      <c r="O603" s="345"/>
      <c r="T603" s="314"/>
      <c r="U603" s="314"/>
      <c r="X603" s="342"/>
      <c r="Y603" s="343"/>
      <c r="AA603" s="344"/>
      <c r="AB603" s="344"/>
      <c r="AC603" s="344"/>
      <c r="AD603" s="344"/>
      <c r="AH603" s="128"/>
      <c r="AI603" s="128"/>
      <c r="AJ603" s="128"/>
      <c r="AK603" s="128"/>
      <c r="AL603" s="128"/>
      <c r="AM603" s="128"/>
      <c r="AP603" s="128"/>
      <c r="AQ603" s="128"/>
      <c r="AR603" s="128"/>
      <c r="AS603" s="128"/>
      <c r="AT603" s="128"/>
      <c r="AU603" s="128"/>
    </row>
    <row r="604" ht="27" customHeight="1" spans="1:47">
      <c r="A604" s="154"/>
      <c r="O604" s="345"/>
      <c r="T604" s="314"/>
      <c r="U604" s="314"/>
      <c r="X604" s="342"/>
      <c r="Y604" s="343"/>
      <c r="AA604" s="344"/>
      <c r="AB604" s="344"/>
      <c r="AC604" s="344"/>
      <c r="AD604" s="344"/>
      <c r="AH604" s="128"/>
      <c r="AI604" s="128"/>
      <c r="AJ604" s="128"/>
      <c r="AK604" s="128"/>
      <c r="AL604" s="128"/>
      <c r="AM604" s="128"/>
      <c r="AP604" s="128"/>
      <c r="AQ604" s="128"/>
      <c r="AR604" s="128"/>
      <c r="AS604" s="128"/>
      <c r="AT604" s="128"/>
      <c r="AU604" s="128"/>
    </row>
    <row r="605" ht="27" customHeight="1" spans="1:47">
      <c r="A605" s="154"/>
      <c r="O605" s="345"/>
      <c r="T605" s="314"/>
      <c r="U605" s="314"/>
      <c r="X605" s="342"/>
      <c r="Y605" s="343"/>
      <c r="AA605" s="344"/>
      <c r="AB605" s="344"/>
      <c r="AC605" s="344"/>
      <c r="AD605" s="344"/>
      <c r="AH605" s="128"/>
      <c r="AI605" s="128"/>
      <c r="AJ605" s="128"/>
      <c r="AK605" s="128"/>
      <c r="AL605" s="128"/>
      <c r="AM605" s="128"/>
      <c r="AP605" s="128"/>
      <c r="AQ605" s="128"/>
      <c r="AR605" s="128"/>
      <c r="AS605" s="128"/>
      <c r="AT605" s="128"/>
      <c r="AU605" s="128"/>
    </row>
    <row r="606" ht="27" customHeight="1" spans="1:47">
      <c r="A606" s="154"/>
      <c r="O606" s="345"/>
      <c r="T606" s="314"/>
      <c r="U606" s="314"/>
      <c r="X606" s="342"/>
      <c r="Y606" s="343"/>
      <c r="AA606" s="344"/>
      <c r="AB606" s="344"/>
      <c r="AC606" s="344"/>
      <c r="AD606" s="344"/>
      <c r="AH606" s="128"/>
      <c r="AI606" s="128"/>
      <c r="AJ606" s="128"/>
      <c r="AK606" s="128"/>
      <c r="AL606" s="128"/>
      <c r="AM606" s="128"/>
      <c r="AP606" s="128"/>
      <c r="AQ606" s="128"/>
      <c r="AR606" s="128"/>
      <c r="AS606" s="128"/>
      <c r="AT606" s="128"/>
      <c r="AU606" s="128"/>
    </row>
    <row r="607" ht="27" customHeight="1" spans="1:47">
      <c r="A607" s="154"/>
      <c r="O607" s="345"/>
      <c r="T607" s="314"/>
      <c r="U607" s="314"/>
      <c r="X607" s="342"/>
      <c r="Y607" s="343"/>
      <c r="AA607" s="344"/>
      <c r="AB607" s="344"/>
      <c r="AC607" s="344"/>
      <c r="AD607" s="344"/>
      <c r="AH607" s="128"/>
      <c r="AI607" s="128"/>
      <c r="AJ607" s="128"/>
      <c r="AK607" s="128"/>
      <c r="AL607" s="128"/>
      <c r="AM607" s="128"/>
      <c r="AP607" s="128"/>
      <c r="AQ607" s="128"/>
      <c r="AR607" s="128"/>
      <c r="AS607" s="128"/>
      <c r="AT607" s="128"/>
      <c r="AU607" s="128"/>
    </row>
    <row r="608" ht="27" customHeight="1" spans="1:47">
      <c r="A608" s="154"/>
      <c r="O608" s="345"/>
      <c r="T608" s="314"/>
      <c r="U608" s="314"/>
      <c r="X608" s="342"/>
      <c r="Y608" s="343"/>
      <c r="AA608" s="344"/>
      <c r="AB608" s="344"/>
      <c r="AC608" s="344"/>
      <c r="AD608" s="344"/>
      <c r="AH608" s="128"/>
      <c r="AI608" s="128"/>
      <c r="AJ608" s="128"/>
      <c r="AK608" s="128"/>
      <c r="AL608" s="128"/>
      <c r="AM608" s="128"/>
      <c r="AP608" s="128"/>
      <c r="AQ608" s="128"/>
      <c r="AR608" s="128"/>
      <c r="AS608" s="128"/>
      <c r="AT608" s="128"/>
      <c r="AU608" s="128"/>
    </row>
    <row r="609" ht="27" customHeight="1" spans="1:47">
      <c r="A609" s="154"/>
      <c r="O609" s="345"/>
      <c r="T609" s="314"/>
      <c r="U609" s="314"/>
      <c r="X609" s="342"/>
      <c r="Y609" s="343"/>
      <c r="AA609" s="344"/>
      <c r="AB609" s="344"/>
      <c r="AC609" s="344"/>
      <c r="AD609" s="344"/>
      <c r="AH609" s="128"/>
      <c r="AI609" s="128"/>
      <c r="AJ609" s="128"/>
      <c r="AK609" s="128"/>
      <c r="AL609" s="128"/>
      <c r="AM609" s="128"/>
      <c r="AP609" s="128"/>
      <c r="AQ609" s="128"/>
      <c r="AR609" s="128"/>
      <c r="AS609" s="128"/>
      <c r="AT609" s="128"/>
      <c r="AU609" s="128"/>
    </row>
    <row r="610" ht="27" customHeight="1" spans="1:47">
      <c r="A610" s="154"/>
      <c r="O610" s="345"/>
      <c r="T610" s="314"/>
      <c r="U610" s="314"/>
      <c r="X610" s="342"/>
      <c r="Y610" s="343"/>
      <c r="AA610" s="344"/>
      <c r="AB610" s="344"/>
      <c r="AC610" s="344"/>
      <c r="AD610" s="344"/>
      <c r="AH610" s="128"/>
      <c r="AI610" s="128"/>
      <c r="AJ610" s="128"/>
      <c r="AK610" s="128"/>
      <c r="AL610" s="128"/>
      <c r="AM610" s="128"/>
      <c r="AP610" s="128"/>
      <c r="AQ610" s="128"/>
      <c r="AR610" s="128"/>
      <c r="AS610" s="128"/>
      <c r="AT610" s="128"/>
      <c r="AU610" s="128"/>
    </row>
    <row r="611" ht="27" customHeight="1" spans="1:47">
      <c r="A611" s="154"/>
      <c r="O611" s="345"/>
      <c r="T611" s="314"/>
      <c r="U611" s="314"/>
      <c r="X611" s="342"/>
      <c r="Y611" s="343"/>
      <c r="AA611" s="344"/>
      <c r="AB611" s="344"/>
      <c r="AC611" s="344"/>
      <c r="AD611" s="344"/>
      <c r="AH611" s="128"/>
      <c r="AI611" s="128"/>
      <c r="AJ611" s="128"/>
      <c r="AK611" s="128"/>
      <c r="AL611" s="128"/>
      <c r="AM611" s="128"/>
      <c r="AP611" s="128"/>
      <c r="AQ611" s="128"/>
      <c r="AR611" s="128"/>
      <c r="AS611" s="128"/>
      <c r="AT611" s="128"/>
      <c r="AU611" s="128"/>
    </row>
    <row r="612" ht="27" customHeight="1" spans="1:47">
      <c r="A612" s="154"/>
      <c r="O612" s="345"/>
      <c r="T612" s="314"/>
      <c r="U612" s="314"/>
      <c r="X612" s="342"/>
      <c r="Y612" s="343"/>
      <c r="AA612" s="344"/>
      <c r="AB612" s="344"/>
      <c r="AC612" s="344"/>
      <c r="AD612" s="344"/>
      <c r="AH612" s="128"/>
      <c r="AI612" s="128"/>
      <c r="AJ612" s="128"/>
      <c r="AK612" s="128"/>
      <c r="AL612" s="128"/>
      <c r="AM612" s="128"/>
      <c r="AP612" s="128"/>
      <c r="AQ612" s="128"/>
      <c r="AR612" s="128"/>
      <c r="AS612" s="128"/>
      <c r="AT612" s="128"/>
      <c r="AU612" s="128"/>
    </row>
    <row r="613" ht="27" customHeight="1" spans="1:47">
      <c r="A613" s="154"/>
      <c r="O613" s="345"/>
      <c r="T613" s="314"/>
      <c r="U613" s="314"/>
      <c r="X613" s="342"/>
      <c r="Y613" s="343"/>
      <c r="AA613" s="344"/>
      <c r="AB613" s="344"/>
      <c r="AC613" s="344"/>
      <c r="AD613" s="344"/>
      <c r="AH613" s="128"/>
      <c r="AI613" s="128"/>
      <c r="AJ613" s="128"/>
      <c r="AK613" s="128"/>
      <c r="AL613" s="128"/>
      <c r="AM613" s="128"/>
      <c r="AP613" s="128"/>
      <c r="AQ613" s="128"/>
      <c r="AR613" s="128"/>
      <c r="AS613" s="128"/>
      <c r="AT613" s="128"/>
      <c r="AU613" s="128"/>
    </row>
    <row r="614" ht="27" customHeight="1" spans="1:47">
      <c r="A614" s="154"/>
      <c r="O614" s="345"/>
      <c r="T614" s="314"/>
      <c r="U614" s="314"/>
      <c r="X614" s="342"/>
      <c r="Y614" s="343"/>
      <c r="AA614" s="344"/>
      <c r="AB614" s="344"/>
      <c r="AC614" s="344"/>
      <c r="AD614" s="344"/>
      <c r="AH614" s="128"/>
      <c r="AI614" s="128"/>
      <c r="AJ614" s="128"/>
      <c r="AK614" s="128"/>
      <c r="AL614" s="128"/>
      <c r="AM614" s="128"/>
      <c r="AP614" s="128"/>
      <c r="AQ614" s="128"/>
      <c r="AR614" s="128"/>
      <c r="AS614" s="128"/>
      <c r="AT614" s="128"/>
      <c r="AU614" s="128"/>
    </row>
    <row r="615" ht="27" customHeight="1" spans="1:47">
      <c r="A615" s="154"/>
      <c r="O615" s="345"/>
      <c r="T615" s="314"/>
      <c r="U615" s="314"/>
      <c r="X615" s="342"/>
      <c r="Y615" s="343"/>
      <c r="AA615" s="344"/>
      <c r="AB615" s="344"/>
      <c r="AC615" s="344"/>
      <c r="AD615" s="344"/>
      <c r="AH615" s="128"/>
      <c r="AI615" s="128"/>
      <c r="AJ615" s="128"/>
      <c r="AK615" s="128"/>
      <c r="AL615" s="128"/>
      <c r="AM615" s="128"/>
      <c r="AP615" s="128"/>
      <c r="AQ615" s="128"/>
      <c r="AR615" s="128"/>
      <c r="AS615" s="128"/>
      <c r="AT615" s="128"/>
      <c r="AU615" s="128"/>
    </row>
    <row r="616" ht="27" customHeight="1" spans="1:47">
      <c r="A616" s="154"/>
      <c r="O616" s="345"/>
      <c r="T616" s="314"/>
      <c r="U616" s="314"/>
      <c r="X616" s="342"/>
      <c r="Y616" s="343"/>
      <c r="AA616" s="344"/>
      <c r="AB616" s="344"/>
      <c r="AC616" s="344"/>
      <c r="AD616" s="344"/>
      <c r="AH616" s="128"/>
      <c r="AI616" s="128"/>
      <c r="AJ616" s="128"/>
      <c r="AK616" s="128"/>
      <c r="AL616" s="128"/>
      <c r="AM616" s="128"/>
      <c r="AP616" s="128"/>
      <c r="AQ616" s="128"/>
      <c r="AR616" s="128"/>
      <c r="AS616" s="128"/>
      <c r="AT616" s="128"/>
      <c r="AU616" s="128"/>
    </row>
    <row r="617" ht="27" customHeight="1" spans="1:47">
      <c r="A617" s="154"/>
      <c r="O617" s="345"/>
      <c r="T617" s="314"/>
      <c r="U617" s="314"/>
      <c r="X617" s="342"/>
      <c r="Y617" s="343"/>
      <c r="AA617" s="344"/>
      <c r="AB617" s="344"/>
      <c r="AC617" s="344"/>
      <c r="AD617" s="344"/>
      <c r="AH617" s="128"/>
      <c r="AI617" s="128"/>
      <c r="AJ617" s="128"/>
      <c r="AK617" s="128"/>
      <c r="AL617" s="128"/>
      <c r="AM617" s="128"/>
      <c r="AP617" s="128"/>
      <c r="AQ617" s="128"/>
      <c r="AR617" s="128"/>
      <c r="AS617" s="128"/>
      <c r="AT617" s="128"/>
      <c r="AU617" s="128"/>
    </row>
    <row r="618" ht="27" customHeight="1" spans="1:47">
      <c r="A618" s="154"/>
      <c r="O618" s="345"/>
      <c r="T618" s="314"/>
      <c r="U618" s="314"/>
      <c r="X618" s="342"/>
      <c r="Y618" s="343"/>
      <c r="AA618" s="344"/>
      <c r="AB618" s="344"/>
      <c r="AC618" s="344"/>
      <c r="AD618" s="344"/>
      <c r="AH618" s="128"/>
      <c r="AI618" s="128"/>
      <c r="AJ618" s="128"/>
      <c r="AK618" s="128"/>
      <c r="AL618" s="128"/>
      <c r="AM618" s="128"/>
      <c r="AP618" s="128"/>
      <c r="AQ618" s="128"/>
      <c r="AR618" s="128"/>
      <c r="AS618" s="128"/>
      <c r="AT618" s="128"/>
      <c r="AU618" s="128"/>
    </row>
    <row r="619" ht="27" customHeight="1" spans="1:47">
      <c r="A619" s="154"/>
      <c r="O619" s="345"/>
      <c r="T619" s="314"/>
      <c r="U619" s="314"/>
      <c r="X619" s="342"/>
      <c r="Y619" s="343"/>
      <c r="AA619" s="344"/>
      <c r="AB619" s="344"/>
      <c r="AC619" s="344"/>
      <c r="AD619" s="344"/>
      <c r="AH619" s="128"/>
      <c r="AI619" s="128"/>
      <c r="AJ619" s="128"/>
      <c r="AK619" s="128"/>
      <c r="AL619" s="128"/>
      <c r="AM619" s="128"/>
      <c r="AP619" s="128"/>
      <c r="AQ619" s="128"/>
      <c r="AR619" s="128"/>
      <c r="AS619" s="128"/>
      <c r="AT619" s="128"/>
      <c r="AU619" s="128"/>
    </row>
    <row r="620" ht="27" customHeight="1" spans="1:47">
      <c r="A620" s="154"/>
      <c r="O620" s="345"/>
      <c r="T620" s="314"/>
      <c r="U620" s="314"/>
      <c r="X620" s="342"/>
      <c r="Y620" s="343"/>
      <c r="AA620" s="344"/>
      <c r="AB620" s="344"/>
      <c r="AC620" s="344"/>
      <c r="AD620" s="344"/>
      <c r="AH620" s="128"/>
      <c r="AI620" s="128"/>
      <c r="AJ620" s="128"/>
      <c r="AK620" s="128"/>
      <c r="AL620" s="128"/>
      <c r="AM620" s="128"/>
      <c r="AP620" s="128"/>
      <c r="AQ620" s="128"/>
      <c r="AR620" s="128"/>
      <c r="AS620" s="128"/>
      <c r="AT620" s="128"/>
      <c r="AU620" s="128"/>
    </row>
    <row r="621" ht="27" customHeight="1" spans="1:47">
      <c r="A621" s="154"/>
      <c r="O621" s="345"/>
      <c r="T621" s="314"/>
      <c r="U621" s="314"/>
      <c r="X621" s="342"/>
      <c r="Y621" s="343"/>
      <c r="AA621" s="344"/>
      <c r="AB621" s="344"/>
      <c r="AC621" s="344"/>
      <c r="AD621" s="344"/>
      <c r="AH621" s="128"/>
      <c r="AI621" s="128"/>
      <c r="AJ621" s="128"/>
      <c r="AK621" s="128"/>
      <c r="AL621" s="128"/>
      <c r="AM621" s="128"/>
      <c r="AP621" s="128"/>
      <c r="AQ621" s="128"/>
      <c r="AR621" s="128"/>
      <c r="AS621" s="128"/>
      <c r="AT621" s="128"/>
      <c r="AU621" s="128"/>
    </row>
    <row r="622" ht="27" customHeight="1" spans="1:47">
      <c r="A622" s="154"/>
      <c r="O622" s="345"/>
      <c r="T622" s="314"/>
      <c r="U622" s="314"/>
      <c r="X622" s="342"/>
      <c r="Y622" s="343"/>
      <c r="AA622" s="344"/>
      <c r="AB622" s="344"/>
      <c r="AC622" s="344"/>
      <c r="AD622" s="344"/>
      <c r="AH622" s="128"/>
      <c r="AI622" s="128"/>
      <c r="AJ622" s="128"/>
      <c r="AK622" s="128"/>
      <c r="AL622" s="128"/>
      <c r="AM622" s="128"/>
      <c r="AP622" s="128"/>
      <c r="AQ622" s="128"/>
      <c r="AR622" s="128"/>
      <c r="AS622" s="128"/>
      <c r="AT622" s="128"/>
      <c r="AU622" s="128"/>
    </row>
    <row r="623" ht="27" customHeight="1" spans="1:47">
      <c r="A623" s="154"/>
      <c r="O623" s="345"/>
      <c r="T623" s="314"/>
      <c r="U623" s="314"/>
      <c r="X623" s="342"/>
      <c r="Y623" s="343"/>
      <c r="AA623" s="344"/>
      <c r="AB623" s="344"/>
      <c r="AC623" s="344"/>
      <c r="AD623" s="344"/>
      <c r="AH623" s="128"/>
      <c r="AI623" s="128"/>
      <c r="AJ623" s="128"/>
      <c r="AK623" s="128"/>
      <c r="AL623" s="128"/>
      <c r="AM623" s="128"/>
      <c r="AP623" s="128"/>
      <c r="AQ623" s="128"/>
      <c r="AR623" s="128"/>
      <c r="AS623" s="128"/>
      <c r="AT623" s="128"/>
      <c r="AU623" s="128"/>
    </row>
    <row r="624" ht="27" customHeight="1" spans="1:47">
      <c r="A624" s="154"/>
      <c r="O624" s="345"/>
      <c r="T624" s="314"/>
      <c r="U624" s="314"/>
      <c r="X624" s="342"/>
      <c r="Y624" s="343"/>
      <c r="AA624" s="344"/>
      <c r="AB624" s="344"/>
      <c r="AC624" s="344"/>
      <c r="AD624" s="344"/>
      <c r="AH624" s="128"/>
      <c r="AI624" s="128"/>
      <c r="AJ624" s="128"/>
      <c r="AK624" s="128"/>
      <c r="AL624" s="128"/>
      <c r="AM624" s="128"/>
      <c r="AP624" s="128"/>
      <c r="AQ624" s="128"/>
      <c r="AR624" s="128"/>
      <c r="AS624" s="128"/>
      <c r="AT624" s="128"/>
      <c r="AU624" s="128"/>
    </row>
    <row r="625" ht="27" customHeight="1" spans="1:47">
      <c r="A625" s="154"/>
      <c r="O625" s="345"/>
      <c r="T625" s="314"/>
      <c r="U625" s="314"/>
      <c r="X625" s="342"/>
      <c r="Y625" s="343"/>
      <c r="AA625" s="344"/>
      <c r="AB625" s="344"/>
      <c r="AC625" s="344"/>
      <c r="AD625" s="344"/>
      <c r="AH625" s="128"/>
      <c r="AI625" s="128"/>
      <c r="AJ625" s="128"/>
      <c r="AK625" s="128"/>
      <c r="AL625" s="128"/>
      <c r="AM625" s="128"/>
      <c r="AP625" s="128"/>
      <c r="AQ625" s="128"/>
      <c r="AR625" s="128"/>
      <c r="AS625" s="128"/>
      <c r="AT625" s="128"/>
      <c r="AU625" s="128"/>
    </row>
    <row r="626" ht="27" customHeight="1" spans="1:47">
      <c r="A626" s="154"/>
      <c r="O626" s="345"/>
      <c r="T626" s="314"/>
      <c r="U626" s="314"/>
      <c r="X626" s="342"/>
      <c r="Y626" s="343"/>
      <c r="AA626" s="344"/>
      <c r="AB626" s="344"/>
      <c r="AC626" s="344"/>
      <c r="AD626" s="344"/>
      <c r="AH626" s="128"/>
      <c r="AI626" s="128"/>
      <c r="AJ626" s="128"/>
      <c r="AK626" s="128"/>
      <c r="AL626" s="128"/>
      <c r="AM626" s="128"/>
      <c r="AP626" s="128"/>
      <c r="AQ626" s="128"/>
      <c r="AR626" s="128"/>
      <c r="AS626" s="128"/>
      <c r="AT626" s="128"/>
      <c r="AU626" s="128"/>
    </row>
    <row r="627" ht="27" customHeight="1" spans="1:47">
      <c r="A627" s="154"/>
      <c r="O627" s="345"/>
      <c r="T627" s="314"/>
      <c r="U627" s="314"/>
      <c r="X627" s="342"/>
      <c r="Y627" s="343"/>
      <c r="AA627" s="344"/>
      <c r="AB627" s="344"/>
      <c r="AC627" s="344"/>
      <c r="AD627" s="344"/>
      <c r="AH627" s="128"/>
      <c r="AI627" s="128"/>
      <c r="AJ627" s="128"/>
      <c r="AK627" s="128"/>
      <c r="AL627" s="128"/>
      <c r="AM627" s="128"/>
      <c r="AP627" s="128"/>
      <c r="AQ627" s="128"/>
      <c r="AR627" s="128"/>
      <c r="AS627" s="128"/>
      <c r="AT627" s="128"/>
      <c r="AU627" s="128"/>
    </row>
    <row r="628" ht="27" customHeight="1" spans="1:47">
      <c r="A628" s="154"/>
      <c r="O628" s="345"/>
      <c r="T628" s="314"/>
      <c r="U628" s="314"/>
      <c r="X628" s="342"/>
      <c r="Y628" s="343"/>
      <c r="AA628" s="344"/>
      <c r="AB628" s="344"/>
      <c r="AC628" s="344"/>
      <c r="AD628" s="344"/>
      <c r="AH628" s="128"/>
      <c r="AI628" s="128"/>
      <c r="AJ628" s="128"/>
      <c r="AK628" s="128"/>
      <c r="AL628" s="128"/>
      <c r="AM628" s="128"/>
      <c r="AP628" s="128"/>
      <c r="AQ628" s="128"/>
      <c r="AR628" s="128"/>
      <c r="AS628" s="128"/>
      <c r="AT628" s="128"/>
      <c r="AU628" s="128"/>
    </row>
    <row r="629" ht="27" customHeight="1" spans="1:47">
      <c r="A629" s="154"/>
      <c r="O629" s="345"/>
      <c r="T629" s="314"/>
      <c r="U629" s="314"/>
      <c r="X629" s="342"/>
      <c r="Y629" s="343"/>
      <c r="AA629" s="344"/>
      <c r="AB629" s="344"/>
      <c r="AC629" s="344"/>
      <c r="AD629" s="344"/>
      <c r="AH629" s="128"/>
      <c r="AI629" s="128"/>
      <c r="AJ629" s="128"/>
      <c r="AK629" s="128"/>
      <c r="AL629" s="128"/>
      <c r="AM629" s="128"/>
      <c r="AP629" s="128"/>
      <c r="AQ629" s="128"/>
      <c r="AR629" s="128"/>
      <c r="AS629" s="128"/>
      <c r="AT629" s="128"/>
      <c r="AU629" s="128"/>
    </row>
    <row r="630" ht="27" customHeight="1" spans="1:47">
      <c r="A630" s="154"/>
      <c r="O630" s="345"/>
      <c r="T630" s="314"/>
      <c r="U630" s="314"/>
      <c r="X630" s="342"/>
      <c r="Y630" s="343"/>
      <c r="AA630" s="344"/>
      <c r="AB630" s="344"/>
      <c r="AC630" s="344"/>
      <c r="AD630" s="344"/>
      <c r="AH630" s="128"/>
      <c r="AI630" s="128"/>
      <c r="AJ630" s="128"/>
      <c r="AK630" s="128"/>
      <c r="AL630" s="128"/>
      <c r="AM630" s="128"/>
      <c r="AP630" s="128"/>
      <c r="AQ630" s="128"/>
      <c r="AR630" s="128"/>
      <c r="AS630" s="128"/>
      <c r="AT630" s="128"/>
      <c r="AU630" s="128"/>
    </row>
    <row r="631" ht="27" customHeight="1" spans="1:47">
      <c r="A631" s="154"/>
      <c r="O631" s="345"/>
      <c r="T631" s="314"/>
      <c r="U631" s="314"/>
      <c r="X631" s="342"/>
      <c r="Y631" s="343"/>
      <c r="AA631" s="344"/>
      <c r="AB631" s="344"/>
      <c r="AC631" s="344"/>
      <c r="AD631" s="344"/>
      <c r="AH631" s="128"/>
      <c r="AI631" s="128"/>
      <c r="AJ631" s="128"/>
      <c r="AK631" s="128"/>
      <c r="AL631" s="128"/>
      <c r="AM631" s="128"/>
      <c r="AP631" s="128"/>
      <c r="AQ631" s="128"/>
      <c r="AR631" s="128"/>
      <c r="AS631" s="128"/>
      <c r="AT631" s="128"/>
      <c r="AU631" s="128"/>
    </row>
    <row r="632" ht="27" customHeight="1" spans="1:47">
      <c r="A632" s="154"/>
      <c r="O632" s="345"/>
      <c r="T632" s="314"/>
      <c r="U632" s="314"/>
      <c r="X632" s="342"/>
      <c r="Y632" s="343"/>
      <c r="AA632" s="344"/>
      <c r="AB632" s="344"/>
      <c r="AC632" s="344"/>
      <c r="AD632" s="344"/>
      <c r="AH632" s="128"/>
      <c r="AI632" s="128"/>
      <c r="AJ632" s="128"/>
      <c r="AK632" s="128"/>
      <c r="AL632" s="128"/>
      <c r="AM632" s="128"/>
      <c r="AP632" s="128"/>
      <c r="AQ632" s="128"/>
      <c r="AR632" s="128"/>
      <c r="AS632" s="128"/>
      <c r="AT632" s="128"/>
      <c r="AU632" s="128"/>
    </row>
    <row r="633" ht="27" customHeight="1" spans="1:47">
      <c r="A633" s="154"/>
      <c r="O633" s="345"/>
      <c r="T633" s="314"/>
      <c r="U633" s="314"/>
      <c r="X633" s="342"/>
      <c r="Y633" s="343"/>
      <c r="AA633" s="344"/>
      <c r="AB633" s="344"/>
      <c r="AC633" s="344"/>
      <c r="AD633" s="344"/>
      <c r="AH633" s="128"/>
      <c r="AI633" s="128"/>
      <c r="AJ633" s="128"/>
      <c r="AK633" s="128"/>
      <c r="AL633" s="128"/>
      <c r="AM633" s="128"/>
      <c r="AP633" s="128"/>
      <c r="AQ633" s="128"/>
      <c r="AR633" s="128"/>
      <c r="AS633" s="128"/>
      <c r="AT633" s="128"/>
      <c r="AU633" s="128"/>
    </row>
    <row r="634" ht="27" customHeight="1" spans="1:47">
      <c r="A634" s="154"/>
      <c r="O634" s="345"/>
      <c r="T634" s="314"/>
      <c r="U634" s="314"/>
      <c r="X634" s="342"/>
      <c r="Y634" s="343"/>
      <c r="AA634" s="344"/>
      <c r="AB634" s="344"/>
      <c r="AC634" s="344"/>
      <c r="AD634" s="344"/>
      <c r="AH634" s="128"/>
      <c r="AI634" s="128"/>
      <c r="AJ634" s="128"/>
      <c r="AK634" s="128"/>
      <c r="AL634" s="128"/>
      <c r="AM634" s="128"/>
      <c r="AP634" s="128"/>
      <c r="AQ634" s="128"/>
      <c r="AR634" s="128"/>
      <c r="AS634" s="128"/>
      <c r="AT634" s="128"/>
      <c r="AU634" s="128"/>
    </row>
    <row r="635" ht="27" customHeight="1" spans="1:47">
      <c r="A635" s="154"/>
      <c r="O635" s="345"/>
      <c r="T635" s="314"/>
      <c r="U635" s="314"/>
      <c r="X635" s="342"/>
      <c r="Y635" s="343"/>
      <c r="AA635" s="344"/>
      <c r="AB635" s="344"/>
      <c r="AC635" s="344"/>
      <c r="AD635" s="344"/>
      <c r="AH635" s="128"/>
      <c r="AI635" s="128"/>
      <c r="AJ635" s="128"/>
      <c r="AK635" s="128"/>
      <c r="AL635" s="128"/>
      <c r="AM635" s="128"/>
      <c r="AP635" s="128"/>
      <c r="AQ635" s="128"/>
      <c r="AR635" s="128"/>
      <c r="AS635" s="128"/>
      <c r="AT635" s="128"/>
      <c r="AU635" s="128"/>
    </row>
    <row r="636" ht="27" customHeight="1" spans="1:47">
      <c r="A636" s="154"/>
      <c r="O636" s="345"/>
      <c r="T636" s="314"/>
      <c r="U636" s="314"/>
      <c r="X636" s="342"/>
      <c r="Y636" s="343"/>
      <c r="AA636" s="344"/>
      <c r="AB636" s="344"/>
      <c r="AC636" s="344"/>
      <c r="AD636" s="344"/>
      <c r="AH636" s="128"/>
      <c r="AI636" s="128"/>
      <c r="AJ636" s="128"/>
      <c r="AK636" s="128"/>
      <c r="AL636" s="128"/>
      <c r="AM636" s="128"/>
      <c r="AP636" s="128"/>
      <c r="AQ636" s="128"/>
      <c r="AR636" s="128"/>
      <c r="AS636" s="128"/>
      <c r="AT636" s="128"/>
      <c r="AU636" s="128"/>
    </row>
    <row r="637" ht="27" customHeight="1" spans="1:47">
      <c r="A637" s="154"/>
      <c r="O637" s="345"/>
      <c r="T637" s="314"/>
      <c r="U637" s="314"/>
      <c r="X637" s="342"/>
      <c r="Y637" s="343"/>
      <c r="AA637" s="344"/>
      <c r="AB637" s="344"/>
      <c r="AC637" s="344"/>
      <c r="AD637" s="344"/>
      <c r="AH637" s="128"/>
      <c r="AI637" s="128"/>
      <c r="AJ637" s="128"/>
      <c r="AK637" s="128"/>
      <c r="AL637" s="128"/>
      <c r="AM637" s="128"/>
      <c r="AP637" s="128"/>
      <c r="AQ637" s="128"/>
      <c r="AR637" s="128"/>
      <c r="AS637" s="128"/>
      <c r="AT637" s="128"/>
      <c r="AU637" s="128"/>
    </row>
    <row r="638" ht="27" customHeight="1" spans="1:47">
      <c r="A638" s="154"/>
      <c r="O638" s="345"/>
      <c r="T638" s="314"/>
      <c r="U638" s="314"/>
      <c r="X638" s="342"/>
      <c r="Y638" s="343"/>
      <c r="AA638" s="344"/>
      <c r="AB638" s="344"/>
      <c r="AC638" s="344"/>
      <c r="AD638" s="344"/>
      <c r="AH638" s="128"/>
      <c r="AI638" s="128"/>
      <c r="AJ638" s="128"/>
      <c r="AK638" s="128"/>
      <c r="AL638" s="128"/>
      <c r="AM638" s="128"/>
      <c r="AP638" s="128"/>
      <c r="AQ638" s="128"/>
      <c r="AR638" s="128"/>
      <c r="AS638" s="128"/>
      <c r="AT638" s="128"/>
      <c r="AU638" s="128"/>
    </row>
    <row r="639" ht="27" customHeight="1" spans="1:47">
      <c r="A639" s="154"/>
      <c r="O639" s="345"/>
      <c r="T639" s="314"/>
      <c r="U639" s="314"/>
      <c r="X639" s="342"/>
      <c r="Y639" s="343"/>
      <c r="AA639" s="344"/>
      <c r="AB639" s="344"/>
      <c r="AC639" s="344"/>
      <c r="AD639" s="344"/>
      <c r="AH639" s="128"/>
      <c r="AI639" s="128"/>
      <c r="AJ639" s="128"/>
      <c r="AK639" s="128"/>
      <c r="AL639" s="128"/>
      <c r="AM639" s="128"/>
      <c r="AP639" s="128"/>
      <c r="AQ639" s="128"/>
      <c r="AR639" s="128"/>
      <c r="AS639" s="128"/>
      <c r="AT639" s="128"/>
      <c r="AU639" s="128"/>
    </row>
    <row r="640" ht="27" customHeight="1" spans="1:47">
      <c r="A640" s="154"/>
      <c r="O640" s="345"/>
      <c r="T640" s="314"/>
      <c r="U640" s="314"/>
      <c r="X640" s="342"/>
      <c r="Y640" s="343"/>
      <c r="AA640" s="344"/>
      <c r="AB640" s="344"/>
      <c r="AC640" s="344"/>
      <c r="AD640" s="344"/>
      <c r="AH640" s="128"/>
      <c r="AI640" s="128"/>
      <c r="AJ640" s="128"/>
      <c r="AK640" s="128"/>
      <c r="AL640" s="128"/>
      <c r="AM640" s="128"/>
      <c r="AP640" s="128"/>
      <c r="AQ640" s="128"/>
      <c r="AR640" s="128"/>
      <c r="AS640" s="128"/>
      <c r="AT640" s="128"/>
      <c r="AU640" s="128"/>
    </row>
    <row r="641" ht="27" customHeight="1" spans="1:47">
      <c r="A641" s="154"/>
      <c r="O641" s="345"/>
      <c r="T641" s="314"/>
      <c r="U641" s="314"/>
      <c r="X641" s="342"/>
      <c r="Y641" s="343"/>
      <c r="AA641" s="344"/>
      <c r="AB641" s="344"/>
      <c r="AC641" s="344"/>
      <c r="AD641" s="344"/>
      <c r="AH641" s="128"/>
      <c r="AI641" s="128"/>
      <c r="AJ641" s="128"/>
      <c r="AK641" s="128"/>
      <c r="AL641" s="128"/>
      <c r="AM641" s="128"/>
      <c r="AP641" s="128"/>
      <c r="AQ641" s="128"/>
      <c r="AR641" s="128"/>
      <c r="AS641" s="128"/>
      <c r="AT641" s="128"/>
      <c r="AU641" s="128"/>
    </row>
    <row r="642" ht="27" customHeight="1" spans="1:47">
      <c r="A642" s="154"/>
      <c r="O642" s="345"/>
      <c r="T642" s="314"/>
      <c r="U642" s="314"/>
      <c r="X642" s="342"/>
      <c r="Y642" s="343"/>
      <c r="AA642" s="344"/>
      <c r="AB642" s="344"/>
      <c r="AC642" s="344"/>
      <c r="AD642" s="344"/>
      <c r="AH642" s="128"/>
      <c r="AI642" s="128"/>
      <c r="AJ642" s="128"/>
      <c r="AK642" s="128"/>
      <c r="AL642" s="128"/>
      <c r="AM642" s="128"/>
      <c r="AP642" s="128"/>
      <c r="AQ642" s="128"/>
      <c r="AR642" s="128"/>
      <c r="AS642" s="128"/>
      <c r="AT642" s="128"/>
      <c r="AU642" s="128"/>
    </row>
    <row r="643" ht="27" customHeight="1" spans="1:47">
      <c r="A643" s="154"/>
      <c r="O643" s="345"/>
      <c r="T643" s="314"/>
      <c r="U643" s="314"/>
      <c r="X643" s="342"/>
      <c r="Y643" s="343"/>
      <c r="AA643" s="344"/>
      <c r="AB643" s="344"/>
      <c r="AC643" s="344"/>
      <c r="AD643" s="344"/>
      <c r="AH643" s="128"/>
      <c r="AI643" s="128"/>
      <c r="AJ643" s="128"/>
      <c r="AK643" s="128"/>
      <c r="AL643" s="128"/>
      <c r="AM643" s="128"/>
      <c r="AP643" s="128"/>
      <c r="AQ643" s="128"/>
      <c r="AR643" s="128"/>
      <c r="AS643" s="128"/>
      <c r="AT643" s="128"/>
      <c r="AU643" s="128"/>
    </row>
    <row r="644" ht="27" customHeight="1" spans="1:47">
      <c r="A644" s="154"/>
      <c r="O644" s="345"/>
      <c r="T644" s="314"/>
      <c r="U644" s="314"/>
      <c r="X644" s="342"/>
      <c r="Y644" s="343"/>
      <c r="AA644" s="344"/>
      <c r="AB644" s="344"/>
      <c r="AC644" s="344"/>
      <c r="AD644" s="344"/>
      <c r="AH644" s="128"/>
      <c r="AI644" s="128"/>
      <c r="AJ644" s="128"/>
      <c r="AK644" s="128"/>
      <c r="AL644" s="128"/>
      <c r="AM644" s="128"/>
      <c r="AP644" s="128"/>
      <c r="AQ644" s="128"/>
      <c r="AR644" s="128"/>
      <c r="AS644" s="128"/>
      <c r="AT644" s="128"/>
      <c r="AU644" s="128"/>
    </row>
    <row r="645" ht="27" customHeight="1" spans="1:47">
      <c r="A645" s="154"/>
      <c r="O645" s="345"/>
      <c r="T645" s="314"/>
      <c r="U645" s="314"/>
      <c r="X645" s="342"/>
      <c r="Y645" s="343"/>
      <c r="AA645" s="344"/>
      <c r="AB645" s="344"/>
      <c r="AC645" s="344"/>
      <c r="AD645" s="344"/>
      <c r="AH645" s="128"/>
      <c r="AI645" s="128"/>
      <c r="AJ645" s="128"/>
      <c r="AK645" s="128"/>
      <c r="AL645" s="128"/>
      <c r="AM645" s="128"/>
      <c r="AP645" s="128"/>
      <c r="AQ645" s="128"/>
      <c r="AR645" s="128"/>
      <c r="AS645" s="128"/>
      <c r="AT645" s="128"/>
      <c r="AU645" s="128"/>
    </row>
    <row r="646" ht="27" customHeight="1" spans="1:47">
      <c r="A646" s="154"/>
      <c r="O646" s="345"/>
      <c r="T646" s="314"/>
      <c r="U646" s="314"/>
      <c r="X646" s="342"/>
      <c r="Y646" s="343"/>
      <c r="AA646" s="344"/>
      <c r="AB646" s="344"/>
      <c r="AC646" s="344"/>
      <c r="AD646" s="344"/>
      <c r="AH646" s="128"/>
      <c r="AI646" s="128"/>
      <c r="AJ646" s="128"/>
      <c r="AK646" s="128"/>
      <c r="AL646" s="128"/>
      <c r="AM646" s="128"/>
      <c r="AP646" s="128"/>
      <c r="AQ646" s="128"/>
      <c r="AR646" s="128"/>
      <c r="AS646" s="128"/>
      <c r="AT646" s="128"/>
      <c r="AU646" s="128"/>
    </row>
    <row r="647" ht="27" customHeight="1" spans="1:47">
      <c r="A647" s="154"/>
      <c r="O647" s="345"/>
      <c r="T647" s="314"/>
      <c r="U647" s="314"/>
      <c r="X647" s="342"/>
      <c r="Y647" s="343"/>
      <c r="AA647" s="344"/>
      <c r="AB647" s="344"/>
      <c r="AC647" s="344"/>
      <c r="AD647" s="344"/>
      <c r="AH647" s="128"/>
      <c r="AI647" s="128"/>
      <c r="AJ647" s="128"/>
      <c r="AK647" s="128"/>
      <c r="AL647" s="128"/>
      <c r="AM647" s="128"/>
      <c r="AP647" s="128"/>
      <c r="AQ647" s="128"/>
      <c r="AR647" s="128"/>
      <c r="AS647" s="128"/>
      <c r="AT647" s="128"/>
      <c r="AU647" s="128"/>
    </row>
    <row r="648" ht="27" customHeight="1" spans="1:47">
      <c r="A648" s="154"/>
      <c r="O648" s="345"/>
      <c r="T648" s="314"/>
      <c r="U648" s="314"/>
      <c r="X648" s="342"/>
      <c r="Y648" s="343"/>
      <c r="AA648" s="344"/>
      <c r="AB648" s="344"/>
      <c r="AC648" s="344"/>
      <c r="AD648" s="344"/>
      <c r="AH648" s="128"/>
      <c r="AI648" s="128"/>
      <c r="AJ648" s="128"/>
      <c r="AK648" s="128"/>
      <c r="AL648" s="128"/>
      <c r="AM648" s="128"/>
      <c r="AP648" s="128"/>
      <c r="AQ648" s="128"/>
      <c r="AR648" s="128"/>
      <c r="AS648" s="128"/>
      <c r="AT648" s="128"/>
      <c r="AU648" s="128"/>
    </row>
    <row r="649" ht="27" customHeight="1" spans="1:47">
      <c r="A649" s="154"/>
      <c r="O649" s="345"/>
      <c r="T649" s="314"/>
      <c r="U649" s="314"/>
      <c r="X649" s="342"/>
      <c r="Y649" s="343"/>
      <c r="AA649" s="344"/>
      <c r="AB649" s="344"/>
      <c r="AC649" s="344"/>
      <c r="AD649" s="344"/>
      <c r="AH649" s="128"/>
      <c r="AI649" s="128"/>
      <c r="AJ649" s="128"/>
      <c r="AK649" s="128"/>
      <c r="AL649" s="128"/>
      <c r="AM649" s="128"/>
      <c r="AP649" s="128"/>
      <c r="AQ649" s="128"/>
      <c r="AR649" s="128"/>
      <c r="AS649" s="128"/>
      <c r="AT649" s="128"/>
      <c r="AU649" s="128"/>
    </row>
    <row r="650" ht="27" customHeight="1" spans="1:47">
      <c r="A650" s="154"/>
      <c r="O650" s="345"/>
      <c r="T650" s="314"/>
      <c r="U650" s="314"/>
      <c r="X650" s="342"/>
      <c r="Y650" s="343"/>
      <c r="AA650" s="344"/>
      <c r="AB650" s="344"/>
      <c r="AC650" s="344"/>
      <c r="AD650" s="344"/>
      <c r="AH650" s="128"/>
      <c r="AI650" s="128"/>
      <c r="AJ650" s="128"/>
      <c r="AK650" s="128"/>
      <c r="AL650" s="128"/>
      <c r="AM650" s="128"/>
      <c r="AP650" s="128"/>
      <c r="AQ650" s="128"/>
      <c r="AR650" s="128"/>
      <c r="AS650" s="128"/>
      <c r="AT650" s="128"/>
      <c r="AU650" s="128"/>
    </row>
    <row r="651" ht="27" customHeight="1" spans="1:47">
      <c r="A651" s="154"/>
      <c r="O651" s="345"/>
      <c r="T651" s="314"/>
      <c r="U651" s="314"/>
      <c r="X651" s="342"/>
      <c r="Y651" s="343"/>
      <c r="AA651" s="344"/>
      <c r="AB651" s="344"/>
      <c r="AC651" s="344"/>
      <c r="AD651" s="344"/>
      <c r="AH651" s="128"/>
      <c r="AI651" s="128"/>
      <c r="AJ651" s="128"/>
      <c r="AK651" s="128"/>
      <c r="AL651" s="128"/>
      <c r="AM651" s="128"/>
      <c r="AP651" s="128"/>
      <c r="AQ651" s="128"/>
      <c r="AR651" s="128"/>
      <c r="AS651" s="128"/>
      <c r="AT651" s="128"/>
      <c r="AU651" s="128"/>
    </row>
    <row r="652" ht="27" customHeight="1" spans="1:47">
      <c r="A652" s="154"/>
      <c r="O652" s="345"/>
      <c r="T652" s="314"/>
      <c r="U652" s="314"/>
      <c r="X652" s="342"/>
      <c r="Y652" s="343"/>
      <c r="AA652" s="344"/>
      <c r="AB652" s="344"/>
      <c r="AC652" s="344"/>
      <c r="AD652" s="344"/>
      <c r="AH652" s="128"/>
      <c r="AI652" s="128"/>
      <c r="AJ652" s="128"/>
      <c r="AK652" s="128"/>
      <c r="AL652" s="128"/>
      <c r="AM652" s="128"/>
      <c r="AP652" s="128"/>
      <c r="AQ652" s="128"/>
      <c r="AR652" s="128"/>
      <c r="AS652" s="128"/>
      <c r="AT652" s="128"/>
      <c r="AU652" s="128"/>
    </row>
    <row r="653" ht="27" customHeight="1" spans="1:47">
      <c r="A653" s="154"/>
      <c r="O653" s="345"/>
      <c r="T653" s="314"/>
      <c r="U653" s="314"/>
      <c r="X653" s="342"/>
      <c r="Y653" s="343"/>
      <c r="AA653" s="344"/>
      <c r="AB653" s="344"/>
      <c r="AC653" s="344"/>
      <c r="AD653" s="344"/>
      <c r="AH653" s="128"/>
      <c r="AI653" s="128"/>
      <c r="AJ653" s="128"/>
      <c r="AK653" s="128"/>
      <c r="AL653" s="128"/>
      <c r="AM653" s="128"/>
      <c r="AP653" s="128"/>
      <c r="AQ653" s="128"/>
      <c r="AR653" s="128"/>
      <c r="AS653" s="128"/>
      <c r="AT653" s="128"/>
      <c r="AU653" s="128"/>
    </row>
    <row r="654" ht="27" customHeight="1" spans="1:47">
      <c r="A654" s="154"/>
      <c r="O654" s="345"/>
      <c r="T654" s="314"/>
      <c r="U654" s="314"/>
      <c r="X654" s="342"/>
      <c r="Y654" s="343"/>
      <c r="AA654" s="344"/>
      <c r="AB654" s="344"/>
      <c r="AC654" s="344"/>
      <c r="AD654" s="344"/>
      <c r="AH654" s="128"/>
      <c r="AI654" s="128"/>
      <c r="AJ654" s="128"/>
      <c r="AK654" s="128"/>
      <c r="AL654" s="128"/>
      <c r="AM654" s="128"/>
      <c r="AP654" s="128"/>
      <c r="AQ654" s="128"/>
      <c r="AR654" s="128"/>
      <c r="AS654" s="128"/>
      <c r="AT654" s="128"/>
      <c r="AU654" s="128"/>
    </row>
    <row r="655" ht="27" customHeight="1" spans="1:47">
      <c r="A655" s="154"/>
      <c r="O655" s="345"/>
      <c r="T655" s="314"/>
      <c r="U655" s="314"/>
      <c r="X655" s="342"/>
      <c r="Y655" s="343"/>
      <c r="AA655" s="344"/>
      <c r="AB655" s="344"/>
      <c r="AC655" s="344"/>
      <c r="AD655" s="344"/>
      <c r="AH655" s="128"/>
      <c r="AI655" s="128"/>
      <c r="AJ655" s="128"/>
      <c r="AK655" s="128"/>
      <c r="AL655" s="128"/>
      <c r="AM655" s="128"/>
      <c r="AP655" s="128"/>
      <c r="AQ655" s="128"/>
      <c r="AR655" s="128"/>
      <c r="AS655" s="128"/>
      <c r="AT655" s="128"/>
      <c r="AU655" s="128"/>
    </row>
    <row r="656" ht="27" customHeight="1" spans="1:47">
      <c r="A656" s="154"/>
      <c r="O656" s="345"/>
      <c r="T656" s="314"/>
      <c r="U656" s="314"/>
      <c r="X656" s="342"/>
      <c r="Y656" s="343"/>
      <c r="AA656" s="344"/>
      <c r="AB656" s="344"/>
      <c r="AC656" s="344"/>
      <c r="AD656" s="344"/>
      <c r="AH656" s="128"/>
      <c r="AI656" s="128"/>
      <c r="AJ656" s="128"/>
      <c r="AK656" s="128"/>
      <c r="AL656" s="128"/>
      <c r="AM656" s="128"/>
      <c r="AP656" s="128"/>
      <c r="AQ656" s="128"/>
      <c r="AR656" s="128"/>
      <c r="AS656" s="128"/>
      <c r="AT656" s="128"/>
      <c r="AU656" s="128"/>
    </row>
    <row r="657" ht="27" customHeight="1" spans="1:47">
      <c r="A657" s="154"/>
      <c r="O657" s="345"/>
      <c r="T657" s="314"/>
      <c r="U657" s="314"/>
      <c r="X657" s="342"/>
      <c r="Y657" s="343"/>
      <c r="AA657" s="344"/>
      <c r="AB657" s="344"/>
      <c r="AC657" s="344"/>
      <c r="AD657" s="344"/>
      <c r="AH657" s="128"/>
      <c r="AI657" s="128"/>
      <c r="AJ657" s="128"/>
      <c r="AK657" s="128"/>
      <c r="AL657" s="128"/>
      <c r="AM657" s="128"/>
      <c r="AP657" s="128"/>
      <c r="AQ657" s="128"/>
      <c r="AR657" s="128"/>
      <c r="AS657" s="128"/>
      <c r="AT657" s="128"/>
      <c r="AU657" s="128"/>
    </row>
    <row r="658" ht="27" customHeight="1" spans="1:47">
      <c r="A658" s="154"/>
      <c r="O658" s="345"/>
      <c r="T658" s="314"/>
      <c r="U658" s="314"/>
      <c r="X658" s="342"/>
      <c r="Y658" s="343"/>
      <c r="AA658" s="344"/>
      <c r="AB658" s="344"/>
      <c r="AC658" s="344"/>
      <c r="AD658" s="344"/>
      <c r="AH658" s="128"/>
      <c r="AI658" s="128"/>
      <c r="AJ658" s="128"/>
      <c r="AK658" s="128"/>
      <c r="AL658" s="128"/>
      <c r="AM658" s="128"/>
      <c r="AP658" s="128"/>
      <c r="AQ658" s="128"/>
      <c r="AR658" s="128"/>
      <c r="AS658" s="128"/>
      <c r="AT658" s="128"/>
      <c r="AU658" s="128"/>
    </row>
    <row r="659" ht="27" customHeight="1" spans="1:47">
      <c r="A659" s="154"/>
      <c r="O659" s="345"/>
      <c r="T659" s="314"/>
      <c r="U659" s="314"/>
      <c r="X659" s="342"/>
      <c r="Y659" s="343"/>
      <c r="AA659" s="344"/>
      <c r="AB659" s="344"/>
      <c r="AC659" s="344"/>
      <c r="AD659" s="344"/>
      <c r="AH659" s="128"/>
      <c r="AI659" s="128"/>
      <c r="AJ659" s="128"/>
      <c r="AK659" s="128"/>
      <c r="AL659" s="128"/>
      <c r="AM659" s="128"/>
      <c r="AP659" s="128"/>
      <c r="AQ659" s="128"/>
      <c r="AR659" s="128"/>
      <c r="AS659" s="128"/>
      <c r="AT659" s="128"/>
      <c r="AU659" s="128"/>
    </row>
    <row r="660" ht="27" customHeight="1" spans="1:47">
      <c r="A660" s="154"/>
      <c r="O660" s="345"/>
      <c r="T660" s="314"/>
      <c r="U660" s="314"/>
      <c r="X660" s="342"/>
      <c r="Y660" s="343"/>
      <c r="AA660" s="344"/>
      <c r="AB660" s="344"/>
      <c r="AC660" s="344"/>
      <c r="AD660" s="344"/>
      <c r="AH660" s="128"/>
      <c r="AI660" s="128"/>
      <c r="AJ660" s="128"/>
      <c r="AK660" s="128"/>
      <c r="AL660" s="128"/>
      <c r="AM660" s="128"/>
      <c r="AP660" s="128"/>
      <c r="AQ660" s="128"/>
      <c r="AR660" s="128"/>
      <c r="AS660" s="128"/>
      <c r="AT660" s="128"/>
      <c r="AU660" s="128"/>
    </row>
    <row r="661" ht="27" customHeight="1" spans="1:47">
      <c r="A661" s="154"/>
      <c r="O661" s="345"/>
      <c r="T661" s="314"/>
      <c r="U661" s="314"/>
      <c r="X661" s="342"/>
      <c r="Y661" s="343"/>
      <c r="AA661" s="344"/>
      <c r="AB661" s="344"/>
      <c r="AC661" s="344"/>
      <c r="AD661" s="344"/>
      <c r="AH661" s="128"/>
      <c r="AI661" s="128"/>
      <c r="AJ661" s="128"/>
      <c r="AK661" s="128"/>
      <c r="AL661" s="128"/>
      <c r="AM661" s="128"/>
      <c r="AP661" s="128"/>
      <c r="AQ661" s="128"/>
      <c r="AR661" s="128"/>
      <c r="AS661" s="128"/>
      <c r="AT661" s="128"/>
      <c r="AU661" s="128"/>
    </row>
    <row r="662" ht="27" customHeight="1" spans="1:47">
      <c r="A662" s="154"/>
      <c r="O662" s="345"/>
      <c r="T662" s="314"/>
      <c r="U662" s="314"/>
      <c r="X662" s="342"/>
      <c r="Y662" s="343"/>
      <c r="AA662" s="344"/>
      <c r="AB662" s="344"/>
      <c r="AC662" s="344"/>
      <c r="AD662" s="344"/>
      <c r="AH662" s="128"/>
      <c r="AI662" s="128"/>
      <c r="AJ662" s="128"/>
      <c r="AK662" s="128"/>
      <c r="AL662" s="128"/>
      <c r="AM662" s="128"/>
      <c r="AP662" s="128"/>
      <c r="AQ662" s="128"/>
      <c r="AR662" s="128"/>
      <c r="AS662" s="128"/>
      <c r="AT662" s="128"/>
      <c r="AU662" s="128"/>
    </row>
    <row r="663" ht="27" customHeight="1" spans="1:47">
      <c r="A663" s="154"/>
      <c r="O663" s="345"/>
      <c r="T663" s="314"/>
      <c r="U663" s="314"/>
      <c r="X663" s="342"/>
      <c r="Y663" s="343"/>
      <c r="AA663" s="344"/>
      <c r="AB663" s="344"/>
      <c r="AC663" s="344"/>
      <c r="AD663" s="344"/>
      <c r="AH663" s="128"/>
      <c r="AI663" s="128"/>
      <c r="AJ663" s="128"/>
      <c r="AK663" s="128"/>
      <c r="AL663" s="128"/>
      <c r="AM663" s="128"/>
      <c r="AP663" s="128"/>
      <c r="AQ663" s="128"/>
      <c r="AR663" s="128"/>
      <c r="AS663" s="128"/>
      <c r="AT663" s="128"/>
      <c r="AU663" s="128"/>
    </row>
    <row r="664" ht="27" customHeight="1" spans="1:47">
      <c r="A664" s="154"/>
      <c r="O664" s="345"/>
      <c r="Q664" s="155"/>
      <c r="T664" s="314"/>
      <c r="U664" s="314"/>
      <c r="X664" s="342"/>
      <c r="Y664" s="343"/>
      <c r="AA664" s="344"/>
      <c r="AB664" s="344"/>
      <c r="AC664" s="344"/>
      <c r="AD664" s="344"/>
      <c r="AH664" s="128"/>
      <c r="AI664" s="128"/>
      <c r="AJ664" s="128"/>
      <c r="AK664" s="128"/>
      <c r="AL664" s="128"/>
      <c r="AM664" s="128"/>
      <c r="AP664" s="128"/>
      <c r="AQ664" s="128"/>
      <c r="AR664" s="128"/>
      <c r="AS664" s="128"/>
      <c r="AT664" s="128"/>
      <c r="AU664" s="128"/>
    </row>
    <row r="665" ht="27" customHeight="1" spans="1:47">
      <c r="A665" s="154"/>
      <c r="O665" s="345"/>
      <c r="T665" s="314"/>
      <c r="U665" s="314"/>
      <c r="X665" s="342"/>
      <c r="Y665" s="343"/>
      <c r="AA665" s="344"/>
      <c r="AB665" s="344"/>
      <c r="AC665" s="344"/>
      <c r="AD665" s="344"/>
      <c r="AH665" s="128"/>
      <c r="AI665" s="128"/>
      <c r="AJ665" s="128"/>
      <c r="AK665" s="128"/>
      <c r="AL665" s="128"/>
      <c r="AM665" s="128"/>
      <c r="AP665" s="128"/>
      <c r="AQ665" s="128"/>
      <c r="AR665" s="128"/>
      <c r="AS665" s="128"/>
      <c r="AT665" s="128"/>
      <c r="AU665" s="128"/>
    </row>
    <row r="666" ht="27" customHeight="1" spans="1:47">
      <c r="A666" s="154"/>
      <c r="O666" s="345"/>
      <c r="T666" s="314"/>
      <c r="U666" s="314"/>
      <c r="X666" s="342"/>
      <c r="Y666" s="343"/>
      <c r="AA666" s="344"/>
      <c r="AB666" s="344"/>
      <c r="AC666" s="344"/>
      <c r="AD666" s="344"/>
      <c r="AH666" s="128"/>
      <c r="AI666" s="128"/>
      <c r="AJ666" s="128"/>
      <c r="AK666" s="128"/>
      <c r="AL666" s="128"/>
      <c r="AM666" s="128"/>
      <c r="AP666" s="128"/>
      <c r="AQ666" s="128"/>
      <c r="AR666" s="128"/>
      <c r="AS666" s="128"/>
      <c r="AT666" s="128"/>
      <c r="AU666" s="128"/>
    </row>
    <row r="667" ht="27" customHeight="1" spans="1:47">
      <c r="A667" s="154"/>
      <c r="O667" s="345"/>
      <c r="T667" s="314"/>
      <c r="U667" s="314"/>
      <c r="X667" s="342"/>
      <c r="Y667" s="343"/>
      <c r="AA667" s="344"/>
      <c r="AB667" s="344"/>
      <c r="AC667" s="344"/>
      <c r="AD667" s="344"/>
      <c r="AH667" s="128"/>
      <c r="AI667" s="128"/>
      <c r="AJ667" s="128"/>
      <c r="AK667" s="128"/>
      <c r="AL667" s="128"/>
      <c r="AM667" s="128"/>
      <c r="AP667" s="128"/>
      <c r="AQ667" s="128"/>
      <c r="AR667" s="128"/>
      <c r="AS667" s="128"/>
      <c r="AT667" s="128"/>
      <c r="AU667" s="128"/>
    </row>
    <row r="668" ht="27" customHeight="1" spans="1:47">
      <c r="A668" s="154"/>
      <c r="O668" s="345"/>
      <c r="T668" s="314"/>
      <c r="U668" s="314"/>
      <c r="X668" s="342"/>
      <c r="Y668" s="343"/>
      <c r="AA668" s="344"/>
      <c r="AB668" s="344"/>
      <c r="AC668" s="344"/>
      <c r="AD668" s="344"/>
      <c r="AH668" s="128"/>
      <c r="AI668" s="128"/>
      <c r="AJ668" s="128"/>
      <c r="AK668" s="128"/>
      <c r="AL668" s="128"/>
      <c r="AM668" s="128"/>
      <c r="AP668" s="128"/>
      <c r="AQ668" s="128"/>
      <c r="AR668" s="128"/>
      <c r="AS668" s="128"/>
      <c r="AT668" s="128"/>
      <c r="AU668" s="128"/>
    </row>
    <row r="669" ht="27" customHeight="1" spans="1:47">
      <c r="A669" s="154"/>
      <c r="O669" s="345"/>
      <c r="T669" s="314"/>
      <c r="U669" s="314"/>
      <c r="X669" s="342"/>
      <c r="Y669" s="343"/>
      <c r="AA669" s="344"/>
      <c r="AB669" s="344"/>
      <c r="AC669" s="344"/>
      <c r="AD669" s="344"/>
      <c r="AH669" s="128"/>
      <c r="AI669" s="128"/>
      <c r="AJ669" s="128"/>
      <c r="AK669" s="128"/>
      <c r="AL669" s="128"/>
      <c r="AM669" s="128"/>
      <c r="AP669" s="128"/>
      <c r="AQ669" s="128"/>
      <c r="AR669" s="128"/>
      <c r="AS669" s="128"/>
      <c r="AT669" s="128"/>
      <c r="AU669" s="128"/>
    </row>
    <row r="670" ht="27" customHeight="1" spans="1:47">
      <c r="A670" s="154"/>
      <c r="O670" s="345"/>
      <c r="Q670" s="155"/>
      <c r="T670" s="314"/>
      <c r="U670" s="314"/>
      <c r="X670" s="342"/>
      <c r="Y670" s="343"/>
      <c r="AA670" s="344"/>
      <c r="AB670" s="344"/>
      <c r="AC670" s="344"/>
      <c r="AD670" s="344"/>
      <c r="AH670" s="128"/>
      <c r="AI670" s="128"/>
      <c r="AJ670" s="128"/>
      <c r="AK670" s="128"/>
      <c r="AL670" s="128"/>
      <c r="AM670" s="128"/>
      <c r="AP670" s="128"/>
      <c r="AQ670" s="128"/>
      <c r="AR670" s="128"/>
      <c r="AS670" s="128"/>
      <c r="AT670" s="128"/>
      <c r="AU670" s="128"/>
    </row>
    <row r="671" ht="27" customHeight="1" spans="1:47">
      <c r="A671" s="154"/>
      <c r="O671" s="345"/>
      <c r="T671" s="314"/>
      <c r="U671" s="314"/>
      <c r="X671" s="342"/>
      <c r="Y671" s="343"/>
      <c r="AA671" s="344"/>
      <c r="AB671" s="344"/>
      <c r="AC671" s="344"/>
      <c r="AD671" s="344"/>
      <c r="AH671" s="128"/>
      <c r="AI671" s="128"/>
      <c r="AJ671" s="128"/>
      <c r="AK671" s="128"/>
      <c r="AL671" s="128"/>
      <c r="AM671" s="128"/>
      <c r="AP671" s="128"/>
      <c r="AQ671" s="128"/>
      <c r="AR671" s="128"/>
      <c r="AS671" s="128"/>
      <c r="AT671" s="128"/>
      <c r="AU671" s="128"/>
    </row>
    <row r="672" ht="27" customHeight="1" spans="1:47">
      <c r="A672" s="154"/>
      <c r="O672" s="345"/>
      <c r="T672" s="314"/>
      <c r="U672" s="314"/>
      <c r="X672" s="342"/>
      <c r="Y672" s="343"/>
      <c r="AA672" s="344"/>
      <c r="AB672" s="344"/>
      <c r="AC672" s="344"/>
      <c r="AD672" s="344"/>
      <c r="AH672" s="128"/>
      <c r="AI672" s="128"/>
      <c r="AJ672" s="128"/>
      <c r="AK672" s="128"/>
      <c r="AL672" s="128"/>
      <c r="AM672" s="128"/>
      <c r="AP672" s="128"/>
      <c r="AQ672" s="128"/>
      <c r="AR672" s="128"/>
      <c r="AS672" s="128"/>
      <c r="AT672" s="128"/>
      <c r="AU672" s="128"/>
    </row>
    <row r="673" ht="27" customHeight="1" spans="1:47">
      <c r="A673" s="154"/>
      <c r="O673" s="345"/>
      <c r="T673" s="314"/>
      <c r="U673" s="314"/>
      <c r="X673" s="342"/>
      <c r="Y673" s="343"/>
      <c r="AA673" s="344"/>
      <c r="AB673" s="344"/>
      <c r="AC673" s="344"/>
      <c r="AD673" s="344"/>
      <c r="AH673" s="128"/>
      <c r="AI673" s="128"/>
      <c r="AJ673" s="128"/>
      <c r="AK673" s="128"/>
      <c r="AL673" s="128"/>
      <c r="AM673" s="128"/>
      <c r="AP673" s="128"/>
      <c r="AQ673" s="128"/>
      <c r="AR673" s="128"/>
      <c r="AS673" s="128"/>
      <c r="AT673" s="128"/>
      <c r="AU673" s="128"/>
    </row>
    <row r="674" ht="27" customHeight="1" spans="1:47">
      <c r="A674" s="154"/>
      <c r="O674" s="345"/>
      <c r="T674" s="314"/>
      <c r="U674" s="314"/>
      <c r="X674" s="342"/>
      <c r="Y674" s="343"/>
      <c r="AA674" s="344"/>
      <c r="AB674" s="344"/>
      <c r="AC674" s="344"/>
      <c r="AD674" s="344"/>
      <c r="AH674" s="128"/>
      <c r="AI674" s="128"/>
      <c r="AJ674" s="128"/>
      <c r="AK674" s="128"/>
      <c r="AL674" s="128"/>
      <c r="AM674" s="128"/>
      <c r="AP674" s="128"/>
      <c r="AQ674" s="128"/>
      <c r="AR674" s="128"/>
      <c r="AS674" s="128"/>
      <c r="AT674" s="128"/>
      <c r="AU674" s="128"/>
    </row>
    <row r="675" ht="27" customHeight="1" spans="1:47">
      <c r="A675" s="154"/>
      <c r="O675" s="345"/>
      <c r="T675" s="314"/>
      <c r="U675" s="314"/>
      <c r="X675" s="342"/>
      <c r="Y675" s="343"/>
      <c r="AA675" s="344"/>
      <c r="AB675" s="344"/>
      <c r="AC675" s="344"/>
      <c r="AD675" s="344"/>
      <c r="AH675" s="128"/>
      <c r="AI675" s="128"/>
      <c r="AJ675" s="128"/>
      <c r="AK675" s="128"/>
      <c r="AL675" s="128"/>
      <c r="AM675" s="128"/>
      <c r="AP675" s="128"/>
      <c r="AQ675" s="128"/>
      <c r="AR675" s="128"/>
      <c r="AS675" s="128"/>
      <c r="AT675" s="128"/>
      <c r="AU675" s="128"/>
    </row>
    <row r="676" ht="27" customHeight="1" spans="1:47">
      <c r="A676" s="154"/>
      <c r="O676" s="345"/>
      <c r="T676" s="314"/>
      <c r="U676" s="314"/>
      <c r="X676" s="342"/>
      <c r="Y676" s="343"/>
      <c r="AA676" s="344"/>
      <c r="AB676" s="344"/>
      <c r="AC676" s="344"/>
      <c r="AD676" s="344"/>
      <c r="AH676" s="128"/>
      <c r="AI676" s="128"/>
      <c r="AJ676" s="128"/>
      <c r="AK676" s="128"/>
      <c r="AL676" s="128"/>
      <c r="AM676" s="128"/>
      <c r="AP676" s="128"/>
      <c r="AQ676" s="128"/>
      <c r="AR676" s="128"/>
      <c r="AS676" s="128"/>
      <c r="AT676" s="128"/>
      <c r="AU676" s="128"/>
    </row>
    <row r="677" ht="27" customHeight="1" spans="1:47">
      <c r="A677" s="154"/>
      <c r="O677" s="345"/>
      <c r="T677" s="314"/>
      <c r="U677" s="314"/>
      <c r="X677" s="342"/>
      <c r="Y677" s="343"/>
      <c r="AA677" s="344"/>
      <c r="AB677" s="344"/>
      <c r="AC677" s="344"/>
      <c r="AD677" s="344"/>
      <c r="AH677" s="128"/>
      <c r="AI677" s="128"/>
      <c r="AJ677" s="128"/>
      <c r="AK677" s="128"/>
      <c r="AL677" s="128"/>
      <c r="AM677" s="128"/>
      <c r="AP677" s="128"/>
      <c r="AQ677" s="128"/>
      <c r="AR677" s="128"/>
      <c r="AS677" s="128"/>
      <c r="AT677" s="128"/>
      <c r="AU677" s="128"/>
    </row>
    <row r="678" ht="27" customHeight="1" spans="1:47">
      <c r="A678" s="154"/>
      <c r="O678" s="345"/>
      <c r="T678" s="314"/>
      <c r="U678" s="314"/>
      <c r="X678" s="342"/>
      <c r="Y678" s="343"/>
      <c r="AA678" s="344"/>
      <c r="AB678" s="344"/>
      <c r="AC678" s="344"/>
      <c r="AD678" s="344"/>
      <c r="AH678" s="128"/>
      <c r="AI678" s="128"/>
      <c r="AJ678" s="128"/>
      <c r="AK678" s="128"/>
      <c r="AL678" s="128"/>
      <c r="AM678" s="128"/>
      <c r="AP678" s="128"/>
      <c r="AQ678" s="128"/>
      <c r="AR678" s="128"/>
      <c r="AS678" s="128"/>
      <c r="AT678" s="128"/>
      <c r="AU678" s="128"/>
    </row>
    <row r="679" ht="27" customHeight="1" spans="1:47">
      <c r="A679" s="154"/>
      <c r="O679" s="345"/>
      <c r="T679" s="314"/>
      <c r="U679" s="314"/>
      <c r="X679" s="342"/>
      <c r="Y679" s="343"/>
      <c r="AA679" s="344"/>
      <c r="AB679" s="344"/>
      <c r="AC679" s="344"/>
      <c r="AD679" s="344"/>
      <c r="AH679" s="128"/>
      <c r="AI679" s="128"/>
      <c r="AJ679" s="128"/>
      <c r="AK679" s="128"/>
      <c r="AL679" s="128"/>
      <c r="AM679" s="128"/>
      <c r="AP679" s="128"/>
      <c r="AQ679" s="128"/>
      <c r="AR679" s="128"/>
      <c r="AS679" s="128"/>
      <c r="AT679" s="128"/>
      <c r="AU679" s="128"/>
    </row>
    <row r="680" ht="27" customHeight="1" spans="1:47">
      <c r="A680" s="154"/>
      <c r="O680" s="345"/>
      <c r="T680" s="314"/>
      <c r="U680" s="314"/>
      <c r="X680" s="342"/>
      <c r="Y680" s="343"/>
      <c r="AA680" s="344"/>
      <c r="AB680" s="344"/>
      <c r="AC680" s="344"/>
      <c r="AD680" s="344"/>
      <c r="AH680" s="128"/>
      <c r="AI680" s="128"/>
      <c r="AJ680" s="128"/>
      <c r="AK680" s="128"/>
      <c r="AL680" s="128"/>
      <c r="AM680" s="128"/>
      <c r="AP680" s="128"/>
      <c r="AQ680" s="128"/>
      <c r="AR680" s="128"/>
      <c r="AS680" s="128"/>
      <c r="AT680" s="128"/>
      <c r="AU680" s="128"/>
    </row>
    <row r="681" ht="27" customHeight="1" spans="1:47">
      <c r="A681" s="154"/>
      <c r="O681" s="345"/>
      <c r="T681" s="314"/>
      <c r="U681" s="314"/>
      <c r="X681" s="342"/>
      <c r="Y681" s="343"/>
      <c r="AA681" s="344"/>
      <c r="AB681" s="344"/>
      <c r="AC681" s="344"/>
      <c r="AD681" s="344"/>
      <c r="AH681" s="128"/>
      <c r="AI681" s="128"/>
      <c r="AJ681" s="128"/>
      <c r="AK681" s="128"/>
      <c r="AL681" s="128"/>
      <c r="AM681" s="128"/>
      <c r="AP681" s="128"/>
      <c r="AQ681" s="128"/>
      <c r="AR681" s="128"/>
      <c r="AS681" s="128"/>
      <c r="AT681" s="128"/>
      <c r="AU681" s="128"/>
    </row>
    <row r="682" ht="27" customHeight="1" spans="1:47">
      <c r="A682" s="154"/>
      <c r="O682" s="345"/>
      <c r="T682" s="314"/>
      <c r="U682" s="314"/>
      <c r="X682" s="342"/>
      <c r="Y682" s="343"/>
      <c r="AA682" s="344"/>
      <c r="AB682" s="344"/>
      <c r="AC682" s="344"/>
      <c r="AD682" s="344"/>
      <c r="AH682" s="128"/>
      <c r="AI682" s="128"/>
      <c r="AJ682" s="128"/>
      <c r="AK682" s="128"/>
      <c r="AL682" s="128"/>
      <c r="AM682" s="128"/>
      <c r="AP682" s="128"/>
      <c r="AQ682" s="128"/>
      <c r="AR682" s="128"/>
      <c r="AS682" s="128"/>
      <c r="AT682" s="128"/>
      <c r="AU682" s="128"/>
    </row>
    <row r="683" ht="27" customHeight="1" spans="1:47">
      <c r="A683" s="154"/>
      <c r="O683" s="345"/>
      <c r="T683" s="314"/>
      <c r="U683" s="314"/>
      <c r="X683" s="342"/>
      <c r="Y683" s="343"/>
      <c r="AA683" s="344"/>
      <c r="AB683" s="344"/>
      <c r="AC683" s="344"/>
      <c r="AD683" s="344"/>
      <c r="AH683" s="128"/>
      <c r="AI683" s="128"/>
      <c r="AJ683" s="128"/>
      <c r="AK683" s="128"/>
      <c r="AL683" s="128"/>
      <c r="AM683" s="128"/>
      <c r="AP683" s="128"/>
      <c r="AQ683" s="128"/>
      <c r="AR683" s="128"/>
      <c r="AS683" s="128"/>
      <c r="AT683" s="128"/>
      <c r="AU683" s="128"/>
    </row>
    <row r="684" ht="27" customHeight="1" spans="1:47">
      <c r="A684" s="154"/>
      <c r="O684" s="345"/>
      <c r="T684" s="314"/>
      <c r="U684" s="314"/>
      <c r="X684" s="342"/>
      <c r="Y684" s="343"/>
      <c r="AA684" s="344"/>
      <c r="AB684" s="344"/>
      <c r="AC684" s="344"/>
      <c r="AD684" s="344"/>
      <c r="AH684" s="128"/>
      <c r="AI684" s="128"/>
      <c r="AJ684" s="128"/>
      <c r="AK684" s="128"/>
      <c r="AL684" s="128"/>
      <c r="AM684" s="128"/>
      <c r="AP684" s="128"/>
      <c r="AQ684" s="128"/>
      <c r="AR684" s="128"/>
      <c r="AS684" s="128"/>
      <c r="AT684" s="128"/>
      <c r="AU684" s="128"/>
    </row>
    <row r="685" ht="27" customHeight="1" spans="1:47">
      <c r="A685" s="154"/>
      <c r="O685" s="345"/>
      <c r="T685" s="314"/>
      <c r="U685" s="314"/>
      <c r="X685" s="342"/>
      <c r="Y685" s="343"/>
      <c r="AA685" s="344"/>
      <c r="AB685" s="344"/>
      <c r="AC685" s="344"/>
      <c r="AD685" s="344"/>
      <c r="AH685" s="128"/>
      <c r="AI685" s="128"/>
      <c r="AJ685" s="128"/>
      <c r="AK685" s="128"/>
      <c r="AL685" s="128"/>
      <c r="AM685" s="128"/>
      <c r="AP685" s="128"/>
      <c r="AQ685" s="128"/>
      <c r="AR685" s="128"/>
      <c r="AS685" s="128"/>
      <c r="AT685" s="128"/>
      <c r="AU685" s="128"/>
    </row>
    <row r="686" ht="27" customHeight="1" spans="1:47">
      <c r="A686" s="154"/>
      <c r="O686" s="345"/>
      <c r="T686" s="314"/>
      <c r="U686" s="314"/>
      <c r="X686" s="342"/>
      <c r="Y686" s="343"/>
      <c r="AA686" s="344"/>
      <c r="AB686" s="344"/>
      <c r="AC686" s="344"/>
      <c r="AD686" s="344"/>
      <c r="AH686" s="128"/>
      <c r="AI686" s="128"/>
      <c r="AJ686" s="128"/>
      <c r="AK686" s="128"/>
      <c r="AL686" s="128"/>
      <c r="AM686" s="128"/>
      <c r="AP686" s="128"/>
      <c r="AQ686" s="128"/>
      <c r="AR686" s="128"/>
      <c r="AS686" s="128"/>
      <c r="AT686" s="128"/>
      <c r="AU686" s="128"/>
    </row>
    <row r="687" ht="27" customHeight="1" spans="1:47">
      <c r="A687" s="154"/>
      <c r="O687" s="345"/>
      <c r="T687" s="314"/>
      <c r="U687" s="314"/>
      <c r="X687" s="342"/>
      <c r="Y687" s="343"/>
      <c r="AA687" s="344"/>
      <c r="AB687" s="344"/>
      <c r="AC687" s="344"/>
      <c r="AD687" s="344"/>
      <c r="AH687" s="128"/>
      <c r="AI687" s="128"/>
      <c r="AJ687" s="128"/>
      <c r="AK687" s="128"/>
      <c r="AL687" s="128"/>
      <c r="AM687" s="128"/>
      <c r="AP687" s="128"/>
      <c r="AQ687" s="128"/>
      <c r="AR687" s="128"/>
      <c r="AS687" s="128"/>
      <c r="AT687" s="128"/>
      <c r="AU687" s="128"/>
    </row>
    <row r="688" ht="27" customHeight="1" spans="1:47">
      <c r="A688" s="154"/>
      <c r="O688" s="345"/>
      <c r="T688" s="314"/>
      <c r="U688" s="314"/>
      <c r="X688" s="342"/>
      <c r="Y688" s="343"/>
      <c r="AA688" s="344"/>
      <c r="AB688" s="344"/>
      <c r="AC688" s="344"/>
      <c r="AD688" s="344"/>
      <c r="AH688" s="128"/>
      <c r="AI688" s="128"/>
      <c r="AJ688" s="128"/>
      <c r="AK688" s="128"/>
      <c r="AL688" s="128"/>
      <c r="AM688" s="128"/>
      <c r="AP688" s="128"/>
      <c r="AQ688" s="128"/>
      <c r="AR688" s="128"/>
      <c r="AS688" s="128"/>
      <c r="AT688" s="128"/>
      <c r="AU688" s="128"/>
    </row>
    <row r="689" ht="27" customHeight="1" spans="1:47">
      <c r="A689" s="154"/>
      <c r="O689" s="345"/>
      <c r="T689" s="314"/>
      <c r="U689" s="314"/>
      <c r="X689" s="342"/>
      <c r="Y689" s="343"/>
      <c r="AA689" s="344"/>
      <c r="AB689" s="344"/>
      <c r="AC689" s="344"/>
      <c r="AD689" s="344"/>
      <c r="AH689" s="128"/>
      <c r="AI689" s="128"/>
      <c r="AJ689" s="128"/>
      <c r="AK689" s="128"/>
      <c r="AL689" s="128"/>
      <c r="AM689" s="128"/>
      <c r="AP689" s="128"/>
      <c r="AQ689" s="128"/>
      <c r="AR689" s="128"/>
      <c r="AS689" s="128"/>
      <c r="AT689" s="128"/>
      <c r="AU689" s="128"/>
    </row>
    <row r="690" ht="27" customHeight="1" spans="1:47">
      <c r="A690" s="154"/>
      <c r="O690" s="345"/>
      <c r="T690" s="314"/>
      <c r="U690" s="314"/>
      <c r="X690" s="342"/>
      <c r="Y690" s="343"/>
      <c r="AA690" s="344"/>
      <c r="AB690" s="344"/>
      <c r="AC690" s="344"/>
      <c r="AD690" s="344"/>
      <c r="AH690" s="128"/>
      <c r="AI690" s="128"/>
      <c r="AJ690" s="128"/>
      <c r="AK690" s="128"/>
      <c r="AL690" s="128"/>
      <c r="AM690" s="128"/>
      <c r="AP690" s="128"/>
      <c r="AQ690" s="128"/>
      <c r="AR690" s="128"/>
      <c r="AS690" s="128"/>
      <c r="AT690" s="128"/>
      <c r="AU690" s="128"/>
    </row>
    <row r="691" ht="27" customHeight="1" spans="1:47">
      <c r="A691" s="154"/>
      <c r="O691" s="345"/>
      <c r="T691" s="314"/>
      <c r="U691" s="314"/>
      <c r="X691" s="342"/>
      <c r="Y691" s="343"/>
      <c r="AA691" s="344"/>
      <c r="AB691" s="344"/>
      <c r="AC691" s="344"/>
      <c r="AD691" s="344"/>
      <c r="AH691" s="128"/>
      <c r="AI691" s="128"/>
      <c r="AJ691" s="128"/>
      <c r="AK691" s="128"/>
      <c r="AL691" s="128"/>
      <c r="AM691" s="128"/>
      <c r="AP691" s="128"/>
      <c r="AQ691" s="128"/>
      <c r="AR691" s="128"/>
      <c r="AS691" s="128"/>
      <c r="AT691" s="128"/>
      <c r="AU691" s="128"/>
    </row>
    <row r="692" ht="27" customHeight="1" spans="1:47">
      <c r="A692" s="154"/>
      <c r="O692" s="345"/>
      <c r="T692" s="314"/>
      <c r="U692" s="314"/>
      <c r="X692" s="342"/>
      <c r="Y692" s="343"/>
      <c r="AA692" s="344"/>
      <c r="AB692" s="344"/>
      <c r="AC692" s="344"/>
      <c r="AD692" s="344"/>
      <c r="AH692" s="128"/>
      <c r="AI692" s="128"/>
      <c r="AJ692" s="128"/>
      <c r="AK692" s="128"/>
      <c r="AL692" s="128"/>
      <c r="AM692" s="128"/>
      <c r="AP692" s="128"/>
      <c r="AQ692" s="128"/>
      <c r="AR692" s="128"/>
      <c r="AS692" s="128"/>
      <c r="AT692" s="128"/>
      <c r="AU692" s="128"/>
    </row>
    <row r="693" ht="27" customHeight="1" spans="1:47">
      <c r="A693" s="154"/>
      <c r="O693" s="345"/>
      <c r="T693" s="314"/>
      <c r="U693" s="314"/>
      <c r="X693" s="342"/>
      <c r="Y693" s="343"/>
      <c r="AA693" s="344"/>
      <c r="AB693" s="344"/>
      <c r="AC693" s="344"/>
      <c r="AD693" s="344"/>
      <c r="AH693" s="128"/>
      <c r="AI693" s="128"/>
      <c r="AJ693" s="128"/>
      <c r="AK693" s="128"/>
      <c r="AL693" s="128"/>
      <c r="AM693" s="128"/>
      <c r="AP693" s="128"/>
      <c r="AQ693" s="128"/>
      <c r="AR693" s="128"/>
      <c r="AS693" s="128"/>
      <c r="AT693" s="128"/>
      <c r="AU693" s="128"/>
    </row>
    <row r="694" ht="27" customHeight="1" spans="1:47">
      <c r="A694" s="154"/>
      <c r="O694" s="345"/>
      <c r="T694" s="314"/>
      <c r="U694" s="314"/>
      <c r="X694" s="342"/>
      <c r="Y694" s="343"/>
      <c r="AA694" s="344"/>
      <c r="AB694" s="344"/>
      <c r="AC694" s="344"/>
      <c r="AD694" s="344"/>
      <c r="AH694" s="128"/>
      <c r="AI694" s="128"/>
      <c r="AJ694" s="128"/>
      <c r="AK694" s="128"/>
      <c r="AL694" s="128"/>
      <c r="AM694" s="128"/>
      <c r="AP694" s="128"/>
      <c r="AQ694" s="128"/>
      <c r="AR694" s="128"/>
      <c r="AS694" s="128"/>
      <c r="AT694" s="128"/>
      <c r="AU694" s="128"/>
    </row>
    <row r="695" ht="27" customHeight="1" spans="1:47">
      <c r="A695" s="154"/>
      <c r="O695" s="345"/>
      <c r="T695" s="314"/>
      <c r="U695" s="314"/>
      <c r="X695" s="342"/>
      <c r="Y695" s="343"/>
      <c r="AA695" s="344"/>
      <c r="AB695" s="344"/>
      <c r="AC695" s="344"/>
      <c r="AD695" s="344"/>
      <c r="AH695" s="128"/>
      <c r="AI695" s="128"/>
      <c r="AJ695" s="128"/>
      <c r="AK695" s="128"/>
      <c r="AL695" s="128"/>
      <c r="AM695" s="128"/>
      <c r="AP695" s="128"/>
      <c r="AQ695" s="128"/>
      <c r="AR695" s="128"/>
      <c r="AS695" s="128"/>
      <c r="AT695" s="128"/>
      <c r="AU695" s="128"/>
    </row>
    <row r="696" ht="27" customHeight="1" spans="1:47">
      <c r="A696" s="154"/>
      <c r="O696" s="345"/>
      <c r="T696" s="314"/>
      <c r="U696" s="314"/>
      <c r="X696" s="342"/>
      <c r="Y696" s="343"/>
      <c r="AA696" s="344"/>
      <c r="AB696" s="344"/>
      <c r="AC696" s="344"/>
      <c r="AD696" s="344"/>
      <c r="AH696" s="128"/>
      <c r="AI696" s="128"/>
      <c r="AJ696" s="128"/>
      <c r="AK696" s="128"/>
      <c r="AL696" s="128"/>
      <c r="AM696" s="128"/>
      <c r="AP696" s="128"/>
      <c r="AQ696" s="128"/>
      <c r="AR696" s="128"/>
      <c r="AS696" s="128"/>
      <c r="AT696" s="128"/>
      <c r="AU696" s="128"/>
    </row>
    <row r="697" ht="27" customHeight="1" spans="1:47">
      <c r="A697" s="154"/>
      <c r="O697" s="345"/>
      <c r="T697" s="314"/>
      <c r="U697" s="314"/>
      <c r="X697" s="342"/>
      <c r="Y697" s="343"/>
      <c r="AA697" s="344"/>
      <c r="AB697" s="344"/>
      <c r="AC697" s="344"/>
      <c r="AD697" s="344"/>
      <c r="AH697" s="128"/>
      <c r="AI697" s="128"/>
      <c r="AJ697" s="128"/>
      <c r="AK697" s="128"/>
      <c r="AL697" s="128"/>
      <c r="AM697" s="128"/>
      <c r="AP697" s="128"/>
      <c r="AQ697" s="128"/>
      <c r="AR697" s="128"/>
      <c r="AS697" s="128"/>
      <c r="AT697" s="128"/>
      <c r="AU697" s="128"/>
    </row>
    <row r="698" ht="27" customHeight="1" spans="1:47">
      <c r="A698" s="154"/>
      <c r="O698" s="345"/>
      <c r="T698" s="314"/>
      <c r="U698" s="314"/>
      <c r="X698" s="342"/>
      <c r="Y698" s="343"/>
      <c r="AA698" s="344"/>
      <c r="AB698" s="344"/>
      <c r="AC698" s="344"/>
      <c r="AD698" s="344"/>
      <c r="AH698" s="128"/>
      <c r="AI698" s="128"/>
      <c r="AJ698" s="128"/>
      <c r="AK698" s="128"/>
      <c r="AL698" s="128"/>
      <c r="AM698" s="128"/>
      <c r="AP698" s="128"/>
      <c r="AQ698" s="128"/>
      <c r="AR698" s="128"/>
      <c r="AS698" s="128"/>
      <c r="AT698" s="128"/>
      <c r="AU698" s="128"/>
    </row>
    <row r="699" ht="27" customHeight="1" spans="1:47">
      <c r="A699" s="154"/>
      <c r="O699" s="345"/>
      <c r="T699" s="314"/>
      <c r="U699" s="314"/>
      <c r="X699" s="342"/>
      <c r="Y699" s="343"/>
      <c r="AA699" s="344"/>
      <c r="AB699" s="344"/>
      <c r="AC699" s="344"/>
      <c r="AD699" s="344"/>
      <c r="AH699" s="128"/>
      <c r="AI699" s="128"/>
      <c r="AJ699" s="128"/>
      <c r="AK699" s="128"/>
      <c r="AL699" s="128"/>
      <c r="AM699" s="128"/>
      <c r="AP699" s="128"/>
      <c r="AQ699" s="128"/>
      <c r="AR699" s="128"/>
      <c r="AS699" s="128"/>
      <c r="AT699" s="128"/>
      <c r="AU699" s="128"/>
    </row>
    <row r="700" ht="27" customHeight="1" spans="1:47">
      <c r="A700" s="154"/>
      <c r="O700" s="345"/>
      <c r="T700" s="314"/>
      <c r="U700" s="314"/>
      <c r="X700" s="342"/>
      <c r="Y700" s="343"/>
      <c r="AA700" s="344"/>
      <c r="AB700" s="344"/>
      <c r="AC700" s="344"/>
      <c r="AD700" s="344"/>
      <c r="AH700" s="128"/>
      <c r="AI700" s="128"/>
      <c r="AJ700" s="128"/>
      <c r="AK700" s="128"/>
      <c r="AL700" s="128"/>
      <c r="AM700" s="128"/>
      <c r="AP700" s="128"/>
      <c r="AQ700" s="128"/>
      <c r="AR700" s="128"/>
      <c r="AS700" s="128"/>
      <c r="AT700" s="128"/>
      <c r="AU700" s="128"/>
    </row>
    <row r="701" ht="27" customHeight="1" spans="1:47">
      <c r="A701" s="154"/>
      <c r="O701" s="345"/>
      <c r="T701" s="314"/>
      <c r="U701" s="314"/>
      <c r="X701" s="342"/>
      <c r="Y701" s="343"/>
      <c r="AA701" s="344"/>
      <c r="AB701" s="344"/>
      <c r="AC701" s="344"/>
      <c r="AD701" s="344"/>
      <c r="AH701" s="128"/>
      <c r="AI701" s="128"/>
      <c r="AJ701" s="128"/>
      <c r="AK701" s="128"/>
      <c r="AL701" s="128"/>
      <c r="AM701" s="128"/>
      <c r="AP701" s="128"/>
      <c r="AQ701" s="128"/>
      <c r="AR701" s="128"/>
      <c r="AS701" s="128"/>
      <c r="AT701" s="128"/>
      <c r="AU701" s="128"/>
    </row>
    <row r="702" ht="27" customHeight="1" spans="1:47">
      <c r="A702" s="154"/>
      <c r="O702" s="345"/>
      <c r="T702" s="314"/>
      <c r="U702" s="314"/>
      <c r="X702" s="342"/>
      <c r="Y702" s="343"/>
      <c r="AA702" s="344"/>
      <c r="AB702" s="344"/>
      <c r="AC702" s="344"/>
      <c r="AD702" s="344"/>
      <c r="AH702" s="128"/>
      <c r="AI702" s="128"/>
      <c r="AJ702" s="128"/>
      <c r="AK702" s="128"/>
      <c r="AL702" s="128"/>
      <c r="AM702" s="128"/>
      <c r="AP702" s="128"/>
      <c r="AQ702" s="128"/>
      <c r="AR702" s="128"/>
      <c r="AS702" s="128"/>
      <c r="AT702" s="128"/>
      <c r="AU702" s="128"/>
    </row>
    <row r="703" ht="27" customHeight="1" spans="1:47">
      <c r="A703" s="154"/>
      <c r="O703" s="345"/>
      <c r="T703" s="314"/>
      <c r="U703" s="314"/>
      <c r="X703" s="342"/>
      <c r="Y703" s="343"/>
      <c r="AA703" s="344"/>
      <c r="AB703" s="344"/>
      <c r="AC703" s="344"/>
      <c r="AD703" s="344"/>
      <c r="AH703" s="128"/>
      <c r="AI703" s="128"/>
      <c r="AJ703" s="128"/>
      <c r="AK703" s="128"/>
      <c r="AL703" s="128"/>
      <c r="AM703" s="128"/>
      <c r="AP703" s="128"/>
      <c r="AQ703" s="128"/>
      <c r="AR703" s="128"/>
      <c r="AS703" s="128"/>
      <c r="AT703" s="128"/>
      <c r="AU703" s="128"/>
    </row>
    <row r="704" ht="27" customHeight="1" spans="1:47">
      <c r="A704" s="154"/>
      <c r="O704" s="345"/>
      <c r="T704" s="314"/>
      <c r="U704" s="314"/>
      <c r="X704" s="342"/>
      <c r="Y704" s="343"/>
      <c r="AA704" s="344"/>
      <c r="AB704" s="344"/>
      <c r="AC704" s="344"/>
      <c r="AD704" s="344"/>
      <c r="AH704" s="128"/>
      <c r="AI704" s="128"/>
      <c r="AJ704" s="128"/>
      <c r="AK704" s="128"/>
      <c r="AL704" s="128"/>
      <c r="AM704" s="128"/>
      <c r="AP704" s="128"/>
      <c r="AQ704" s="128"/>
      <c r="AR704" s="128"/>
      <c r="AS704" s="128"/>
      <c r="AT704" s="128"/>
      <c r="AU704" s="128"/>
    </row>
    <row r="705" ht="27" customHeight="1" spans="1:47">
      <c r="A705" s="154"/>
      <c r="O705" s="345"/>
      <c r="T705" s="314"/>
      <c r="U705" s="314"/>
      <c r="X705" s="342"/>
      <c r="Y705" s="343"/>
      <c r="AA705" s="344"/>
      <c r="AB705" s="344"/>
      <c r="AC705" s="344"/>
      <c r="AD705" s="344"/>
      <c r="AH705" s="128"/>
      <c r="AI705" s="128"/>
      <c r="AJ705" s="128"/>
      <c r="AK705" s="128"/>
      <c r="AL705" s="128"/>
      <c r="AM705" s="128"/>
      <c r="AP705" s="128"/>
      <c r="AQ705" s="128"/>
      <c r="AR705" s="128"/>
      <c r="AS705" s="128"/>
      <c r="AT705" s="128"/>
      <c r="AU705" s="128"/>
    </row>
    <row r="706" ht="27" customHeight="1" spans="1:47">
      <c r="A706" s="154"/>
      <c r="O706" s="345"/>
      <c r="T706" s="314"/>
      <c r="U706" s="314"/>
      <c r="X706" s="342"/>
      <c r="Y706" s="343"/>
      <c r="AA706" s="344"/>
      <c r="AB706" s="344"/>
      <c r="AC706" s="344"/>
      <c r="AD706" s="344"/>
      <c r="AH706" s="128"/>
      <c r="AI706" s="128"/>
      <c r="AJ706" s="128"/>
      <c r="AK706" s="128"/>
      <c r="AL706" s="128"/>
      <c r="AM706" s="128"/>
      <c r="AP706" s="128"/>
      <c r="AQ706" s="128"/>
      <c r="AR706" s="128"/>
      <c r="AS706" s="128"/>
      <c r="AT706" s="128"/>
      <c r="AU706" s="128"/>
    </row>
    <row r="707" ht="27" customHeight="1" spans="1:47">
      <c r="A707" s="154"/>
      <c r="O707" s="345"/>
      <c r="T707" s="314"/>
      <c r="U707" s="314"/>
      <c r="X707" s="342"/>
      <c r="Y707" s="343"/>
      <c r="AA707" s="344"/>
      <c r="AB707" s="344"/>
      <c r="AC707" s="344"/>
      <c r="AD707" s="344"/>
      <c r="AH707" s="128"/>
      <c r="AI707" s="128"/>
      <c r="AJ707" s="128"/>
      <c r="AK707" s="128"/>
      <c r="AL707" s="128"/>
      <c r="AM707" s="128"/>
      <c r="AP707" s="128"/>
      <c r="AQ707" s="128"/>
      <c r="AR707" s="128"/>
      <c r="AS707" s="128"/>
      <c r="AT707" s="128"/>
      <c r="AU707" s="128"/>
    </row>
    <row r="708" ht="27" customHeight="1" spans="1:47">
      <c r="A708" s="154"/>
      <c r="O708" s="345"/>
      <c r="T708" s="314"/>
      <c r="U708" s="314"/>
      <c r="X708" s="342"/>
      <c r="Y708" s="343"/>
      <c r="AA708" s="344"/>
      <c r="AB708" s="344"/>
      <c r="AC708" s="344"/>
      <c r="AD708" s="344"/>
      <c r="AH708" s="128"/>
      <c r="AI708" s="128"/>
      <c r="AJ708" s="128"/>
      <c r="AK708" s="128"/>
      <c r="AL708" s="128"/>
      <c r="AM708" s="128"/>
      <c r="AP708" s="128"/>
      <c r="AQ708" s="128"/>
      <c r="AR708" s="128"/>
      <c r="AS708" s="128"/>
      <c r="AT708" s="128"/>
      <c r="AU708" s="128"/>
    </row>
    <row r="709" ht="27" customHeight="1" spans="1:47">
      <c r="A709" s="154"/>
      <c r="O709" s="345"/>
      <c r="T709" s="314"/>
      <c r="U709" s="314"/>
      <c r="X709" s="342"/>
      <c r="Y709" s="343"/>
      <c r="AA709" s="344"/>
      <c r="AB709" s="344"/>
      <c r="AC709" s="344"/>
      <c r="AD709" s="344"/>
      <c r="AH709" s="128"/>
      <c r="AI709" s="128"/>
      <c r="AJ709" s="128"/>
      <c r="AK709" s="128"/>
      <c r="AL709" s="128"/>
      <c r="AM709" s="128"/>
      <c r="AP709" s="128"/>
      <c r="AQ709" s="128"/>
      <c r="AR709" s="128"/>
      <c r="AS709" s="128"/>
      <c r="AT709" s="128"/>
      <c r="AU709" s="128"/>
    </row>
    <row r="710" ht="27" customHeight="1" spans="1:47">
      <c r="A710" s="154"/>
      <c r="R710" s="346"/>
      <c r="T710" s="314"/>
      <c r="U710" s="314"/>
      <c r="X710" s="342"/>
      <c r="Y710" s="343"/>
      <c r="AA710" s="344"/>
      <c r="AB710" s="344"/>
      <c r="AC710" s="344"/>
      <c r="AD710" s="344"/>
      <c r="AH710" s="128"/>
      <c r="AI710" s="128"/>
      <c r="AJ710" s="128"/>
      <c r="AK710" s="128"/>
      <c r="AL710" s="128"/>
      <c r="AM710" s="128"/>
      <c r="AP710" s="128"/>
      <c r="AQ710" s="128"/>
      <c r="AR710" s="128"/>
      <c r="AS710" s="128"/>
      <c r="AT710" s="128"/>
      <c r="AU710" s="128"/>
    </row>
    <row r="711" ht="27" customHeight="1" spans="1:47">
      <c r="A711" s="154"/>
      <c r="R711" s="346"/>
      <c r="T711" s="314"/>
      <c r="U711" s="314"/>
      <c r="X711" s="342"/>
      <c r="Y711" s="343"/>
      <c r="AA711" s="344"/>
      <c r="AB711" s="344"/>
      <c r="AC711" s="344"/>
      <c r="AD711" s="344"/>
      <c r="AH711" s="128"/>
      <c r="AI711" s="128"/>
      <c r="AJ711" s="128"/>
      <c r="AK711" s="128"/>
      <c r="AL711" s="128"/>
      <c r="AM711" s="128"/>
      <c r="AP711" s="128"/>
      <c r="AQ711" s="128"/>
      <c r="AR711" s="128"/>
      <c r="AS711" s="128"/>
      <c r="AT711" s="128"/>
      <c r="AU711" s="128"/>
    </row>
    <row r="712" ht="27" customHeight="1" spans="1:47">
      <c r="A712" s="154"/>
      <c r="R712" s="346"/>
      <c r="T712" s="314"/>
      <c r="U712" s="314"/>
      <c r="X712" s="342"/>
      <c r="Y712" s="343"/>
      <c r="AA712" s="344"/>
      <c r="AB712" s="344"/>
      <c r="AC712" s="344"/>
      <c r="AD712" s="344"/>
      <c r="AH712" s="128"/>
      <c r="AI712" s="128"/>
      <c r="AJ712" s="128"/>
      <c r="AK712" s="128"/>
      <c r="AL712" s="128"/>
      <c r="AM712" s="128"/>
      <c r="AP712" s="128"/>
      <c r="AQ712" s="128"/>
      <c r="AR712" s="128"/>
      <c r="AS712" s="128"/>
      <c r="AT712" s="128"/>
      <c r="AU712" s="128"/>
    </row>
    <row r="713" ht="27" customHeight="1" spans="1:47">
      <c r="A713" s="154"/>
      <c r="R713" s="346"/>
      <c r="T713" s="314"/>
      <c r="U713" s="314"/>
      <c r="X713" s="342"/>
      <c r="Y713" s="343"/>
      <c r="AA713" s="344"/>
      <c r="AB713" s="344"/>
      <c r="AC713" s="344"/>
      <c r="AD713" s="344"/>
      <c r="AH713" s="128"/>
      <c r="AI713" s="128"/>
      <c r="AJ713" s="128"/>
      <c r="AK713" s="128"/>
      <c r="AL713" s="128"/>
      <c r="AM713" s="128"/>
      <c r="AP713" s="128"/>
      <c r="AQ713" s="128"/>
      <c r="AR713" s="128"/>
      <c r="AS713" s="128"/>
      <c r="AT713" s="128"/>
      <c r="AU713" s="128"/>
    </row>
    <row r="714" ht="27" customHeight="1" spans="1:47">
      <c r="A714" s="154"/>
      <c r="R714" s="346"/>
      <c r="T714" s="314"/>
      <c r="U714" s="314"/>
      <c r="X714" s="342"/>
      <c r="Y714" s="343"/>
      <c r="AA714" s="344"/>
      <c r="AB714" s="344"/>
      <c r="AC714" s="344"/>
      <c r="AD714" s="344"/>
      <c r="AH714" s="128"/>
      <c r="AI714" s="128"/>
      <c r="AJ714" s="128"/>
      <c r="AK714" s="128"/>
      <c r="AL714" s="128"/>
      <c r="AM714" s="128"/>
      <c r="AP714" s="128"/>
      <c r="AQ714" s="128"/>
      <c r="AR714" s="128"/>
      <c r="AS714" s="128"/>
      <c r="AT714" s="128"/>
      <c r="AU714" s="128"/>
    </row>
    <row r="715" ht="27" customHeight="1" spans="1:47">
      <c r="A715" s="154"/>
      <c r="R715" s="346"/>
      <c r="T715" s="314"/>
      <c r="U715" s="314"/>
      <c r="X715" s="342"/>
      <c r="Y715" s="343"/>
      <c r="AA715" s="344"/>
      <c r="AB715" s="344"/>
      <c r="AC715" s="344"/>
      <c r="AD715" s="344"/>
      <c r="AH715" s="128"/>
      <c r="AI715" s="128"/>
      <c r="AJ715" s="128"/>
      <c r="AK715" s="128"/>
      <c r="AL715" s="128"/>
      <c r="AM715" s="128"/>
      <c r="AP715" s="128"/>
      <c r="AQ715" s="128"/>
      <c r="AR715" s="128"/>
      <c r="AS715" s="128"/>
      <c r="AT715" s="128"/>
      <c r="AU715" s="128"/>
    </row>
    <row r="716" ht="27" customHeight="1" spans="1:47">
      <c r="A716" s="154"/>
      <c r="T716" s="314"/>
      <c r="U716" s="314"/>
      <c r="X716" s="342"/>
      <c r="Y716" s="343"/>
      <c r="AA716" s="344"/>
      <c r="AB716" s="344"/>
      <c r="AC716" s="344"/>
      <c r="AD716" s="344"/>
      <c r="AH716" s="128"/>
      <c r="AI716" s="128"/>
      <c r="AJ716" s="128"/>
      <c r="AK716" s="128"/>
      <c r="AL716" s="128"/>
      <c r="AM716" s="128"/>
      <c r="AP716" s="128"/>
      <c r="AQ716" s="128"/>
      <c r="AR716" s="128"/>
      <c r="AS716" s="128"/>
      <c r="AT716" s="128"/>
      <c r="AU716" s="128"/>
    </row>
    <row r="717" ht="27" customHeight="1" spans="1:47">
      <c r="A717" s="154"/>
      <c r="R717" s="346"/>
      <c r="T717" s="314"/>
      <c r="U717" s="314"/>
      <c r="X717" s="342"/>
      <c r="Y717" s="343"/>
      <c r="AA717" s="344"/>
      <c r="AB717" s="344"/>
      <c r="AC717" s="344"/>
      <c r="AD717" s="344"/>
      <c r="AH717" s="128"/>
      <c r="AI717" s="128"/>
      <c r="AJ717" s="128"/>
      <c r="AK717" s="128"/>
      <c r="AL717" s="128"/>
      <c r="AM717" s="128"/>
      <c r="AP717" s="128"/>
      <c r="AQ717" s="128"/>
      <c r="AR717" s="128"/>
      <c r="AS717" s="128"/>
      <c r="AT717" s="128"/>
      <c r="AU717" s="128"/>
    </row>
    <row r="718" ht="27" customHeight="1" spans="1:47">
      <c r="A718" s="154"/>
      <c r="T718" s="314"/>
      <c r="U718" s="314"/>
      <c r="X718" s="342"/>
      <c r="Y718" s="343"/>
      <c r="AA718" s="344"/>
      <c r="AB718" s="344"/>
      <c r="AC718" s="344"/>
      <c r="AD718" s="344"/>
      <c r="AH718" s="128"/>
      <c r="AI718" s="128"/>
      <c r="AJ718" s="128"/>
      <c r="AK718" s="128"/>
      <c r="AL718" s="128"/>
      <c r="AM718" s="128"/>
      <c r="AP718" s="128"/>
      <c r="AQ718" s="128"/>
      <c r="AR718" s="128"/>
      <c r="AS718" s="128"/>
      <c r="AT718" s="128"/>
      <c r="AU718" s="128"/>
    </row>
    <row r="719" ht="27" customHeight="1" spans="1:47">
      <c r="A719" s="154"/>
      <c r="R719" s="346"/>
      <c r="T719" s="314"/>
      <c r="U719" s="314"/>
      <c r="X719" s="342"/>
      <c r="Y719" s="343"/>
      <c r="AA719" s="344"/>
      <c r="AB719" s="344"/>
      <c r="AC719" s="344"/>
      <c r="AD719" s="344"/>
      <c r="AH719" s="128"/>
      <c r="AI719" s="128"/>
      <c r="AJ719" s="128"/>
      <c r="AK719" s="128"/>
      <c r="AL719" s="128"/>
      <c r="AM719" s="128"/>
      <c r="AP719" s="128"/>
      <c r="AQ719" s="128"/>
      <c r="AR719" s="128"/>
      <c r="AS719" s="128"/>
      <c r="AT719" s="128"/>
      <c r="AU719" s="128"/>
    </row>
    <row r="720" ht="27" customHeight="1" spans="1:47">
      <c r="A720" s="154"/>
      <c r="R720" s="346"/>
      <c r="T720" s="314"/>
      <c r="U720" s="314"/>
      <c r="X720" s="342"/>
      <c r="Y720" s="343"/>
      <c r="AA720" s="344"/>
      <c r="AB720" s="344"/>
      <c r="AC720" s="344"/>
      <c r="AD720" s="344"/>
      <c r="AH720" s="128"/>
      <c r="AI720" s="128"/>
      <c r="AJ720" s="128"/>
      <c r="AK720" s="128"/>
      <c r="AL720" s="128"/>
      <c r="AM720" s="128"/>
      <c r="AP720" s="128"/>
      <c r="AQ720" s="128"/>
      <c r="AR720" s="128"/>
      <c r="AS720" s="128"/>
      <c r="AT720" s="128"/>
      <c r="AU720" s="128"/>
    </row>
    <row r="721" ht="27" customHeight="1" spans="1:47">
      <c r="A721" s="154"/>
      <c r="R721" s="346"/>
      <c r="T721" s="314"/>
      <c r="U721" s="314"/>
      <c r="X721" s="342"/>
      <c r="Y721" s="343"/>
      <c r="AA721" s="344"/>
      <c r="AB721" s="344"/>
      <c r="AC721" s="344"/>
      <c r="AD721" s="344"/>
      <c r="AH721" s="128"/>
      <c r="AI721" s="128"/>
      <c r="AJ721" s="128"/>
      <c r="AK721" s="128"/>
      <c r="AL721" s="128"/>
      <c r="AM721" s="128"/>
      <c r="AP721" s="128"/>
      <c r="AQ721" s="128"/>
      <c r="AR721" s="128"/>
      <c r="AS721" s="128"/>
      <c r="AT721" s="128"/>
      <c r="AU721" s="128"/>
    </row>
    <row r="722" ht="27" customHeight="1" spans="1:47">
      <c r="A722" s="154"/>
      <c r="R722" s="346"/>
      <c r="T722" s="314"/>
      <c r="U722" s="314"/>
      <c r="X722" s="342"/>
      <c r="Y722" s="343"/>
      <c r="AA722" s="344"/>
      <c r="AB722" s="344"/>
      <c r="AC722" s="344"/>
      <c r="AD722" s="344"/>
      <c r="AH722" s="128"/>
      <c r="AI722" s="128"/>
      <c r="AJ722" s="128"/>
      <c r="AK722" s="128"/>
      <c r="AL722" s="128"/>
      <c r="AM722" s="128"/>
      <c r="AP722" s="128"/>
      <c r="AQ722" s="128"/>
      <c r="AR722" s="128"/>
      <c r="AS722" s="128"/>
      <c r="AT722" s="128"/>
      <c r="AU722" s="128"/>
    </row>
    <row r="723" ht="27" customHeight="1" spans="1:47">
      <c r="A723" s="154"/>
      <c r="R723" s="346"/>
      <c r="T723" s="314"/>
      <c r="U723" s="314"/>
      <c r="X723" s="342"/>
      <c r="Y723" s="343"/>
      <c r="AA723" s="344"/>
      <c r="AB723" s="344"/>
      <c r="AC723" s="344"/>
      <c r="AD723" s="344"/>
      <c r="AH723" s="128"/>
      <c r="AI723" s="128"/>
      <c r="AJ723" s="128"/>
      <c r="AK723" s="128"/>
      <c r="AL723" s="128"/>
      <c r="AM723" s="128"/>
      <c r="AP723" s="128"/>
      <c r="AQ723" s="128"/>
      <c r="AR723" s="128"/>
      <c r="AS723" s="128"/>
      <c r="AT723" s="128"/>
      <c r="AU723" s="128"/>
    </row>
    <row r="724" ht="27" customHeight="1" spans="1:47">
      <c r="A724" s="154"/>
      <c r="T724" s="314"/>
      <c r="U724" s="314"/>
      <c r="X724" s="342"/>
      <c r="Y724" s="343"/>
      <c r="AA724" s="344"/>
      <c r="AB724" s="344"/>
      <c r="AC724" s="344"/>
      <c r="AD724" s="344"/>
    </row>
    <row r="725" ht="27" customHeight="1" spans="1:47">
      <c r="A725" s="154"/>
      <c r="T725" s="314"/>
      <c r="U725" s="314"/>
      <c r="X725" s="342"/>
      <c r="Y725" s="343"/>
      <c r="AA725" s="344"/>
      <c r="AB725" s="344"/>
      <c r="AC725" s="344"/>
      <c r="AD725" s="344"/>
    </row>
    <row r="726" ht="27" customHeight="1" spans="1:47">
      <c r="A726" s="154"/>
      <c r="T726" s="314"/>
      <c r="U726" s="314"/>
      <c r="X726" s="342"/>
      <c r="Y726" s="343"/>
      <c r="AA726" s="344"/>
      <c r="AB726" s="344"/>
      <c r="AC726" s="344"/>
      <c r="AD726" s="344"/>
    </row>
    <row r="727" ht="27" customHeight="1" spans="1:47">
      <c r="A727" s="154"/>
      <c r="T727" s="314"/>
      <c r="U727" s="314"/>
      <c r="X727" s="342"/>
      <c r="Y727" s="343"/>
      <c r="AA727" s="344"/>
      <c r="AB727" s="344"/>
      <c r="AC727" s="344"/>
      <c r="AD727" s="344"/>
    </row>
    <row r="728" ht="27" customHeight="1" spans="1:47">
      <c r="A728" s="154"/>
      <c r="T728" s="314"/>
      <c r="U728" s="314"/>
      <c r="X728" s="342"/>
      <c r="Y728" s="343"/>
      <c r="AA728" s="344"/>
      <c r="AB728" s="344"/>
      <c r="AC728" s="344"/>
      <c r="AD728" s="344"/>
    </row>
    <row r="729" ht="27" customHeight="1" spans="1:47">
      <c r="A729" s="154"/>
      <c r="T729" s="314"/>
      <c r="U729" s="314"/>
      <c r="X729" s="342"/>
      <c r="Y729" s="343"/>
      <c r="AA729" s="344"/>
      <c r="AB729" s="344"/>
      <c r="AC729" s="344"/>
      <c r="AD729" s="344"/>
    </row>
    <row r="730" ht="27" customHeight="1" spans="1:47">
      <c r="A730" s="154"/>
      <c r="T730" s="314"/>
      <c r="U730" s="314"/>
      <c r="X730" s="342"/>
      <c r="Y730" s="343"/>
      <c r="AA730" s="344"/>
      <c r="AB730" s="344"/>
      <c r="AC730" s="344"/>
      <c r="AD730" s="344"/>
    </row>
    <row r="731" ht="27" customHeight="1" spans="1:47">
      <c r="A731" s="154"/>
      <c r="T731" s="314"/>
      <c r="U731" s="314"/>
      <c r="X731" s="342"/>
      <c r="Y731" s="343"/>
      <c r="AA731" s="344"/>
      <c r="AB731" s="344"/>
      <c r="AC731" s="344"/>
      <c r="AD731" s="344"/>
    </row>
    <row r="732" ht="27" customHeight="1" spans="1:47">
      <c r="A732" s="154"/>
      <c r="T732" s="314"/>
      <c r="U732" s="314"/>
      <c r="X732" s="342"/>
      <c r="Y732" s="343"/>
      <c r="AA732" s="344"/>
      <c r="AB732" s="344"/>
      <c r="AC732" s="344"/>
      <c r="AD732" s="344"/>
    </row>
    <row r="733" ht="27" customHeight="1" spans="1:47">
      <c r="A733" s="154"/>
      <c r="T733" s="314"/>
      <c r="U733" s="314"/>
      <c r="X733" s="342"/>
      <c r="Y733" s="343"/>
      <c r="AA733" s="344"/>
      <c r="AB733" s="344"/>
      <c r="AC733" s="344"/>
      <c r="AD733" s="344"/>
    </row>
    <row r="734" ht="27" customHeight="1" spans="1:47">
      <c r="A734" s="154"/>
      <c r="T734" s="314"/>
      <c r="U734" s="314"/>
      <c r="X734" s="342"/>
      <c r="Y734" s="343"/>
      <c r="AA734" s="344"/>
      <c r="AB734" s="344"/>
      <c r="AC734" s="344"/>
      <c r="AD734" s="344"/>
    </row>
    <row r="735" ht="27" customHeight="1" spans="1:47">
      <c r="A735" s="154"/>
      <c r="T735" s="314"/>
      <c r="U735" s="314"/>
      <c r="X735" s="342"/>
      <c r="Y735" s="343"/>
      <c r="AA735" s="344"/>
      <c r="AB735" s="344"/>
      <c r="AC735" s="344"/>
      <c r="AD735" s="344"/>
    </row>
    <row r="736" ht="27" customHeight="1" spans="1:47">
      <c r="A736" s="154"/>
      <c r="T736" s="314"/>
      <c r="U736" s="314"/>
      <c r="X736" s="342"/>
      <c r="Y736" s="343"/>
      <c r="AA736" s="344"/>
      <c r="AB736" s="344"/>
      <c r="AC736" s="344"/>
      <c r="AD736" s="344"/>
    </row>
    <row r="737" ht="27" customHeight="1" spans="1:47">
      <c r="A737" s="154"/>
      <c r="T737" s="314"/>
      <c r="U737" s="314"/>
      <c r="X737" s="342"/>
      <c r="Y737" s="343"/>
      <c r="AA737" s="344"/>
      <c r="AB737" s="344"/>
      <c r="AC737" s="344"/>
      <c r="AD737" s="344"/>
    </row>
    <row r="738" ht="27" customHeight="1" spans="1:47">
      <c r="A738" s="154"/>
      <c r="T738" s="314"/>
      <c r="U738" s="314"/>
      <c r="X738" s="342"/>
      <c r="Y738" s="343"/>
      <c r="AA738" s="344"/>
      <c r="AB738" s="344"/>
      <c r="AC738" s="344"/>
      <c r="AD738" s="344"/>
    </row>
    <row r="739" ht="27" customHeight="1" spans="1:47">
      <c r="A739" s="154"/>
      <c r="T739" s="314"/>
      <c r="U739" s="314"/>
      <c r="X739" s="342"/>
      <c r="Y739" s="343"/>
      <c r="AA739" s="344"/>
      <c r="AB739" s="344"/>
      <c r="AC739" s="344"/>
      <c r="AD739" s="344"/>
    </row>
    <row r="740" ht="27" customHeight="1" spans="1:47">
      <c r="A740" s="154"/>
      <c r="T740" s="314"/>
      <c r="U740" s="314"/>
      <c r="X740" s="342"/>
      <c r="Y740" s="343"/>
      <c r="AA740" s="344"/>
      <c r="AB740" s="344"/>
      <c r="AC740" s="344"/>
      <c r="AD740" s="344"/>
    </row>
    <row r="741" ht="27" customHeight="1" spans="1:47">
      <c r="A741" s="154"/>
      <c r="T741" s="314"/>
      <c r="U741" s="314"/>
      <c r="X741" s="342"/>
      <c r="Y741" s="343"/>
      <c r="AA741" s="344"/>
      <c r="AB741" s="344"/>
      <c r="AC741" s="344"/>
      <c r="AD741" s="344"/>
    </row>
    <row r="742" ht="27" customHeight="1" spans="1:47">
      <c r="A742" s="154"/>
      <c r="T742" s="314"/>
      <c r="U742" s="314"/>
      <c r="X742" s="342"/>
      <c r="Y742" s="343"/>
      <c r="AA742" s="344"/>
      <c r="AB742" s="344"/>
      <c r="AC742" s="344"/>
      <c r="AD742" s="344"/>
      <c r="AI742" s="128"/>
      <c r="AJ742" s="128"/>
      <c r="AK742" s="128"/>
      <c r="AL742" s="128"/>
      <c r="AM742" s="128"/>
      <c r="AQ742" s="128"/>
      <c r="AR742" s="128"/>
      <c r="AS742" s="128"/>
      <c r="AT742" s="128"/>
      <c r="AU742" s="128"/>
    </row>
    <row r="743" ht="27" customHeight="1" spans="1:47">
      <c r="A743" s="154"/>
      <c r="T743" s="314"/>
      <c r="U743" s="314"/>
      <c r="X743" s="342"/>
      <c r="Y743" s="343"/>
      <c r="AA743" s="344"/>
      <c r="AB743" s="344"/>
      <c r="AC743" s="344"/>
      <c r="AD743" s="344"/>
      <c r="AI743" s="128"/>
      <c r="AJ743" s="128"/>
      <c r="AK743" s="128"/>
      <c r="AL743" s="128"/>
      <c r="AM743" s="128"/>
      <c r="AQ743" s="128"/>
      <c r="AR743" s="128"/>
      <c r="AS743" s="128"/>
      <c r="AT743" s="128"/>
      <c r="AU743" s="128"/>
    </row>
    <row r="744" ht="27" customHeight="1" spans="1:47">
      <c r="A744" s="154"/>
      <c r="T744" s="314"/>
      <c r="U744" s="314"/>
      <c r="X744" s="342"/>
      <c r="Y744" s="343"/>
      <c r="AA744" s="344"/>
      <c r="AB744" s="344"/>
      <c r="AC744" s="344"/>
      <c r="AD744" s="344"/>
      <c r="AI744" s="128"/>
      <c r="AJ744" s="128"/>
      <c r="AK744" s="128"/>
      <c r="AL744" s="128"/>
      <c r="AM744" s="128"/>
      <c r="AQ744" s="128"/>
      <c r="AR744" s="128"/>
      <c r="AS744" s="128"/>
      <c r="AT744" s="128"/>
      <c r="AU744" s="128"/>
    </row>
    <row r="745" ht="27" customHeight="1" spans="1:47">
      <c r="A745" s="154"/>
      <c r="T745" s="314"/>
      <c r="U745" s="314"/>
      <c r="X745" s="342"/>
      <c r="Y745" s="343"/>
      <c r="AA745" s="344"/>
      <c r="AB745" s="344"/>
      <c r="AC745" s="344"/>
      <c r="AD745" s="344"/>
      <c r="AI745" s="128"/>
      <c r="AJ745" s="128"/>
      <c r="AK745" s="128"/>
      <c r="AL745" s="128"/>
      <c r="AM745" s="128"/>
      <c r="AQ745" s="128"/>
      <c r="AR745" s="128"/>
      <c r="AS745" s="128"/>
      <c r="AT745" s="128"/>
      <c r="AU745" s="128"/>
    </row>
    <row r="746" ht="27" customHeight="1" spans="1:47">
      <c r="A746" s="154"/>
      <c r="T746" s="314"/>
      <c r="U746" s="314"/>
      <c r="X746" s="342"/>
      <c r="Y746" s="343"/>
      <c r="AA746" s="344"/>
      <c r="AB746" s="344"/>
      <c r="AC746" s="344"/>
      <c r="AD746" s="344"/>
      <c r="AI746" s="128"/>
      <c r="AJ746" s="128"/>
      <c r="AK746" s="128"/>
      <c r="AL746" s="128"/>
      <c r="AM746" s="128"/>
      <c r="AQ746" s="128"/>
      <c r="AR746" s="128"/>
      <c r="AS746" s="128"/>
      <c r="AT746" s="128"/>
      <c r="AU746" s="128"/>
    </row>
    <row r="747" ht="27" customHeight="1" spans="1:47">
      <c r="A747" s="154"/>
      <c r="T747" s="314"/>
      <c r="U747" s="314"/>
      <c r="X747" s="342"/>
      <c r="Y747" s="343"/>
      <c r="AA747" s="344"/>
      <c r="AB747" s="344"/>
      <c r="AC747" s="344"/>
      <c r="AD747" s="344"/>
      <c r="AI747" s="128"/>
      <c r="AJ747" s="128"/>
      <c r="AK747" s="128"/>
      <c r="AL747" s="128"/>
      <c r="AM747" s="128"/>
      <c r="AQ747" s="128"/>
      <c r="AR747" s="128"/>
      <c r="AS747" s="128"/>
      <c r="AT747" s="128"/>
      <c r="AU747" s="128"/>
    </row>
    <row r="748" ht="27" customHeight="1" spans="1:47">
      <c r="A748" s="154"/>
      <c r="T748" s="314"/>
      <c r="U748" s="314"/>
      <c r="X748" s="342"/>
      <c r="Y748" s="343"/>
      <c r="AA748" s="344"/>
      <c r="AB748" s="344"/>
      <c r="AC748" s="344"/>
      <c r="AD748" s="344"/>
      <c r="AI748" s="128"/>
      <c r="AJ748" s="128"/>
      <c r="AK748" s="128"/>
      <c r="AL748" s="128"/>
      <c r="AM748" s="128"/>
      <c r="AQ748" s="128"/>
      <c r="AR748" s="128"/>
      <c r="AS748" s="128"/>
      <c r="AT748" s="128"/>
      <c r="AU748" s="128"/>
    </row>
    <row r="749" ht="27" customHeight="1" spans="1:47">
      <c r="A749" s="154"/>
      <c r="T749" s="314"/>
      <c r="U749" s="314"/>
      <c r="X749" s="342"/>
      <c r="Y749" s="343"/>
      <c r="AA749" s="344"/>
      <c r="AB749" s="344"/>
      <c r="AC749" s="344"/>
      <c r="AD749" s="344"/>
      <c r="AI749" s="128"/>
      <c r="AJ749" s="128"/>
      <c r="AK749" s="128"/>
      <c r="AL749" s="128"/>
      <c r="AM749" s="128"/>
      <c r="AQ749" s="128"/>
      <c r="AR749" s="128"/>
      <c r="AS749" s="128"/>
      <c r="AT749" s="128"/>
      <c r="AU749" s="128"/>
    </row>
    <row r="750" ht="27" customHeight="1" spans="1:47">
      <c r="A750" s="154"/>
      <c r="T750" s="314"/>
      <c r="U750" s="314"/>
      <c r="X750" s="342"/>
      <c r="Y750" s="343"/>
      <c r="AA750" s="344"/>
      <c r="AB750" s="344"/>
      <c r="AC750" s="344"/>
      <c r="AD750" s="344"/>
      <c r="AI750" s="128"/>
      <c r="AJ750" s="128"/>
      <c r="AK750" s="128"/>
      <c r="AL750" s="128"/>
      <c r="AM750" s="128"/>
      <c r="AQ750" s="128"/>
      <c r="AR750" s="128"/>
      <c r="AS750" s="128"/>
      <c r="AT750" s="128"/>
      <c r="AU750" s="128"/>
    </row>
    <row r="751" ht="27" customHeight="1" spans="1:47">
      <c r="A751" s="154"/>
      <c r="T751" s="314"/>
      <c r="U751" s="314"/>
      <c r="X751" s="342"/>
      <c r="Y751" s="343"/>
      <c r="AA751" s="344"/>
      <c r="AB751" s="344"/>
      <c r="AC751" s="344"/>
      <c r="AD751" s="344"/>
      <c r="AI751" s="128"/>
      <c r="AJ751" s="128"/>
      <c r="AK751" s="128"/>
      <c r="AL751" s="128"/>
      <c r="AM751" s="128"/>
      <c r="AQ751" s="128"/>
      <c r="AR751" s="128"/>
      <c r="AS751" s="128"/>
      <c r="AT751" s="128"/>
      <c r="AU751" s="128"/>
    </row>
    <row r="752" ht="27" customHeight="1" spans="1:47">
      <c r="A752" s="154"/>
      <c r="T752" s="314"/>
      <c r="U752" s="314"/>
      <c r="X752" s="342"/>
      <c r="Y752" s="343"/>
      <c r="AA752" s="344"/>
      <c r="AB752" s="344"/>
      <c r="AC752" s="344"/>
      <c r="AD752" s="344"/>
      <c r="AI752" s="128"/>
      <c r="AJ752" s="128"/>
      <c r="AK752" s="128"/>
      <c r="AL752" s="128"/>
      <c r="AM752" s="128"/>
      <c r="AQ752" s="128"/>
      <c r="AR752" s="128"/>
      <c r="AS752" s="128"/>
      <c r="AT752" s="128"/>
      <c r="AU752" s="128"/>
    </row>
    <row r="753" ht="27" customHeight="1" spans="1:47">
      <c r="A753" s="154"/>
      <c r="T753" s="314"/>
      <c r="U753" s="314"/>
      <c r="X753" s="342"/>
      <c r="Y753" s="343"/>
      <c r="AA753" s="344"/>
      <c r="AB753" s="344"/>
      <c r="AC753" s="344"/>
      <c r="AD753" s="344"/>
      <c r="AI753" s="128"/>
      <c r="AJ753" s="128"/>
      <c r="AK753" s="128"/>
      <c r="AL753" s="128"/>
      <c r="AM753" s="128"/>
      <c r="AQ753" s="128"/>
      <c r="AR753" s="128"/>
      <c r="AS753" s="128"/>
      <c r="AT753" s="128"/>
      <c r="AU753" s="128"/>
    </row>
    <row r="754" ht="27" customHeight="1" spans="1:47">
      <c r="A754" s="154"/>
      <c r="T754" s="314"/>
      <c r="U754" s="314"/>
      <c r="X754" s="342"/>
      <c r="Y754" s="343"/>
      <c r="AA754" s="344"/>
      <c r="AB754" s="344"/>
      <c r="AC754" s="344"/>
      <c r="AD754" s="344"/>
      <c r="AH754" s="128"/>
      <c r="AI754" s="128"/>
      <c r="AJ754" s="128"/>
      <c r="AK754" s="128"/>
      <c r="AL754" s="128"/>
      <c r="AM754" s="128"/>
      <c r="AP754" s="128"/>
      <c r="AQ754" s="128"/>
      <c r="AR754" s="128"/>
      <c r="AS754" s="128"/>
      <c r="AT754" s="128"/>
      <c r="AU754" s="128"/>
    </row>
    <row r="755" ht="27" customHeight="1" spans="1:47">
      <c r="A755" s="154"/>
      <c r="T755" s="314"/>
      <c r="U755" s="314"/>
      <c r="X755" s="342"/>
      <c r="Y755" s="343"/>
      <c r="AA755" s="344"/>
      <c r="AB755" s="344"/>
      <c r="AC755" s="344"/>
      <c r="AD755" s="344"/>
      <c r="AH755" s="128"/>
      <c r="AI755" s="128"/>
      <c r="AJ755" s="128"/>
      <c r="AK755" s="128"/>
      <c r="AL755" s="128"/>
      <c r="AM755" s="128"/>
      <c r="AP755" s="128"/>
      <c r="AQ755" s="128"/>
      <c r="AR755" s="128"/>
      <c r="AS755" s="128"/>
      <c r="AT755" s="128"/>
      <c r="AU755" s="128"/>
    </row>
    <row r="756" ht="27" customHeight="1" spans="1:47">
      <c r="A756" s="154"/>
      <c r="T756" s="314"/>
      <c r="U756" s="314"/>
      <c r="X756" s="342"/>
      <c r="Y756" s="343"/>
      <c r="AA756" s="344"/>
      <c r="AB756" s="344"/>
      <c r="AC756" s="344"/>
      <c r="AD756" s="344"/>
      <c r="AH756" s="128"/>
      <c r="AI756" s="128"/>
      <c r="AJ756" s="128"/>
      <c r="AK756" s="128"/>
      <c r="AL756" s="128"/>
      <c r="AM756" s="128"/>
      <c r="AP756" s="128"/>
      <c r="AQ756" s="128"/>
      <c r="AR756" s="128"/>
      <c r="AS756" s="128"/>
      <c r="AT756" s="128"/>
      <c r="AU756" s="128"/>
    </row>
    <row r="757" ht="27" customHeight="1" spans="1:47">
      <c r="A757" s="154"/>
      <c r="T757" s="314"/>
      <c r="U757" s="314"/>
      <c r="X757" s="342"/>
      <c r="Y757" s="343"/>
      <c r="AA757" s="344"/>
      <c r="AB757" s="344"/>
      <c r="AC757" s="344"/>
      <c r="AD757" s="344"/>
      <c r="AH757" s="128"/>
      <c r="AI757" s="128"/>
      <c r="AJ757" s="128"/>
      <c r="AK757" s="128"/>
      <c r="AL757" s="128"/>
      <c r="AM757" s="128"/>
      <c r="AP757" s="128"/>
      <c r="AQ757" s="128"/>
      <c r="AR757" s="128"/>
      <c r="AS757" s="128"/>
      <c r="AT757" s="128"/>
      <c r="AU757" s="128"/>
    </row>
    <row r="758" ht="27" customHeight="1" spans="1:47">
      <c r="A758" s="154"/>
      <c r="T758" s="314"/>
      <c r="U758" s="314"/>
      <c r="X758" s="342"/>
      <c r="Y758" s="343"/>
      <c r="AA758" s="344"/>
      <c r="AB758" s="344"/>
      <c r="AC758" s="344"/>
      <c r="AD758" s="344"/>
      <c r="AH758" s="128"/>
      <c r="AI758" s="128"/>
      <c r="AJ758" s="128"/>
      <c r="AK758" s="128"/>
      <c r="AL758" s="128"/>
      <c r="AM758" s="128"/>
      <c r="AP758" s="128"/>
      <c r="AQ758" s="128"/>
      <c r="AR758" s="128"/>
      <c r="AS758" s="128"/>
      <c r="AT758" s="128"/>
      <c r="AU758" s="128"/>
    </row>
    <row r="759" ht="27" customHeight="1" spans="1:47">
      <c r="A759" s="154"/>
      <c r="T759" s="314"/>
      <c r="U759" s="314"/>
      <c r="X759" s="342"/>
      <c r="Y759" s="343"/>
      <c r="AA759" s="344"/>
      <c r="AB759" s="344"/>
      <c r="AC759" s="344"/>
      <c r="AD759" s="344"/>
      <c r="AH759" s="128"/>
      <c r="AI759" s="128"/>
      <c r="AJ759" s="128"/>
      <c r="AK759" s="128"/>
      <c r="AL759" s="128"/>
      <c r="AM759" s="128"/>
      <c r="AP759" s="128"/>
      <c r="AQ759" s="128"/>
      <c r="AR759" s="128"/>
      <c r="AS759" s="128"/>
      <c r="AT759" s="128"/>
      <c r="AU759" s="128"/>
    </row>
    <row r="760" ht="27" customHeight="1" spans="1:47">
      <c r="A760" s="154"/>
      <c r="T760" s="314"/>
      <c r="U760" s="314"/>
      <c r="X760" s="342"/>
      <c r="Y760" s="343"/>
      <c r="AA760" s="344"/>
      <c r="AB760" s="344"/>
      <c r="AC760" s="344"/>
      <c r="AD760" s="344"/>
      <c r="AH760" s="128"/>
      <c r="AI760" s="128"/>
      <c r="AJ760" s="128"/>
      <c r="AK760" s="128"/>
      <c r="AL760" s="128"/>
      <c r="AM760" s="128"/>
      <c r="AP760" s="128"/>
      <c r="AQ760" s="128"/>
      <c r="AR760" s="128"/>
      <c r="AS760" s="128"/>
      <c r="AT760" s="128"/>
      <c r="AU760" s="128"/>
    </row>
    <row r="761" ht="27" customHeight="1" spans="1:47">
      <c r="A761" s="154"/>
      <c r="T761" s="314"/>
      <c r="U761" s="314"/>
      <c r="X761" s="342"/>
      <c r="Y761" s="343"/>
      <c r="AA761" s="344"/>
      <c r="AB761" s="344"/>
      <c r="AC761" s="344"/>
      <c r="AD761" s="344"/>
      <c r="AH761" s="128"/>
      <c r="AI761" s="128"/>
      <c r="AJ761" s="128"/>
      <c r="AK761" s="128"/>
      <c r="AL761" s="128"/>
      <c r="AM761" s="128"/>
      <c r="AP761" s="128"/>
      <c r="AQ761" s="128"/>
      <c r="AR761" s="128"/>
      <c r="AS761" s="128"/>
      <c r="AT761" s="128"/>
      <c r="AU761" s="128"/>
    </row>
    <row r="762" ht="27" customHeight="1" spans="1:47">
      <c r="A762" s="154"/>
      <c r="T762" s="314"/>
      <c r="U762" s="314"/>
      <c r="X762" s="342"/>
      <c r="Y762" s="343"/>
      <c r="AA762" s="344"/>
      <c r="AB762" s="344"/>
      <c r="AC762" s="344"/>
      <c r="AD762" s="344"/>
      <c r="AH762" s="128"/>
      <c r="AI762" s="128"/>
      <c r="AJ762" s="128"/>
      <c r="AK762" s="128"/>
      <c r="AL762" s="128"/>
      <c r="AM762" s="128"/>
      <c r="AP762" s="128"/>
      <c r="AQ762" s="128"/>
      <c r="AR762" s="128"/>
      <c r="AS762" s="128"/>
      <c r="AT762" s="128"/>
      <c r="AU762" s="128"/>
    </row>
    <row r="763" ht="27" customHeight="1" spans="1:47">
      <c r="A763" s="154"/>
      <c r="T763" s="314"/>
      <c r="U763" s="314"/>
      <c r="X763" s="342"/>
      <c r="Y763" s="343"/>
      <c r="AA763" s="344"/>
      <c r="AB763" s="344"/>
      <c r="AC763" s="344"/>
      <c r="AD763" s="344"/>
      <c r="AH763" s="128"/>
      <c r="AI763" s="128"/>
      <c r="AJ763" s="128"/>
      <c r="AK763" s="128"/>
      <c r="AL763" s="128"/>
      <c r="AM763" s="128"/>
      <c r="AP763" s="128"/>
      <c r="AQ763" s="128"/>
      <c r="AR763" s="128"/>
      <c r="AS763" s="128"/>
      <c r="AT763" s="128"/>
      <c r="AU763" s="128"/>
    </row>
    <row r="764" ht="27" customHeight="1" spans="1:47">
      <c r="A764" s="154"/>
      <c r="T764" s="314"/>
      <c r="U764" s="314"/>
      <c r="X764" s="342"/>
      <c r="Y764" s="343"/>
      <c r="AA764" s="344"/>
      <c r="AB764" s="344"/>
      <c r="AC764" s="344"/>
      <c r="AD764" s="344"/>
      <c r="AH764" s="128"/>
      <c r="AI764" s="128"/>
      <c r="AJ764" s="128"/>
      <c r="AK764" s="128"/>
      <c r="AL764" s="128"/>
      <c r="AM764" s="128"/>
      <c r="AP764" s="128"/>
      <c r="AQ764" s="128"/>
      <c r="AR764" s="128"/>
      <c r="AS764" s="128"/>
      <c r="AT764" s="128"/>
      <c r="AU764" s="128"/>
    </row>
    <row r="765" ht="27" customHeight="1" spans="1:47">
      <c r="A765" s="154"/>
      <c r="T765" s="314"/>
      <c r="U765" s="314"/>
      <c r="X765" s="342"/>
      <c r="Y765" s="343"/>
      <c r="AA765" s="344"/>
      <c r="AB765" s="344"/>
      <c r="AC765" s="344"/>
      <c r="AD765" s="344"/>
      <c r="AH765" s="128"/>
      <c r="AI765" s="128"/>
      <c r="AJ765" s="128"/>
      <c r="AK765" s="128"/>
      <c r="AL765" s="128"/>
      <c r="AM765" s="128"/>
      <c r="AP765" s="128"/>
      <c r="AQ765" s="128"/>
      <c r="AR765" s="128"/>
      <c r="AS765" s="128"/>
      <c r="AT765" s="128"/>
      <c r="AU765" s="128"/>
    </row>
    <row r="766" ht="27" customHeight="1" spans="1:47">
      <c r="A766" s="154"/>
      <c r="T766" s="314"/>
      <c r="U766" s="314"/>
      <c r="X766" s="342"/>
      <c r="Y766" s="343"/>
      <c r="AA766" s="344"/>
      <c r="AB766" s="344"/>
      <c r="AC766" s="344"/>
      <c r="AD766" s="344"/>
      <c r="AH766" s="128"/>
      <c r="AI766" s="128"/>
      <c r="AJ766" s="128"/>
      <c r="AK766" s="128"/>
      <c r="AL766" s="128"/>
      <c r="AM766" s="128"/>
      <c r="AP766" s="128"/>
      <c r="AQ766" s="128"/>
      <c r="AR766" s="128"/>
      <c r="AS766" s="128"/>
      <c r="AT766" s="128"/>
      <c r="AU766" s="128"/>
    </row>
    <row r="767" ht="27" customHeight="1" spans="1:47">
      <c r="A767" s="154"/>
      <c r="T767" s="314"/>
      <c r="U767" s="314"/>
      <c r="X767" s="342"/>
      <c r="Y767" s="343"/>
      <c r="AA767" s="344"/>
      <c r="AB767" s="344"/>
      <c r="AC767" s="344"/>
      <c r="AD767" s="344"/>
      <c r="AH767" s="128"/>
      <c r="AI767" s="128"/>
      <c r="AJ767" s="128"/>
      <c r="AK767" s="128"/>
      <c r="AL767" s="128"/>
      <c r="AM767" s="128"/>
      <c r="AP767" s="128"/>
      <c r="AQ767" s="128"/>
      <c r="AR767" s="128"/>
      <c r="AS767" s="128"/>
      <c r="AT767" s="128"/>
      <c r="AU767" s="128"/>
    </row>
    <row r="768" ht="27" customHeight="1" spans="1:47">
      <c r="A768" s="154"/>
      <c r="T768" s="314"/>
      <c r="U768" s="314"/>
      <c r="X768" s="342"/>
      <c r="Y768" s="343"/>
      <c r="AA768" s="344"/>
      <c r="AB768" s="344"/>
      <c r="AC768" s="344"/>
      <c r="AD768" s="344"/>
      <c r="AH768" s="128"/>
      <c r="AI768" s="128"/>
      <c r="AJ768" s="128"/>
      <c r="AK768" s="128"/>
      <c r="AL768" s="128"/>
      <c r="AM768" s="128"/>
      <c r="AP768" s="128"/>
      <c r="AQ768" s="128"/>
      <c r="AR768" s="128"/>
      <c r="AS768" s="128"/>
      <c r="AT768" s="128"/>
      <c r="AU768" s="128"/>
    </row>
    <row r="769" ht="27" customHeight="1" spans="1:47">
      <c r="A769" s="154"/>
      <c r="T769" s="314"/>
      <c r="U769" s="314"/>
      <c r="X769" s="342"/>
      <c r="Y769" s="343"/>
      <c r="AA769" s="344"/>
      <c r="AB769" s="344"/>
      <c r="AC769" s="344"/>
      <c r="AD769" s="344"/>
      <c r="AH769" s="128"/>
      <c r="AI769" s="128"/>
      <c r="AJ769" s="128"/>
      <c r="AK769" s="128"/>
      <c r="AL769" s="128"/>
      <c r="AM769" s="128"/>
      <c r="AP769" s="128"/>
      <c r="AQ769" s="128"/>
      <c r="AR769" s="128"/>
      <c r="AS769" s="128"/>
      <c r="AT769" s="128"/>
      <c r="AU769" s="128"/>
    </row>
    <row r="770" ht="27" customHeight="1" spans="1:47">
      <c r="A770" s="154"/>
      <c r="T770" s="314"/>
      <c r="U770" s="314"/>
      <c r="X770" s="342"/>
      <c r="Y770" s="343"/>
      <c r="AA770" s="344"/>
      <c r="AB770" s="344"/>
      <c r="AC770" s="344"/>
      <c r="AD770" s="344"/>
      <c r="AH770" s="128"/>
      <c r="AI770" s="128"/>
      <c r="AJ770" s="128"/>
      <c r="AK770" s="128"/>
      <c r="AL770" s="128"/>
      <c r="AM770" s="128"/>
      <c r="AP770" s="128"/>
      <c r="AQ770" s="128"/>
      <c r="AR770" s="128"/>
      <c r="AS770" s="128"/>
      <c r="AT770" s="128"/>
      <c r="AU770" s="128"/>
    </row>
    <row r="771" ht="27" customHeight="1" spans="1:47">
      <c r="A771" s="154"/>
      <c r="T771" s="314"/>
      <c r="U771" s="314"/>
      <c r="X771" s="342"/>
      <c r="Y771" s="343"/>
      <c r="AA771" s="344"/>
      <c r="AB771" s="344"/>
      <c r="AC771" s="344"/>
      <c r="AD771" s="344"/>
    </row>
    <row r="772" ht="27" customHeight="1" spans="1:47">
      <c r="A772" s="154"/>
      <c r="T772" s="314"/>
      <c r="U772" s="314"/>
      <c r="X772" s="342"/>
      <c r="Y772" s="343"/>
      <c r="AA772" s="344"/>
      <c r="AB772" s="344"/>
      <c r="AC772" s="344"/>
      <c r="AD772" s="344"/>
    </row>
    <row r="773" ht="27" customHeight="1" spans="1:47">
      <c r="A773" s="154"/>
      <c r="T773" s="314"/>
      <c r="U773" s="314"/>
      <c r="X773" s="342"/>
      <c r="Y773" s="343"/>
      <c r="AA773" s="344"/>
      <c r="AB773" s="344"/>
      <c r="AC773" s="344"/>
      <c r="AD773" s="344"/>
    </row>
    <row r="774" ht="27" customHeight="1" spans="1:47">
      <c r="A774" s="154"/>
      <c r="T774" s="314"/>
      <c r="U774" s="314"/>
      <c r="X774" s="342"/>
      <c r="Y774" s="343"/>
      <c r="AA774" s="344"/>
      <c r="AB774" s="344"/>
      <c r="AC774" s="344"/>
      <c r="AD774" s="344"/>
    </row>
    <row r="775" ht="27" customHeight="1" spans="1:47">
      <c r="A775" s="154"/>
      <c r="T775" s="314"/>
      <c r="U775" s="314"/>
      <c r="X775" s="342"/>
      <c r="Y775" s="343"/>
      <c r="AA775" s="344"/>
      <c r="AB775" s="344"/>
      <c r="AC775" s="344"/>
      <c r="AD775" s="344"/>
    </row>
    <row r="776" ht="27" customHeight="1" spans="1:47">
      <c r="A776" s="154"/>
      <c r="T776" s="314"/>
      <c r="U776" s="314"/>
      <c r="X776" s="342"/>
      <c r="Y776" s="343"/>
      <c r="AA776" s="344"/>
      <c r="AB776" s="344"/>
      <c r="AC776" s="344"/>
      <c r="AD776" s="344"/>
    </row>
    <row r="777" ht="27" customHeight="1" spans="1:47">
      <c r="A777" s="154"/>
      <c r="T777" s="314"/>
      <c r="U777" s="314"/>
      <c r="X777" s="342"/>
      <c r="Y777" s="343"/>
      <c r="AA777" s="344"/>
      <c r="AB777" s="344"/>
      <c r="AC777" s="344"/>
      <c r="AD777" s="344"/>
    </row>
    <row r="778" ht="27" customHeight="1" spans="1:47">
      <c r="A778" s="154"/>
      <c r="T778" s="314"/>
      <c r="U778" s="314"/>
      <c r="X778" s="342"/>
      <c r="Y778" s="343"/>
      <c r="AA778" s="344"/>
      <c r="AB778" s="344"/>
      <c r="AC778" s="344"/>
      <c r="AD778" s="344"/>
    </row>
    <row r="779" ht="27" customHeight="1" spans="1:47">
      <c r="A779" s="154"/>
      <c r="T779" s="314"/>
      <c r="U779" s="314"/>
      <c r="X779" s="342"/>
      <c r="Y779" s="343"/>
      <c r="AA779" s="344"/>
      <c r="AB779" s="344"/>
      <c r="AC779" s="344"/>
      <c r="AD779" s="344"/>
    </row>
    <row r="780" ht="27" customHeight="1" spans="1:47">
      <c r="A780" s="154"/>
      <c r="T780" s="314"/>
      <c r="U780" s="314"/>
      <c r="X780" s="342"/>
      <c r="Y780" s="343"/>
      <c r="AA780" s="344"/>
      <c r="AB780" s="344"/>
      <c r="AC780" s="344"/>
      <c r="AD780" s="344"/>
    </row>
    <row r="781" ht="27" customHeight="1" spans="1:47">
      <c r="A781" s="154"/>
      <c r="T781" s="314"/>
      <c r="U781" s="314"/>
      <c r="X781" s="342"/>
      <c r="Y781" s="343"/>
      <c r="AA781" s="344"/>
      <c r="AB781" s="344"/>
      <c r="AC781" s="344"/>
      <c r="AD781" s="344"/>
    </row>
    <row r="782" ht="27" customHeight="1" spans="1:47">
      <c r="A782" s="154"/>
      <c r="T782" s="314"/>
      <c r="U782" s="314"/>
      <c r="X782" s="342"/>
      <c r="Y782" s="343"/>
      <c r="AA782" s="344"/>
      <c r="AB782" s="344"/>
      <c r="AC782" s="344"/>
      <c r="AD782" s="344"/>
    </row>
  </sheetData>
  <autoFilter xmlns:etc="http://www.wps.cn/officeDocument/2017/etCustomData" ref="A2:AY203" etc:filterBottomFollowUsedRange="0">
    <extLst/>
  </autoFilter>
  <mergeCells count="1">
    <mergeCell ref="N189:N190"/>
  </mergeCells>
  <conditionalFormatting sqref="U2">
    <cfRule type="expression" dxfId="73" priority="266">
      <formula>ISEVEN(MID($K2,4,1))</formula>
    </cfRule>
    <cfRule type="expression" dxfId="74" priority="267" stopIfTrue="1">
      <formula>$I2&lt;&gt;""</formula>
    </cfRule>
  </conditionalFormatting>
  <conditionalFormatting sqref="AV2:AX2">
    <cfRule type="expression" dxfId="74" priority="272" stopIfTrue="1">
      <formula>$F2&lt;&gt;""</formula>
    </cfRule>
    <cfRule type="expression" dxfId="73" priority="271">
      <formula>ISEVEN(MID($H2,3,1))</formula>
    </cfRule>
    <cfRule type="expression" dxfId="78" priority="270">
      <formula>AV2&lt;&gt;""</formula>
    </cfRule>
    <cfRule type="expression" dxfId="74" priority="269" stopIfTrue="1">
      <formula>$I2&lt;&gt;""</formula>
    </cfRule>
    <cfRule type="expression" dxfId="73" priority="268">
      <formula>ISEVEN(MID($K2,3,1))</formula>
    </cfRule>
  </conditionalFormatting>
  <conditionalFormatting sqref="AY2">
    <cfRule type="expression" dxfId="74" priority="209" stopIfTrue="1">
      <formula>$F2&lt;&gt;""</formula>
    </cfRule>
    <cfRule type="expression" dxfId="73" priority="208">
      <formula>ISEVEN(MID($H2,3,1))</formula>
    </cfRule>
    <cfRule type="expression" dxfId="78" priority="207">
      <formula>AY2&lt;&gt;""</formula>
    </cfRule>
    <cfRule type="expression" dxfId="74" priority="206" stopIfTrue="1">
      <formula>$I2&lt;&gt;""</formula>
    </cfRule>
    <cfRule type="expression" dxfId="73" priority="205">
      <formula>ISEVEN(MID($K2,3,1))</formula>
    </cfRule>
  </conditionalFormatting>
  <conditionalFormatting sqref="R13">
    <cfRule type="expression" dxfId="79" priority="28">
      <formula>$AY13=TRUE</formula>
    </cfRule>
  </conditionalFormatting>
  <conditionalFormatting sqref="R19">
    <cfRule type="expression" dxfId="79" priority="16">
      <formula>$AY19=TRUE</formula>
    </cfRule>
  </conditionalFormatting>
  <conditionalFormatting sqref="R22">
    <cfRule type="expression" dxfId="79" priority="15">
      <formula>$AY22=TRUE</formula>
    </cfRule>
  </conditionalFormatting>
  <conditionalFormatting sqref="Q25">
    <cfRule type="expression" dxfId="79" priority="177">
      <formula>$AY25=TRUE</formula>
    </cfRule>
  </conditionalFormatting>
  <conditionalFormatting sqref="R25">
    <cfRule type="expression" dxfId="79" priority="14">
      <formula>$AY25=TRUE</formula>
    </cfRule>
  </conditionalFormatting>
  <conditionalFormatting sqref="R56">
    <cfRule type="expression" dxfId="79" priority="10">
      <formula>$AY56=TRUE</formula>
    </cfRule>
  </conditionalFormatting>
  <conditionalFormatting sqref="O121">
    <cfRule type="expression" dxfId="79" priority="58">
      <formula>$AY121=TRUE</formula>
    </cfRule>
  </conditionalFormatting>
  <conditionalFormatting sqref="P121">
    <cfRule type="expression" dxfId="79" priority="59">
      <formula>$AY121=TRUE</formula>
    </cfRule>
  </conditionalFormatting>
  <conditionalFormatting sqref="O142">
    <cfRule type="expression" dxfId="79" priority="72">
      <formula>$AY142=TRUE</formula>
    </cfRule>
  </conditionalFormatting>
  <conditionalFormatting sqref="P142">
    <cfRule type="expression" dxfId="79" priority="73">
      <formula>$AY142=TRUE</formula>
    </cfRule>
  </conditionalFormatting>
  <conditionalFormatting sqref="R142">
    <cfRule type="expression" dxfId="79" priority="71">
      <formula>$AY142=TRUE</formula>
    </cfRule>
  </conditionalFormatting>
  <conditionalFormatting sqref="R147:S147">
    <cfRule type="expression" dxfId="79" priority="112">
      <formula>$AY147=TRUE</formula>
    </cfRule>
  </conditionalFormatting>
  <conditionalFormatting sqref="O148">
    <cfRule type="expression" dxfId="79" priority="67">
      <formula>$AY148=TRUE</formula>
    </cfRule>
  </conditionalFormatting>
  <conditionalFormatting sqref="P148">
    <cfRule type="expression" dxfId="79" priority="68">
      <formula>$AY148=TRUE</formula>
    </cfRule>
  </conditionalFormatting>
  <conditionalFormatting sqref="R148:S148">
    <cfRule type="expression" dxfId="79" priority="69">
      <formula>$AY148=TRUE</formula>
    </cfRule>
  </conditionalFormatting>
  <conditionalFormatting sqref="O149">
    <cfRule type="expression" dxfId="79" priority="40">
      <formula>$AY149=TRUE</formula>
    </cfRule>
  </conditionalFormatting>
  <conditionalFormatting sqref="P149">
    <cfRule type="expression" dxfId="79" priority="42">
      <formula>$AY149=TRUE</formula>
    </cfRule>
  </conditionalFormatting>
  <conditionalFormatting sqref="S149">
    <cfRule type="expression" dxfId="79" priority="44">
      <formula>$AY149=TRUE</formula>
    </cfRule>
  </conditionalFormatting>
  <conditionalFormatting sqref="H178">
    <cfRule type="expression" dxfId="79" priority="119">
      <formula>$AY178=TRUE</formula>
    </cfRule>
  </conditionalFormatting>
  <conditionalFormatting sqref="S178">
    <cfRule type="expression" dxfId="79" priority="100">
      <formula>$AY178=TRUE</formula>
    </cfRule>
  </conditionalFormatting>
  <conditionalFormatting sqref="H179">
    <cfRule type="expression" dxfId="79" priority="106">
      <formula>$AY179=TRUE</formula>
    </cfRule>
  </conditionalFormatting>
  <conditionalFormatting sqref="R179:S179">
    <cfRule type="expression" dxfId="79" priority="103">
      <formula>$AY179=TRUE</formula>
    </cfRule>
  </conditionalFormatting>
  <conditionalFormatting sqref="R180">
    <cfRule type="expression" dxfId="79" priority="6">
      <formula>$AY180=TRUE</formula>
    </cfRule>
  </conditionalFormatting>
  <conditionalFormatting sqref="H181">
    <cfRule type="expression" dxfId="79" priority="104">
      <formula>$AY181=TRUE</formula>
    </cfRule>
  </conditionalFormatting>
  <conditionalFormatting sqref="L181">
    <cfRule type="expression" dxfId="79" priority="101">
      <formula>$AY181=TRUE</formula>
    </cfRule>
  </conditionalFormatting>
  <conditionalFormatting sqref="R181:S181">
    <cfRule type="expression" dxfId="79" priority="102">
      <formula>$AY181=TRUE</formula>
    </cfRule>
  </conditionalFormatting>
  <conditionalFormatting sqref="S193">
    <cfRule type="expression" dxfId="79" priority="98">
      <formula>$AY193=TRUE</formula>
    </cfRule>
  </conditionalFormatting>
  <conditionalFormatting sqref="S196">
    <cfRule type="expression" dxfId="79" priority="97">
      <formula>$AY196=TRUE</formula>
    </cfRule>
  </conditionalFormatting>
  <conditionalFormatting sqref="R197">
    <cfRule type="expression" dxfId="79" priority="94">
      <formula>$AY197=TRUE</formula>
    </cfRule>
  </conditionalFormatting>
  <conditionalFormatting sqref="S197">
    <cfRule type="expression" dxfId="79" priority="95">
      <formula>$AY197=TRUE</formula>
    </cfRule>
  </conditionalFormatting>
  <conditionalFormatting sqref="R198">
    <cfRule type="expression" dxfId="79" priority="3">
      <formula>$AY198=TRUE</formula>
    </cfRule>
  </conditionalFormatting>
  <conditionalFormatting sqref="S198">
    <cfRule type="expression" dxfId="79" priority="90">
      <formula>$AY198=TRUE</formula>
    </cfRule>
  </conditionalFormatting>
  <conditionalFormatting sqref="R199">
    <cfRule type="expression" dxfId="79" priority="91">
      <formula>$AY199=TRUE</formula>
    </cfRule>
  </conditionalFormatting>
  <conditionalFormatting sqref="S199">
    <cfRule type="expression" dxfId="79" priority="92">
      <formula>$AY199=TRUE</formula>
    </cfRule>
  </conditionalFormatting>
  <conditionalFormatting sqref="R200">
    <cfRule type="expression" dxfId="79" priority="2">
      <formula>$AY200=TRUE</formula>
    </cfRule>
  </conditionalFormatting>
  <conditionalFormatting sqref="S200">
    <cfRule type="expression" dxfId="79" priority="89">
      <formula>$AY200=TRUE</formula>
    </cfRule>
  </conditionalFormatting>
  <conditionalFormatting sqref="R201">
    <cfRule type="expression" dxfId="79" priority="82">
      <formula>$AY201=TRUE</formula>
    </cfRule>
  </conditionalFormatting>
  <conditionalFormatting sqref="S201">
    <cfRule type="expression" dxfId="79" priority="83">
      <formula>$AY201=TRUE</formula>
    </cfRule>
  </conditionalFormatting>
  <conditionalFormatting sqref="R202">
    <cfRule type="expression" dxfId="79" priority="1">
      <formula>$AY202=TRUE</formula>
    </cfRule>
  </conditionalFormatting>
  <conditionalFormatting sqref="S202">
    <cfRule type="expression" dxfId="79" priority="88">
      <formula>$AY202=TRUE</formula>
    </cfRule>
  </conditionalFormatting>
  <conditionalFormatting sqref="R203">
    <cfRule type="expression" dxfId="79" priority="80">
      <formula>$AY203=TRUE</formula>
    </cfRule>
  </conditionalFormatting>
  <conditionalFormatting sqref="S203">
    <cfRule type="expression" dxfId="79" priority="81">
      <formula>$AY203=TRUE</formula>
    </cfRule>
  </conditionalFormatting>
  <conditionalFormatting sqref="H172:H177">
    <cfRule type="expression" dxfId="79" priority="120">
      <formula>$AY172=TRUE</formula>
    </cfRule>
  </conditionalFormatting>
  <conditionalFormatting sqref="H185:H188">
    <cfRule type="expression" dxfId="79" priority="117">
      <formula>$AY185=TRUE</formula>
    </cfRule>
  </conditionalFormatting>
  <conditionalFormatting sqref="H190:H191">
    <cfRule type="expression" dxfId="79" priority="116">
      <formula>$AY190=TRUE</formula>
    </cfRule>
  </conditionalFormatting>
  <conditionalFormatting sqref="Q7:Q12">
    <cfRule type="expression" dxfId="79" priority="61">
      <formula>$AY7=TRUE</formula>
    </cfRule>
  </conditionalFormatting>
  <conditionalFormatting sqref="Q36:Q37">
    <cfRule type="expression" dxfId="79" priority="176">
      <formula>$AY36=TRUE</formula>
    </cfRule>
  </conditionalFormatting>
  <conditionalFormatting sqref="Q40:Q41">
    <cfRule type="expression" dxfId="79" priority="175">
      <formula>$AY40=TRUE</formula>
    </cfRule>
  </conditionalFormatting>
  <conditionalFormatting sqref="Q46:Q47">
    <cfRule type="expression" dxfId="79" priority="174">
      <formula>$AY46=TRUE</formula>
    </cfRule>
  </conditionalFormatting>
  <conditionalFormatting sqref="R9:R12">
    <cfRule type="expression" dxfId="79" priority="17">
      <formula>$AY9=TRUE</formula>
    </cfRule>
  </conditionalFormatting>
  <conditionalFormatting sqref="R36:R37">
    <cfRule type="expression" dxfId="79" priority="13">
      <formula>$AY36=TRUE</formula>
    </cfRule>
  </conditionalFormatting>
  <conditionalFormatting sqref="R40:R41">
    <cfRule type="expression" dxfId="79" priority="12">
      <formula>$AY40=TRUE</formula>
    </cfRule>
  </conditionalFormatting>
  <conditionalFormatting sqref="R46:R47">
    <cfRule type="expression" dxfId="79" priority="11">
      <formula>$AY46=TRUE</formula>
    </cfRule>
  </conditionalFormatting>
  <conditionalFormatting sqref="R65:R140">
    <cfRule type="expression" dxfId="79" priority="9">
      <formula>$AY65=TRUE</formula>
    </cfRule>
  </conditionalFormatting>
  <conditionalFormatting sqref="R143:R146">
    <cfRule type="expression" dxfId="79" priority="8">
      <formula>$AY143=TRUE</formula>
    </cfRule>
  </conditionalFormatting>
  <conditionalFormatting sqref="R149:R178">
    <cfRule type="expression" dxfId="79" priority="7">
      <formula>$AY149=TRUE</formula>
    </cfRule>
  </conditionalFormatting>
  <conditionalFormatting sqref="R182:R193">
    <cfRule type="expression" dxfId="79" priority="5">
      <formula>$AY182=TRUE</formula>
    </cfRule>
  </conditionalFormatting>
  <conditionalFormatting sqref="R195:R196">
    <cfRule type="expression" dxfId="79" priority="4">
      <formula>$AY195=TRUE</formula>
    </cfRule>
  </conditionalFormatting>
  <conditionalFormatting sqref="S36:S37">
    <cfRule type="expression" dxfId="79" priority="192">
      <formula>$AY36=TRUE</formula>
    </cfRule>
  </conditionalFormatting>
  <conditionalFormatting sqref="S40:S41">
    <cfRule type="expression" dxfId="79" priority="189">
      <formula>$AY40=TRUE</formula>
    </cfRule>
  </conditionalFormatting>
  <conditionalFormatting sqref="S46:S47">
    <cfRule type="expression" dxfId="79" priority="184">
      <formula>$AY46=TRUE</formula>
    </cfRule>
  </conditionalFormatting>
  <conditionalFormatting sqref="A3:M3 O3:V3 X3:AY3 A4:M6 O4:V6 X4:AY6 A7:M7 O7:P7 R7:V7 X7:AY7 A8:M8 O8:P8 R8:V8 X8:AY8 AY9:AY12 A13:M13 O13:Q13 S13:V13 X13:AY13 A14:M16 O14:V16 X14:AY16 A17:M17 O17:V17 X17:AY17 A18:M18 O18:V18 X18:AY18 A19:M19 O19:Q19 S19:V19 X19:AY19 A20:M21 O20:V21 X20:AY21 A22:M22 O22:Q22 S22:V22 X22:AY22 A23:M23 O23:V23 X23:AY23 A24:M24 O24:V24 X24:AY24 A25:M25 O25:P25 S25:V25 X25:AY25 A26:M26 O26:V26 X26:AY26 A27:M27 O27:V27 X27:AY27 A28:M28 O28:V28 X28:AY28 A29:M31 O29:V31 X29:AY31 A32:M32 O32:V32 X32:AY32 A33:M33 O33:V33 X33:AY33 A34:M35 O34:V35 X34:AY35 AY36:AY37 A38:M38 O38:V38 X38:AY38 A39:M39 O39:V39 X39:AY39 AY40:AY41 A42:M42 O42:V42 X42:AY42 A43:M43 O43:V43 X43:AY43 A44:M45 O44:V45 X44:AY45 AY46:AY47 A48:M48 O48:V48 X48:AY48 A49:M51 O49:V51 X49:AY51 A52:M52 O52:V52 X52:AY52 A53:M53 O53:V53 X53:AY53 A54:M55 O54:V55 X54:AY55 AY56 A57:M57 O57:V57 X57:AY57 A58:M58 O58:V58 X58:AY58 A59:M61 O59:V61 X59:AY61 A62:M62 O62:V62 X62:AY62 A63:M63 O63:V63 X63:AY63 A64:M64 O64:V64 X64:AY64 A65:M66 O65:Q66 S65:V66 X65:AY66 A67:M67 O67:Q67 S67:V67 X67:AY67 A68:M68 O68:Q68 S68:V68 X68:AY68 A69:M71 O69:Q71 S69:V71 X69:AY71 A72:M72 O72:Q72 S72:V72 X72:AY72 A73:M73 O73:Q73 S73:V73 X73:AY73 A74:M76 O74:Q76 S74:V76 X74:AY76 A77:M77 O77:Q77 S77:V77 X77:AY77 A78:M78 O78:Q78 S78:V78 X78:AY78 A79:M80 O79:Q80 S79:V80 X79:AY80 AY81:AY82 A83:M83 O83:Q83 S83:V83 X83:AY83 A84:M86 O84:Q86 S84:V86 X84:AY86 A87:M87 O87:Q87 S87:V87 X87:AY87 A88:M88 O88:Q88 S88:V88 X88:AY88 A89:M91 O89:Q91 S89:V91 X89:AY91 A92:M92 O92:Q92 S92:V92 X92:AY92 A93:M93 O93:Q93 S93:V93 X93:AY93 A94:M96 O94:Q96 S94:V96 X94:AY96 A97:M97 O97:Q97 S97:V97 X97:AY97 AY98:AY99 A100:M101 O100:Q101 S100:V101 X100:AY101 A102:M102 O102:Q102 S102:V102 X102:AY102 A103:M103 O103:Q103 S103:V103 X103:AY103 AY104:AY203">
    <cfRule type="expression" dxfId="79" priority="204">
      <formula>$AY3=TRUE</formula>
    </cfRule>
  </conditionalFormatting>
  <conditionalFormatting sqref="A9:M9 O9:P9 S9:V9 X9:AX9">
    <cfRule type="expression" dxfId="79" priority="203">
      <formula>$AY9=TRUE</formula>
    </cfRule>
  </conditionalFormatting>
  <conditionalFormatting sqref="A10:M10 O10:P10 S10:V10 X10:AX10">
    <cfRule type="expression" dxfId="79" priority="65">
      <formula>$AY10=TRUE</formula>
    </cfRule>
  </conditionalFormatting>
  <conditionalFormatting sqref="A11:M11 O11:P11 S11:V11 X11:AX11">
    <cfRule type="expression" dxfId="79" priority="63">
      <formula>$AY11=TRUE</formula>
    </cfRule>
  </conditionalFormatting>
  <conditionalFormatting sqref="A12:M12 O12:P12 S12:V12 X12:AX12">
    <cfRule type="expression" dxfId="79" priority="53">
      <formula>$AY12=TRUE</formula>
    </cfRule>
  </conditionalFormatting>
  <conditionalFormatting sqref="A36:M37 O36:P37 T36:V37 X36:AX37">
    <cfRule type="expression" dxfId="79" priority="193">
      <formula>$AY36=TRUE</formula>
    </cfRule>
  </conditionalFormatting>
  <conditionalFormatting sqref="A40:M41 O40:P41 T40:V41 X40:AX41">
    <cfRule type="expression" dxfId="79" priority="190">
      <formula>$AY40=TRUE</formula>
    </cfRule>
  </conditionalFormatting>
  <conditionalFormatting sqref="A46:M47 O46:P47 X46:AX47">
    <cfRule type="expression" dxfId="79" priority="186">
      <formula>$AY46=TRUE</formula>
    </cfRule>
  </conditionalFormatting>
  <conditionalFormatting sqref="T46:V47">
    <cfRule type="expression" dxfId="79" priority="185">
      <formula>$AY46=TRUE</formula>
    </cfRule>
  </conditionalFormatting>
  <conditionalFormatting sqref="A56:M56 O56:Q56 S56:V56 X56:AX56">
    <cfRule type="expression" dxfId="79" priority="48">
      <formula>$AY56=TRUE</formula>
    </cfRule>
  </conditionalFormatting>
  <conditionalFormatting sqref="A81:M82 O81:Q82 S81:V82 X81:AX82">
    <cfRule type="expression" dxfId="79" priority="173">
      <formula>$AY81=TRUE</formula>
    </cfRule>
  </conditionalFormatting>
  <conditionalFormatting sqref="A98:M99 O98:Q99 S98:V99 X98:AX99">
    <cfRule type="expression" dxfId="79" priority="172">
      <formula>$AY98=TRUE</formula>
    </cfRule>
  </conditionalFormatting>
  <conditionalFormatting sqref="A104:M104 P104:Q104 S104:V104 X104:AX104 A105:M105 Q105 S105:V105 X105:AX105">
    <cfRule type="expression" dxfId="79" priority="171">
      <formula>$AY104=TRUE</formula>
    </cfRule>
  </conditionalFormatting>
  <conditionalFormatting sqref="O104:O120 O122:O141 O143:O147 O150:O203">
    <cfRule type="expression" dxfId="79" priority="75">
      <formula>$AY104=TRUE</formula>
    </cfRule>
  </conditionalFormatting>
  <conditionalFormatting sqref="P105:P120 P122:P141 P143:P147 P150:P203">
    <cfRule type="expression" dxfId="79" priority="76">
      <formula>$AY105=TRUE</formula>
    </cfRule>
  </conditionalFormatting>
  <conditionalFormatting sqref="A106:M107 Q106:Q107 S106:V107 X106:AX107">
    <cfRule type="expression" dxfId="79" priority="170">
      <formula>$AY106=TRUE</formula>
    </cfRule>
  </conditionalFormatting>
  <conditionalFormatting sqref="A108:M109 Q108:Q109 S108:V109 X108:AX109">
    <cfRule type="expression" dxfId="79" priority="169">
      <formula>$AY108=TRUE</formula>
    </cfRule>
  </conditionalFormatting>
  <conditionalFormatting sqref="A110:M111 Q110:Q111 S110:V111 X110:AX111">
    <cfRule type="expression" dxfId="79" priority="168">
      <formula>$AY110=TRUE</formula>
    </cfRule>
  </conditionalFormatting>
  <conditionalFormatting sqref="A112:M113 Q112:Q113 S112:V113 X112:AX113">
    <cfRule type="expression" dxfId="79" priority="167">
      <formula>$AY112=TRUE</formula>
    </cfRule>
  </conditionalFormatting>
  <conditionalFormatting sqref="A114:M115 Q114:Q115 S114:V115 X114:AX115">
    <cfRule type="expression" dxfId="79" priority="166">
      <formula>$AY114=TRUE</formula>
    </cfRule>
  </conditionalFormatting>
  <conditionalFormatting sqref="A116:M117 Q116:Q117 S116:V117 X116:AX117">
    <cfRule type="expression" dxfId="79" priority="165">
      <formula>$AY116=TRUE</formula>
    </cfRule>
  </conditionalFormatting>
  <conditionalFormatting sqref="A118:M119 Q118:Q119 S118:V119 X118:AX119">
    <cfRule type="expression" dxfId="79" priority="164">
      <formula>$AY118=TRUE</formula>
    </cfRule>
  </conditionalFormatting>
  <conditionalFormatting sqref="A120:M120 Q120 S120:V120 X120:AX120 A123:M123 Q123 S123:V123 X123:AX123">
    <cfRule type="expression" dxfId="79" priority="163">
      <formula>$AY120=TRUE</formula>
    </cfRule>
  </conditionalFormatting>
  <conditionalFormatting sqref="A121:M121 Q121 S121:V121 X121:AX121">
    <cfRule type="expression" dxfId="79" priority="60">
      <formula>$AY121=TRUE</formula>
    </cfRule>
  </conditionalFormatting>
  <conditionalFormatting sqref="A122:M122 Q122 S122:V122 X122:AX122">
    <cfRule type="expression" dxfId="79" priority="115">
      <formula>$AY122=TRUE</formula>
    </cfRule>
  </conditionalFormatting>
  <conditionalFormatting sqref="A124:M125 Q124:Q125 S124:V125 X124:AX125">
    <cfRule type="expression" dxfId="79" priority="162">
      <formula>$AY124=TRUE</formula>
    </cfRule>
  </conditionalFormatting>
  <conditionalFormatting sqref="A126:M127 Q126:Q127 S126:V127 X126:AX127">
    <cfRule type="expression" dxfId="79" priority="161">
      <formula>$AY126=TRUE</formula>
    </cfRule>
  </conditionalFormatting>
  <conditionalFormatting sqref="A128:M129 Q128:Q129 S128:V129 X128:AX129">
    <cfRule type="expression" dxfId="79" priority="160">
      <formula>$AY128=TRUE</formula>
    </cfRule>
  </conditionalFormatting>
  <conditionalFormatting sqref="A130:M131 Q130:Q131 S130:V131 X130:AX131">
    <cfRule type="expression" dxfId="79" priority="159">
      <formula>$AY130=TRUE</formula>
    </cfRule>
  </conditionalFormatting>
  <conditionalFormatting sqref="A132:M133 Q132:Q133 S132:V133 X132:AX133">
    <cfRule type="expression" dxfId="79" priority="158">
      <formula>$AY132=TRUE</formula>
    </cfRule>
  </conditionalFormatting>
  <conditionalFormatting sqref="A134:M135 Q134:Q135 S134:V135 X134:AX135">
    <cfRule type="expression" dxfId="79" priority="157">
      <formula>$AY134=TRUE</formula>
    </cfRule>
  </conditionalFormatting>
  <conditionalFormatting sqref="A136:M137 Q136:Q137 S136:V137 X136:AX137">
    <cfRule type="expression" dxfId="79" priority="156">
      <formula>$AY136=TRUE</formula>
    </cfRule>
  </conditionalFormatting>
  <conditionalFormatting sqref="A138:M139 Q138:Q139 S138:V139 X138:AX139">
    <cfRule type="expression" dxfId="79" priority="155">
      <formula>$AY138=TRUE</formula>
    </cfRule>
  </conditionalFormatting>
  <conditionalFormatting sqref="A140:M140 Q140 S140:V140 X140:AX140 A143:M143 Q143 S143:V143 X143:AX143">
    <cfRule type="expression" dxfId="79" priority="154">
      <formula>$AY140=TRUE</formula>
    </cfRule>
  </conditionalFormatting>
  <conditionalFormatting sqref="A141:M141 Q141:V141 X141:AX141">
    <cfRule type="expression" dxfId="79" priority="114">
      <formula>$AY141=TRUE</formula>
    </cfRule>
  </conditionalFormatting>
  <conditionalFormatting sqref="A142:M142 Q142 S142:V142 X142:AX142">
    <cfRule type="expression" dxfId="79" priority="74">
      <formula>$AY142=TRUE</formula>
    </cfRule>
  </conditionalFormatting>
  <conditionalFormatting sqref="A144:M145 Q144:Q145 S144:V145 X144:AX145">
    <cfRule type="expression" dxfId="79" priority="153">
      <formula>$AY144=TRUE</formula>
    </cfRule>
  </conditionalFormatting>
  <conditionalFormatting sqref="A146:M146 Q146 S146:V146 X146:AX146 A150:M150 Q150 S150:V150 X150:AX150">
    <cfRule type="expression" dxfId="79" priority="152">
      <formula>$AY146=TRUE</formula>
    </cfRule>
  </conditionalFormatting>
  <conditionalFormatting sqref="A147:M147 Q147 T147:V147 X147:AX147">
    <cfRule type="expression" dxfId="79" priority="113">
      <formula>$AY147=TRUE</formula>
    </cfRule>
  </conditionalFormatting>
  <conditionalFormatting sqref="A148:M148 Q148 T148:V148 X148:AX148">
    <cfRule type="expression" dxfId="79" priority="70">
      <formula>$AY148=TRUE</formula>
    </cfRule>
  </conditionalFormatting>
  <conditionalFormatting sqref="A149:M149 Q149 T149:V149 X149:AX149">
    <cfRule type="expression" dxfId="79" priority="46">
      <formula>$AY149=TRUE</formula>
    </cfRule>
  </conditionalFormatting>
  <conditionalFormatting sqref="A151:M152 Q151:Q152 S151:V152 X151:AX152">
    <cfRule type="expression" dxfId="79" priority="151">
      <formula>$AY151=TRUE</formula>
    </cfRule>
  </conditionalFormatting>
  <conditionalFormatting sqref="A153:M154 Q153:Q154 S153:V154 X153:AX154">
    <cfRule type="expression" dxfId="79" priority="150">
      <formula>$AY153=TRUE</formula>
    </cfRule>
  </conditionalFormatting>
  <conditionalFormatting sqref="A155:M156 Q155:Q156 S155:V156 X155:AX156">
    <cfRule type="expression" dxfId="79" priority="149">
      <formula>$AY155=TRUE</formula>
    </cfRule>
  </conditionalFormatting>
  <conditionalFormatting sqref="A157:M158 Q157:Q158 S157:V158 X157:AX158">
    <cfRule type="expression" dxfId="79" priority="148">
      <formula>$AY157=TRUE</formula>
    </cfRule>
  </conditionalFormatting>
  <conditionalFormatting sqref="A159:M160 Q159:Q160 S159:V160 X159:AX160">
    <cfRule type="expression" dxfId="79" priority="147">
      <formula>$AY159=TRUE</formula>
    </cfRule>
  </conditionalFormatting>
  <conditionalFormatting sqref="A161:M162 Q161:Q162 S161:V162 X161:AX162">
    <cfRule type="expression" dxfId="79" priority="146">
      <formula>$AY161=TRUE</formula>
    </cfRule>
  </conditionalFormatting>
  <conditionalFormatting sqref="A163:M164 Q163:Q164 S163:V164 X163:AX164">
    <cfRule type="expression" dxfId="79" priority="145">
      <formula>$AY163=TRUE</formula>
    </cfRule>
  </conditionalFormatting>
  <conditionalFormatting sqref="A165:M165 Q165 S165:V165 X165:AX165 A166:M166 Q166 S166:V166 X166:AX166">
    <cfRule type="expression" dxfId="79" priority="144">
      <formula>$AY165=TRUE</formula>
    </cfRule>
  </conditionalFormatting>
  <conditionalFormatting sqref="A167:M167 Q167 S167:V167 X167:AX167 A168:M168 Q168 S168:V168 X168:AX168">
    <cfRule type="expression" dxfId="79" priority="143">
      <formula>$AY167=TRUE</formula>
    </cfRule>
  </conditionalFormatting>
  <conditionalFormatting sqref="A169:M170 Q169:Q170 S169:V170 X169:AX170">
    <cfRule type="expression" dxfId="79" priority="142">
      <formula>$AY169=TRUE</formula>
    </cfRule>
  </conditionalFormatting>
  <conditionalFormatting sqref="A171:M171 Q171 S171:V171 X171:AX171 A172:G172 I172:M172 Q172 S172:V172 X172:AX172">
    <cfRule type="expression" dxfId="79" priority="141">
      <formula>$AY171=TRUE</formula>
    </cfRule>
  </conditionalFormatting>
  <conditionalFormatting sqref="A173:G174 I173:M174 Q173:Q174 S173:V174 X173:AX174">
    <cfRule type="expression" dxfId="79" priority="140">
      <formula>$AY173=TRUE</formula>
    </cfRule>
  </conditionalFormatting>
  <conditionalFormatting sqref="A175:G176 I175:M176 Q175:Q176 S175:V176 X175:AX176">
    <cfRule type="expression" dxfId="79" priority="139">
      <formula>$AY175=TRUE</formula>
    </cfRule>
  </conditionalFormatting>
  <conditionalFormatting sqref="A177:G177 I177:M177 Q177 S177:V177 X177:AX177 A178:G178 I178:M178 Q178 T178:V178 X178:AX178">
    <cfRule type="expression" dxfId="79" priority="138">
      <formula>$AY177=TRUE</formula>
    </cfRule>
  </conditionalFormatting>
  <conditionalFormatting sqref="A179:G179 I179:M179 Q179 T179:V179 X179:AX179">
    <cfRule type="expression" dxfId="79" priority="107">
      <formula>$AY179=TRUE</formula>
    </cfRule>
  </conditionalFormatting>
  <conditionalFormatting sqref="A180:G180 I180:M180 Q180 S180:V180 X180:AX180 A182:G182 I182:M182 Q182 S182:V182 X182:AX182">
    <cfRule type="expression" dxfId="79" priority="137">
      <formula>$AY180=TRUE</formula>
    </cfRule>
  </conditionalFormatting>
  <conditionalFormatting sqref="H180 H182:H183">
    <cfRule type="expression" dxfId="79" priority="118">
      <formula>$AY180=TRUE</formula>
    </cfRule>
  </conditionalFormatting>
  <conditionalFormatting sqref="A181:G181 I181:K181 M181 Q181 T181:V181 X181:AX181">
    <cfRule type="expression" dxfId="79" priority="105">
      <formula>$AY181=TRUE</formula>
    </cfRule>
  </conditionalFormatting>
  <conditionalFormatting sqref="A183:G183 I183:M183 Q183 S183:V183 X183:AX183">
    <cfRule type="expression" dxfId="79" priority="136">
      <formula>$AY183=TRUE</formula>
    </cfRule>
  </conditionalFormatting>
  <conditionalFormatting sqref="A184:M184 Q184 S184:V184 X184:AX184">
    <cfRule type="expression" dxfId="79" priority="135">
      <formula>$AY184=TRUE</formula>
    </cfRule>
  </conditionalFormatting>
  <conditionalFormatting sqref="A185:G185 I185:M185 Q185 S185:V185 X185:AX185">
    <cfRule type="expression" dxfId="79" priority="134">
      <formula>$AY185=TRUE</formula>
    </cfRule>
  </conditionalFormatting>
  <conditionalFormatting sqref="A186:G186 I186:M186 Q186 S186:V186 X186:AX186">
    <cfRule type="expression" dxfId="79" priority="133">
      <formula>$AY186=TRUE</formula>
    </cfRule>
  </conditionalFormatting>
  <conditionalFormatting sqref="A187:G187 I187:M187 Q187 S187:V187 X187:AX187">
    <cfRule type="expression" dxfId="79" priority="132">
      <formula>$AY187=TRUE</formula>
    </cfRule>
  </conditionalFormatting>
  <conditionalFormatting sqref="A188:G188 I188:M188 Q188 S188:V188 X188:AX188">
    <cfRule type="expression" dxfId="79" priority="131">
      <formula>$AY188=TRUE</formula>
    </cfRule>
  </conditionalFormatting>
  <conditionalFormatting sqref="A189:M189 Q189 S189:V189 X189:AX189">
    <cfRule type="expression" dxfId="79" priority="130">
      <formula>$AY189=TRUE</formula>
    </cfRule>
  </conditionalFormatting>
  <conditionalFormatting sqref="A190:G190 I190:M190 Q190 S190:V190 X190:AX190">
    <cfRule type="expression" dxfId="79" priority="129">
      <formula>$AY190=TRUE</formula>
    </cfRule>
  </conditionalFormatting>
  <conditionalFormatting sqref="A191:G191 I191:M191 Q191 S191:V191 X191:AX191">
    <cfRule type="expression" dxfId="79" priority="128">
      <formula>$AY191=TRUE</formula>
    </cfRule>
  </conditionalFormatting>
  <conditionalFormatting sqref="A192:M192 Q192 S192:V192 X192:AX192">
    <cfRule type="expression" dxfId="79" priority="127">
      <formula>$AY192=TRUE</formula>
    </cfRule>
  </conditionalFormatting>
  <conditionalFormatting sqref="A193:M193 Q193 T193:V193 X193:AX193">
    <cfRule type="expression" dxfId="79" priority="126">
      <formula>$AY193=TRUE</formula>
    </cfRule>
  </conditionalFormatting>
  <conditionalFormatting sqref="A194:M194 Q194:V194 X194:AX194">
    <cfRule type="expression" dxfId="79" priority="99">
      <formula>$AY194=TRUE</formula>
    </cfRule>
  </conditionalFormatting>
  <conditionalFormatting sqref="A195:M195 Q195 S195:V195 X195:AX195">
    <cfRule type="expression" dxfId="79" priority="125">
      <formula>$AY195=TRUE</formula>
    </cfRule>
  </conditionalFormatting>
  <conditionalFormatting sqref="A196:M196 Q196 T196:V196 X196:AX196">
    <cfRule type="expression" dxfId="79" priority="124">
      <formula>$AY196=TRUE</formula>
    </cfRule>
  </conditionalFormatting>
  <conditionalFormatting sqref="A197:M197 Q197 T197:V197 X197:AX197">
    <cfRule type="expression" dxfId="79" priority="96">
      <formula>$AY197=TRUE</formula>
    </cfRule>
  </conditionalFormatting>
  <conditionalFormatting sqref="A198:M198 Q198 T198:V198 X198:AX198">
    <cfRule type="expression" dxfId="79" priority="123">
      <formula>$AY198=TRUE</formula>
    </cfRule>
  </conditionalFormatting>
  <conditionalFormatting sqref="A199:M199 Q199 T199:V199 X199:AX199">
    <cfRule type="expression" dxfId="79" priority="93">
      <formula>$AY199=TRUE</formula>
    </cfRule>
  </conditionalFormatting>
  <conditionalFormatting sqref="A200:M200 Q200 T200:V200 X200:AX200">
    <cfRule type="expression" dxfId="79" priority="122">
      <formula>$AY200=TRUE</formula>
    </cfRule>
  </conditionalFormatting>
  <conditionalFormatting sqref="A201:M201 Q201 T201:V201 X201:AX201">
    <cfRule type="expression" dxfId="79" priority="87">
      <formula>$AY201=TRUE</formula>
    </cfRule>
  </conditionalFormatting>
  <conditionalFormatting sqref="A202:M202 Q202 T202:V202 X202:AX202">
    <cfRule type="expression" dxfId="79" priority="121">
      <formula>$AY202=TRUE</formula>
    </cfRule>
  </conditionalFormatting>
  <conditionalFormatting sqref="A203:M203 Q203 T203:V203 X203:AX203">
    <cfRule type="expression" dxfId="79" priority="85">
      <formula>$AY203=TRUE</formula>
    </cfRule>
  </conditionalFormatting>
  <conditionalFormatting sqref="AO204:AU232 AP233:AU249 AO250:AU529 AP530:AU530 AO531:AU727 AP728:AQ729">
    <cfRule type="expression" dxfId="73" priority="311">
      <formula>ISEVEN(MID($G204,3,1))</formula>
    </cfRule>
    <cfRule type="expression" dxfId="74" priority="312" stopIfTrue="1">
      <formula>$E204&lt;&gt;""</formula>
    </cfRule>
  </conditionalFormatting>
  <dataValidations count="4">
    <dataValidation type="list" allowBlank="1" showInputMessage="1" showErrorMessage="1" sqref="F3:F203">
      <formula1>"初始合同,CO1,CO2,CO3,CO4,CO5,CO6"</formula1>
    </dataValidation>
    <dataValidation type="list" allowBlank="1" showInputMessage="1" showErrorMessage="1" sqref="Q3:Q24 Q26:Q35 Q38:Q39 Q42:Q45 Q48:Q203">
      <formula1>"1,0"</formula1>
    </dataValidation>
    <dataValidation type="list" allowBlank="1" showInputMessage="1" showErrorMessage="1" sqref="R3:R203">
      <formula1>项目参数!$B$5:$B$15</formula1>
    </dataValidation>
    <dataValidation type="list" allowBlank="1" showInputMessage="1" showErrorMessage="1" sqref="S3:S27 S34:S203">
      <formula1>'Rate Card'!$F$3:$F$26</formula1>
    </dataValidation>
  </dataValidations>
  <pageMargins left="0.7" right="0.7" top="0.75" bottom="0.75" header="0.3" footer="0.3"/>
  <pageSetup paperSize="9" orientation="portrait" horizontalDpi="1200" verticalDpi="1200"/>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7" tint="0.799798577837458"/>
  </sheetPr>
  <dimension ref="B1:K55"/>
  <sheetViews>
    <sheetView view="pageBreakPreview" zoomScaleNormal="100" topLeftCell="C23" workbookViewId="0">
      <selection activeCell="B31" sqref="B31"/>
    </sheetView>
  </sheetViews>
  <sheetFormatPr defaultColWidth="8.88888888888889" defaultRowHeight="15"/>
  <cols>
    <col min="1" max="1" width="9.11111111111111" style="261" customWidth="1"/>
    <col min="2" max="2" width="11.1111111111111" style="261" customWidth="1"/>
    <col min="3" max="3" width="11.6666666666667" style="261" customWidth="1"/>
    <col min="4" max="4" width="36" style="261" customWidth="1"/>
    <col min="5" max="5" width="24" style="261" customWidth="1"/>
    <col min="6" max="6" width="13.5555555555556" style="261" customWidth="1"/>
    <col min="7" max="7" width="17.5555555555556" style="262" customWidth="1"/>
    <col min="8" max="8" width="13.5555555555556" style="261" customWidth="1"/>
    <col min="9" max="9" width="36" style="261" customWidth="1"/>
    <col min="10" max="10" width="8.33333333333333" style="261" customWidth="1"/>
    <col min="11" max="11" width="92.1111111111111" style="263" customWidth="1"/>
    <col min="12" max="16384" width="8.88888888888889" style="261"/>
  </cols>
  <sheetData>
    <row r="1" ht="27" customHeight="1" spans="3:11">
      <c r="C1" s="264" t="s">
        <v>2193</v>
      </c>
      <c r="H1" s="265">
        <v>4.33</v>
      </c>
      <c r="K1" s="266" t="s">
        <v>742</v>
      </c>
    </row>
    <row r="2" ht="31.2" customHeight="1" spans="3:11">
      <c r="C2" s="267" t="s">
        <v>2194</v>
      </c>
      <c r="D2" s="267" t="s">
        <v>2195</v>
      </c>
      <c r="E2" s="267" t="s">
        <v>2196</v>
      </c>
      <c r="F2" s="267" t="s">
        <v>2197</v>
      </c>
      <c r="G2" s="267" t="s">
        <v>2198</v>
      </c>
      <c r="H2" s="267" t="s">
        <v>2199</v>
      </c>
      <c r="I2" s="267" t="s">
        <v>747</v>
      </c>
    </row>
    <row r="3" ht="25.8" customHeight="1" spans="3:11">
      <c r="C3" s="268" t="s">
        <v>2200</v>
      </c>
      <c r="D3" s="269" t="s">
        <v>2201</v>
      </c>
      <c r="E3" s="270">
        <v>46082</v>
      </c>
      <c r="F3" s="271"/>
      <c r="G3" s="271"/>
      <c r="H3" s="271"/>
      <c r="I3" s="271"/>
      <c r="K3" s="157" t="s">
        <v>2202</v>
      </c>
    </row>
    <row r="4" ht="25.8" customHeight="1" spans="3:11">
      <c r="C4" s="268" t="s">
        <v>2200</v>
      </c>
      <c r="D4" s="269" t="s">
        <v>2203</v>
      </c>
      <c r="E4" s="272">
        <f>E3</f>
        <v>46082</v>
      </c>
      <c r="F4" s="272">
        <f>E4+G4*7*$H$1</f>
        <v>46097.155</v>
      </c>
      <c r="G4" s="273">
        <v>0.5</v>
      </c>
      <c r="H4" s="274">
        <f>ROUND(G4*$H$1,2)</f>
        <v>2.17</v>
      </c>
      <c r="I4" s="275" t="s">
        <v>2204</v>
      </c>
      <c r="K4" s="263" t="s">
        <v>2205</v>
      </c>
    </row>
    <row r="5" ht="25.8" customHeight="1" spans="3:11">
      <c r="C5" s="268" t="s">
        <v>2206</v>
      </c>
      <c r="D5" s="269" t="s">
        <v>2207</v>
      </c>
      <c r="E5" s="272">
        <f>F4</f>
        <v>46097.155</v>
      </c>
      <c r="F5" s="272">
        <f t="shared" ref="F4:F19" si="0">E5+G5*7*$H$1</f>
        <v>46142.62</v>
      </c>
      <c r="G5" s="273">
        <v>1.5</v>
      </c>
      <c r="H5" s="274">
        <f>ROUND(G5*$H$1,2)</f>
        <v>6.5</v>
      </c>
      <c r="I5" s="275"/>
      <c r="K5" s="263" t="s">
        <v>2208</v>
      </c>
    </row>
    <row r="6" ht="25.8" customHeight="1" spans="3:11">
      <c r="C6" s="268" t="s">
        <v>2206</v>
      </c>
      <c r="D6" s="269" t="s">
        <v>2209</v>
      </c>
      <c r="E6" s="272">
        <f>F5</f>
        <v>46142.62</v>
      </c>
      <c r="F6" s="272">
        <f>E6+首家合同月*7*$H$1</f>
        <v>46172.93</v>
      </c>
      <c r="G6" s="273">
        <v>1</v>
      </c>
      <c r="H6" s="274">
        <f>ROUND(G6*$H$1,2)</f>
        <v>4.33</v>
      </c>
      <c r="I6" s="275"/>
    </row>
    <row r="7" ht="25.8" customHeight="1" spans="3:11">
      <c r="C7" s="268" t="s">
        <v>2206</v>
      </c>
      <c r="D7" s="269" t="s">
        <v>2210</v>
      </c>
      <c r="E7" s="272">
        <f>F6</f>
        <v>46172.93</v>
      </c>
      <c r="F7" s="272">
        <f>E7+G7*7*$H$1</f>
        <v>46172.93</v>
      </c>
      <c r="G7" s="273">
        <v>0</v>
      </c>
      <c r="H7" s="274">
        <f>ROUND(G7*$H$1,2)</f>
        <v>0</v>
      </c>
      <c r="I7" s="275"/>
      <c r="K7" s="276" t="s">
        <v>2211</v>
      </c>
    </row>
    <row r="8" ht="25.8" customHeight="1" spans="3:11">
      <c r="C8" s="268" t="s">
        <v>2206</v>
      </c>
      <c r="D8" s="269" t="s">
        <v>2212</v>
      </c>
      <c r="E8" s="272">
        <f>F7</f>
        <v>46172.93</v>
      </c>
      <c r="F8" s="272">
        <f>E8+G8*7*$H$1</f>
        <v>46188.085</v>
      </c>
      <c r="G8" s="274">
        <v>0.5</v>
      </c>
      <c r="H8" s="277">
        <v>1</v>
      </c>
      <c r="I8" s="275"/>
      <c r="K8" s="263" t="s">
        <v>2213</v>
      </c>
    </row>
    <row r="9" ht="25.8" customHeight="1" spans="3:11">
      <c r="C9" s="278" t="s">
        <v>2206</v>
      </c>
      <c r="D9" s="278" t="s">
        <v>2214</v>
      </c>
      <c r="E9" s="279">
        <f>F8</f>
        <v>46188.085</v>
      </c>
      <c r="F9" s="279">
        <f t="shared" si="0"/>
        <v>46279.015</v>
      </c>
      <c r="G9" s="280" cm="1">
        <f t="array" ref="G9">_xlfn.IFS(启动中心数&lt;=1,0,启动中心数&lt;=5,3,启动中心数&gt;5,6)</f>
        <v>3</v>
      </c>
      <c r="H9" s="281">
        <f t="shared" ref="H9:H19" si="1">ROUND(G9*$H$1,2)</f>
        <v>12.99</v>
      </c>
      <c r="I9" s="282"/>
      <c r="J9" s="261" t="s">
        <v>737</v>
      </c>
      <c r="K9" s="263" t="s">
        <v>2215</v>
      </c>
    </row>
    <row r="10" ht="25.8" customHeight="1" spans="3:11">
      <c r="C10" s="268" t="s">
        <v>2216</v>
      </c>
      <c r="D10" s="269" t="s">
        <v>2217</v>
      </c>
      <c r="E10" s="272">
        <f>F8</f>
        <v>46188.085</v>
      </c>
      <c r="F10" s="272">
        <f t="shared" si="0"/>
        <v>46188.085</v>
      </c>
      <c r="G10" s="273">
        <v>0</v>
      </c>
      <c r="H10" s="274">
        <f t="shared" si="1"/>
        <v>0</v>
      </c>
      <c r="I10" s="275"/>
      <c r="K10" s="276" t="s">
        <v>2218</v>
      </c>
    </row>
    <row r="11" ht="25.8" customHeight="1" spans="3:11">
      <c r="C11" s="268" t="s">
        <v>2216</v>
      </c>
      <c r="D11" s="269" t="s">
        <v>2219</v>
      </c>
      <c r="E11" s="272">
        <f t="shared" ref="E11:E19" si="2">F10</f>
        <v>46188.085</v>
      </c>
      <c r="F11" s="272">
        <f t="shared" si="0"/>
        <v>46369.945</v>
      </c>
      <c r="G11" s="273">
        <v>6</v>
      </c>
      <c r="H11" s="274">
        <f t="shared" si="1"/>
        <v>25.98</v>
      </c>
      <c r="I11" s="275"/>
      <c r="K11" s="263" t="s">
        <v>2220</v>
      </c>
    </row>
    <row r="12" ht="25.8" customHeight="1" spans="3:11">
      <c r="C12" s="268" t="s">
        <v>2216</v>
      </c>
      <c r="D12" s="269" t="s">
        <v>2221</v>
      </c>
      <c r="E12" s="272">
        <f t="shared" si="2"/>
        <v>46369.945</v>
      </c>
      <c r="F12" s="272">
        <f t="shared" si="0"/>
        <v>46582.115</v>
      </c>
      <c r="G12" s="273">
        <v>7</v>
      </c>
      <c r="H12" s="274">
        <f t="shared" si="1"/>
        <v>30.31</v>
      </c>
      <c r="I12" s="275"/>
    </row>
    <row r="13" ht="25.8" customHeight="1" spans="3:11">
      <c r="C13" s="268" t="s">
        <v>2216</v>
      </c>
      <c r="D13" s="269" t="s">
        <v>2222</v>
      </c>
      <c r="E13" s="272">
        <f t="shared" si="2"/>
        <v>46582.115</v>
      </c>
      <c r="F13" s="272">
        <f t="shared" si="0"/>
        <v>46582.115</v>
      </c>
      <c r="G13" s="273"/>
      <c r="H13" s="274">
        <f t="shared" si="1"/>
        <v>0</v>
      </c>
      <c r="I13" s="275" t="s">
        <v>2223</v>
      </c>
      <c r="K13" s="263" t="s">
        <v>2224</v>
      </c>
    </row>
    <row r="14" ht="25.8" customHeight="1" spans="3:11">
      <c r="C14" s="268" t="s">
        <v>2216</v>
      </c>
      <c r="D14" s="269" t="s">
        <v>2225</v>
      </c>
      <c r="E14" s="272">
        <f t="shared" si="2"/>
        <v>46582.115</v>
      </c>
      <c r="F14" s="272">
        <f t="shared" si="0"/>
        <v>46582.115</v>
      </c>
      <c r="G14" s="273"/>
      <c r="H14" s="274">
        <f t="shared" si="1"/>
        <v>0</v>
      </c>
      <c r="I14" s="275" t="s">
        <v>2226</v>
      </c>
      <c r="K14" s="263" t="s">
        <v>2224</v>
      </c>
    </row>
    <row r="15" ht="25.8" customHeight="1" spans="3:11">
      <c r="C15" s="268" t="s">
        <v>2227</v>
      </c>
      <c r="D15" s="269" t="s">
        <v>2228</v>
      </c>
      <c r="E15" s="272">
        <f t="shared" si="2"/>
        <v>46582.115</v>
      </c>
      <c r="F15" s="272">
        <f t="shared" si="0"/>
        <v>46612.425</v>
      </c>
      <c r="G15" s="273">
        <v>1</v>
      </c>
      <c r="H15" s="274">
        <f t="shared" si="1"/>
        <v>4.33</v>
      </c>
      <c r="I15" s="275"/>
      <c r="K15" s="263" t="s">
        <v>2229</v>
      </c>
    </row>
    <row r="16" ht="25.8" customHeight="1" spans="3:11">
      <c r="C16" s="268" t="s">
        <v>2227</v>
      </c>
      <c r="D16" s="269" t="s">
        <v>2230</v>
      </c>
      <c r="E16" s="272">
        <f t="shared" si="2"/>
        <v>46612.425</v>
      </c>
      <c r="F16" s="272">
        <f t="shared" si="0"/>
        <v>46642.735</v>
      </c>
      <c r="G16" s="283">
        <v>1</v>
      </c>
      <c r="H16" s="274">
        <f t="shared" si="1"/>
        <v>4.33</v>
      </c>
      <c r="I16" s="275"/>
      <c r="K16" s="263" t="s">
        <v>2231</v>
      </c>
    </row>
    <row r="17" ht="25.8" customHeight="1" spans="2:11">
      <c r="C17" s="268" t="s">
        <v>2227</v>
      </c>
      <c r="D17" s="269" t="s">
        <v>2232</v>
      </c>
      <c r="E17" s="272">
        <f t="shared" si="2"/>
        <v>46642.735</v>
      </c>
      <c r="F17" s="272">
        <f t="shared" si="0"/>
        <v>46673.045</v>
      </c>
      <c r="G17" s="273">
        <v>1</v>
      </c>
      <c r="H17" s="274">
        <f t="shared" si="1"/>
        <v>4.33</v>
      </c>
      <c r="I17" s="275"/>
      <c r="K17" s="263" t="s">
        <v>2233</v>
      </c>
    </row>
    <row r="18" ht="25.8" customHeight="1" spans="2:11">
      <c r="C18" s="268" t="s">
        <v>2234</v>
      </c>
      <c r="D18" s="269" t="s">
        <v>2235</v>
      </c>
      <c r="E18" s="272">
        <f t="shared" si="2"/>
        <v>46673.045</v>
      </c>
      <c r="F18" s="272">
        <f t="shared" si="0"/>
        <v>46733.665</v>
      </c>
      <c r="G18" s="273">
        <v>2</v>
      </c>
      <c r="H18" s="274">
        <f t="shared" si="1"/>
        <v>8.66</v>
      </c>
      <c r="I18" s="284"/>
      <c r="K18" s="263" t="s">
        <v>2236</v>
      </c>
    </row>
    <row r="19" ht="25.8" customHeight="1" spans="2:11">
      <c r="C19" s="268" t="s">
        <v>2234</v>
      </c>
      <c r="D19" s="269" t="s">
        <v>2237</v>
      </c>
      <c r="E19" s="272">
        <f t="shared" si="2"/>
        <v>46733.665</v>
      </c>
      <c r="F19" s="272">
        <f t="shared" si="0"/>
        <v>46763.975</v>
      </c>
      <c r="G19" s="273">
        <v>1</v>
      </c>
      <c r="H19" s="274">
        <f t="shared" si="1"/>
        <v>4.33</v>
      </c>
      <c r="I19" s="284"/>
      <c r="K19" s="263" t="s">
        <v>2238</v>
      </c>
    </row>
    <row r="20" ht="25.8" customHeight="1" spans="2:11">
      <c r="C20" s="285" t="s">
        <v>2239</v>
      </c>
      <c r="D20" s="286" t="s">
        <v>2239</v>
      </c>
      <c r="E20" s="287">
        <f>MIN($E$3:$F$19)</f>
        <v>46082</v>
      </c>
      <c r="F20" s="287">
        <f>MAX($E$3:$F$19)</f>
        <v>46763.975</v>
      </c>
      <c r="G20" s="288">
        <f>($F$20-$E$20)/$H$1/7</f>
        <v>22.4999999999995</v>
      </c>
      <c r="H20" s="289">
        <f>($F$20-$E$20)/7</f>
        <v>97.4249999999977</v>
      </c>
      <c r="I20" s="290"/>
    </row>
    <row r="21" ht="25.8" customHeight="1" outlineLevel="1"/>
    <row r="22" ht="25.8" customHeight="1" outlineLevel="1" spans="2:11">
      <c r="B22" s="291" t="s">
        <v>2240</v>
      </c>
      <c r="C22" s="292">
        <v>7</v>
      </c>
      <c r="D22" s="293">
        <f>ROUNDUP(入组受试者数*(CRF唯一页面数+CRF重复页面数)*$C$22*SDV比例*1.3/60,0)</f>
        <v>819</v>
      </c>
      <c r="E22" s="294">
        <f>SUMPRODUCT($E$27:$E$32,$I$27:$I$32)-SUM($E$27:$E$32)*(访视平均差旅时间+2)</f>
        <v>584</v>
      </c>
      <c r="F22" s="295" t="s">
        <v>2241</v>
      </c>
      <c r="G22" s="296">
        <f>(E22-D22)/D22*100%</f>
        <v>-0.286935286935287</v>
      </c>
      <c r="H22" s="297"/>
      <c r="I22" s="298"/>
      <c r="K22" s="263" t="s">
        <v>2242</v>
      </c>
    </row>
    <row r="23" ht="25.8" customHeight="1" spans="2:11">
      <c r="C23" s="299" t="s">
        <v>2243</v>
      </c>
      <c r="D23" s="299"/>
      <c r="K23" s="157"/>
    </row>
    <row r="24" ht="25.8" customHeight="1" spans="2:11">
      <c r="B24" s="300" t="s">
        <v>2194</v>
      </c>
      <c r="C24" s="267" t="s">
        <v>2244</v>
      </c>
      <c r="D24" s="267" t="s">
        <v>2245</v>
      </c>
      <c r="E24" s="267" t="s">
        <v>2246</v>
      </c>
      <c r="F24" s="267" t="s">
        <v>2247</v>
      </c>
      <c r="G24" s="267" t="s">
        <v>2248</v>
      </c>
      <c r="H24" s="267" t="s">
        <v>2249</v>
      </c>
      <c r="I24" s="267" t="s">
        <v>2250</v>
      </c>
      <c r="J24" s="301"/>
    </row>
    <row r="25" ht="25.8" customHeight="1" spans="2:11">
      <c r="B25" s="285" t="s">
        <v>2200</v>
      </c>
      <c r="C25" s="269" t="s">
        <v>119</v>
      </c>
      <c r="D25" s="302" t="str">
        <f>INDEX(二三级标准!$C:$C,MATCH(项目时间计划!$C25,二三级标准!$B:$B,0))</f>
        <v>筛选访视</v>
      </c>
      <c r="E25" s="89">
        <f>IF(筛选访视YN=1,筛选中心数*G25,0)</f>
        <v>6</v>
      </c>
      <c r="F25" s="303" t="s">
        <v>2251</v>
      </c>
      <c r="G25" s="166">
        <v>1</v>
      </c>
      <c r="H25" s="166">
        <v>2</v>
      </c>
      <c r="I25" s="89">
        <f>8+ROUNDUP(访视平均差旅时间,0)</f>
        <v>13</v>
      </c>
    </row>
    <row r="26" ht="25.8" customHeight="1" spans="2:11">
      <c r="B26" s="285" t="s">
        <v>2206</v>
      </c>
      <c r="C26" s="269" t="s">
        <v>167</v>
      </c>
      <c r="D26" s="302" t="str">
        <f>INDEX(二三级标准!$C:$C,MATCH(项目时间计划!$C26,二三级标准!$B:$B,0))</f>
        <v>启动访视</v>
      </c>
      <c r="E26" s="89">
        <f>IF(启动访视YN=1,启动中心数*G26,0)</f>
        <v>4</v>
      </c>
      <c r="F26" s="303" t="s">
        <v>2251</v>
      </c>
      <c r="G26" s="166">
        <v>1</v>
      </c>
      <c r="H26" s="166">
        <v>2</v>
      </c>
      <c r="I26" s="89">
        <f>8+ROUNDUP(访视平均差旅时间,0)</f>
        <v>13</v>
      </c>
    </row>
    <row r="27" ht="25.8" customHeight="1" spans="2:11">
      <c r="B27" s="285" t="s">
        <v>2216</v>
      </c>
      <c r="C27" s="269" t="s">
        <v>171</v>
      </c>
      <c r="D27" s="302" t="str">
        <f>INDEX(二三级标准!$C:$C,MATCH(项目时间计划!$C27,二三级标准!$B:$B,0))&amp;"_"&amp;$D11</f>
        <v>常规监查访视_入组期</v>
      </c>
      <c r="E27" s="89">
        <f>IF(常规监查访视YN=1,启动中心数*G27,0)</f>
        <v>24</v>
      </c>
      <c r="F27" s="304">
        <v>1</v>
      </c>
      <c r="G27" s="166">
        <f>ROUND(入组月/F27,0)</f>
        <v>6</v>
      </c>
      <c r="H27" s="166">
        <v>2</v>
      </c>
      <c r="I27" s="89">
        <f>14+ROUNDUP(访视平均差旅时间,0)-2</f>
        <v>17</v>
      </c>
      <c r="K27" s="263" t="s">
        <v>2252</v>
      </c>
    </row>
    <row r="28" ht="25.8" customHeight="1" spans="2:11">
      <c r="B28" s="285" t="s">
        <v>2216</v>
      </c>
      <c r="C28" s="269" t="s">
        <v>171</v>
      </c>
      <c r="D28" s="302" t="str">
        <f>INDEX(二三级标准!$C:$C,MATCH(项目时间计划!$C28,二三级标准!$B:$B,0))&amp;"_"&amp;$D12</f>
        <v>常规监查访视_治疗随访1</v>
      </c>
      <c r="E28" s="89">
        <f>IF(常规监查访视YN=1,启动中心数*G28,0)</f>
        <v>28</v>
      </c>
      <c r="F28" s="304">
        <v>1</v>
      </c>
      <c r="G28" s="166">
        <f>ROUND(治疗月/F28,0)</f>
        <v>7</v>
      </c>
      <c r="H28" s="166">
        <f>H27</f>
        <v>2</v>
      </c>
      <c r="I28" s="89">
        <f>$I$27</f>
        <v>17</v>
      </c>
    </row>
    <row r="29" ht="34.8" customHeight="1" spans="2:11">
      <c r="B29" s="285" t="s">
        <v>2216</v>
      </c>
      <c r="C29" s="269" t="s">
        <v>171</v>
      </c>
      <c r="D29" s="302" t="str">
        <f>INDEX(二三级标准!$C:$C,MATCH(项目时间计划!$C29,二三级标准!$B:$B,0))&amp;"_"&amp;$D13</f>
        <v>常规监查访视_治疗随访2</v>
      </c>
      <c r="E29" s="89">
        <f>IF(常规监查访视YN=1,启动中心数*G29,0)</f>
        <v>0</v>
      </c>
      <c r="F29" s="304">
        <v>2</v>
      </c>
      <c r="G29" s="166">
        <f>ROUND(随访月/F29,0)</f>
        <v>0</v>
      </c>
      <c r="H29" s="166">
        <f t="shared" ref="H29:H30" si="3">H28</f>
        <v>2</v>
      </c>
      <c r="I29" s="89">
        <f>$I$28</f>
        <v>17</v>
      </c>
    </row>
    <row r="30" ht="34.8" customHeight="1" spans="2:11">
      <c r="B30" s="285" t="s">
        <v>2216</v>
      </c>
      <c r="C30" s="269" t="s">
        <v>171</v>
      </c>
      <c r="D30" s="302" t="str">
        <f>INDEX(二三级标准!$C:$C,MATCH(项目时间计划!$C30,二三级标准!$B:$B,0))&amp;"_"&amp;$D14</f>
        <v>常规监查访视_治疗随访3</v>
      </c>
      <c r="E30" s="89">
        <f>IF(常规监查访视YN=1,启动中心数*G30,0)</f>
        <v>0</v>
      </c>
      <c r="F30" s="304">
        <v>6</v>
      </c>
      <c r="G30" s="166">
        <f>ROUND(长随访月/F30,0)</f>
        <v>0</v>
      </c>
      <c r="H30" s="166">
        <f t="shared" si="3"/>
        <v>2</v>
      </c>
      <c r="I30" s="89">
        <f>$I$27</f>
        <v>17</v>
      </c>
    </row>
    <row r="31" ht="25.8" customHeight="1" spans="2:11">
      <c r="B31" s="285" t="s">
        <v>2216</v>
      </c>
      <c r="C31" s="269" t="s">
        <v>173</v>
      </c>
      <c r="D31" s="302" t="str">
        <f>INDEX(二三级标准!$C:$C,MATCH(项目时间计划!$C31,二三级标准!$B:$B,0))</f>
        <v>计划外访视</v>
      </c>
      <c r="E31" s="89">
        <f>IF(计划外访视YN=1,启动中心数*G31,0)</f>
        <v>4</v>
      </c>
      <c r="F31" s="303" t="s">
        <v>2251</v>
      </c>
      <c r="G31" s="166">
        <v>1</v>
      </c>
      <c r="H31" s="166">
        <v>2</v>
      </c>
      <c r="I31" s="89">
        <f>8+ROUNDUP(访视平均差旅时间,0)</f>
        <v>13</v>
      </c>
    </row>
    <row r="32" ht="25.8" customHeight="1" spans="2:11">
      <c r="B32" s="285" t="s">
        <v>2216</v>
      </c>
      <c r="C32" s="269" t="s">
        <v>203</v>
      </c>
      <c r="D32" s="302" t="str">
        <f>INDEX(二三级标准!$C:$C,MATCH(项目时间计划!$C32,二三级标准!$B:$B,0))</f>
        <v>数据清理访视</v>
      </c>
      <c r="E32" s="89">
        <f>IF(数据清理访视YN=1,启动中心数*G32,0)</f>
        <v>4</v>
      </c>
      <c r="F32" s="303" t="s">
        <v>2251</v>
      </c>
      <c r="G32" s="166">
        <v>1</v>
      </c>
      <c r="H32" s="166">
        <v>2</v>
      </c>
      <c r="I32" s="89">
        <f>12+ROUNDUP(访视平均差旅时间,0)</f>
        <v>17</v>
      </c>
    </row>
    <row r="33" ht="25.8" customHeight="1" spans="2:11">
      <c r="B33" s="285" t="s">
        <v>2253</v>
      </c>
      <c r="C33" s="269" t="s">
        <v>207</v>
      </c>
      <c r="D33" s="302" t="str">
        <f>INDEX(二三级标准!$C:$C,MATCH(项目时间计划!$C33,二三级标准!$B:$B,0))</f>
        <v>关闭访视</v>
      </c>
      <c r="E33" s="89">
        <f>IF(关闭访视YN=1,启动中心数*G33,0)</f>
        <v>4</v>
      </c>
      <c r="F33" s="303" t="s">
        <v>2251</v>
      </c>
      <c r="G33" s="166">
        <v>1</v>
      </c>
      <c r="H33" s="166">
        <v>2</v>
      </c>
      <c r="I33" s="89">
        <f>16+ROUNDUP(访视平均差旅时间,0)</f>
        <v>21</v>
      </c>
    </row>
    <row r="34" ht="25.8" customHeight="1" spans="2:11">
      <c r="B34" s="285" t="s">
        <v>2216</v>
      </c>
      <c r="C34" s="269" t="s">
        <v>175</v>
      </c>
      <c r="D34" s="302" t="str">
        <f>INDEX(二三级标准!$C:$C,MATCH(项目时间计划!$C34,二三级标准!$B:$B,0))</f>
        <v>协同访视</v>
      </c>
      <c r="E34" s="89">
        <f>IF(协同访视YN=1,ROUND(启动中心数*50%,0),0)</f>
        <v>2</v>
      </c>
      <c r="F34" s="303" t="s">
        <v>2251</v>
      </c>
      <c r="G34" s="166" t="s">
        <v>2251</v>
      </c>
      <c r="H34" s="166">
        <v>2</v>
      </c>
      <c r="I34" s="89">
        <f>8+ROUNDUP(访视平均差旅时间,0)</f>
        <v>13</v>
      </c>
    </row>
    <row r="35" ht="25.8" customHeight="1" spans="2:11">
      <c r="B35" s="285" t="s">
        <v>2216</v>
      </c>
      <c r="C35" s="269" t="s">
        <v>177</v>
      </c>
      <c r="D35" s="302" t="str">
        <f>INDEX(二三级标准!$C:$C,MATCH(项目时间计划!$C35,二三级标准!$B:$B,0))</f>
        <v>远程访视/电话访视</v>
      </c>
      <c r="E35" s="89">
        <f>启动中心数*G35</f>
        <v>4</v>
      </c>
      <c r="F35" s="303" t="s">
        <v>2251</v>
      </c>
      <c r="G35" s="166">
        <v>1</v>
      </c>
      <c r="H35" s="166">
        <v>1</v>
      </c>
      <c r="I35" s="89">
        <v>2</v>
      </c>
    </row>
    <row r="36" ht="25.8" customHeight="1" spans="2:11">
      <c r="B36" s="285" t="s">
        <v>2216</v>
      </c>
      <c r="C36" s="269" t="s">
        <v>179</v>
      </c>
      <c r="D36" s="302" t="str">
        <f>INDEX(二三级标准!$C:$C,MATCH(项目时间计划!$C36,二三级标准!$B:$B,0))</f>
        <v>质控访视</v>
      </c>
      <c r="E36" s="89">
        <f>IF(质控访视YN=1,ROUND(启动中心数*50%,0),0)</f>
        <v>2</v>
      </c>
      <c r="F36" s="303" t="s">
        <v>2251</v>
      </c>
      <c r="G36" s="166" t="s">
        <v>2251</v>
      </c>
      <c r="H36" s="166">
        <v>2</v>
      </c>
      <c r="I36" s="89">
        <f>16+ROUNDUP(访视平均差旅时间,0)</f>
        <v>21</v>
      </c>
    </row>
    <row r="37" ht="25.8" customHeight="1" spans="2:11">
      <c r="B37" s="285" t="s">
        <v>2227</v>
      </c>
      <c r="C37" s="269" t="s">
        <v>200</v>
      </c>
      <c r="D37" s="302" t="str">
        <f>INDEX(二三级标准!$C:$C,MATCH(项目时间计划!$C37,二三级标准!$B:$B,0))</f>
        <v>自查访视</v>
      </c>
      <c r="E37" s="89">
        <f>IF(机构自查访视YN=1,启动中心数*G37,0)</f>
        <v>4</v>
      </c>
      <c r="F37" s="303" t="s">
        <v>2251</v>
      </c>
      <c r="G37" s="166">
        <v>1</v>
      </c>
      <c r="H37" s="166">
        <v>2</v>
      </c>
      <c r="I37" s="89">
        <f>16+ROUNDUP(访视平均差旅时间,0)</f>
        <v>21</v>
      </c>
    </row>
    <row r="38" ht="25.8" customHeight="1" spans="2:11">
      <c r="B38" s="268"/>
      <c r="C38" s="269"/>
      <c r="D38" s="269"/>
      <c r="E38" s="89"/>
      <c r="F38" s="303"/>
      <c r="G38" s="166"/>
      <c r="H38" s="89"/>
      <c r="I38" s="89"/>
    </row>
    <row r="39" ht="25.8" customHeight="1" spans="2:11">
      <c r="B39" s="268"/>
      <c r="C39" s="269"/>
      <c r="D39" s="269"/>
      <c r="E39" s="89"/>
      <c r="F39" s="303"/>
      <c r="G39" s="166"/>
      <c r="H39" s="89"/>
      <c r="I39" s="89"/>
    </row>
    <row r="40" ht="25.8" customHeight="1" spans="2:11">
      <c r="B40" s="268"/>
      <c r="C40" s="269"/>
      <c r="D40" s="269"/>
      <c r="E40" s="89"/>
      <c r="F40" s="303"/>
      <c r="G40" s="166"/>
      <c r="H40" s="89"/>
      <c r="I40" s="89"/>
    </row>
    <row r="42" ht="25.8" customHeight="1" spans="2:11">
      <c r="C42" s="299" t="s">
        <v>2254</v>
      </c>
      <c r="K42" s="263" t="s">
        <v>2255</v>
      </c>
    </row>
    <row r="43" ht="34.8" customHeight="1" spans="2:11">
      <c r="C43" s="89" t="s">
        <v>0</v>
      </c>
      <c r="D43" s="305" t="s">
        <v>2256</v>
      </c>
      <c r="E43" s="94" t="s">
        <v>2257</v>
      </c>
      <c r="F43" s="94" t="s">
        <v>2258</v>
      </c>
      <c r="G43" s="94" t="s">
        <v>2259</v>
      </c>
      <c r="H43" s="94" t="s">
        <v>2260</v>
      </c>
      <c r="I43" s="306" t="s">
        <v>747</v>
      </c>
      <c r="K43" s="263" t="s">
        <v>2261</v>
      </c>
    </row>
    <row r="44" spans="2:11">
      <c r="C44" s="89"/>
      <c r="D44" s="305" t="s">
        <v>2262</v>
      </c>
      <c r="E44" s="307">
        <v>0.25</v>
      </c>
      <c r="F44" s="305"/>
      <c r="G44" s="307">
        <v>0.25</v>
      </c>
      <c r="H44" s="305"/>
      <c r="I44" s="306" t="s">
        <v>2263</v>
      </c>
      <c r="K44" s="263" t="s">
        <v>2264</v>
      </c>
    </row>
    <row r="45" spans="2:11">
      <c r="C45" s="89"/>
      <c r="D45" s="305" t="s">
        <v>2265</v>
      </c>
      <c r="E45" s="307">
        <v>0</v>
      </c>
      <c r="F45" s="305"/>
      <c r="G45" s="308" t="s">
        <v>2266</v>
      </c>
      <c r="H45" s="308"/>
      <c r="I45" s="306"/>
      <c r="K45" s="263" t="s">
        <v>2267</v>
      </c>
    </row>
    <row r="46" spans="2:11">
      <c r="C46" s="89"/>
      <c r="D46" s="305" t="s">
        <v>2268</v>
      </c>
      <c r="E46" s="307">
        <v>0.15</v>
      </c>
      <c r="F46" s="305"/>
      <c r="G46" s="167"/>
      <c r="H46" s="167"/>
      <c r="I46" s="306"/>
      <c r="K46" s="263" t="s">
        <v>2269</v>
      </c>
    </row>
    <row r="47" spans="2:11">
      <c r="C47" s="89"/>
      <c r="D47" s="305" t="s">
        <v>2270</v>
      </c>
      <c r="E47" s="307">
        <v>0</v>
      </c>
      <c r="F47" s="305"/>
      <c r="G47" s="167"/>
      <c r="H47" s="167"/>
      <c r="I47" s="306"/>
    </row>
    <row r="48" spans="2:11">
      <c r="C48" s="89"/>
      <c r="D48" s="305" t="s">
        <v>2271</v>
      </c>
      <c r="E48" s="307">
        <v>0.15</v>
      </c>
      <c r="F48" s="305"/>
      <c r="G48" s="167"/>
      <c r="H48" s="167"/>
      <c r="I48" s="306"/>
    </row>
    <row r="49" spans="3:9">
      <c r="C49" s="89"/>
      <c r="D49" s="305" t="s">
        <v>2272</v>
      </c>
      <c r="E49" s="307">
        <v>0.15</v>
      </c>
      <c r="F49" s="305"/>
      <c r="G49" s="167"/>
      <c r="H49" s="167"/>
      <c r="I49" s="306"/>
    </row>
    <row r="50" spans="3:9">
      <c r="C50" s="89"/>
      <c r="D50" s="305" t="s">
        <v>2273</v>
      </c>
      <c r="E50" s="307">
        <v>0.1</v>
      </c>
      <c r="F50" s="305"/>
      <c r="G50" s="167"/>
      <c r="H50" s="167"/>
      <c r="I50" s="306"/>
    </row>
    <row r="51" spans="3:9">
      <c r="C51" s="89"/>
      <c r="D51" s="305" t="s">
        <v>2274</v>
      </c>
      <c r="E51" s="307">
        <v>0</v>
      </c>
      <c r="F51" s="305"/>
      <c r="G51" s="167"/>
      <c r="H51" s="167"/>
      <c r="I51" s="306"/>
    </row>
    <row r="52" spans="3:9">
      <c r="C52" s="89"/>
      <c r="D52" s="305" t="s">
        <v>2275</v>
      </c>
      <c r="E52" s="307">
        <v>0.1</v>
      </c>
      <c r="F52" s="305"/>
      <c r="G52" s="167"/>
      <c r="H52" s="167"/>
      <c r="I52" s="306"/>
    </row>
    <row r="53" spans="3:9">
      <c r="C53" s="89"/>
      <c r="D53" s="305" t="s">
        <v>2276</v>
      </c>
      <c r="E53" s="307">
        <v>0.05</v>
      </c>
      <c r="F53" s="305"/>
      <c r="G53" s="167"/>
      <c r="H53" s="167"/>
      <c r="I53" s="306"/>
    </row>
    <row r="54" spans="3:9">
      <c r="C54" s="89"/>
      <c r="D54" s="305" t="s">
        <v>2277</v>
      </c>
      <c r="E54" s="307">
        <v>0.05</v>
      </c>
      <c r="F54" s="305"/>
      <c r="G54" s="309"/>
      <c r="H54" s="309"/>
      <c r="I54" s="306" t="s">
        <v>2278</v>
      </c>
    </row>
    <row r="55" ht="15.6" spans="3:9">
      <c r="C55" s="89"/>
      <c r="D55" s="310" t="s">
        <v>947</v>
      </c>
      <c r="E55" s="311">
        <f>SUM(E44:E54)</f>
        <v>1</v>
      </c>
      <c r="F55" s="310"/>
      <c r="G55" s="305"/>
      <c r="H55" s="305"/>
      <c r="I55" s="312"/>
    </row>
  </sheetData>
  <sheetProtection selectLockedCells="1" selectUnlockedCells="1" insertRows="0" insertColumns="0" deleteColumns="0" deleteRows="0"/>
  <autoFilter xmlns:etc="http://www.wps.cn/officeDocument/2017/etCustomData" ref="C2:K20" etc:filterBottomFollowUsedRange="0">
    <extLst/>
  </autoFilter>
  <mergeCells count="2">
    <mergeCell ref="G45:G54"/>
    <mergeCell ref="H45:H54"/>
  </mergeCells>
  <dataValidations count="2">
    <dataValidation type="list" allowBlank="1" showInputMessage="1" showErrorMessage="1" sqref="B25:B40 C3:C19">
      <formula1>二三级标准!$AC$4:$AC$10</formula1>
    </dataValidation>
    <dataValidation type="list" allowBlank="1" showInputMessage="1" showErrorMessage="1" sqref="J3:J42">
      <formula1>"Hide"</formula1>
    </dataValidation>
  </dataValidations>
  <pageMargins left="0.7" right="0.7" top="0.75" bottom="0.75" header="0.3" footer="0.3"/>
  <pageSetup paperSize="9" scale="60" orientation="portrait" horizontalDpi="1200" verticalDpi="1200"/>
  <headerFooter>
    <oddFooter>&amp;C&amp;"微软雅黑,常规"&amp;9本文档中的所有内容为上海有临医药科技有限公司的机密和专属所有，未经明确书面许可， 任何组织或个人不得以任何目的、任何形式及任何手段复制或传播本文档部分或全部内容。</oddFooter>
  </headerFooter>
  <colBreaks count="1" manualBreakCount="1">
    <brk id="9" max="1048575" man="1"/>
  </colBreaks>
  <ignoredErrors>
    <ignoredError sqref="F6 E10 I29" formula="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I34"/>
  <sheetViews>
    <sheetView topLeftCell="A22" workbookViewId="0">
      <selection activeCell="B31" sqref="B31"/>
    </sheetView>
  </sheetViews>
  <sheetFormatPr defaultColWidth="9" defaultRowHeight="13.8"/>
  <cols>
    <col min="1" max="1" width="9" style="191"/>
    <col min="2" max="2" width="28.2222222222222" style="191" customWidth="1"/>
    <col min="3" max="3" width="14.3333333333333" style="191" customWidth="1"/>
    <col min="4" max="4" width="10.7777777777778" style="191" customWidth="1"/>
    <col min="5" max="6" width="9" style="191"/>
    <col min="7" max="7" width="15.3333333333333" style="191" customWidth="1"/>
    <col min="8" max="8" width="18" style="191" customWidth="1"/>
    <col min="9" max="9" width="61.4444444444444" style="191" customWidth="1"/>
    <col min="10" max="16384" width="9" style="191"/>
  </cols>
  <sheetData>
    <row r="1" s="191" customFormat="1" ht="35" customHeight="1" spans="1:9">
      <c r="A1" s="193" t="s">
        <v>907</v>
      </c>
      <c r="B1" s="193" t="s">
        <v>968</v>
      </c>
      <c r="C1" s="193" t="s">
        <v>2279</v>
      </c>
      <c r="D1" s="193" t="s">
        <v>2280</v>
      </c>
      <c r="E1" s="193" t="s">
        <v>2281</v>
      </c>
      <c r="F1" s="193" t="s">
        <v>970</v>
      </c>
      <c r="G1" s="250" t="s">
        <v>973</v>
      </c>
      <c r="H1" s="250" t="s">
        <v>971</v>
      </c>
      <c r="I1" s="193" t="s">
        <v>747</v>
      </c>
    </row>
    <row r="2" s="191" customFormat="1" ht="25" customHeight="1" spans="1:9">
      <c r="A2" s="222" t="s">
        <v>917</v>
      </c>
      <c r="B2" s="222" t="s">
        <v>2282</v>
      </c>
      <c r="C2" s="222"/>
      <c r="D2" s="222"/>
      <c r="E2" s="251"/>
      <c r="F2" s="252"/>
      <c r="G2" s="253"/>
      <c r="H2" s="254">
        <f>SUM(H3:H8)</f>
        <v>33550</v>
      </c>
      <c r="I2" s="255"/>
    </row>
    <row r="3" s="191" customFormat="1" ht="25" customHeight="1" spans="1:9">
      <c r="A3" s="202" t="s">
        <v>116</v>
      </c>
      <c r="B3" s="202" t="s">
        <v>117</v>
      </c>
      <c r="C3" s="204">
        <v>1</v>
      </c>
      <c r="D3" s="204">
        <v>1</v>
      </c>
      <c r="E3" s="204">
        <v>1</v>
      </c>
      <c r="F3" s="202" t="s">
        <v>1178</v>
      </c>
      <c r="G3" s="205">
        <f>服务费明细!AG22</f>
        <v>1020</v>
      </c>
      <c r="H3" s="205">
        <v>6400</v>
      </c>
      <c r="I3" s="202"/>
    </row>
    <row r="4" s="191" customFormat="1" ht="22" customHeight="1" spans="1:9">
      <c r="A4" s="202" t="s">
        <v>119</v>
      </c>
      <c r="B4" s="202" t="s">
        <v>120</v>
      </c>
      <c r="C4" s="204">
        <v>1</v>
      </c>
      <c r="D4" s="204">
        <v>1</v>
      </c>
      <c r="E4" s="204">
        <f>C4*D4</f>
        <v>1</v>
      </c>
      <c r="F4" s="202" t="s">
        <v>1178</v>
      </c>
      <c r="G4" s="205">
        <f>服务费明细!AG23</f>
        <v>6400</v>
      </c>
      <c r="H4" s="205">
        <f>E4*G4</f>
        <v>6400</v>
      </c>
      <c r="I4" s="209"/>
    </row>
    <row r="5" s="191" customFormat="1" ht="22" customHeight="1" spans="1:9">
      <c r="A5" s="202" t="s">
        <v>121</v>
      </c>
      <c r="B5" s="202" t="s">
        <v>122</v>
      </c>
      <c r="C5" s="204">
        <v>1</v>
      </c>
      <c r="D5" s="204">
        <v>1</v>
      </c>
      <c r="E5" s="204">
        <v>1</v>
      </c>
      <c r="F5" s="202" t="s">
        <v>1178</v>
      </c>
      <c r="G5" s="205">
        <f>服务费明细!AG24</f>
        <v>7400</v>
      </c>
      <c r="H5" s="205">
        <f>E5*G5</f>
        <v>7400</v>
      </c>
      <c r="I5" s="209"/>
    </row>
    <row r="6" s="191" customFormat="1" ht="22" customHeight="1" spans="1:9">
      <c r="A6" s="202" t="s">
        <v>123</v>
      </c>
      <c r="B6" s="202" t="s">
        <v>124</v>
      </c>
      <c r="C6" s="204">
        <v>1</v>
      </c>
      <c r="D6" s="204">
        <v>1</v>
      </c>
      <c r="E6" s="204">
        <v>1</v>
      </c>
      <c r="F6" s="202" t="s">
        <v>1178</v>
      </c>
      <c r="G6" s="205">
        <f>服务费明细!AG25</f>
        <v>10120</v>
      </c>
      <c r="H6" s="205">
        <f>E6*G6</f>
        <v>10120</v>
      </c>
      <c r="I6" s="209"/>
    </row>
    <row r="7" s="191" customFormat="1" ht="24" customHeight="1" spans="1:9">
      <c r="A7" s="89" t="s">
        <v>125</v>
      </c>
      <c r="B7" s="89" t="str">
        <f>INDEX(二三级标准!$C:$C,MATCH(服务费明细!$B9,二三级标准!$B:$B,0))</f>
        <v>撰写CRF</v>
      </c>
      <c r="C7" s="204">
        <v>1</v>
      </c>
      <c r="D7" s="204">
        <v>1</v>
      </c>
      <c r="E7" s="204">
        <v>1</v>
      </c>
      <c r="F7" s="202" t="s">
        <v>1178</v>
      </c>
      <c r="G7" s="205">
        <f>服务费明细!AG27</f>
        <v>990</v>
      </c>
      <c r="H7" s="205">
        <f>E7*G7</f>
        <v>990</v>
      </c>
      <c r="I7" s="209"/>
    </row>
    <row r="8" s="191" customFormat="1" ht="22" customHeight="1" spans="1:9">
      <c r="A8" s="202" t="s">
        <v>129</v>
      </c>
      <c r="B8" s="202" t="s">
        <v>130</v>
      </c>
      <c r="C8" s="204">
        <v>1</v>
      </c>
      <c r="D8" s="204">
        <v>1</v>
      </c>
      <c r="E8" s="204">
        <v>1</v>
      </c>
      <c r="F8" s="202" t="s">
        <v>1178</v>
      </c>
      <c r="G8" s="205">
        <f>服务费明细!AG29</f>
        <v>2240</v>
      </c>
      <c r="H8" s="205">
        <f>E8*G8</f>
        <v>2240</v>
      </c>
      <c r="I8" s="209"/>
    </row>
    <row r="9" s="191" customFormat="1" ht="24" customHeight="1" spans="1:9">
      <c r="A9" s="222" t="s">
        <v>918</v>
      </c>
      <c r="B9" s="88" t="s">
        <v>755</v>
      </c>
      <c r="C9" s="222"/>
      <c r="D9" s="222"/>
      <c r="E9" s="251"/>
      <c r="F9" s="252"/>
      <c r="G9" s="256"/>
      <c r="H9" s="254">
        <f>SUM(H10)</f>
        <v>4080</v>
      </c>
      <c r="I9" s="255"/>
    </row>
    <row r="10" s="191" customFormat="1" ht="24" customHeight="1" spans="1:9">
      <c r="A10" s="202" t="s">
        <v>999</v>
      </c>
      <c r="B10" s="202" t="s">
        <v>2283</v>
      </c>
      <c r="C10" s="204">
        <v>1</v>
      </c>
      <c r="D10" s="204">
        <v>1</v>
      </c>
      <c r="E10" s="204">
        <f t="shared" ref="E10:E14" si="0">C10*D10</f>
        <v>1</v>
      </c>
      <c r="F10" s="202" t="s">
        <v>1176</v>
      </c>
      <c r="G10" s="205">
        <f>服务费明细!AG36</f>
        <v>4080</v>
      </c>
      <c r="H10" s="205">
        <f>E10*G10</f>
        <v>4080</v>
      </c>
      <c r="I10" s="209"/>
    </row>
    <row r="11" s="191" customFormat="1" ht="24" customHeight="1" spans="1:9">
      <c r="A11" s="222" t="s">
        <v>920</v>
      </c>
      <c r="B11" s="222" t="s">
        <v>2284</v>
      </c>
      <c r="C11" s="222"/>
      <c r="D11" s="222"/>
      <c r="E11" s="251"/>
      <c r="F11" s="252"/>
      <c r="G11" s="256"/>
      <c r="H11" s="254">
        <f>SUM(H12:H27)</f>
        <v>241905</v>
      </c>
      <c r="I11" s="255"/>
    </row>
    <row r="12" s="191" customFormat="1" ht="24" customHeight="1" spans="1:9">
      <c r="A12" s="202" t="s">
        <v>165</v>
      </c>
      <c r="B12" s="202" t="s">
        <v>166</v>
      </c>
      <c r="C12" s="204">
        <v>1</v>
      </c>
      <c r="D12" s="204">
        <v>1</v>
      </c>
      <c r="E12" s="204">
        <f t="shared" si="0"/>
        <v>1</v>
      </c>
      <c r="F12" s="202" t="s">
        <v>1176</v>
      </c>
      <c r="G12" s="205">
        <f>服务费明细!AG47</f>
        <v>12180</v>
      </c>
      <c r="H12" s="205">
        <f>E12*G12</f>
        <v>12180</v>
      </c>
      <c r="I12" s="209"/>
    </row>
    <row r="13" s="191" customFormat="1" ht="24" customHeight="1" spans="1:9">
      <c r="A13" s="202" t="s">
        <v>167</v>
      </c>
      <c r="B13" s="202" t="s">
        <v>168</v>
      </c>
      <c r="C13" s="204">
        <v>1</v>
      </c>
      <c r="D13" s="204">
        <v>1</v>
      </c>
      <c r="E13" s="204">
        <f t="shared" si="0"/>
        <v>1</v>
      </c>
      <c r="F13" s="202" t="s">
        <v>1178</v>
      </c>
      <c r="G13" s="205">
        <f>服务费明细!AG48</f>
        <v>7080</v>
      </c>
      <c r="H13" s="205">
        <f>E13*G13</f>
        <v>7080</v>
      </c>
      <c r="I13" s="209"/>
    </row>
    <row r="14" s="191" customFormat="1" ht="24" customHeight="1" spans="1:9">
      <c r="A14" s="202" t="s">
        <v>169</v>
      </c>
      <c r="B14" s="202" t="s">
        <v>170</v>
      </c>
      <c r="C14" s="204">
        <v>1</v>
      </c>
      <c r="D14" s="204">
        <v>1</v>
      </c>
      <c r="E14" s="204">
        <f t="shared" si="0"/>
        <v>1</v>
      </c>
      <c r="F14" s="202" t="s">
        <v>1178</v>
      </c>
      <c r="G14" s="205">
        <f>服务费明细!AG50</f>
        <v>1950</v>
      </c>
      <c r="H14" s="205">
        <f>E14*G14</f>
        <v>1950</v>
      </c>
      <c r="I14" s="209"/>
    </row>
    <row r="15" s="191" customFormat="1" ht="24" customHeight="1" spans="1:9">
      <c r="A15" s="202" t="s">
        <v>171</v>
      </c>
      <c r="B15" s="202" t="s">
        <v>172</v>
      </c>
      <c r="C15" s="257">
        <f>项目时间计划!G27+项目时间计划!G28</f>
        <v>13</v>
      </c>
      <c r="D15" s="204">
        <v>1</v>
      </c>
      <c r="E15" s="204">
        <f t="shared" ref="E15:E27" si="1">C15*D15</f>
        <v>13</v>
      </c>
      <c r="F15" s="202" t="s">
        <v>1178</v>
      </c>
      <c r="G15" s="205">
        <f>服务费明细!AG52</f>
        <v>7760</v>
      </c>
      <c r="H15" s="205">
        <f t="shared" ref="H15:H27" si="2">E15*G15</f>
        <v>100880</v>
      </c>
      <c r="I15" s="206"/>
    </row>
    <row r="16" s="191" customFormat="1" ht="24" customHeight="1" spans="1:9">
      <c r="A16" s="202" t="s">
        <v>173</v>
      </c>
      <c r="B16" s="202" t="s">
        <v>174</v>
      </c>
      <c r="C16" s="204">
        <v>1</v>
      </c>
      <c r="D16" s="204">
        <v>1</v>
      </c>
      <c r="E16" s="204">
        <f t="shared" si="1"/>
        <v>1</v>
      </c>
      <c r="F16" s="202" t="s">
        <v>1178</v>
      </c>
      <c r="G16" s="205">
        <f>服务费明细!AG53</f>
        <v>6400</v>
      </c>
      <c r="H16" s="205">
        <f t="shared" si="2"/>
        <v>6400</v>
      </c>
      <c r="I16" s="209"/>
    </row>
    <row r="17" s="191" customFormat="1" ht="24" customHeight="1" spans="1:9">
      <c r="A17" s="202" t="s">
        <v>175</v>
      </c>
      <c r="B17" s="202" t="s">
        <v>176</v>
      </c>
      <c r="C17" s="204">
        <v>1</v>
      </c>
      <c r="D17" s="204">
        <v>1</v>
      </c>
      <c r="E17" s="204">
        <f t="shared" si="1"/>
        <v>1</v>
      </c>
      <c r="F17" s="202" t="s">
        <v>1178</v>
      </c>
      <c r="G17" s="205">
        <f>服务费明细!AG54</f>
        <v>11350</v>
      </c>
      <c r="H17" s="205">
        <f t="shared" si="2"/>
        <v>11350</v>
      </c>
      <c r="I17" s="209"/>
    </row>
    <row r="18" s="191" customFormat="1" ht="24" customHeight="1" spans="1:9">
      <c r="A18" s="202" t="s">
        <v>179</v>
      </c>
      <c r="B18" s="202" t="s">
        <v>180</v>
      </c>
      <c r="C18" s="204">
        <v>1</v>
      </c>
      <c r="D18" s="204">
        <v>1</v>
      </c>
      <c r="E18" s="204">
        <f t="shared" si="1"/>
        <v>1</v>
      </c>
      <c r="F18" s="202" t="s">
        <v>1178</v>
      </c>
      <c r="G18" s="205">
        <f>服务费明细!AG56</f>
        <v>15400</v>
      </c>
      <c r="H18" s="205">
        <f t="shared" si="2"/>
        <v>15400</v>
      </c>
      <c r="I18" s="209"/>
    </row>
    <row r="19" s="191" customFormat="1" ht="24" customHeight="1" spans="1:9">
      <c r="A19" s="202" t="s">
        <v>185</v>
      </c>
      <c r="B19" s="202" t="s">
        <v>186</v>
      </c>
      <c r="C19" s="204">
        <v>4</v>
      </c>
      <c r="D19" s="204">
        <v>1</v>
      </c>
      <c r="E19" s="204">
        <f t="shared" si="1"/>
        <v>4</v>
      </c>
      <c r="F19" s="202" t="s">
        <v>1178</v>
      </c>
      <c r="G19" s="205">
        <f>服务费明细!AG59</f>
        <v>1770</v>
      </c>
      <c r="H19" s="205">
        <f t="shared" si="2"/>
        <v>7080</v>
      </c>
      <c r="I19" s="209"/>
    </row>
    <row r="20" s="191" customFormat="1" ht="24" customHeight="1" spans="1:9">
      <c r="A20" s="202" t="s">
        <v>190</v>
      </c>
      <c r="B20" s="202" t="s">
        <v>191</v>
      </c>
      <c r="C20" s="257">
        <f>服务费明细!E61/启动中心数</f>
        <v>7</v>
      </c>
      <c r="D20" s="204">
        <v>1</v>
      </c>
      <c r="E20" s="204">
        <f t="shared" si="1"/>
        <v>7</v>
      </c>
      <c r="F20" s="202" t="s">
        <v>1178</v>
      </c>
      <c r="G20" s="205">
        <f>服务费明细!AG61</f>
        <v>665</v>
      </c>
      <c r="H20" s="205">
        <f t="shared" si="2"/>
        <v>4655</v>
      </c>
      <c r="I20" s="206"/>
    </row>
    <row r="21" s="191" customFormat="1" ht="24" customHeight="1" spans="1:9">
      <c r="A21" s="202" t="s">
        <v>192</v>
      </c>
      <c r="B21" s="202" t="s">
        <v>193</v>
      </c>
      <c r="C21" s="257">
        <v>1</v>
      </c>
      <c r="D21" s="204">
        <v>1</v>
      </c>
      <c r="E21" s="204">
        <f t="shared" si="1"/>
        <v>1</v>
      </c>
      <c r="F21" s="202" t="s">
        <v>2285</v>
      </c>
      <c r="G21" s="205">
        <f>服务费明细!AG62</f>
        <v>665</v>
      </c>
      <c r="H21" s="205">
        <f t="shared" si="2"/>
        <v>665</v>
      </c>
      <c r="I21" s="206"/>
    </row>
    <row r="22" s="191" customFormat="1" ht="24" customHeight="1" spans="1:9">
      <c r="A22" s="202" t="s">
        <v>194</v>
      </c>
      <c r="B22" s="202" t="s">
        <v>195</v>
      </c>
      <c r="C22" s="204">
        <v>1</v>
      </c>
      <c r="D22" s="204">
        <v>1</v>
      </c>
      <c r="E22" s="204">
        <f t="shared" si="1"/>
        <v>1</v>
      </c>
      <c r="F22" s="202" t="s">
        <v>1178</v>
      </c>
      <c r="G22" s="205">
        <f>服务费明细!AG63</f>
        <v>0</v>
      </c>
      <c r="H22" s="205">
        <f t="shared" si="2"/>
        <v>0</v>
      </c>
      <c r="I22" s="209"/>
    </row>
    <row r="23" s="191" customFormat="1" ht="24" customHeight="1" spans="1:9">
      <c r="A23" s="202" t="s">
        <v>196</v>
      </c>
      <c r="B23" s="202" t="s">
        <v>197</v>
      </c>
      <c r="C23" s="204">
        <v>1</v>
      </c>
      <c r="D23" s="204">
        <v>1</v>
      </c>
      <c r="E23" s="204">
        <f t="shared" si="1"/>
        <v>1</v>
      </c>
      <c r="F23" s="202" t="s">
        <v>1178</v>
      </c>
      <c r="G23" s="205">
        <f>服务费明细!AG64</f>
        <v>1005</v>
      </c>
      <c r="H23" s="205">
        <f t="shared" si="2"/>
        <v>1005</v>
      </c>
      <c r="I23" s="209"/>
    </row>
    <row r="24" s="191" customFormat="1" ht="24" customHeight="1" spans="1:9">
      <c r="A24" s="202" t="s">
        <v>198</v>
      </c>
      <c r="B24" s="202" t="s">
        <v>199</v>
      </c>
      <c r="C24" s="257">
        <f>服务费明细!E65/启动中心数</f>
        <v>14</v>
      </c>
      <c r="D24" s="204">
        <v>1</v>
      </c>
      <c r="E24" s="204">
        <f t="shared" si="1"/>
        <v>14</v>
      </c>
      <c r="F24" s="202" t="s">
        <v>1295</v>
      </c>
      <c r="G24" s="205">
        <f>服务费明细!AG65</f>
        <v>3060</v>
      </c>
      <c r="H24" s="205">
        <f t="shared" si="2"/>
        <v>42840</v>
      </c>
      <c r="I24" s="206"/>
    </row>
    <row r="25" s="191" customFormat="1" ht="24" customHeight="1" spans="1:9">
      <c r="A25" s="202" t="s">
        <v>200</v>
      </c>
      <c r="B25" s="202" t="s">
        <v>2286</v>
      </c>
      <c r="C25" s="204">
        <v>1</v>
      </c>
      <c r="D25" s="204">
        <v>1</v>
      </c>
      <c r="E25" s="204">
        <f t="shared" si="1"/>
        <v>1</v>
      </c>
      <c r="F25" s="202" t="s">
        <v>1178</v>
      </c>
      <c r="G25" s="205">
        <f>服务费明细!AG66</f>
        <v>9120</v>
      </c>
      <c r="H25" s="205">
        <f t="shared" si="2"/>
        <v>9120</v>
      </c>
      <c r="I25" s="209"/>
    </row>
    <row r="26" s="191" customFormat="1" ht="24" customHeight="1" spans="1:9">
      <c r="A26" s="202" t="s">
        <v>203</v>
      </c>
      <c r="B26" s="202" t="s">
        <v>204</v>
      </c>
      <c r="C26" s="204">
        <v>1</v>
      </c>
      <c r="D26" s="204">
        <v>1</v>
      </c>
      <c r="E26" s="204">
        <f t="shared" si="1"/>
        <v>1</v>
      </c>
      <c r="F26" s="202" t="s">
        <v>1178</v>
      </c>
      <c r="G26" s="205">
        <f>服务费明细!AG67</f>
        <v>7760</v>
      </c>
      <c r="H26" s="205">
        <f t="shared" si="2"/>
        <v>7760</v>
      </c>
      <c r="I26" s="209"/>
    </row>
    <row r="27" s="191" customFormat="1" ht="24" customHeight="1" spans="1:9">
      <c r="A27" s="202" t="s">
        <v>207</v>
      </c>
      <c r="B27" s="202" t="s">
        <v>208</v>
      </c>
      <c r="C27" s="204">
        <v>1</v>
      </c>
      <c r="D27" s="204">
        <v>1</v>
      </c>
      <c r="E27" s="204">
        <f t="shared" si="1"/>
        <v>1</v>
      </c>
      <c r="F27" s="202" t="s">
        <v>1178</v>
      </c>
      <c r="G27" s="205">
        <f>服务费明细!AG69</f>
        <v>13540</v>
      </c>
      <c r="H27" s="205">
        <f t="shared" si="2"/>
        <v>13540</v>
      </c>
      <c r="I27" s="209"/>
    </row>
    <row r="28" s="191" customFormat="1" ht="24" customHeight="1" spans="1:9">
      <c r="A28" s="222" t="s">
        <v>921</v>
      </c>
      <c r="B28" s="222" t="s">
        <v>570</v>
      </c>
      <c r="C28" s="222"/>
      <c r="D28" s="222"/>
      <c r="E28" s="251"/>
      <c r="F28" s="252"/>
      <c r="G28" s="256"/>
      <c r="H28" s="254">
        <f>SUM(H29:H30)</f>
        <v>4735</v>
      </c>
      <c r="I28" s="237"/>
    </row>
    <row r="29" s="191" customFormat="1" ht="24" customHeight="1" spans="1:9">
      <c r="A29" s="202" t="s">
        <v>1019</v>
      </c>
      <c r="B29" s="202" t="s">
        <v>2287</v>
      </c>
      <c r="C29" s="257">
        <v>1</v>
      </c>
      <c r="D29" s="204">
        <v>1</v>
      </c>
      <c r="E29" s="204">
        <v>1</v>
      </c>
      <c r="F29" s="202" t="s">
        <v>1178</v>
      </c>
      <c r="G29" s="205">
        <f>服务费明细!AG75</f>
        <v>990</v>
      </c>
      <c r="H29" s="205">
        <f t="shared" ref="H29:H32" si="3">E29*G29</f>
        <v>990</v>
      </c>
      <c r="I29" s="206"/>
    </row>
    <row r="30" s="191" customFormat="1" ht="24" customHeight="1" spans="1:9">
      <c r="A30" s="202" t="s">
        <v>1028</v>
      </c>
      <c r="B30" s="89" t="s">
        <v>260</v>
      </c>
      <c r="C30" s="257">
        <f>服务费明细!E94/启动中心数</f>
        <v>14</v>
      </c>
      <c r="D30" s="204">
        <v>1</v>
      </c>
      <c r="E30" s="204">
        <f>C30*D30</f>
        <v>14</v>
      </c>
      <c r="F30" s="202" t="s">
        <v>1295</v>
      </c>
      <c r="G30" s="205">
        <f>服务费明细!AG94</f>
        <v>267.5</v>
      </c>
      <c r="H30" s="205">
        <f t="shared" si="3"/>
        <v>3745</v>
      </c>
      <c r="I30" s="206"/>
    </row>
    <row r="31" s="191" customFormat="1" ht="24" customHeight="1" spans="1:9">
      <c r="A31" s="88" t="s">
        <v>923</v>
      </c>
      <c r="B31" s="88" t="s">
        <v>573</v>
      </c>
      <c r="C31" s="222"/>
      <c r="D31" s="222"/>
      <c r="E31" s="251"/>
      <c r="F31" s="252"/>
      <c r="G31" s="256"/>
      <c r="H31" s="254">
        <f>SUM(H32)</f>
        <v>400</v>
      </c>
      <c r="I31" s="237"/>
    </row>
    <row r="32" s="191" customFormat="1" ht="24" customHeight="1" spans="1:9">
      <c r="A32" s="202" t="s">
        <v>1066</v>
      </c>
      <c r="B32" s="202" t="s">
        <v>2288</v>
      </c>
      <c r="C32" s="257">
        <v>1</v>
      </c>
      <c r="D32" s="204">
        <v>1</v>
      </c>
      <c r="E32" s="204">
        <v>1</v>
      </c>
      <c r="F32" s="202" t="s">
        <v>1178</v>
      </c>
      <c r="G32" s="205">
        <f>服务费明细!AG135</f>
        <v>400</v>
      </c>
      <c r="H32" s="205">
        <f t="shared" si="3"/>
        <v>400</v>
      </c>
      <c r="I32" s="206"/>
    </row>
    <row r="33" s="191" customFormat="1" ht="24" customHeight="1" spans="1:9">
      <c r="A33" s="258" t="s">
        <v>2289</v>
      </c>
      <c r="B33" s="259"/>
      <c r="C33" s="259"/>
      <c r="D33" s="259"/>
      <c r="E33" s="259"/>
      <c r="F33" s="259"/>
      <c r="G33" s="260"/>
      <c r="H33" s="247">
        <f>H28+H11+H2+H31+H9</f>
        <v>284670</v>
      </c>
      <c r="I33" s="248" t="s">
        <v>2290</v>
      </c>
    </row>
    <row r="34" s="191" customFormat="1" ht="24" customHeight="1" spans="1:9">
      <c r="A34" s="258" t="s">
        <v>2291</v>
      </c>
      <c r="B34" s="259"/>
      <c r="C34" s="259"/>
      <c r="D34" s="259"/>
      <c r="E34" s="259"/>
      <c r="F34" s="259"/>
      <c r="G34" s="260"/>
      <c r="H34" s="247">
        <f>H33*1.066</f>
        <v>303458.22</v>
      </c>
      <c r="I34" s="249"/>
    </row>
  </sheetData>
  <mergeCells count="2">
    <mergeCell ref="A33:G33"/>
    <mergeCell ref="A34:G34"/>
  </mergeCells>
  <pageMargins left="0.75" right="0.75" top="1" bottom="1" header="0.5" footer="0.5"/>
  <headerFooter/>
  <ignoredErrors>
    <ignoredError sqref="H9:H32" formula="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O54"/>
  <sheetViews>
    <sheetView topLeftCell="A24" workbookViewId="0">
      <selection activeCell="B31" sqref="B31"/>
    </sheetView>
  </sheetViews>
  <sheetFormatPr defaultColWidth="9" defaultRowHeight="13.8"/>
  <cols>
    <col min="1" max="1" width="9" style="191"/>
    <col min="2" max="2" width="33" style="191" customWidth="1"/>
    <col min="3" max="3" width="14.6666666666667" style="191" customWidth="1"/>
    <col min="4" max="4" width="16.2222222222222" style="191" customWidth="1"/>
    <col min="5" max="5" width="10.6666666666667" style="191" customWidth="1"/>
    <col min="6" max="7" width="9" style="191" hidden="1" customWidth="1"/>
    <col min="8" max="8" width="15.8888888888889" style="220" customWidth="1"/>
    <col min="9" max="9" width="15.2222222222222" style="191" customWidth="1"/>
    <col min="10" max="10" width="33.5555555555556" style="191" customWidth="1"/>
    <col min="11" max="11" width="16.1111111111111" style="191" customWidth="1"/>
    <col min="12" max="12" width="14" style="191" hidden="1" customWidth="1"/>
    <col min="13" max="13" width="11.8888888888889" style="191" hidden="1" customWidth="1"/>
    <col min="14" max="15" width="16.2222222222222" style="191" hidden="1" customWidth="1"/>
    <col min="16" max="16" width="9" style="191" customWidth="1"/>
    <col min="17" max="16384" width="9" style="191"/>
  </cols>
  <sheetData>
    <row r="1" s="191" customFormat="1" ht="31.2" spans="1:15">
      <c r="A1" s="192" t="s">
        <v>907</v>
      </c>
      <c r="B1" s="192" t="s">
        <v>968</v>
      </c>
      <c r="C1" s="193" t="s">
        <v>2292</v>
      </c>
      <c r="D1" s="193" t="s">
        <v>2293</v>
      </c>
      <c r="E1" s="192" t="s">
        <v>2294</v>
      </c>
      <c r="F1" s="192" t="s">
        <v>2281</v>
      </c>
      <c r="G1" s="192" t="s">
        <v>970</v>
      </c>
      <c r="H1" s="194" t="s">
        <v>973</v>
      </c>
      <c r="I1" s="194" t="s">
        <v>971</v>
      </c>
      <c r="J1" s="192" t="s">
        <v>747</v>
      </c>
      <c r="L1" s="221" t="s">
        <v>2295</v>
      </c>
      <c r="M1" s="221"/>
      <c r="N1" s="221"/>
      <c r="O1" s="221"/>
    </row>
    <row r="2" s="191" customFormat="1" ht="15.6" spans="1:15">
      <c r="A2" s="195"/>
      <c r="B2" s="195"/>
      <c r="C2" s="193">
        <v>340</v>
      </c>
      <c r="D2" s="193">
        <v>650</v>
      </c>
      <c r="E2" s="195"/>
      <c r="F2" s="195"/>
      <c r="G2" s="195"/>
      <c r="H2" s="196"/>
      <c r="I2" s="196"/>
      <c r="J2" s="195"/>
      <c r="L2" s="221" t="s">
        <v>2296</v>
      </c>
      <c r="M2" s="221" t="s">
        <v>1747</v>
      </c>
      <c r="N2" s="221" t="s">
        <v>2297</v>
      </c>
      <c r="O2" s="221" t="s">
        <v>2298</v>
      </c>
    </row>
    <row r="3" s="191" customFormat="1" ht="15.6" spans="1:15">
      <c r="A3" s="222" t="s">
        <v>920</v>
      </c>
      <c r="B3" s="222" t="s">
        <v>2284</v>
      </c>
      <c r="C3" s="223"/>
      <c r="D3" s="223"/>
      <c r="E3" s="224"/>
      <c r="F3" s="225"/>
      <c r="G3" s="224"/>
      <c r="H3" s="226"/>
      <c r="I3" s="227">
        <f>SUM(I4:I13)</f>
        <v>22935</v>
      </c>
      <c r="J3" s="224"/>
      <c r="L3" s="221" t="s">
        <v>2299</v>
      </c>
      <c r="M3" s="221" t="s">
        <v>2299</v>
      </c>
      <c r="N3" s="221" t="s">
        <v>2299</v>
      </c>
      <c r="O3" s="221" t="s">
        <v>2299</v>
      </c>
    </row>
    <row r="4" s="191" customFormat="1" ht="15" spans="1:15">
      <c r="A4" s="202" t="s">
        <v>171</v>
      </c>
      <c r="B4" s="202" t="s">
        <v>172</v>
      </c>
      <c r="C4" s="228">
        <v>0.5</v>
      </c>
      <c r="D4" s="228">
        <v>0.1</v>
      </c>
      <c r="E4" s="229">
        <f>服务费明细!$E$52</f>
        <v>52</v>
      </c>
      <c r="F4" s="229">
        <f t="shared" ref="F4:F13" si="0">C4+D4</f>
        <v>0.6</v>
      </c>
      <c r="G4" s="230" t="s">
        <v>2300</v>
      </c>
      <c r="H4" s="231">
        <f>($C$2*C4+$D$2*D4)</f>
        <v>235</v>
      </c>
      <c r="I4" s="231">
        <f>H4*E4</f>
        <v>12220</v>
      </c>
      <c r="J4" s="232"/>
    </row>
    <row r="5" s="191" customFormat="1" ht="15" spans="1:15">
      <c r="A5" s="202" t="s">
        <v>175</v>
      </c>
      <c r="B5" s="202" t="s">
        <v>176</v>
      </c>
      <c r="C5" s="228">
        <v>4</v>
      </c>
      <c r="D5" s="228">
        <v>1</v>
      </c>
      <c r="E5" s="229">
        <v>1</v>
      </c>
      <c r="F5" s="229">
        <f t="shared" si="0"/>
        <v>5</v>
      </c>
      <c r="G5" s="230" t="s">
        <v>2300</v>
      </c>
      <c r="H5" s="231">
        <f t="shared" ref="H4:H13" si="1">$C$2*C5+$D$2*D5</f>
        <v>2010</v>
      </c>
      <c r="I5" s="231">
        <f>H5*E5</f>
        <v>2010</v>
      </c>
      <c r="J5" s="232"/>
    </row>
    <row r="6" s="191" customFormat="1" ht="15" spans="1:15">
      <c r="A6" s="202" t="s">
        <v>179</v>
      </c>
      <c r="B6" s="202" t="s">
        <v>180</v>
      </c>
      <c r="C6" s="228">
        <v>4</v>
      </c>
      <c r="D6" s="228">
        <v>1</v>
      </c>
      <c r="E6" s="229">
        <v>1</v>
      </c>
      <c r="F6" s="229">
        <f t="shared" si="0"/>
        <v>5</v>
      </c>
      <c r="G6" s="230" t="s">
        <v>2300</v>
      </c>
      <c r="H6" s="231">
        <f t="shared" si="1"/>
        <v>2010</v>
      </c>
      <c r="I6" s="231">
        <f t="shared" ref="I4:I11" si="2">H6*E6</f>
        <v>2010</v>
      </c>
      <c r="J6" s="232"/>
    </row>
    <row r="7" s="191" customFormat="1" ht="15" spans="1:15">
      <c r="A7" s="202" t="s">
        <v>181</v>
      </c>
      <c r="B7" s="202" t="s">
        <v>182</v>
      </c>
      <c r="C7" s="228">
        <v>4</v>
      </c>
      <c r="D7" s="228">
        <v>1</v>
      </c>
      <c r="E7" s="229">
        <v>1</v>
      </c>
      <c r="F7" s="229">
        <f t="shared" si="0"/>
        <v>5</v>
      </c>
      <c r="G7" s="230" t="s">
        <v>2300</v>
      </c>
      <c r="H7" s="231">
        <f t="shared" si="1"/>
        <v>2010</v>
      </c>
      <c r="I7" s="231">
        <f t="shared" si="2"/>
        <v>2010</v>
      </c>
      <c r="J7" s="232"/>
    </row>
    <row r="8" s="191" customFormat="1" ht="15" spans="1:15">
      <c r="A8" s="202" t="s">
        <v>183</v>
      </c>
      <c r="B8" s="202" t="s">
        <v>184</v>
      </c>
      <c r="C8" s="228">
        <v>1</v>
      </c>
      <c r="D8" s="228">
        <v>0.5</v>
      </c>
      <c r="E8" s="229">
        <v>1</v>
      </c>
      <c r="F8" s="229">
        <f t="shared" si="0"/>
        <v>1.5</v>
      </c>
      <c r="G8" s="230" t="s">
        <v>2300</v>
      </c>
      <c r="H8" s="231">
        <f t="shared" si="1"/>
        <v>665</v>
      </c>
      <c r="I8" s="231">
        <f t="shared" si="2"/>
        <v>665</v>
      </c>
      <c r="J8" s="232"/>
    </row>
    <row r="9" s="191" customFormat="1" ht="15" spans="1:15">
      <c r="A9" s="202" t="s">
        <v>190</v>
      </c>
      <c r="B9" s="202" t="s">
        <v>191</v>
      </c>
      <c r="C9" s="228">
        <v>1</v>
      </c>
      <c r="D9" s="228">
        <v>0.5</v>
      </c>
      <c r="E9" s="229">
        <v>1</v>
      </c>
      <c r="F9" s="229">
        <f t="shared" si="0"/>
        <v>1.5</v>
      </c>
      <c r="G9" s="230" t="s">
        <v>2300</v>
      </c>
      <c r="H9" s="231">
        <f t="shared" si="1"/>
        <v>665</v>
      </c>
      <c r="I9" s="231">
        <f t="shared" si="2"/>
        <v>665</v>
      </c>
      <c r="J9" s="232"/>
    </row>
    <row r="10" s="191" customFormat="1" ht="15" spans="1:15">
      <c r="A10" s="202" t="s">
        <v>192</v>
      </c>
      <c r="B10" s="202" t="s">
        <v>193</v>
      </c>
      <c r="C10" s="228">
        <v>1</v>
      </c>
      <c r="D10" s="228">
        <v>0.5</v>
      </c>
      <c r="E10" s="229">
        <v>1</v>
      </c>
      <c r="F10" s="229">
        <f t="shared" si="0"/>
        <v>1.5</v>
      </c>
      <c r="G10" s="230" t="s">
        <v>2300</v>
      </c>
      <c r="H10" s="231">
        <f t="shared" si="1"/>
        <v>665</v>
      </c>
      <c r="I10" s="231">
        <f t="shared" si="2"/>
        <v>665</v>
      </c>
      <c r="J10" s="232"/>
    </row>
    <row r="11" s="191" customFormat="1" ht="15" spans="1:15">
      <c r="A11" s="202" t="s">
        <v>198</v>
      </c>
      <c r="B11" s="202" t="s">
        <v>199</v>
      </c>
      <c r="C11" s="228">
        <v>6</v>
      </c>
      <c r="D11" s="228">
        <v>1</v>
      </c>
      <c r="E11" s="229">
        <v>1</v>
      </c>
      <c r="F11" s="229">
        <f t="shared" si="0"/>
        <v>7</v>
      </c>
      <c r="G11" s="230" t="s">
        <v>2300</v>
      </c>
      <c r="H11" s="231">
        <f t="shared" si="1"/>
        <v>2690</v>
      </c>
      <c r="I11" s="231">
        <f t="shared" si="2"/>
        <v>2690</v>
      </c>
      <c r="J11" s="232"/>
    </row>
    <row r="12" s="191" customFormat="1" ht="15" spans="1:15">
      <c r="A12" s="202" t="s">
        <v>200</v>
      </c>
      <c r="B12" s="202" t="s">
        <v>2286</v>
      </c>
      <c r="C12" s="228">
        <v>8</v>
      </c>
      <c r="D12" s="228">
        <v>4</v>
      </c>
      <c r="E12" s="229">
        <v>1</v>
      </c>
      <c r="F12" s="229">
        <f t="shared" si="0"/>
        <v>12</v>
      </c>
      <c r="G12" s="230" t="s">
        <v>2300</v>
      </c>
      <c r="H12" s="231">
        <f t="shared" si="1"/>
        <v>5320</v>
      </c>
      <c r="I12" s="231">
        <v>0</v>
      </c>
      <c r="J12" s="233" t="s">
        <v>2301</v>
      </c>
    </row>
    <row r="13" s="191" customFormat="1" ht="15" spans="1:15">
      <c r="A13" s="202" t="s">
        <v>203</v>
      </c>
      <c r="B13" s="202" t="s">
        <v>204</v>
      </c>
      <c r="C13" s="228">
        <v>8</v>
      </c>
      <c r="D13" s="228">
        <v>4</v>
      </c>
      <c r="E13" s="229">
        <v>1</v>
      </c>
      <c r="F13" s="229">
        <f t="shared" si="0"/>
        <v>12</v>
      </c>
      <c r="G13" s="230" t="s">
        <v>2300</v>
      </c>
      <c r="H13" s="231">
        <f t="shared" si="1"/>
        <v>5320</v>
      </c>
      <c r="I13" s="231">
        <v>0</v>
      </c>
      <c r="J13" s="233" t="s">
        <v>2301</v>
      </c>
    </row>
    <row r="14" s="191" customFormat="1" ht="15.6" spans="1:15">
      <c r="A14" s="222" t="s">
        <v>921</v>
      </c>
      <c r="B14" s="222" t="s">
        <v>570</v>
      </c>
      <c r="C14" s="234"/>
      <c r="D14" s="234"/>
      <c r="E14" s="224"/>
      <c r="F14" s="225"/>
      <c r="G14" s="235"/>
      <c r="H14" s="226"/>
      <c r="I14" s="227">
        <f>SUM(I15:I24)</f>
        <v>22775</v>
      </c>
      <c r="J14" s="224"/>
    </row>
    <row r="15" s="191" customFormat="1" ht="15" spans="1:15">
      <c r="A15" s="202" t="s">
        <v>217</v>
      </c>
      <c r="B15" s="202" t="s">
        <v>218</v>
      </c>
      <c r="C15" s="228">
        <v>8</v>
      </c>
      <c r="D15" s="228">
        <v>2</v>
      </c>
      <c r="E15" s="229">
        <v>1</v>
      </c>
      <c r="F15" s="229">
        <f>C15+D15</f>
        <v>10</v>
      </c>
      <c r="G15" s="209" t="s">
        <v>2300</v>
      </c>
      <c r="H15" s="231">
        <f>$C$2*C15+$D$2*D15</f>
        <v>4020</v>
      </c>
      <c r="I15" s="231">
        <f>H15*E15</f>
        <v>4020</v>
      </c>
      <c r="J15" s="232"/>
    </row>
    <row r="16" s="191" customFormat="1" ht="15" spans="1:15">
      <c r="A16" s="202" t="s">
        <v>1009</v>
      </c>
      <c r="B16" s="202" t="s">
        <v>2302</v>
      </c>
      <c r="C16" s="228">
        <v>0.5</v>
      </c>
      <c r="D16" s="228">
        <v>0.5</v>
      </c>
      <c r="E16" s="229">
        <v>2</v>
      </c>
      <c r="F16" s="229"/>
      <c r="G16" s="209" t="s">
        <v>1262</v>
      </c>
      <c r="H16" s="231">
        <f>$C$2*C16+$D$2*D16</f>
        <v>495</v>
      </c>
      <c r="I16" s="231">
        <f>H16*E16</f>
        <v>990</v>
      </c>
      <c r="J16" s="232"/>
    </row>
    <row r="17" s="191" customFormat="1" ht="15" spans="1:10">
      <c r="A17" s="202" t="s">
        <v>223</v>
      </c>
      <c r="B17" s="202" t="s">
        <v>224</v>
      </c>
      <c r="C17" s="228"/>
      <c r="D17" s="228">
        <v>0.5</v>
      </c>
      <c r="E17" s="229">
        <v>1</v>
      </c>
      <c r="F17" s="229">
        <f t="shared" ref="F17:F24" si="3">C17+D17</f>
        <v>0.5</v>
      </c>
      <c r="G17" s="209" t="s">
        <v>2300</v>
      </c>
      <c r="H17" s="231">
        <f t="shared" ref="H17:H24" si="4">$C$2*C17+$D$2*D17</f>
        <v>325</v>
      </c>
      <c r="I17" s="231">
        <f>H17*E17</f>
        <v>325</v>
      </c>
      <c r="J17" s="232"/>
    </row>
    <row r="18" s="191" customFormat="1" ht="15" spans="1:10">
      <c r="A18" s="202" t="s">
        <v>231</v>
      </c>
      <c r="B18" s="202" t="s">
        <v>232</v>
      </c>
      <c r="C18" s="228"/>
      <c r="D18" s="228">
        <v>0.5</v>
      </c>
      <c r="E18" s="229">
        <v>1</v>
      </c>
      <c r="F18" s="229">
        <f t="shared" si="3"/>
        <v>0.5</v>
      </c>
      <c r="G18" s="209" t="s">
        <v>2300</v>
      </c>
      <c r="H18" s="231">
        <f t="shared" si="4"/>
        <v>325</v>
      </c>
      <c r="I18" s="231">
        <f t="shared" ref="I18:I24" si="5">H18*E18</f>
        <v>325</v>
      </c>
      <c r="J18" s="232"/>
    </row>
    <row r="19" s="191" customFormat="1" ht="15" spans="1:10">
      <c r="A19" s="202" t="s">
        <v>235</v>
      </c>
      <c r="B19" s="202" t="s">
        <v>236</v>
      </c>
      <c r="C19" s="228"/>
      <c r="D19" s="228">
        <v>0.5</v>
      </c>
      <c r="E19" s="229">
        <v>1</v>
      </c>
      <c r="F19" s="229">
        <f t="shared" si="3"/>
        <v>0.5</v>
      </c>
      <c r="G19" s="209" t="s">
        <v>2300</v>
      </c>
      <c r="H19" s="231">
        <f t="shared" si="4"/>
        <v>325</v>
      </c>
      <c r="I19" s="231">
        <v>0</v>
      </c>
      <c r="J19" s="233" t="s">
        <v>2301</v>
      </c>
    </row>
    <row r="20" s="191" customFormat="1" ht="15" spans="1:10">
      <c r="A20" s="202" t="s">
        <v>1026</v>
      </c>
      <c r="B20" s="202" t="s">
        <v>2303</v>
      </c>
      <c r="C20" s="228"/>
      <c r="D20" s="228">
        <v>0.5</v>
      </c>
      <c r="E20" s="229">
        <v>1</v>
      </c>
      <c r="F20" s="229">
        <f t="shared" si="3"/>
        <v>0.5</v>
      </c>
      <c r="G20" s="209" t="s">
        <v>2300</v>
      </c>
      <c r="H20" s="231">
        <f t="shared" si="4"/>
        <v>325</v>
      </c>
      <c r="I20" s="231">
        <f t="shared" si="5"/>
        <v>325</v>
      </c>
      <c r="J20" s="232"/>
    </row>
    <row r="21" s="191" customFormat="1" ht="15" spans="1:10">
      <c r="A21" s="202" t="s">
        <v>1027</v>
      </c>
      <c r="B21" s="202" t="s">
        <v>2304</v>
      </c>
      <c r="C21" s="228"/>
      <c r="D21" s="228">
        <v>0.5</v>
      </c>
      <c r="E21" s="229">
        <v>1</v>
      </c>
      <c r="F21" s="229">
        <f t="shared" si="3"/>
        <v>0.5</v>
      </c>
      <c r="G21" s="209" t="s">
        <v>2300</v>
      </c>
      <c r="H21" s="231">
        <f t="shared" si="4"/>
        <v>325</v>
      </c>
      <c r="I21" s="231">
        <f t="shared" si="5"/>
        <v>325</v>
      </c>
      <c r="J21" s="232"/>
    </row>
    <row r="22" s="191" customFormat="1" ht="15" spans="1:10">
      <c r="A22" s="202" t="s">
        <v>245</v>
      </c>
      <c r="B22" s="202" t="s">
        <v>246</v>
      </c>
      <c r="C22" s="228">
        <v>0.5</v>
      </c>
      <c r="D22" s="228">
        <v>0.5</v>
      </c>
      <c r="E22" s="229">
        <v>1</v>
      </c>
      <c r="F22" s="229">
        <f t="shared" si="3"/>
        <v>1</v>
      </c>
      <c r="G22" s="209" t="s">
        <v>2300</v>
      </c>
      <c r="H22" s="231">
        <f t="shared" si="4"/>
        <v>495</v>
      </c>
      <c r="I22" s="231">
        <f t="shared" si="5"/>
        <v>495</v>
      </c>
      <c r="J22" s="232"/>
    </row>
    <row r="23" s="191" customFormat="1" ht="15" spans="1:10">
      <c r="A23" s="202" t="s">
        <v>1028</v>
      </c>
      <c r="B23" s="202" t="s">
        <v>260</v>
      </c>
      <c r="C23" s="236">
        <v>0.5</v>
      </c>
      <c r="D23" s="236">
        <v>0.15</v>
      </c>
      <c r="E23" s="229">
        <f>服务费明细!$E$94</f>
        <v>56</v>
      </c>
      <c r="F23" s="229">
        <f t="shared" si="3"/>
        <v>0.65</v>
      </c>
      <c r="G23" s="230" t="s">
        <v>2300</v>
      </c>
      <c r="H23" s="231">
        <f t="shared" si="4"/>
        <v>267.5</v>
      </c>
      <c r="I23" s="231">
        <f t="shared" si="5"/>
        <v>14980</v>
      </c>
      <c r="J23" s="232"/>
    </row>
    <row r="24" s="191" customFormat="1" ht="15" spans="1:10">
      <c r="A24" s="202" t="s">
        <v>247</v>
      </c>
      <c r="B24" s="202" t="s">
        <v>248</v>
      </c>
      <c r="C24" s="228">
        <v>1</v>
      </c>
      <c r="D24" s="228">
        <v>1</v>
      </c>
      <c r="E24" s="229">
        <v>1</v>
      </c>
      <c r="F24" s="229">
        <f t="shared" si="3"/>
        <v>2</v>
      </c>
      <c r="G24" s="209" t="s">
        <v>2300</v>
      </c>
      <c r="H24" s="231">
        <f t="shared" si="4"/>
        <v>990</v>
      </c>
      <c r="I24" s="231">
        <f t="shared" si="5"/>
        <v>990</v>
      </c>
      <c r="J24" s="232"/>
    </row>
    <row r="25" s="191" customFormat="1" ht="15.6" spans="1:10">
      <c r="A25" s="222" t="s">
        <v>922</v>
      </c>
      <c r="B25" s="222" t="s">
        <v>579</v>
      </c>
      <c r="C25" s="222"/>
      <c r="D25" s="222"/>
      <c r="E25" s="237"/>
      <c r="F25" s="238"/>
      <c r="G25" s="239"/>
      <c r="H25" s="240"/>
      <c r="I25" s="227">
        <f>SUM(I26:I33)</f>
        <v>7945.96666666667</v>
      </c>
      <c r="J25" s="237"/>
    </row>
    <row r="26" s="191" customFormat="1" ht="15" spans="1:10">
      <c r="A26" s="202" t="s">
        <v>1036</v>
      </c>
      <c r="B26" s="202" t="s">
        <v>2305</v>
      </c>
      <c r="C26" s="202"/>
      <c r="D26" s="202"/>
      <c r="E26" s="241">
        <v>2</v>
      </c>
      <c r="F26" s="241">
        <v>1</v>
      </c>
      <c r="G26" s="209" t="s">
        <v>1262</v>
      </c>
      <c r="H26" s="242">
        <f>服务费明细!AG101</f>
        <v>586.5</v>
      </c>
      <c r="I26" s="243">
        <f t="shared" ref="I26:I33" si="6">E26*H26</f>
        <v>1173</v>
      </c>
      <c r="J26" s="209"/>
    </row>
    <row r="27" s="191" customFormat="1" ht="15" spans="1:10">
      <c r="A27" s="202" t="s">
        <v>255</v>
      </c>
      <c r="B27" s="202" t="s">
        <v>256</v>
      </c>
      <c r="C27" s="202"/>
      <c r="D27" s="202"/>
      <c r="E27" s="241">
        <v>1</v>
      </c>
      <c r="F27" s="241">
        <v>1</v>
      </c>
      <c r="G27" s="209" t="s">
        <v>1262</v>
      </c>
      <c r="H27" s="242">
        <f>服务费明细!AG102</f>
        <v>650</v>
      </c>
      <c r="I27" s="243">
        <f t="shared" si="6"/>
        <v>650</v>
      </c>
      <c r="J27" s="209"/>
    </row>
    <row r="28" s="191" customFormat="1" ht="16" customHeight="1" spans="1:10">
      <c r="A28" s="202" t="s">
        <v>257</v>
      </c>
      <c r="B28" s="202" t="s">
        <v>258</v>
      </c>
      <c r="C28" s="202"/>
      <c r="D28" s="202"/>
      <c r="E28" s="241">
        <v>1</v>
      </c>
      <c r="F28" s="241">
        <v>1</v>
      </c>
      <c r="G28" s="209" t="s">
        <v>1262</v>
      </c>
      <c r="H28" s="242">
        <f>服务费明细!AG103</f>
        <v>1222.5</v>
      </c>
      <c r="I28" s="243">
        <f t="shared" si="6"/>
        <v>1222.5</v>
      </c>
      <c r="J28" s="209"/>
    </row>
    <row r="29" s="191" customFormat="1" ht="15" spans="1:10">
      <c r="A29" s="202" t="s">
        <v>253</v>
      </c>
      <c r="B29" s="202" t="s">
        <v>254</v>
      </c>
      <c r="C29" s="202"/>
      <c r="D29" s="202"/>
      <c r="E29" s="241">
        <v>1</v>
      </c>
      <c r="F29" s="241">
        <v>1</v>
      </c>
      <c r="G29" s="209" t="s">
        <v>1262</v>
      </c>
      <c r="H29" s="242">
        <f>服务费明细!AH100/项目参数!$C$31</f>
        <v>837.666666666667</v>
      </c>
      <c r="I29" s="243">
        <f t="shared" si="6"/>
        <v>837.666666666667</v>
      </c>
      <c r="J29" s="209"/>
    </row>
    <row r="30" s="191" customFormat="1" ht="15" spans="1:10">
      <c r="A30" s="202" t="s">
        <v>259</v>
      </c>
      <c r="B30" s="202" t="s">
        <v>260</v>
      </c>
      <c r="C30" s="202"/>
      <c r="D30" s="202"/>
      <c r="E30" s="241">
        <v>1</v>
      </c>
      <c r="F30" s="241">
        <v>1</v>
      </c>
      <c r="G30" s="209" t="s">
        <v>1262</v>
      </c>
      <c r="H30" s="242">
        <f>服务费明细!AH104/项目参数!$C$31</f>
        <v>1141</v>
      </c>
      <c r="I30" s="243">
        <f t="shared" si="6"/>
        <v>1141</v>
      </c>
      <c r="J30" s="209"/>
    </row>
    <row r="31" s="191" customFormat="1" ht="15" spans="1:10">
      <c r="A31" s="202" t="s">
        <v>261</v>
      </c>
      <c r="B31" s="202" t="s">
        <v>262</v>
      </c>
      <c r="C31" s="202"/>
      <c r="D31" s="202"/>
      <c r="E31" s="241">
        <v>1</v>
      </c>
      <c r="F31" s="241">
        <v>1</v>
      </c>
      <c r="G31" s="209" t="s">
        <v>1262</v>
      </c>
      <c r="H31" s="242">
        <f>服务费明细!AH105/项目参数!$C$31</f>
        <v>2130.33333333333</v>
      </c>
      <c r="I31" s="243">
        <f t="shared" si="6"/>
        <v>2130.33333333333</v>
      </c>
      <c r="J31" s="209"/>
    </row>
    <row r="32" s="191" customFormat="1" ht="15" spans="1:10">
      <c r="A32" s="202" t="s">
        <v>263</v>
      </c>
      <c r="B32" s="202" t="s">
        <v>264</v>
      </c>
      <c r="C32" s="202"/>
      <c r="D32" s="202"/>
      <c r="E32" s="241">
        <v>1</v>
      </c>
      <c r="F32" s="241">
        <v>1</v>
      </c>
      <c r="G32" s="209" t="s">
        <v>1262</v>
      </c>
      <c r="H32" s="242">
        <f>服务费明细!AH106/项目参数!$C$31</f>
        <v>395.733333333333</v>
      </c>
      <c r="I32" s="243">
        <f t="shared" si="6"/>
        <v>395.733333333333</v>
      </c>
      <c r="J32" s="209"/>
    </row>
    <row r="33" s="191" customFormat="1" ht="15" spans="1:10">
      <c r="A33" s="202" t="s">
        <v>265</v>
      </c>
      <c r="B33" s="202" t="s">
        <v>266</v>
      </c>
      <c r="C33" s="202"/>
      <c r="D33" s="202"/>
      <c r="E33" s="241">
        <v>1</v>
      </c>
      <c r="F33" s="241">
        <v>1</v>
      </c>
      <c r="G33" s="209" t="s">
        <v>1262</v>
      </c>
      <c r="H33" s="242">
        <f>服务费明细!AH107/项目参数!$C$31</f>
        <v>395.733333333333</v>
      </c>
      <c r="I33" s="243">
        <f t="shared" si="6"/>
        <v>395.733333333333</v>
      </c>
      <c r="J33" s="209"/>
    </row>
    <row r="34" s="191" customFormat="1" ht="15.6" spans="1:10">
      <c r="A34" s="222" t="s">
        <v>923</v>
      </c>
      <c r="B34" s="222" t="s">
        <v>573</v>
      </c>
      <c r="C34" s="222"/>
      <c r="D34" s="222"/>
      <c r="E34" s="237"/>
      <c r="F34" s="238"/>
      <c r="G34" s="237"/>
      <c r="H34" s="240"/>
      <c r="I34" s="227">
        <f>SUM(I35:I37)</f>
        <v>826</v>
      </c>
      <c r="J34" s="244" t="s">
        <v>2306</v>
      </c>
    </row>
    <row r="35" s="191" customFormat="1" ht="15" spans="1:10">
      <c r="A35" s="202" t="s">
        <v>285</v>
      </c>
      <c r="B35" s="202" t="s">
        <v>2307</v>
      </c>
      <c r="C35" s="202"/>
      <c r="D35" s="202"/>
      <c r="E35" s="245">
        <f>项目参数!C73</f>
        <v>30</v>
      </c>
      <c r="F35" s="241">
        <v>30</v>
      </c>
      <c r="G35" s="209" t="s">
        <v>1380</v>
      </c>
      <c r="H35" s="242">
        <f>服务费明细!AG122</f>
        <v>10</v>
      </c>
      <c r="I35" s="243">
        <f>E35*H35</f>
        <v>300</v>
      </c>
      <c r="J35" s="209"/>
    </row>
    <row r="36" s="191" customFormat="1" ht="15" spans="1:10">
      <c r="A36" s="89" t="s">
        <v>1055</v>
      </c>
      <c r="B36" s="89" t="s">
        <v>2308</v>
      </c>
      <c r="C36" s="202"/>
      <c r="D36" s="202"/>
      <c r="E36" s="245">
        <f>项目参数!C74</f>
        <v>25</v>
      </c>
      <c r="F36" s="241">
        <v>25</v>
      </c>
      <c r="G36" s="209" t="s">
        <v>1380</v>
      </c>
      <c r="H36" s="242">
        <f>服务费明细!AG124</f>
        <v>14</v>
      </c>
      <c r="I36" s="243">
        <f>E36*H36</f>
        <v>350</v>
      </c>
      <c r="J36" s="209"/>
    </row>
    <row r="37" s="191" customFormat="1" ht="15" spans="1:10">
      <c r="A37" s="89" t="s">
        <v>1060</v>
      </c>
      <c r="B37" s="89" t="s">
        <v>868</v>
      </c>
      <c r="C37" s="202"/>
      <c r="D37" s="202"/>
      <c r="E37" s="245">
        <f>项目参数!C78</f>
        <v>8</v>
      </c>
      <c r="F37" s="241">
        <v>18</v>
      </c>
      <c r="G37" s="209" t="s">
        <v>1380</v>
      </c>
      <c r="H37" s="242">
        <f>服务费明细!AG127</f>
        <v>22</v>
      </c>
      <c r="I37" s="243">
        <f>E37*H37</f>
        <v>176</v>
      </c>
      <c r="J37" s="209"/>
    </row>
    <row r="38" s="191" customFormat="1" ht="15" spans="1:10">
      <c r="A38" s="89" t="s">
        <v>1061</v>
      </c>
      <c r="B38" s="89" t="s">
        <v>2309</v>
      </c>
      <c r="C38" s="202"/>
      <c r="D38" s="202"/>
      <c r="E38" s="245">
        <f>项目参数!C79</f>
        <v>10</v>
      </c>
      <c r="F38" s="241">
        <v>18</v>
      </c>
      <c r="G38" s="209" t="s">
        <v>1380</v>
      </c>
      <c r="H38" s="242">
        <f>服务费明细!AG128</f>
        <v>32</v>
      </c>
      <c r="I38" s="243">
        <f>E38*H38</f>
        <v>320</v>
      </c>
      <c r="J38" s="209"/>
    </row>
    <row r="39" s="191" customFormat="1" ht="15.6" spans="1:10">
      <c r="A39" s="222" t="s">
        <v>926</v>
      </c>
      <c r="B39" s="222" t="s">
        <v>2310</v>
      </c>
      <c r="C39" s="222"/>
      <c r="D39" s="222"/>
      <c r="E39" s="237"/>
      <c r="F39" s="238"/>
      <c r="G39" s="237"/>
      <c r="H39" s="240"/>
      <c r="I39" s="227">
        <f>I40</f>
        <v>8150</v>
      </c>
      <c r="J39" s="237"/>
    </row>
    <row r="40" s="191" customFormat="1" ht="24" customHeight="1" spans="1:10">
      <c r="A40" s="202" t="s">
        <v>377</v>
      </c>
      <c r="B40" s="202" t="s">
        <v>378</v>
      </c>
      <c r="C40" s="202"/>
      <c r="D40" s="202"/>
      <c r="E40" s="241">
        <v>3</v>
      </c>
      <c r="F40" s="241">
        <v>3</v>
      </c>
      <c r="G40" s="209" t="s">
        <v>1125</v>
      </c>
      <c r="H40" s="242">
        <f>服务费明细!AG211</f>
        <v>2716.66666666667</v>
      </c>
      <c r="I40" s="243">
        <f>E40*H40</f>
        <v>8150</v>
      </c>
      <c r="J40" s="209"/>
    </row>
    <row r="41" s="191" customFormat="1" ht="25" customHeight="1" spans="1:10">
      <c r="A41" s="246" t="s">
        <v>2311</v>
      </c>
      <c r="B41" s="246"/>
      <c r="C41" s="246"/>
      <c r="D41" s="246"/>
      <c r="E41" s="246"/>
      <c r="F41" s="246"/>
      <c r="G41" s="246"/>
      <c r="H41" s="246"/>
      <c r="I41" s="247">
        <f>I39+I34+I25+I14+I3</f>
        <v>62631.9666666667</v>
      </c>
      <c r="J41" s="248" t="s">
        <v>2312</v>
      </c>
    </row>
    <row r="42" s="191" customFormat="1" ht="25" customHeight="1" spans="1:10">
      <c r="A42" s="246" t="s">
        <v>2313</v>
      </c>
      <c r="B42" s="246"/>
      <c r="C42" s="246"/>
      <c r="D42" s="246"/>
      <c r="E42" s="246"/>
      <c r="F42" s="246"/>
      <c r="G42" s="246"/>
      <c r="H42" s="246"/>
      <c r="I42" s="247">
        <f>I41*1.066</f>
        <v>66765.6764666667</v>
      </c>
      <c r="J42" s="249"/>
    </row>
    <row r="44" s="191" customFormat="1" ht="22" customHeight="1" spans="1:10">
      <c r="A44" s="246" t="s">
        <v>2311</v>
      </c>
      <c r="B44" s="246"/>
      <c r="C44" s="246"/>
      <c r="D44" s="246"/>
      <c r="E44" s="246"/>
      <c r="F44" s="246"/>
      <c r="G44" s="246"/>
      <c r="H44" s="246"/>
      <c r="I44" s="247">
        <f>I41*70%</f>
        <v>43842.3766666667</v>
      </c>
      <c r="J44" s="248" t="s">
        <v>2314</v>
      </c>
    </row>
    <row r="45" s="191" customFormat="1" ht="22" customHeight="1" spans="1:10">
      <c r="A45" s="246" t="s">
        <v>2313</v>
      </c>
      <c r="B45" s="246"/>
      <c r="C45" s="246"/>
      <c r="D45" s="246"/>
      <c r="E45" s="246"/>
      <c r="F45" s="246"/>
      <c r="G45" s="246"/>
      <c r="H45" s="246"/>
      <c r="I45" s="247">
        <f>I44*1.066</f>
        <v>46735.9735266667</v>
      </c>
      <c r="J45" s="249"/>
    </row>
    <row r="53" ht="33" customHeight="1"/>
    <row r="54" ht="33" customHeight="1"/>
  </sheetData>
  <mergeCells count="13">
    <mergeCell ref="L1:O1"/>
    <mergeCell ref="A41:H41"/>
    <mergeCell ref="A42:H42"/>
    <mergeCell ref="A44:H44"/>
    <mergeCell ref="A45:H45"/>
    <mergeCell ref="A1:A2"/>
    <mergeCell ref="B1:B2"/>
    <mergeCell ref="E1:E2"/>
    <mergeCell ref="F1:F2"/>
    <mergeCell ref="G1:G2"/>
    <mergeCell ref="H1:H2"/>
    <mergeCell ref="I1:I2"/>
    <mergeCell ref="J1:J2"/>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U42"/>
  <sheetViews>
    <sheetView zoomScale="55" zoomScaleNormal="55" topLeftCell="A4" workbookViewId="0">
      <selection activeCell="B31" sqref="B31"/>
    </sheetView>
  </sheetViews>
  <sheetFormatPr defaultColWidth="8.88888888888889" defaultRowHeight="13.8"/>
  <cols>
    <col min="1" max="1" width="6.44444444444444" style="191" customWidth="1"/>
    <col min="2" max="2" width="36.5555555555556" style="191" customWidth="1"/>
    <col min="3" max="17" width="12.6666666666667" style="191" customWidth="1"/>
    <col min="18" max="18" width="10.4444444444444" style="191" customWidth="1"/>
    <col min="19" max="19" width="9.11111111111111" style="191" customWidth="1"/>
    <col min="20" max="20" width="15.7777777777778" style="191" customWidth="1"/>
    <col min="21" max="21" width="40" style="191" customWidth="1"/>
    <col min="22" max="22" width="14.1111111111111" style="191"/>
    <col min="23" max="16384" width="8.88888888888889" style="191"/>
  </cols>
  <sheetData>
    <row r="1" s="191" customFormat="1" ht="31.2" spans="1:21">
      <c r="A1" s="192" t="s">
        <v>907</v>
      </c>
      <c r="B1" s="192" t="s">
        <v>968</v>
      </c>
      <c r="C1" s="193" t="s">
        <v>2292</v>
      </c>
      <c r="D1" s="193" t="s">
        <v>2293</v>
      </c>
      <c r="E1" s="193" t="s">
        <v>2315</v>
      </c>
      <c r="F1" s="193" t="s">
        <v>2316</v>
      </c>
      <c r="G1" s="193" t="s">
        <v>2317</v>
      </c>
      <c r="H1" s="193" t="s">
        <v>2318</v>
      </c>
      <c r="I1" s="193" t="s">
        <v>2319</v>
      </c>
      <c r="J1" s="193" t="s">
        <v>2320</v>
      </c>
      <c r="K1" s="193" t="s">
        <v>2321</v>
      </c>
      <c r="L1" s="193" t="s">
        <v>2322</v>
      </c>
      <c r="M1" s="193" t="s">
        <v>2323</v>
      </c>
      <c r="N1" s="193" t="s">
        <v>2324</v>
      </c>
      <c r="O1" s="193" t="s">
        <v>2325</v>
      </c>
      <c r="P1" s="193" t="s">
        <v>2326</v>
      </c>
      <c r="Q1" s="193" t="s">
        <v>2327</v>
      </c>
      <c r="R1" s="192" t="s">
        <v>969</v>
      </c>
      <c r="S1" s="192" t="s">
        <v>970</v>
      </c>
      <c r="T1" s="192" t="s">
        <v>2328</v>
      </c>
      <c r="U1" s="194" t="s">
        <v>747</v>
      </c>
    </row>
    <row r="2" s="191" customFormat="1" ht="15.6" spans="1:21">
      <c r="A2" s="195"/>
      <c r="B2" s="195"/>
      <c r="C2" s="193">
        <v>340</v>
      </c>
      <c r="D2" s="193">
        <v>650</v>
      </c>
      <c r="E2" s="193">
        <v>220</v>
      </c>
      <c r="F2" s="193">
        <v>600</v>
      </c>
      <c r="G2" s="193">
        <v>800</v>
      </c>
      <c r="H2" s="193">
        <v>300</v>
      </c>
      <c r="I2" s="193">
        <v>200</v>
      </c>
      <c r="J2" s="193">
        <v>360</v>
      </c>
      <c r="K2" s="193">
        <v>350</v>
      </c>
      <c r="L2" s="193">
        <v>650</v>
      </c>
      <c r="M2" s="193">
        <v>990</v>
      </c>
      <c r="N2" s="193">
        <v>500</v>
      </c>
      <c r="O2" s="193">
        <v>700</v>
      </c>
      <c r="P2" s="193">
        <v>400</v>
      </c>
      <c r="Q2" s="193">
        <v>450</v>
      </c>
      <c r="R2" s="195"/>
      <c r="S2" s="195"/>
      <c r="T2" s="195"/>
      <c r="U2" s="196"/>
    </row>
    <row r="3" s="191" customFormat="1" ht="55.2" spans="1:21">
      <c r="A3" s="197" t="s">
        <v>920</v>
      </c>
      <c r="B3" s="197" t="s">
        <v>2284</v>
      </c>
      <c r="C3" s="198"/>
      <c r="D3" s="198"/>
      <c r="E3" s="198"/>
      <c r="F3" s="198"/>
      <c r="G3" s="198"/>
      <c r="H3" s="198"/>
      <c r="I3" s="198"/>
      <c r="J3" s="198"/>
      <c r="K3" s="198"/>
      <c r="L3" s="198"/>
      <c r="M3" s="198"/>
      <c r="N3" s="198"/>
      <c r="O3" s="198"/>
      <c r="P3" s="198"/>
      <c r="Q3" s="198"/>
      <c r="R3" s="198"/>
      <c r="S3" s="199"/>
      <c r="T3" s="200">
        <f>SUM(T4:T8)</f>
        <v>15415</v>
      </c>
      <c r="U3" s="201" t="s">
        <v>2329</v>
      </c>
    </row>
    <row r="4" s="191" customFormat="1" ht="15" spans="1:21">
      <c r="A4" s="202" t="s">
        <v>171</v>
      </c>
      <c r="B4" s="202" t="s">
        <v>172</v>
      </c>
      <c r="C4" s="203">
        <f>(服务费底表!AC152+服务费底表!AC153)/服务费底表!P152</f>
        <v>19</v>
      </c>
      <c r="D4" s="203">
        <v>2</v>
      </c>
      <c r="E4" s="204"/>
      <c r="F4" s="204"/>
      <c r="G4" s="204"/>
      <c r="H4" s="204"/>
      <c r="I4" s="204"/>
      <c r="J4" s="204"/>
      <c r="K4" s="204"/>
      <c r="L4" s="204"/>
      <c r="M4" s="204"/>
      <c r="N4" s="204"/>
      <c r="O4" s="204"/>
      <c r="P4" s="204"/>
      <c r="Q4" s="204"/>
      <c r="R4" s="204">
        <v>1</v>
      </c>
      <c r="S4" s="202" t="s">
        <v>1178</v>
      </c>
      <c r="T4" s="205">
        <f>C4*$C$2+D4*$D$2+E4*$E$2+F4*$F$2+G4*$G$2+H4*$H$2+I4*$I$2+J4*$J$2+K4*$K$2+L4*$L$2+M4*$M$2+N4*$N$2+O4*$O$2+P4*$P$2+Q4*$Q$2</f>
        <v>7760</v>
      </c>
      <c r="U4" s="206"/>
    </row>
    <row r="5" s="191" customFormat="1" ht="15" spans="1:21">
      <c r="A5" s="202" t="s">
        <v>190</v>
      </c>
      <c r="B5" s="202" t="s">
        <v>191</v>
      </c>
      <c r="C5" s="203">
        <v>1</v>
      </c>
      <c r="D5" s="203">
        <v>0.5</v>
      </c>
      <c r="E5" s="204"/>
      <c r="F5" s="204"/>
      <c r="G5" s="204"/>
      <c r="H5" s="204"/>
      <c r="I5" s="204"/>
      <c r="J5" s="204"/>
      <c r="K5" s="204"/>
      <c r="L5" s="204"/>
      <c r="M5" s="204"/>
      <c r="N5" s="204"/>
      <c r="O5" s="204"/>
      <c r="P5" s="204"/>
      <c r="Q5" s="204"/>
      <c r="R5" s="204">
        <v>1</v>
      </c>
      <c r="S5" s="202" t="s">
        <v>1178</v>
      </c>
      <c r="T5" s="205">
        <f>C5*$C$2+D5*$D$2+E5*$E$2+F5*$F$2+G5*$G$2+H5*$H$2+I5*$I$2+J5*$J$2+K5*$K$2+L5*$L$2+M5*$M$2+N5*$N$2+O5*$O$2+P5*$P$2+Q5*$Q$2</f>
        <v>665</v>
      </c>
      <c r="U5" s="207" t="s">
        <v>2330</v>
      </c>
    </row>
    <row r="6" s="191" customFormat="1" ht="15" spans="1:21">
      <c r="A6" s="202" t="s">
        <v>192</v>
      </c>
      <c r="B6" s="202" t="s">
        <v>193</v>
      </c>
      <c r="C6" s="203">
        <v>1</v>
      </c>
      <c r="D6" s="203">
        <v>0.5</v>
      </c>
      <c r="E6" s="204"/>
      <c r="F6" s="204"/>
      <c r="G6" s="204"/>
      <c r="H6" s="204"/>
      <c r="I6" s="204"/>
      <c r="J6" s="204"/>
      <c r="K6" s="204"/>
      <c r="L6" s="204"/>
      <c r="M6" s="204"/>
      <c r="N6" s="204"/>
      <c r="O6" s="204"/>
      <c r="P6" s="204"/>
      <c r="Q6" s="204"/>
      <c r="R6" s="204">
        <v>1</v>
      </c>
      <c r="S6" s="202" t="s">
        <v>1178</v>
      </c>
      <c r="T6" s="205">
        <f>C6*$C$2+D6*$D$2+E6*$E$2+F6*$F$2+G6*$G$2+H6*$H$2+I6*$I$2+J6*$J$2+K6*$K$2+L6*$L$2+M6*$M$2+N6*$N$2+O6*$O$2+P6*$P$2+Q6*$Q$2</f>
        <v>665</v>
      </c>
      <c r="U6" s="207" t="s">
        <v>2331</v>
      </c>
    </row>
    <row r="7" s="191" customFormat="1" ht="15" spans="1:21">
      <c r="A7" s="202" t="s">
        <v>196</v>
      </c>
      <c r="B7" s="202" t="s">
        <v>197</v>
      </c>
      <c r="C7" s="204">
        <v>2</v>
      </c>
      <c r="D7" s="204">
        <v>0.5</v>
      </c>
      <c r="E7" s="204"/>
      <c r="F7" s="204"/>
      <c r="G7" s="204"/>
      <c r="H7" s="204"/>
      <c r="I7" s="204"/>
      <c r="J7" s="204"/>
      <c r="K7" s="204"/>
      <c r="L7" s="204"/>
      <c r="M7" s="204"/>
      <c r="N7" s="204"/>
      <c r="O7" s="204"/>
      <c r="P7" s="204"/>
      <c r="Q7" s="204"/>
      <c r="R7" s="204">
        <v>1</v>
      </c>
      <c r="S7" s="202" t="s">
        <v>1178</v>
      </c>
      <c r="T7" s="205">
        <f>C7*$C$2+D7*$D$2+E7*$E$2+F7*$F$2+G7*$G$2+H7*$H$2+I7*$I$2+J7*$J$2+K7*$K$2+L7*$L$2+M7*$M$2+N7*$N$2+O7*$O$2+P7*$P$2+Q7*$Q$2</f>
        <v>1005</v>
      </c>
      <c r="U7" s="208" t="s">
        <v>2332</v>
      </c>
    </row>
    <row r="8" s="191" customFormat="1" ht="15" spans="1:21">
      <c r="A8" s="202" t="s">
        <v>198</v>
      </c>
      <c r="B8" s="202" t="s">
        <v>199</v>
      </c>
      <c r="C8" s="203">
        <v>8</v>
      </c>
      <c r="D8" s="203">
        <v>4</v>
      </c>
      <c r="E8" s="204"/>
      <c r="F8" s="204"/>
      <c r="G8" s="204"/>
      <c r="H8" s="204"/>
      <c r="I8" s="204"/>
      <c r="J8" s="204"/>
      <c r="K8" s="204"/>
      <c r="L8" s="204"/>
      <c r="M8" s="204"/>
      <c r="N8" s="204"/>
      <c r="O8" s="204"/>
      <c r="P8" s="204"/>
      <c r="Q8" s="204"/>
      <c r="R8" s="204">
        <v>1</v>
      </c>
      <c r="S8" s="202" t="s">
        <v>1295</v>
      </c>
      <c r="T8" s="205">
        <f>C8*$C$2+D8*$D$2+E8*$E$2+F8*$F$2+G8*$G$2+H8*$H$2+I8*$I$2+J8*$J$2+K8*$K$2+L8*$L$2+M8*$M$2+N8*$N$2+O8*$O$2+P8*$P$2+Q8*$Q$2</f>
        <v>5320</v>
      </c>
      <c r="U8" s="206" t="s">
        <v>2333</v>
      </c>
    </row>
    <row r="9" s="191" customFormat="1" ht="15.6" spans="1:21">
      <c r="A9" s="197" t="s">
        <v>921</v>
      </c>
      <c r="B9" s="197" t="s">
        <v>570</v>
      </c>
      <c r="C9" s="197"/>
      <c r="D9" s="197"/>
      <c r="E9" s="197"/>
      <c r="F9" s="197"/>
      <c r="G9" s="197"/>
      <c r="H9" s="197"/>
      <c r="I9" s="197"/>
      <c r="J9" s="197"/>
      <c r="K9" s="197"/>
      <c r="L9" s="197"/>
      <c r="M9" s="197"/>
      <c r="N9" s="197"/>
      <c r="O9" s="197"/>
      <c r="P9" s="197"/>
      <c r="Q9" s="197"/>
      <c r="R9" s="198"/>
      <c r="S9" s="199"/>
      <c r="T9" s="200">
        <f>SUM(T10:T23)</f>
        <v>42695</v>
      </c>
      <c r="U9" s="209"/>
    </row>
    <row r="10" s="191" customFormat="1" ht="15" spans="1:21">
      <c r="A10" s="202" t="s">
        <v>217</v>
      </c>
      <c r="B10" s="202" t="s">
        <v>218</v>
      </c>
      <c r="C10" s="210">
        <v>16</v>
      </c>
      <c r="D10" s="210">
        <v>8</v>
      </c>
      <c r="E10" s="210">
        <v>24</v>
      </c>
      <c r="F10" s="166"/>
      <c r="G10" s="210">
        <v>3</v>
      </c>
      <c r="H10" s="204"/>
      <c r="I10" s="204"/>
      <c r="J10" s="204"/>
      <c r="K10" s="204"/>
      <c r="L10" s="204"/>
      <c r="M10" s="204"/>
      <c r="N10" s="204"/>
      <c r="O10" s="204"/>
      <c r="P10" s="204"/>
      <c r="Q10" s="204"/>
      <c r="R10" s="204">
        <v>1</v>
      </c>
      <c r="S10" s="202" t="s">
        <v>1220</v>
      </c>
      <c r="T10" s="205">
        <f t="shared" ref="T10:T23" si="0">C10*$C$2+D10*$D$2+E10*$E$2+F10*$F$2+G10*$G$2+H10*$H$2+I10*$I$2+J10*$J$2+K10*$K$2+L10*$L$2+M10*$M$2+N10*$N$2+O10*$O$2+P10*$P$2+Q10*$Q$2</f>
        <v>18320</v>
      </c>
      <c r="U10" s="206" t="s">
        <v>2334</v>
      </c>
    </row>
    <row r="11" s="191" customFormat="1" ht="15" spans="1:21">
      <c r="A11" s="202" t="s">
        <v>221</v>
      </c>
      <c r="B11" s="202" t="s">
        <v>222</v>
      </c>
      <c r="C11" s="204"/>
      <c r="D11" s="204">
        <v>2</v>
      </c>
      <c r="E11" s="204"/>
      <c r="F11" s="204"/>
      <c r="G11" s="204"/>
      <c r="H11" s="204"/>
      <c r="I11" s="204"/>
      <c r="J11" s="204"/>
      <c r="K11" s="204"/>
      <c r="L11" s="204"/>
      <c r="M11" s="204"/>
      <c r="N11" s="204"/>
      <c r="O11" s="204"/>
      <c r="P11" s="204"/>
      <c r="Q11" s="204"/>
      <c r="R11" s="204">
        <v>1</v>
      </c>
      <c r="S11" s="202" t="s">
        <v>1220</v>
      </c>
      <c r="T11" s="205">
        <f t="shared" si="0"/>
        <v>1300</v>
      </c>
      <c r="U11" s="209"/>
    </row>
    <row r="12" s="191" customFormat="1" ht="15" spans="1:21">
      <c r="A12" s="202" t="s">
        <v>223</v>
      </c>
      <c r="B12" s="202" t="s">
        <v>224</v>
      </c>
      <c r="C12" s="204"/>
      <c r="D12" s="204">
        <v>2</v>
      </c>
      <c r="E12" s="204"/>
      <c r="F12" s="204"/>
      <c r="G12" s="204"/>
      <c r="H12" s="204"/>
      <c r="I12" s="204"/>
      <c r="J12" s="204"/>
      <c r="K12" s="204"/>
      <c r="L12" s="204"/>
      <c r="M12" s="204"/>
      <c r="N12" s="204"/>
      <c r="O12" s="204"/>
      <c r="P12" s="204"/>
      <c r="Q12" s="204"/>
      <c r="R12" s="204">
        <v>1</v>
      </c>
      <c r="S12" s="202" t="s">
        <v>1220</v>
      </c>
      <c r="T12" s="205">
        <f t="shared" si="0"/>
        <v>1300</v>
      </c>
      <c r="U12" s="209"/>
    </row>
    <row r="13" s="191" customFormat="1" ht="15" spans="1:21">
      <c r="A13" s="202" t="s">
        <v>225</v>
      </c>
      <c r="B13" s="202" t="s">
        <v>226</v>
      </c>
      <c r="C13" s="204"/>
      <c r="D13" s="204">
        <v>2</v>
      </c>
      <c r="E13" s="204"/>
      <c r="F13" s="204"/>
      <c r="G13" s="204"/>
      <c r="H13" s="204"/>
      <c r="I13" s="204"/>
      <c r="J13" s="204"/>
      <c r="K13" s="204"/>
      <c r="L13" s="204"/>
      <c r="M13" s="204"/>
      <c r="N13" s="204"/>
      <c r="O13" s="204"/>
      <c r="P13" s="204"/>
      <c r="Q13" s="204"/>
      <c r="R13" s="204">
        <v>1</v>
      </c>
      <c r="S13" s="202" t="s">
        <v>1220</v>
      </c>
      <c r="T13" s="205">
        <f t="shared" si="0"/>
        <v>1300</v>
      </c>
      <c r="U13" s="209"/>
    </row>
    <row r="14" s="191" customFormat="1" ht="15" spans="1:21">
      <c r="A14" s="202" t="s">
        <v>227</v>
      </c>
      <c r="B14" s="202" t="s">
        <v>228</v>
      </c>
      <c r="C14" s="204"/>
      <c r="D14" s="204">
        <v>1</v>
      </c>
      <c r="E14" s="204"/>
      <c r="F14" s="204"/>
      <c r="G14" s="204"/>
      <c r="H14" s="204"/>
      <c r="I14" s="204"/>
      <c r="J14" s="204"/>
      <c r="K14" s="204"/>
      <c r="L14" s="204"/>
      <c r="M14" s="204"/>
      <c r="N14" s="204"/>
      <c r="O14" s="204"/>
      <c r="P14" s="204"/>
      <c r="Q14" s="204"/>
      <c r="R14" s="204">
        <v>1</v>
      </c>
      <c r="S14" s="202" t="s">
        <v>1220</v>
      </c>
      <c r="T14" s="205">
        <f t="shared" si="0"/>
        <v>650</v>
      </c>
      <c r="U14" s="209"/>
    </row>
    <row r="15" s="191" customFormat="1" ht="15" spans="1:21">
      <c r="A15" s="202" t="s">
        <v>229</v>
      </c>
      <c r="B15" s="202" t="s">
        <v>230</v>
      </c>
      <c r="C15" s="204"/>
      <c r="D15" s="204">
        <v>1</v>
      </c>
      <c r="E15" s="204"/>
      <c r="F15" s="204"/>
      <c r="G15" s="204"/>
      <c r="H15" s="204"/>
      <c r="I15" s="204"/>
      <c r="J15" s="204"/>
      <c r="K15" s="204"/>
      <c r="L15" s="204"/>
      <c r="M15" s="204"/>
      <c r="N15" s="204"/>
      <c r="O15" s="204"/>
      <c r="P15" s="204"/>
      <c r="Q15" s="204"/>
      <c r="R15" s="204">
        <v>1</v>
      </c>
      <c r="S15" s="202" t="s">
        <v>1220</v>
      </c>
      <c r="T15" s="205">
        <f t="shared" si="0"/>
        <v>650</v>
      </c>
      <c r="U15" s="209"/>
    </row>
    <row r="16" s="191" customFormat="1" ht="15" spans="1:21">
      <c r="A16" s="202" t="s">
        <v>233</v>
      </c>
      <c r="B16" s="202" t="s">
        <v>234</v>
      </c>
      <c r="C16" s="204"/>
      <c r="D16" s="204">
        <v>2</v>
      </c>
      <c r="E16" s="204"/>
      <c r="F16" s="204"/>
      <c r="G16" s="204"/>
      <c r="H16" s="204"/>
      <c r="I16" s="204"/>
      <c r="J16" s="204"/>
      <c r="K16" s="204"/>
      <c r="L16" s="204"/>
      <c r="M16" s="204"/>
      <c r="N16" s="204"/>
      <c r="O16" s="204"/>
      <c r="P16" s="204"/>
      <c r="Q16" s="204"/>
      <c r="R16" s="204">
        <v>1</v>
      </c>
      <c r="S16" s="202" t="s">
        <v>1220</v>
      </c>
      <c r="T16" s="205">
        <f t="shared" si="0"/>
        <v>1300</v>
      </c>
      <c r="U16" s="209"/>
    </row>
    <row r="17" s="191" customFormat="1" ht="15" spans="1:21">
      <c r="A17" s="202" t="s">
        <v>235</v>
      </c>
      <c r="B17" s="202" t="s">
        <v>236</v>
      </c>
      <c r="C17" s="204"/>
      <c r="D17" s="204">
        <v>2</v>
      </c>
      <c r="E17" s="204"/>
      <c r="F17" s="204"/>
      <c r="G17" s="204"/>
      <c r="H17" s="204"/>
      <c r="I17" s="204"/>
      <c r="J17" s="204"/>
      <c r="K17" s="204"/>
      <c r="L17" s="204"/>
      <c r="M17" s="204"/>
      <c r="N17" s="204"/>
      <c r="O17" s="204"/>
      <c r="P17" s="204"/>
      <c r="Q17" s="204"/>
      <c r="R17" s="204">
        <v>1</v>
      </c>
      <c r="S17" s="202" t="s">
        <v>1220</v>
      </c>
      <c r="T17" s="205">
        <f t="shared" si="0"/>
        <v>1300</v>
      </c>
      <c r="U17" s="209"/>
    </row>
    <row r="18" s="191" customFormat="1" ht="15" spans="1:21">
      <c r="A18" s="202" t="s">
        <v>237</v>
      </c>
      <c r="B18" s="202" t="s">
        <v>238</v>
      </c>
      <c r="C18" s="204"/>
      <c r="D18" s="204">
        <v>2</v>
      </c>
      <c r="E18" s="204">
        <v>1</v>
      </c>
      <c r="F18" s="204"/>
      <c r="G18" s="204">
        <v>1</v>
      </c>
      <c r="H18" s="204"/>
      <c r="I18" s="204"/>
      <c r="J18" s="204">
        <v>1</v>
      </c>
      <c r="K18" s="204"/>
      <c r="L18" s="204"/>
      <c r="M18" s="204"/>
      <c r="N18" s="204"/>
      <c r="O18" s="204"/>
      <c r="P18" s="204"/>
      <c r="Q18" s="204"/>
      <c r="R18" s="204">
        <v>1</v>
      </c>
      <c r="S18" s="202" t="s">
        <v>1178</v>
      </c>
      <c r="T18" s="205">
        <f t="shared" si="0"/>
        <v>2680</v>
      </c>
      <c r="U18" s="209"/>
    </row>
    <row r="19" s="191" customFormat="1" ht="15" spans="1:21">
      <c r="A19" s="202" t="s">
        <v>239</v>
      </c>
      <c r="B19" s="202" t="s">
        <v>240</v>
      </c>
      <c r="C19" s="204"/>
      <c r="D19" s="204">
        <v>2</v>
      </c>
      <c r="E19" s="204"/>
      <c r="F19" s="204"/>
      <c r="G19" s="204"/>
      <c r="H19" s="204"/>
      <c r="I19" s="204"/>
      <c r="J19" s="204"/>
      <c r="K19" s="204"/>
      <c r="L19" s="204"/>
      <c r="M19" s="204"/>
      <c r="N19" s="204"/>
      <c r="O19" s="204"/>
      <c r="P19" s="204"/>
      <c r="Q19" s="204"/>
      <c r="R19" s="204">
        <v>1</v>
      </c>
      <c r="S19" s="202" t="s">
        <v>1176</v>
      </c>
      <c r="T19" s="205">
        <f t="shared" si="0"/>
        <v>1300</v>
      </c>
      <c r="U19" s="209"/>
    </row>
    <row r="20" s="191" customFormat="1" ht="27.6" spans="1:21">
      <c r="A20" s="202" t="s">
        <v>243</v>
      </c>
      <c r="B20" s="202" t="s">
        <v>244</v>
      </c>
      <c r="C20" s="210">
        <f>1*8</f>
        <v>8</v>
      </c>
      <c r="D20" s="166">
        <v>4</v>
      </c>
      <c r="E20" s="166">
        <v>1</v>
      </c>
      <c r="F20" s="166">
        <v>0.5</v>
      </c>
      <c r="G20" s="166"/>
      <c r="H20" s="166"/>
      <c r="I20" s="166"/>
      <c r="J20" s="166">
        <v>0.5</v>
      </c>
      <c r="K20" s="166"/>
      <c r="L20" s="166">
        <v>0.5</v>
      </c>
      <c r="M20" s="166"/>
      <c r="N20" s="166">
        <v>0.5</v>
      </c>
      <c r="O20" s="166">
        <v>0.5</v>
      </c>
      <c r="P20" s="166">
        <v>0.5</v>
      </c>
      <c r="Q20" s="204"/>
      <c r="R20" s="204">
        <v>1</v>
      </c>
      <c r="S20" s="202" t="s">
        <v>1178</v>
      </c>
      <c r="T20" s="205">
        <f t="shared" si="0"/>
        <v>7145</v>
      </c>
      <c r="U20" s="211" t="s">
        <v>2335</v>
      </c>
    </row>
    <row r="21" s="191" customFormat="1" ht="15" spans="1:21">
      <c r="A21" s="202" t="s">
        <v>1026</v>
      </c>
      <c r="B21" s="202" t="s">
        <v>2303</v>
      </c>
      <c r="C21" s="204"/>
      <c r="D21" s="203">
        <v>2</v>
      </c>
      <c r="E21" s="204"/>
      <c r="F21" s="204"/>
      <c r="G21" s="204"/>
      <c r="H21" s="204"/>
      <c r="I21" s="204"/>
      <c r="J21" s="204"/>
      <c r="K21" s="204"/>
      <c r="L21" s="204"/>
      <c r="M21" s="204"/>
      <c r="N21" s="204"/>
      <c r="O21" s="204"/>
      <c r="P21" s="204"/>
      <c r="Q21" s="204"/>
      <c r="R21" s="204">
        <v>1</v>
      </c>
      <c r="S21" s="202" t="s">
        <v>1295</v>
      </c>
      <c r="T21" s="205">
        <f t="shared" si="0"/>
        <v>1300</v>
      </c>
      <c r="U21" s="206" t="s">
        <v>2333</v>
      </c>
    </row>
    <row r="22" s="191" customFormat="1" ht="15" spans="1:21">
      <c r="A22" s="202" t="s">
        <v>1027</v>
      </c>
      <c r="B22" s="202" t="s">
        <v>2304</v>
      </c>
      <c r="C22" s="204"/>
      <c r="D22" s="204">
        <v>4</v>
      </c>
      <c r="E22" s="204"/>
      <c r="F22" s="204"/>
      <c r="G22" s="204"/>
      <c r="H22" s="204"/>
      <c r="I22" s="204"/>
      <c r="J22" s="204"/>
      <c r="K22" s="204"/>
      <c r="L22" s="204"/>
      <c r="M22" s="204"/>
      <c r="N22" s="204"/>
      <c r="O22" s="204"/>
      <c r="P22" s="204"/>
      <c r="Q22" s="204"/>
      <c r="R22" s="204">
        <v>1</v>
      </c>
      <c r="S22" s="202" t="s">
        <v>1220</v>
      </c>
      <c r="T22" s="205">
        <f t="shared" si="0"/>
        <v>2600</v>
      </c>
      <c r="U22" s="209"/>
    </row>
    <row r="23" s="191" customFormat="1" ht="15" spans="1:21">
      <c r="A23" s="202" t="s">
        <v>245</v>
      </c>
      <c r="B23" s="202" t="s">
        <v>246</v>
      </c>
      <c r="C23" s="203">
        <f>1*项目参数!C51</f>
        <v>2</v>
      </c>
      <c r="D23" s="204">
        <v>1</v>
      </c>
      <c r="E23" s="204">
        <v>1</v>
      </c>
      <c r="F23" s="204"/>
      <c r="G23" s="204"/>
      <c r="H23" s="204"/>
      <c r="I23" s="204"/>
      <c r="J23" s="204"/>
      <c r="K23" s="204"/>
      <c r="L23" s="204"/>
      <c r="M23" s="204"/>
      <c r="N23" s="204"/>
      <c r="O23" s="204"/>
      <c r="P23" s="204"/>
      <c r="Q23" s="204"/>
      <c r="R23" s="204">
        <v>1</v>
      </c>
      <c r="S23" s="202" t="s">
        <v>1178</v>
      </c>
      <c r="T23" s="205">
        <f t="shared" si="0"/>
        <v>1550</v>
      </c>
      <c r="U23" s="206"/>
    </row>
    <row r="24" s="191" customFormat="1" ht="15.6" spans="1:21">
      <c r="A24" s="197" t="s">
        <v>922</v>
      </c>
      <c r="B24" s="197" t="s">
        <v>579</v>
      </c>
      <c r="C24" s="197"/>
      <c r="D24" s="197"/>
      <c r="E24" s="197"/>
      <c r="F24" s="197"/>
      <c r="G24" s="197"/>
      <c r="H24" s="197"/>
      <c r="I24" s="197"/>
      <c r="J24" s="197"/>
      <c r="K24" s="197"/>
      <c r="L24" s="197"/>
      <c r="M24" s="197"/>
      <c r="N24" s="197"/>
      <c r="O24" s="197"/>
      <c r="P24" s="197"/>
      <c r="Q24" s="197"/>
      <c r="R24" s="198"/>
      <c r="S24" s="199"/>
      <c r="T24" s="200">
        <f>SUM(T25:T30)</f>
        <v>12140</v>
      </c>
      <c r="U24" s="209"/>
    </row>
    <row r="25" s="191" customFormat="1" ht="15" spans="1:21">
      <c r="A25" s="202" t="s">
        <v>253</v>
      </c>
      <c r="B25" s="202" t="s">
        <v>254</v>
      </c>
      <c r="C25" s="204"/>
      <c r="D25" s="204"/>
      <c r="E25" s="204"/>
      <c r="F25" s="204"/>
      <c r="G25" s="204"/>
      <c r="H25" s="204"/>
      <c r="I25" s="204"/>
      <c r="J25" s="204"/>
      <c r="K25" s="204">
        <v>2</v>
      </c>
      <c r="L25" s="204">
        <v>3</v>
      </c>
      <c r="M25" s="204">
        <v>1</v>
      </c>
      <c r="N25" s="204"/>
      <c r="O25" s="204"/>
      <c r="P25" s="204"/>
      <c r="Q25" s="204"/>
      <c r="R25" s="204">
        <v>1</v>
      </c>
      <c r="S25" s="202" t="s">
        <v>1220</v>
      </c>
      <c r="T25" s="205">
        <f t="shared" ref="T25:T30" si="1">C25*$C$2+D25*$D$2+E25*$E$2+F25*$F$2+G25*$G$2+H25*$H$2+I25*$I$2+J25*$J$2+K25*$K$2+L25*$L$2+M25*$M$2+N25*$N$2+O25*$O$2+P25*$P$2+Q25*$Q$2</f>
        <v>3640</v>
      </c>
      <c r="U25" s="212" t="s">
        <v>2336</v>
      </c>
    </row>
    <row r="26" s="191" customFormat="1" ht="15" spans="1:21">
      <c r="A26" s="202" t="s">
        <v>259</v>
      </c>
      <c r="B26" s="202" t="s">
        <v>260</v>
      </c>
      <c r="C26" s="204"/>
      <c r="D26" s="204"/>
      <c r="E26" s="204"/>
      <c r="F26" s="204"/>
      <c r="G26" s="204"/>
      <c r="H26" s="204"/>
      <c r="I26" s="204"/>
      <c r="J26" s="204"/>
      <c r="K26" s="204"/>
      <c r="L26" s="204">
        <v>3</v>
      </c>
      <c r="M26" s="204">
        <v>1</v>
      </c>
      <c r="N26" s="204"/>
      <c r="O26" s="204"/>
      <c r="P26" s="204"/>
      <c r="Q26" s="204"/>
      <c r="R26" s="204">
        <v>1</v>
      </c>
      <c r="S26" s="202" t="s">
        <v>1220</v>
      </c>
      <c r="T26" s="205">
        <f t="shared" si="1"/>
        <v>2940</v>
      </c>
      <c r="U26" s="213"/>
    </row>
    <row r="27" s="191" customFormat="1" ht="15" spans="1:21">
      <c r="A27" s="202" t="s">
        <v>261</v>
      </c>
      <c r="B27" s="202" t="s">
        <v>262</v>
      </c>
      <c r="C27" s="204"/>
      <c r="D27" s="204"/>
      <c r="E27" s="204"/>
      <c r="F27" s="204"/>
      <c r="G27" s="204"/>
      <c r="H27" s="204"/>
      <c r="I27" s="204"/>
      <c r="J27" s="204"/>
      <c r="K27" s="204">
        <v>0.5</v>
      </c>
      <c r="L27" s="204">
        <v>0.5</v>
      </c>
      <c r="M27" s="204">
        <v>0.5</v>
      </c>
      <c r="N27" s="204"/>
      <c r="O27" s="204"/>
      <c r="P27" s="204"/>
      <c r="Q27" s="204"/>
      <c r="R27" s="204">
        <v>1</v>
      </c>
      <c r="S27" s="202" t="s">
        <v>1220</v>
      </c>
      <c r="T27" s="205">
        <f t="shared" si="1"/>
        <v>995</v>
      </c>
      <c r="U27" s="213"/>
    </row>
    <row r="28" s="191" customFormat="1" ht="15" spans="1:21">
      <c r="A28" s="202" t="s">
        <v>263</v>
      </c>
      <c r="B28" s="202" t="s">
        <v>264</v>
      </c>
      <c r="C28" s="204"/>
      <c r="D28" s="204"/>
      <c r="E28" s="204"/>
      <c r="F28" s="204"/>
      <c r="G28" s="204"/>
      <c r="H28" s="204"/>
      <c r="I28" s="204"/>
      <c r="J28" s="204"/>
      <c r="K28" s="204"/>
      <c r="L28" s="204">
        <v>2</v>
      </c>
      <c r="M28" s="204">
        <v>0.5</v>
      </c>
      <c r="N28" s="204"/>
      <c r="O28" s="204"/>
      <c r="P28" s="204"/>
      <c r="Q28" s="204"/>
      <c r="R28" s="204">
        <v>1</v>
      </c>
      <c r="S28" s="202" t="s">
        <v>1220</v>
      </c>
      <c r="T28" s="205">
        <f t="shared" si="1"/>
        <v>1795</v>
      </c>
      <c r="U28" s="213"/>
    </row>
    <row r="29" s="191" customFormat="1" ht="15" spans="1:21">
      <c r="A29" s="202" t="s">
        <v>265</v>
      </c>
      <c r="B29" s="202" t="s">
        <v>266</v>
      </c>
      <c r="C29" s="204"/>
      <c r="D29" s="204"/>
      <c r="E29" s="204"/>
      <c r="F29" s="204"/>
      <c r="G29" s="204"/>
      <c r="H29" s="204"/>
      <c r="I29" s="204"/>
      <c r="J29" s="204"/>
      <c r="K29" s="204"/>
      <c r="L29" s="204">
        <v>2</v>
      </c>
      <c r="M29" s="204">
        <v>0.5</v>
      </c>
      <c r="N29" s="204"/>
      <c r="O29" s="204"/>
      <c r="P29" s="204"/>
      <c r="Q29" s="204"/>
      <c r="R29" s="204">
        <v>1</v>
      </c>
      <c r="S29" s="202" t="s">
        <v>1220</v>
      </c>
      <c r="T29" s="205">
        <f t="shared" si="1"/>
        <v>1795</v>
      </c>
      <c r="U29" s="214"/>
    </row>
    <row r="30" s="191" customFormat="1" ht="15" spans="1:21">
      <c r="A30" s="202" t="s">
        <v>273</v>
      </c>
      <c r="B30" s="202" t="s">
        <v>274</v>
      </c>
      <c r="C30" s="204"/>
      <c r="D30" s="204"/>
      <c r="E30" s="204"/>
      <c r="F30" s="204"/>
      <c r="G30" s="204"/>
      <c r="H30" s="204"/>
      <c r="I30" s="204"/>
      <c r="J30" s="204"/>
      <c r="K30" s="204"/>
      <c r="L30" s="204">
        <v>1.5</v>
      </c>
      <c r="M30" s="204"/>
      <c r="N30" s="204"/>
      <c r="O30" s="204"/>
      <c r="P30" s="204"/>
      <c r="Q30" s="204"/>
      <c r="R30" s="204">
        <v>1</v>
      </c>
      <c r="S30" s="202" t="s">
        <v>1220</v>
      </c>
      <c r="T30" s="205">
        <f t="shared" si="1"/>
        <v>975</v>
      </c>
      <c r="U30" s="209"/>
    </row>
    <row r="31" s="191" customFormat="1" ht="15.6" spans="1:21">
      <c r="A31" s="197" t="s">
        <v>923</v>
      </c>
      <c r="B31" s="197" t="s">
        <v>573</v>
      </c>
      <c r="C31" s="197"/>
      <c r="D31" s="197"/>
      <c r="E31" s="197"/>
      <c r="F31" s="197"/>
      <c r="G31" s="197"/>
      <c r="H31" s="197"/>
      <c r="I31" s="197"/>
      <c r="J31" s="197"/>
      <c r="K31" s="197"/>
      <c r="L31" s="197"/>
      <c r="M31" s="197"/>
      <c r="N31" s="197"/>
      <c r="O31" s="197"/>
      <c r="P31" s="197"/>
      <c r="Q31" s="197"/>
      <c r="R31" s="198"/>
      <c r="S31" s="199"/>
      <c r="T31" s="200">
        <f>SUM(T32:T34)</f>
        <v>4460</v>
      </c>
      <c r="U31" s="209"/>
    </row>
    <row r="32" s="191" customFormat="1" ht="15" spans="1:21">
      <c r="A32" s="89" t="s">
        <v>1067</v>
      </c>
      <c r="B32" s="89" t="s">
        <v>2337</v>
      </c>
      <c r="C32" s="204"/>
      <c r="D32" s="204"/>
      <c r="E32" s="204"/>
      <c r="F32" s="204"/>
      <c r="G32" s="204"/>
      <c r="H32" s="166">
        <v>1</v>
      </c>
      <c r="I32" s="204"/>
      <c r="J32" s="204"/>
      <c r="K32" s="204"/>
      <c r="L32" s="204"/>
      <c r="M32" s="204"/>
      <c r="N32" s="204"/>
      <c r="O32" s="204"/>
      <c r="P32" s="204"/>
      <c r="Q32" s="204"/>
      <c r="R32" s="204">
        <v>1</v>
      </c>
      <c r="S32" s="202" t="s">
        <v>1220</v>
      </c>
      <c r="T32" s="205">
        <f t="shared" ref="T32:T34" si="2">C32*$C$2+D32*$D$2+E32*$E$2+F32*$F$2+G32*$G$2+H32*$H$2+I32*$I$2+J32*$J$2+K32*$K$2+L32*$L$2+M32*$M$2+N32*$N$2+O32*$O$2+P32*$P$2+Q32*$Q$2</f>
        <v>300</v>
      </c>
      <c r="U32" s="209"/>
    </row>
    <row r="33" s="191" customFormat="1" ht="15" spans="1:21">
      <c r="A33" s="89" t="s">
        <v>1068</v>
      </c>
      <c r="B33" s="89" t="s">
        <v>2338</v>
      </c>
      <c r="C33" s="204"/>
      <c r="D33" s="204"/>
      <c r="E33" s="204"/>
      <c r="F33" s="204"/>
      <c r="G33" s="204"/>
      <c r="H33" s="166">
        <v>4</v>
      </c>
      <c r="I33" s="204"/>
      <c r="J33" s="204"/>
      <c r="K33" s="204"/>
      <c r="L33" s="204"/>
      <c r="M33" s="204"/>
      <c r="N33" s="204"/>
      <c r="O33" s="204"/>
      <c r="P33" s="166">
        <v>2</v>
      </c>
      <c r="Q33" s="204"/>
      <c r="R33" s="204">
        <v>1</v>
      </c>
      <c r="S33" s="202" t="s">
        <v>1220</v>
      </c>
      <c r="T33" s="205">
        <f t="shared" si="2"/>
        <v>2000</v>
      </c>
      <c r="U33" s="209"/>
    </row>
    <row r="34" s="191" customFormat="1" ht="15" spans="1:21">
      <c r="A34" s="202" t="s">
        <v>309</v>
      </c>
      <c r="B34" s="202" t="s">
        <v>310</v>
      </c>
      <c r="C34" s="204"/>
      <c r="D34" s="204"/>
      <c r="E34" s="204"/>
      <c r="F34" s="204"/>
      <c r="G34" s="204"/>
      <c r="H34" s="204"/>
      <c r="I34" s="204"/>
      <c r="J34" s="204">
        <v>6</v>
      </c>
      <c r="K34" s="204"/>
      <c r="L34" s="204"/>
      <c r="M34" s="204"/>
      <c r="N34" s="204"/>
      <c r="O34" s="204"/>
      <c r="P34" s="204"/>
      <c r="Q34" s="204"/>
      <c r="R34" s="204">
        <v>1</v>
      </c>
      <c r="S34" s="202" t="s">
        <v>1220</v>
      </c>
      <c r="T34" s="205">
        <f t="shared" si="2"/>
        <v>2160</v>
      </c>
      <c r="U34" s="209"/>
    </row>
    <row r="35" s="191" customFormat="1" ht="15.6" spans="1:21">
      <c r="A35" s="197" t="s">
        <v>924</v>
      </c>
      <c r="B35" s="197" t="s">
        <v>634</v>
      </c>
      <c r="C35" s="197"/>
      <c r="D35" s="197"/>
      <c r="E35" s="197"/>
      <c r="F35" s="197"/>
      <c r="G35" s="197"/>
      <c r="H35" s="197"/>
      <c r="I35" s="197"/>
      <c r="J35" s="197"/>
      <c r="K35" s="197"/>
      <c r="L35" s="197"/>
      <c r="M35" s="197"/>
      <c r="N35" s="197"/>
      <c r="O35" s="197"/>
      <c r="P35" s="197"/>
      <c r="Q35" s="197"/>
      <c r="R35" s="198"/>
      <c r="S35" s="199"/>
      <c r="T35" s="200">
        <f>SUM(T36)</f>
        <v>825</v>
      </c>
      <c r="U35" s="209"/>
    </row>
    <row r="36" s="191" customFormat="1" ht="15" spans="1:21">
      <c r="A36" s="202" t="s">
        <v>345</v>
      </c>
      <c r="B36" s="202" t="s">
        <v>346</v>
      </c>
      <c r="C36" s="202"/>
      <c r="D36" s="202"/>
      <c r="E36" s="202"/>
      <c r="F36" s="202"/>
      <c r="G36" s="202"/>
      <c r="H36" s="202"/>
      <c r="I36" s="202"/>
      <c r="J36" s="202"/>
      <c r="K36" s="202"/>
      <c r="L36" s="202"/>
      <c r="M36" s="202"/>
      <c r="N36" s="202"/>
      <c r="O36" s="202"/>
      <c r="P36" s="204">
        <v>1.5</v>
      </c>
      <c r="Q36" s="204">
        <v>0.5</v>
      </c>
      <c r="R36" s="204">
        <v>1</v>
      </c>
      <c r="S36" s="202" t="s">
        <v>1220</v>
      </c>
      <c r="T36" s="205">
        <f t="shared" ref="T36:T40" si="3">C36*$C$2+D36*$D$2+E36*$E$2+F36*$F$2+G36*$G$2+H36*$H$2+I36*$I$2+J36*$J$2+K36*$K$2+L36*$L$2+M36*$M$2+N36*$N$2+O36*$O$2+P36*$P$2+Q36*$Q$2</f>
        <v>825</v>
      </c>
      <c r="U36" s="209"/>
    </row>
    <row r="37" s="191" customFormat="1" ht="15.6" spans="1:21">
      <c r="A37" s="197" t="s">
        <v>925</v>
      </c>
      <c r="B37" s="197" t="s">
        <v>568</v>
      </c>
      <c r="C37" s="197"/>
      <c r="D37" s="197"/>
      <c r="E37" s="197"/>
      <c r="F37" s="197"/>
      <c r="G37" s="197"/>
      <c r="H37" s="197"/>
      <c r="I37" s="197"/>
      <c r="J37" s="197"/>
      <c r="K37" s="197"/>
      <c r="L37" s="197"/>
      <c r="M37" s="197"/>
      <c r="N37" s="197"/>
      <c r="O37" s="197"/>
      <c r="P37" s="197"/>
      <c r="Q37" s="197"/>
      <c r="R37" s="198"/>
      <c r="S37" s="199"/>
      <c r="T37" s="200">
        <f>T38</f>
        <v>175</v>
      </c>
      <c r="U37" s="209"/>
    </row>
    <row r="38" s="191" customFormat="1" ht="15" spans="1:21">
      <c r="A38" s="202" t="s">
        <v>363</v>
      </c>
      <c r="B38" s="202" t="s">
        <v>364</v>
      </c>
      <c r="C38" s="202"/>
      <c r="D38" s="202"/>
      <c r="E38" s="202"/>
      <c r="F38" s="202"/>
      <c r="G38" s="202"/>
      <c r="H38" s="202"/>
      <c r="I38" s="202"/>
      <c r="J38" s="202"/>
      <c r="K38" s="202"/>
      <c r="L38" s="202"/>
      <c r="M38" s="202"/>
      <c r="N38" s="202"/>
      <c r="O38" s="204">
        <v>0.25</v>
      </c>
      <c r="P38" s="204"/>
      <c r="Q38" s="204"/>
      <c r="R38" s="204">
        <v>1</v>
      </c>
      <c r="S38" s="202" t="s">
        <v>1220</v>
      </c>
      <c r="T38" s="205">
        <f t="shared" si="3"/>
        <v>175</v>
      </c>
      <c r="U38" s="209"/>
    </row>
    <row r="39" s="191" customFormat="1" ht="15.6" spans="1:21">
      <c r="A39" s="197" t="s">
        <v>926</v>
      </c>
      <c r="B39" s="197" t="s">
        <v>2310</v>
      </c>
      <c r="C39" s="197"/>
      <c r="D39" s="197"/>
      <c r="E39" s="197"/>
      <c r="F39" s="197"/>
      <c r="G39" s="197"/>
      <c r="H39" s="197"/>
      <c r="I39" s="197"/>
      <c r="J39" s="197"/>
      <c r="K39" s="197"/>
      <c r="L39" s="197"/>
      <c r="M39" s="197"/>
      <c r="N39" s="197"/>
      <c r="O39" s="197"/>
      <c r="P39" s="197"/>
      <c r="Q39" s="197"/>
      <c r="R39" s="198"/>
      <c r="S39" s="199"/>
      <c r="T39" s="200">
        <f>T40</f>
        <v>500</v>
      </c>
      <c r="U39" s="209"/>
    </row>
    <row r="40" s="191" customFormat="1" ht="15" spans="1:21">
      <c r="A40" s="215" t="s">
        <v>402</v>
      </c>
      <c r="B40" s="215" t="s">
        <v>403</v>
      </c>
      <c r="C40" s="215"/>
      <c r="D40" s="215"/>
      <c r="E40" s="215"/>
      <c r="F40" s="215"/>
      <c r="G40" s="215"/>
      <c r="H40" s="215"/>
      <c r="I40" s="215"/>
      <c r="J40" s="215"/>
      <c r="K40" s="215"/>
      <c r="L40" s="215"/>
      <c r="M40" s="215"/>
      <c r="N40" s="216">
        <v>1</v>
      </c>
      <c r="O40" s="216"/>
      <c r="P40" s="216"/>
      <c r="Q40" s="216"/>
      <c r="R40" s="216">
        <v>1</v>
      </c>
      <c r="S40" s="215" t="s">
        <v>1220</v>
      </c>
      <c r="T40" s="205">
        <f t="shared" si="3"/>
        <v>500</v>
      </c>
      <c r="U40" s="209"/>
    </row>
    <row r="41" s="191" customFormat="1" ht="25" customHeight="1" spans="1:21">
      <c r="A41" s="217" t="s">
        <v>2339</v>
      </c>
      <c r="B41" s="217"/>
      <c r="C41" s="217"/>
      <c r="D41" s="217"/>
      <c r="E41" s="217"/>
      <c r="F41" s="217"/>
      <c r="G41" s="217"/>
      <c r="H41" s="217"/>
      <c r="I41" s="217"/>
      <c r="J41" s="217"/>
      <c r="K41" s="217"/>
      <c r="L41" s="217"/>
      <c r="M41" s="217"/>
      <c r="N41" s="217"/>
      <c r="O41" s="217"/>
      <c r="P41" s="217"/>
      <c r="Q41" s="217"/>
      <c r="R41" s="217"/>
      <c r="S41" s="217"/>
      <c r="T41" s="218">
        <f>T39+T37+T35+T31+T24+T9+T3</f>
        <v>76210</v>
      </c>
      <c r="U41" s="219" t="s">
        <v>2340</v>
      </c>
    </row>
    <row r="42" s="191" customFormat="1" ht="25" customHeight="1" spans="1:21">
      <c r="A42" s="217" t="s">
        <v>2341</v>
      </c>
      <c r="B42" s="217"/>
      <c r="C42" s="217"/>
      <c r="D42" s="217"/>
      <c r="E42" s="217"/>
      <c r="F42" s="217"/>
      <c r="G42" s="217"/>
      <c r="H42" s="217"/>
      <c r="I42" s="217"/>
      <c r="J42" s="217"/>
      <c r="K42" s="217"/>
      <c r="L42" s="217"/>
      <c r="M42" s="217"/>
      <c r="N42" s="217"/>
      <c r="O42" s="217"/>
      <c r="P42" s="217"/>
      <c r="Q42" s="217"/>
      <c r="R42" s="217"/>
      <c r="S42" s="217"/>
      <c r="T42" s="218">
        <f>T41*1.066</f>
        <v>81239.86</v>
      </c>
      <c r="U42" s="209"/>
    </row>
  </sheetData>
  <mergeCells count="9">
    <mergeCell ref="A41:S41"/>
    <mergeCell ref="A42:S42"/>
    <mergeCell ref="A1:A2"/>
    <mergeCell ref="B1:B2"/>
    <mergeCell ref="R1:R2"/>
    <mergeCell ref="S1:S2"/>
    <mergeCell ref="T1:T2"/>
    <mergeCell ref="U1:U2"/>
    <mergeCell ref="U25:U29"/>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14">
    <tabColor rgb="FFC00000"/>
  </sheetPr>
  <dimension ref="A1:Q870"/>
  <sheetViews>
    <sheetView zoomScale="85" zoomScaleNormal="85" workbookViewId="0">
      <selection activeCell="B31" sqref="B31"/>
    </sheetView>
  </sheetViews>
  <sheetFormatPr defaultColWidth="8.88888888888889" defaultRowHeight="15.6"/>
  <cols>
    <col min="1" max="1" width="58.5555555555556" style="168" customWidth="1"/>
    <col min="2" max="2" width="13.7777777777778" style="169" customWidth="1"/>
    <col min="3" max="3" width="8.88888888888889" style="169"/>
    <col min="4" max="5" width="17.1111111111111" style="169" customWidth="1"/>
    <col min="6" max="6" width="13.2222222222222" style="169" customWidth="1"/>
    <col min="7" max="7" width="14.6666666666667" style="169" customWidth="1"/>
    <col min="8" max="8" width="42.4444444444444" style="168" customWidth="1"/>
    <col min="9" max="9" width="11.2222222222222" style="169" customWidth="1"/>
    <col min="10" max="10" width="10.6666666666667" style="169" customWidth="1"/>
    <col min="11" max="11" width="19.4444444444444" style="169" customWidth="1"/>
    <col min="12" max="12" width="14.8888888888889" style="170" customWidth="1"/>
    <col min="13" max="13" width="17.1111111111111" style="171" customWidth="1"/>
    <col min="14" max="14" width="8.88888888888889" style="169"/>
    <col min="15" max="15" width="14.6666666666667" style="169" customWidth="1"/>
    <col min="16" max="16384" width="8.88888888888889" style="169"/>
  </cols>
  <sheetData>
    <row r="1" ht="41.4" customHeight="1" spans="1:15">
      <c r="A1" s="172" t="s">
        <v>2342</v>
      </c>
      <c r="B1" s="173" t="s">
        <v>1174</v>
      </c>
      <c r="D1" s="174" t="s">
        <v>2343</v>
      </c>
      <c r="E1" s="174" t="s">
        <v>1174</v>
      </c>
      <c r="F1" s="175" t="s">
        <v>677</v>
      </c>
      <c r="G1" s="175" t="s">
        <v>2344</v>
      </c>
      <c r="H1" s="176" t="s">
        <v>2345</v>
      </c>
      <c r="I1" s="175" t="s">
        <v>2346</v>
      </c>
      <c r="J1" s="175" t="s">
        <v>1145</v>
      </c>
      <c r="K1" s="175" t="s">
        <v>2347</v>
      </c>
      <c r="L1" s="177" t="s">
        <v>1167</v>
      </c>
      <c r="M1" s="178" t="s">
        <v>2348</v>
      </c>
      <c r="O1" s="179" t="str">
        <f>IF($O$2=0,"总数一致","总数有差")</f>
        <v>总数有差</v>
      </c>
    </row>
    <row r="2" ht="16.35" spans="1:15">
      <c r="A2" s="180" t="s">
        <v>2349</v>
      </c>
      <c r="B2" s="173"/>
      <c r="D2" s="181"/>
      <c r="E2" s="182" t="s">
        <v>2350</v>
      </c>
      <c r="F2" s="182" t="s">
        <v>2351</v>
      </c>
      <c r="G2" s="173" t="str">
        <f>INDEX(服务费底表!$K:$K,MATCH('SOW-ERP导入表'!$E2,服务费底表!$D:$D,0))</f>
        <v>A001</v>
      </c>
      <c r="H2" s="183" t="str">
        <f>INDEX(服务费底表!L:L,MATCH('SOW-ERP导入表'!$E2,服务费底表!$D:$D,0))</f>
        <v>方案撰写</v>
      </c>
      <c r="I2" s="173" t="str">
        <f>INDEX(服务费底表!$T:$T,MATCH('SOW-ERP导入表'!$E2,服务费底表!$D:$D,0))</f>
        <v>MM</v>
      </c>
      <c r="J2" s="184">
        <f>SUMIF(服务费底表!$D:$D,E2,服务费底表!$AC:$AC)+SUMIF(注册申报底表!$D:$D,'SOW-ERP导入表'!E2,注册申报底表!$Z:$Z)</f>
        <v>80</v>
      </c>
      <c r="K2" s="173">
        <f>IFERROR(INDEX(服务费底表!$C:$C,MATCH('SOW-ERP导入表'!$E2,服务费底表!$D:$D,0)),0)+IFERROR(INDEX(注册申报底表!$C:$C,MATCH('SOW-ERP导入表'!$E2,注册申报底表!$D:$D,0)),0)</f>
        <v>1</v>
      </c>
      <c r="L2" s="185">
        <f>IFERROR(M2/K2,0)</f>
        <v>52000</v>
      </c>
      <c r="M2" s="184">
        <f>SUMIF(服务费底表!$D:$D,E2,服务费底表!$AG:$AG)+SUMIF(注册申报底表!$D:$D,'SOW-ERP导入表'!E2,注册申报底表!$AD:$AD)</f>
        <v>52000</v>
      </c>
      <c r="O2" s="186">
        <f>SUM(M:M)-费用摘要!$F$36</f>
        <v>-642724</v>
      </c>
    </row>
    <row r="3" spans="1:15">
      <c r="A3" s="180" t="s">
        <v>2352</v>
      </c>
      <c r="B3" s="173"/>
      <c r="D3" s="181"/>
      <c r="E3" s="182" t="s">
        <v>2353</v>
      </c>
      <c r="F3" s="173" t="str">
        <f>$F$2</f>
        <v>请填写</v>
      </c>
      <c r="G3" s="173" t="e">
        <f>INDEX(服务费底表!$K:$K,MATCH('SOW-ERP导入表'!$E3,服务费底表!$D:$D,0))</f>
        <v>#N/A</v>
      </c>
      <c r="H3" s="183" t="e">
        <f>INDEX(服务费底表!L:L,MATCH('SOW-ERP导入表'!$E3,服务费底表!$D:$D,0))</f>
        <v>#N/A</v>
      </c>
      <c r="I3" s="173" t="e">
        <f>INDEX(服务费底表!$T:$T,MATCH('SOW-ERP导入表'!$E3,服务费底表!$D:$D,0))</f>
        <v>#N/A</v>
      </c>
      <c r="J3" s="184">
        <f>SUMIF(服务费底表!$D:$D,E3,服务费底表!$AC:$AC)+SUMIF(注册申报底表!$D:$D,'SOW-ERP导入表'!E3,注册申报底表!$Z:$Z)</f>
        <v>0</v>
      </c>
      <c r="K3" s="173">
        <f>IFERROR(INDEX(服务费底表!$C:$C,MATCH('SOW-ERP导入表'!$E3,服务费底表!$D:$D,0)),0)+IFERROR(INDEX(注册申报底表!$C:$C,MATCH('SOW-ERP导入表'!$E3,注册申报底表!$D:$D,0)),0)</f>
        <v>0</v>
      </c>
      <c r="L3" s="185">
        <f t="shared" ref="L3:L69" si="0">IFERROR(M3/K3,0)</f>
        <v>0</v>
      </c>
      <c r="M3" s="184">
        <f>SUMIF(服务费底表!$D:$D,E3,服务费底表!$AG:$AG)+SUMIF(注册申报底表!$D:$D,'SOW-ERP导入表'!E3,注册申报底表!$AD:$AD)</f>
        <v>0</v>
      </c>
    </row>
    <row r="4" spans="1:15">
      <c r="A4" s="180" t="s">
        <v>2354</v>
      </c>
      <c r="B4" s="173"/>
      <c r="D4" s="181"/>
      <c r="E4" s="182" t="s">
        <v>2355</v>
      </c>
      <c r="F4" s="173" t="str">
        <f t="shared" ref="F4:F7" si="1">$F$2</f>
        <v>请填写</v>
      </c>
      <c r="G4" s="173" t="str">
        <f>INDEX(服务费底表!$K:$K,MATCH('SOW-ERP导入表'!$E4,服务费底表!$D:$D,0))</f>
        <v>A001</v>
      </c>
      <c r="H4" s="183" t="str">
        <f>INDEX(服务费底表!L:L,MATCH('SOW-ERP导入表'!$E4,服务费底表!$D:$D,0))</f>
        <v>方案撰写</v>
      </c>
      <c r="I4" s="173" t="str">
        <f>INDEX(服务费底表!$T:$T,MATCH('SOW-ERP导入表'!$E4,服务费底表!$D:$D,0))</f>
        <v>MD</v>
      </c>
      <c r="J4" s="184">
        <f>SUMIF(服务费底表!$D:$D,E4,服务费底表!$AC:$AC)+SUMIF(注册申报底表!$D:$D,'SOW-ERP导入表'!E4,注册申报底表!$Z:$Z)</f>
        <v>26</v>
      </c>
      <c r="K4" s="173">
        <f>IFERROR(INDEX(服务费底表!$C:$C,MATCH('SOW-ERP导入表'!$E4,服务费底表!$D:$D,0)),0)+IFERROR(INDEX(注册申报底表!$C:$C,MATCH('SOW-ERP导入表'!$E4,注册申报底表!$D:$D,0)),0)</f>
        <v>1</v>
      </c>
      <c r="L4" s="185">
        <f t="shared" si="0"/>
        <v>25740</v>
      </c>
      <c r="M4" s="184">
        <f>SUMIF(服务费底表!$D:$D,E4,服务费底表!$AG:$AG)+SUMIF(注册申报底表!$D:$D,'SOW-ERP导入表'!E4,注册申报底表!$AD:$AD)</f>
        <v>25740</v>
      </c>
    </row>
    <row r="5" spans="1:15">
      <c r="A5" s="180"/>
      <c r="B5" s="173"/>
      <c r="D5" s="181"/>
      <c r="E5" s="182" t="s">
        <v>2356</v>
      </c>
      <c r="F5" s="173" t="str">
        <f t="shared" si="1"/>
        <v>请填写</v>
      </c>
      <c r="G5" s="173" t="str">
        <f>INDEX(服务费底表!$K:$K,MATCH('SOW-ERP导入表'!$E5,服务费底表!$D:$D,0))</f>
        <v>A001</v>
      </c>
      <c r="H5" s="183" t="str">
        <f>INDEX(服务费底表!L:L,MATCH('SOW-ERP导入表'!$E5,服务费底表!$D:$D,0))</f>
        <v>方案撰写</v>
      </c>
      <c r="I5" s="173" t="str">
        <f>INDEX(服务费底表!$T:$T,MATCH('SOW-ERP导入表'!$E5,服务费底表!$D:$D,0))</f>
        <v>STM</v>
      </c>
      <c r="J5" s="184">
        <f>SUMIF(服务费底表!$D:$D,E5,服务费底表!$AC:$AC)+SUMIF(注册申报底表!$D:$D,'SOW-ERP导入表'!E5,注册申报底表!$Z:$Z)</f>
        <v>6</v>
      </c>
      <c r="K5" s="173">
        <f>IFERROR(INDEX(服务费底表!$C:$C,MATCH('SOW-ERP导入表'!$E5,服务费底表!$D:$D,0)),0)+IFERROR(INDEX(注册申报底表!$C:$C,MATCH('SOW-ERP导入表'!$E5,注册申报底表!$D:$D,0)),0)</f>
        <v>1</v>
      </c>
      <c r="L5" s="185">
        <f t="shared" si="0"/>
        <v>4200</v>
      </c>
      <c r="M5" s="184">
        <f>SUMIF(服务费底表!$D:$D,E5,服务费底表!$AG:$AG)+SUMIF(注册申报底表!$D:$D,'SOW-ERP导入表'!E5,注册申报底表!$AD:$AD)</f>
        <v>4200</v>
      </c>
    </row>
    <row r="6" spans="1:15">
      <c r="A6" s="180" t="s">
        <v>2357</v>
      </c>
      <c r="B6" s="173"/>
      <c r="D6" s="181"/>
      <c r="E6" s="182" t="s">
        <v>2358</v>
      </c>
      <c r="F6" s="173" t="str">
        <f t="shared" si="1"/>
        <v>请填写</v>
      </c>
      <c r="G6" s="173" t="e">
        <f>INDEX(服务费底表!$K:$K,MATCH('SOW-ERP导入表'!$E6,服务费底表!$D:$D,0))</f>
        <v>#N/A</v>
      </c>
      <c r="H6" s="183" t="e">
        <f>INDEX(服务费底表!L:L,MATCH('SOW-ERP导入表'!$E6,服务费底表!$D:$D,0))</f>
        <v>#N/A</v>
      </c>
      <c r="I6" s="173" t="e">
        <f>INDEX(服务费底表!$T:$T,MATCH('SOW-ERP导入表'!$E6,服务费底表!$D:$D,0))</f>
        <v>#N/A</v>
      </c>
      <c r="J6" s="184">
        <f>SUMIF(服务费底表!$D:$D,E6,服务费底表!$AC:$AC)+SUMIF(注册申报底表!$D:$D,'SOW-ERP导入表'!E6,注册申报底表!$Z:$Z)</f>
        <v>0</v>
      </c>
      <c r="K6" s="173">
        <f>IFERROR(INDEX(服务费底表!$C:$C,MATCH('SOW-ERP导入表'!$E6,服务费底表!$D:$D,0)),0)+IFERROR(INDEX(注册申报底表!$C:$C,MATCH('SOW-ERP导入表'!$E6,注册申报底表!$D:$D,0)),0)</f>
        <v>0</v>
      </c>
      <c r="L6" s="185">
        <f t="shared" si="0"/>
        <v>0</v>
      </c>
      <c r="M6" s="184">
        <f>SUMIF(服务费底表!$D:$D,E6,服务费底表!$AG:$AG)+SUMIF(注册申报底表!$D:$D,'SOW-ERP导入表'!E6,注册申报底表!$AD:$AD)</f>
        <v>0</v>
      </c>
    </row>
    <row r="7" spans="1:15">
      <c r="A7" s="180"/>
      <c r="B7" s="173"/>
      <c r="D7" s="181"/>
      <c r="E7" s="182" t="s">
        <v>2359</v>
      </c>
      <c r="F7" s="173" t="str">
        <f t="shared" si="1"/>
        <v>请填写</v>
      </c>
      <c r="G7" s="173" t="str">
        <f>INDEX(服务费底表!$K:$K,MATCH('SOW-ERP导入表'!$E7,服务费底表!$D:$D,0))</f>
        <v>A001</v>
      </c>
      <c r="H7" s="183" t="str">
        <f>INDEX(服务费底表!L:L,MATCH('SOW-ERP导入表'!$E7,服务费底表!$D:$D,0))</f>
        <v>方案撰写</v>
      </c>
      <c r="I7" s="173" t="str">
        <f>INDEX(服务费底表!$T:$T,MATCH('SOW-ERP导入表'!$E7,服务费底表!$D:$D,0))</f>
        <v>PM</v>
      </c>
      <c r="J7" s="184">
        <f>SUMIF(服务费底表!$D:$D,E7,服务费底表!$AC:$AC)+SUMIF(注册申报底表!$D:$D,'SOW-ERP导入表'!E7,注册申报底表!$Z:$Z)</f>
        <v>0</v>
      </c>
      <c r="K7" s="173">
        <f>IFERROR(INDEX(服务费底表!$C:$C,MATCH('SOW-ERP导入表'!$E7,服务费底表!$D:$D,0)),0)+IFERROR(INDEX(注册申报底表!$C:$C,MATCH('SOW-ERP导入表'!$E7,注册申报底表!$D:$D,0)),0)</f>
        <v>1</v>
      </c>
      <c r="L7" s="185">
        <f t="shared" si="0"/>
        <v>0</v>
      </c>
      <c r="M7" s="184">
        <f>SUMIF(服务费底表!$D:$D,E7,服务费底表!$AG:$AG)+SUMIF(注册申报底表!$D:$D,'SOW-ERP导入表'!E7,注册申报底表!$AD:$AD)</f>
        <v>0</v>
      </c>
    </row>
    <row r="8" spans="1:15">
      <c r="A8" s="180"/>
      <c r="B8" s="173"/>
      <c r="D8" s="181"/>
      <c r="E8" s="182" t="s">
        <v>2360</v>
      </c>
      <c r="F8" s="173" t="str">
        <f t="shared" ref="F8:F9" si="2">$F$2</f>
        <v>请填写</v>
      </c>
      <c r="G8" s="173" t="str">
        <f>INDEX(服务费底表!$K:$K,MATCH('SOW-ERP导入表'!$E8,服务费底表!$D:$D,0))</f>
        <v>A001</v>
      </c>
      <c r="H8" s="183" t="str">
        <f>INDEX(服务费底表!L:L,MATCH('SOW-ERP导入表'!$E8,服务费底表!$D:$D,0))</f>
        <v>方案撰写</v>
      </c>
      <c r="I8" s="173" t="str">
        <f>INDEX(服务费底表!$T:$T,MATCH('SOW-ERP导入表'!$E8,服务费底表!$D:$D,0))</f>
        <v>CPS</v>
      </c>
      <c r="J8" s="184">
        <f>SUMIF(服务费底表!$D:$D,E8,服务费底表!$AC:$AC)+SUMIF(注册申报底表!$D:$D,'SOW-ERP导入表'!E8,注册申报底表!$Z:$Z)</f>
        <v>0</v>
      </c>
      <c r="K8" s="173">
        <f>IFERROR(INDEX(服务费底表!$C:$C,MATCH('SOW-ERP导入表'!$E8,服务费底表!$D:$D,0)),0)+IFERROR(INDEX(注册申报底表!$C:$C,MATCH('SOW-ERP导入表'!$E8,注册申报底表!$D:$D,0)),0)</f>
        <v>1</v>
      </c>
      <c r="L8" s="185">
        <f t="shared" ref="L8:L9" si="3">IFERROR(M8/K8,0)</f>
        <v>0</v>
      </c>
      <c r="M8" s="184">
        <f>SUMIF(服务费底表!$D:$D,E8,服务费底表!$AG:$AG)+SUMIF(注册申报底表!$D:$D,'SOW-ERP导入表'!E8,注册申报底表!$AD:$AD)</f>
        <v>0</v>
      </c>
    </row>
    <row r="9" spans="1:15">
      <c r="A9" s="180"/>
      <c r="B9" s="173"/>
      <c r="D9" s="181"/>
      <c r="E9" s="182" t="s">
        <v>2361</v>
      </c>
      <c r="F9" s="173" t="str">
        <f t="shared" si="2"/>
        <v>请填写</v>
      </c>
      <c r="G9" s="173" t="str">
        <f>INDEX(服务费底表!$K:$K,MATCH('SOW-ERP导入表'!$E9,服务费底表!$D:$D,0))</f>
        <v>A001</v>
      </c>
      <c r="H9" s="183" t="str">
        <f>INDEX(服务费底表!L:L,MATCH('SOW-ERP导入表'!$E9,服务费底表!$D:$D,0))</f>
        <v>方案撰写</v>
      </c>
      <c r="I9" s="173" t="str">
        <f>INDEX(服务费底表!$T:$T,MATCH('SOW-ERP导入表'!$E9,服务费底表!$D:$D,0))</f>
        <v>CPSS</v>
      </c>
      <c r="J9" s="184">
        <f>SUMIF(服务费底表!$D:$D,E9,服务费底表!$AC:$AC)+SUMIF(注册申报底表!$D:$D,'SOW-ERP导入表'!E9,注册申报底表!$Z:$Z)</f>
        <v>0</v>
      </c>
      <c r="K9" s="173">
        <f>IFERROR(INDEX(服务费底表!$C:$C,MATCH('SOW-ERP导入表'!$E9,服务费底表!$D:$D,0)),0)+IFERROR(INDEX(注册申报底表!$C:$C,MATCH('SOW-ERP导入表'!$E9,注册申报底表!$D:$D,0)),0)</f>
        <v>1</v>
      </c>
      <c r="L9" s="185">
        <f t="shared" si="3"/>
        <v>0</v>
      </c>
      <c r="M9" s="184">
        <f>SUMIF(服务费底表!$D:$D,E9,服务费底表!$AG:$AG)+SUMIF(注册申报底表!$D:$D,'SOW-ERP导入表'!E9,注册申报底表!$AD:$AD)</f>
        <v>0</v>
      </c>
    </row>
    <row r="10" spans="1:15">
      <c r="B10" s="173"/>
      <c r="D10" s="173"/>
      <c r="E10" s="187" t="s">
        <v>2362</v>
      </c>
      <c r="F10" s="173" t="str">
        <f t="shared" ref="F10:F74" si="4">$F$2</f>
        <v>请填写</v>
      </c>
      <c r="G10" s="173" t="str">
        <f>INDEX(服务费底表!$K:$K,MATCH('SOW-ERP导入表'!$E10,服务费底表!$D:$D,0))</f>
        <v>A002</v>
      </c>
      <c r="H10" s="183" t="str">
        <f>INDEX(服务费底表!L:L,MATCH('SOW-ERP导入表'!$E10,服务费底表!$D:$D,0))</f>
        <v>撰写CRF</v>
      </c>
      <c r="I10" s="173" t="str">
        <f>INDEX(服务费底表!$T:$T,MATCH('SOW-ERP导入表'!$E10,服务费底表!$D:$D,0))</f>
        <v>DM</v>
      </c>
      <c r="J10" s="184">
        <f>SUMIF(服务费底表!$D:$D,E10,服务费底表!$AC:$AC)+SUMIF(注册申报底表!$D:$D,'SOW-ERP导入表'!E10,注册申报底表!$Z:$Z)</f>
        <v>19</v>
      </c>
      <c r="K10" s="173">
        <f>IFERROR(INDEX(服务费底表!$C:$C,MATCH('SOW-ERP导入表'!$E10,服务费底表!$D:$D,0)),0)+IFERROR(INDEX(注册申报底表!$C:$C,MATCH('SOW-ERP导入表'!$E10,注册申报底表!$D:$D,0)),0)</f>
        <v>1</v>
      </c>
      <c r="L10" s="185">
        <f t="shared" si="0"/>
        <v>3800</v>
      </c>
      <c r="M10" s="184">
        <f>SUMIF(服务费底表!$D:$D,E10,服务费底表!$AG:$AG)+SUMIF(注册申报底表!$D:$D,'SOW-ERP导入表'!E10,注册申报底表!$AD:$AD)</f>
        <v>3800</v>
      </c>
    </row>
    <row r="11" spans="1:15">
      <c r="B11" s="173"/>
      <c r="D11" s="173"/>
      <c r="E11" s="187" t="s">
        <v>2363</v>
      </c>
      <c r="F11" s="173" t="str">
        <f t="shared" si="4"/>
        <v>请填写</v>
      </c>
      <c r="G11" s="173" t="str">
        <f>INDEX(服务费底表!$K:$K,MATCH('SOW-ERP导入表'!$E11,服务费底表!$D:$D,0))</f>
        <v>A002</v>
      </c>
      <c r="H11" s="183" t="str">
        <f>INDEX(服务费底表!L:L,MATCH('SOW-ERP导入表'!$E11,服务费底表!$D:$D,0))</f>
        <v>撰写CRF</v>
      </c>
      <c r="I11" s="173" t="str">
        <f>INDEX(服务费底表!$T:$T,MATCH('SOW-ERP导入表'!$E11,服务费底表!$D:$D,0))</f>
        <v>LDM</v>
      </c>
      <c r="J11" s="184">
        <f>SUMIF(服务费底表!$D:$D,E11,服务费底表!$AC:$AC)+SUMIF(注册申报底表!$D:$D,'SOW-ERP导入表'!E11,注册申报底表!$Z:$Z)</f>
        <v>6</v>
      </c>
      <c r="K11" s="173">
        <f>IFERROR(INDEX(服务费底表!$C:$C,MATCH('SOW-ERP导入表'!$E11,服务费底表!$D:$D,0)),0)+IFERROR(INDEX(注册申报底表!$C:$C,MATCH('SOW-ERP导入表'!$E11,注册申报底表!$D:$D,0)),0)</f>
        <v>1</v>
      </c>
      <c r="L11" s="185">
        <f t="shared" si="0"/>
        <v>2160</v>
      </c>
      <c r="M11" s="184">
        <f>SUMIF(服务费底表!$D:$D,E11,服务费底表!$AG:$AG)+SUMIF(注册申报底表!$D:$D,'SOW-ERP导入表'!E11,注册申报底表!$AD:$AD)</f>
        <v>2160</v>
      </c>
    </row>
    <row r="12" spans="1:15">
      <c r="B12" s="173"/>
      <c r="D12" s="173"/>
      <c r="E12" s="187" t="s">
        <v>2364</v>
      </c>
      <c r="F12" s="173" t="str">
        <f t="shared" si="4"/>
        <v>请填写</v>
      </c>
      <c r="G12" s="173" t="str">
        <f>INDEX(服务费底表!$K:$K,MATCH('SOW-ERP导入表'!$E12,服务费底表!$D:$D,0))</f>
        <v>A002</v>
      </c>
      <c r="H12" s="183" t="str">
        <f>INDEX(服务费底表!L:L,MATCH('SOW-ERP导入表'!$E12,服务费底表!$D:$D,0))</f>
        <v>撰写CRF</v>
      </c>
      <c r="I12" s="173" t="str">
        <f>INDEX(服务费底表!$T:$T,MATCH('SOW-ERP导入表'!$E12,服务费底表!$D:$D,0))</f>
        <v>ST</v>
      </c>
      <c r="J12" s="184">
        <f>SUMIF(服务费底表!$D:$D,E12,服务费底表!$AC:$AC)+SUMIF(注册申报底表!$D:$D,'SOW-ERP导入表'!E12,注册申报底表!$Z:$Z)</f>
        <v>2</v>
      </c>
      <c r="K12" s="173">
        <f>IFERROR(INDEX(服务费底表!$C:$C,MATCH('SOW-ERP导入表'!$E12,服务费底表!$D:$D,0)),0)+IFERROR(INDEX(注册申报底表!$C:$C,MATCH('SOW-ERP导入表'!$E12,注册申报底表!$D:$D,0)),0)</f>
        <v>1</v>
      </c>
      <c r="L12" s="185">
        <f t="shared" si="0"/>
        <v>800</v>
      </c>
      <c r="M12" s="184">
        <f>SUMIF(服务费底表!$D:$D,E12,服务费底表!$AG:$AG)+SUMIF(注册申报底表!$D:$D,'SOW-ERP导入表'!E12,注册申报底表!$AD:$AD)</f>
        <v>800</v>
      </c>
    </row>
    <row r="13" spans="1:15">
      <c r="B13" s="173"/>
      <c r="D13" s="173"/>
      <c r="E13" s="187" t="s">
        <v>2365</v>
      </c>
      <c r="F13" s="173" t="str">
        <f t="shared" si="4"/>
        <v>请填写</v>
      </c>
      <c r="G13" s="173" t="e">
        <f>INDEX(服务费底表!$K:$K,MATCH('SOW-ERP导入表'!$E13,服务费底表!$D:$D,0))</f>
        <v>#N/A</v>
      </c>
      <c r="H13" s="183" t="e">
        <f>INDEX(服务费底表!L:L,MATCH('SOW-ERP导入表'!$E13,服务费底表!$D:$D,0))</f>
        <v>#N/A</v>
      </c>
      <c r="I13" s="173" t="e">
        <f>INDEX(服务费底表!$T:$T,MATCH('SOW-ERP导入表'!$E13,服务费底表!$D:$D,0))</f>
        <v>#N/A</v>
      </c>
      <c r="J13" s="184">
        <f>SUMIF(服务费底表!$D:$D,E13,服务费底表!$AC:$AC)+SUMIF(注册申报底表!$D:$D,'SOW-ERP导入表'!E13,注册申报底表!$Z:$Z)</f>
        <v>0</v>
      </c>
      <c r="K13" s="173">
        <f>IFERROR(INDEX(服务费底表!$C:$C,MATCH('SOW-ERP导入表'!$E13,服务费底表!$D:$D,0)),0)+IFERROR(INDEX(注册申报底表!$C:$C,MATCH('SOW-ERP导入表'!$E13,注册申报底表!$D:$D,0)),0)</f>
        <v>0</v>
      </c>
      <c r="L13" s="185">
        <f t="shared" si="0"/>
        <v>0</v>
      </c>
      <c r="M13" s="184">
        <f>SUMIF(服务费底表!$D:$D,E13,服务费底表!$AG:$AG)+SUMIF(注册申报底表!$D:$D,'SOW-ERP导入表'!E13,注册申报底表!$AD:$AD)</f>
        <v>0</v>
      </c>
    </row>
    <row r="14" spans="1:15">
      <c r="B14" s="173"/>
      <c r="D14" s="173"/>
      <c r="E14" s="187" t="s">
        <v>2366</v>
      </c>
      <c r="F14" s="173" t="str">
        <f t="shared" si="4"/>
        <v>请填写</v>
      </c>
      <c r="G14" s="173" t="str">
        <f>INDEX(服务费底表!$K:$K,MATCH('SOW-ERP导入表'!$E14,服务费底表!$D:$D,0))</f>
        <v>A002</v>
      </c>
      <c r="H14" s="183" t="str">
        <f>INDEX(服务费底表!L:L,MATCH('SOW-ERP导入表'!$E14,服务费底表!$D:$D,0))</f>
        <v>撰写CRF</v>
      </c>
      <c r="I14" s="173" t="str">
        <f>INDEX(服务费底表!$T:$T,MATCH('SOW-ERP导入表'!$E14,服务费底表!$D:$D,0))</f>
        <v>MM</v>
      </c>
      <c r="J14" s="184">
        <f>SUMIF(服务费底表!$D:$D,E14,服务费底表!$AC:$AC)+SUMIF(注册申报底表!$D:$D,'SOW-ERP导入表'!E14,注册申报底表!$Z:$Z)</f>
        <v>8</v>
      </c>
      <c r="K14" s="173">
        <f>IFERROR(INDEX(服务费底表!$C:$C,MATCH('SOW-ERP导入表'!$E14,服务费底表!$D:$D,0)),0)+IFERROR(INDEX(注册申报底表!$C:$C,MATCH('SOW-ERP导入表'!$E14,注册申报底表!$D:$D,0)),0)</f>
        <v>1</v>
      </c>
      <c r="L14" s="185">
        <f t="shared" si="0"/>
        <v>5200</v>
      </c>
      <c r="M14" s="184">
        <f>SUMIF(服务费底表!$D:$D,E14,服务费底表!$AG:$AG)+SUMIF(注册申报底表!$D:$D,'SOW-ERP导入表'!E14,注册申报底表!$AD:$AD)</f>
        <v>5200</v>
      </c>
    </row>
    <row r="15" spans="1:15">
      <c r="B15" s="173"/>
      <c r="D15" s="173"/>
      <c r="E15" s="187" t="s">
        <v>2367</v>
      </c>
      <c r="F15" s="173" t="str">
        <f t="shared" si="4"/>
        <v>请填写</v>
      </c>
      <c r="G15" s="173" t="str">
        <f>INDEX(服务费底表!$K:$K,MATCH('SOW-ERP导入表'!$E15,服务费底表!$D:$D,0))</f>
        <v>A002</v>
      </c>
      <c r="H15" s="183" t="str">
        <f>INDEX(服务费底表!L:L,MATCH('SOW-ERP导入表'!$E15,服务费底表!$D:$D,0))</f>
        <v>撰写CRF</v>
      </c>
      <c r="I15" s="173" t="str">
        <f>INDEX(服务费底表!$T:$T,MATCH('SOW-ERP导入表'!$E15,服务费底表!$D:$D,0))</f>
        <v>PM</v>
      </c>
      <c r="J15" s="184">
        <f>SUMIF(服务费底表!$D:$D,E15,服务费底表!$AC:$AC)+SUMIF(注册申报底表!$D:$D,'SOW-ERP导入表'!E15,注册申报底表!$Z:$Z)</f>
        <v>2</v>
      </c>
      <c r="K15" s="173">
        <f>IFERROR(INDEX(服务费底表!$C:$C,MATCH('SOW-ERP导入表'!$E15,服务费底表!$D:$D,0)),0)+IFERROR(INDEX(注册申报底表!$C:$C,MATCH('SOW-ERP导入表'!$E15,注册申报底表!$D:$D,0)),0)</f>
        <v>1</v>
      </c>
      <c r="L15" s="185">
        <f t="shared" si="0"/>
        <v>1300</v>
      </c>
      <c r="M15" s="184">
        <f>SUMIF(服务费底表!$D:$D,E15,服务费底表!$AG:$AG)+SUMIF(注册申报底表!$D:$D,'SOW-ERP导入表'!E15,注册申报底表!$AD:$AD)</f>
        <v>1300</v>
      </c>
    </row>
    <row r="16" spans="1:15">
      <c r="B16" s="173"/>
      <c r="D16" s="173"/>
      <c r="E16" s="187" t="s">
        <v>2368</v>
      </c>
      <c r="F16" s="173" t="str">
        <f t="shared" si="4"/>
        <v>请填写</v>
      </c>
      <c r="G16" s="173" t="str">
        <f>INDEX(服务费底表!$K:$K,MATCH('SOW-ERP导入表'!$E16,服务费底表!$D:$D,0))</f>
        <v>A003</v>
      </c>
      <c r="H16" s="183" t="str">
        <f>INDEX(服务费底表!L:L,MATCH('SOW-ERP导入表'!$E16,服务费底表!$D:$D,0))</f>
        <v>方案版本更新</v>
      </c>
      <c r="I16" s="173" t="str">
        <f>INDEX(服务费底表!$T:$T,MATCH('SOW-ERP导入表'!$E16,服务费底表!$D:$D,0))</f>
        <v>MM</v>
      </c>
      <c r="J16" s="184">
        <f>SUMIF(服务费底表!$D:$D,E16,服务费底表!$AC:$AC)+SUMIF(注册申报底表!$D:$D,'SOW-ERP导入表'!E16,注册申报底表!$Z:$Z)</f>
        <v>42</v>
      </c>
      <c r="K16" s="173">
        <f>IFERROR(INDEX(服务费底表!$C:$C,MATCH('SOW-ERP导入表'!$E16,服务费底表!$D:$D,0)),0)+IFERROR(INDEX(注册申报底表!$C:$C,MATCH('SOW-ERP导入表'!$E16,注册申报底表!$D:$D,0)),0)</f>
        <v>1</v>
      </c>
      <c r="L16" s="185">
        <f t="shared" si="0"/>
        <v>27300</v>
      </c>
      <c r="M16" s="184">
        <f>SUMIF(服务费底表!$D:$D,E16,服务费底表!$AG:$AG)+SUMIF(注册申报底表!$D:$D,'SOW-ERP导入表'!E16,注册申报底表!$AD:$AD)</f>
        <v>27300</v>
      </c>
    </row>
    <row r="17" spans="2:13">
      <c r="B17" s="173"/>
      <c r="D17" s="173"/>
      <c r="E17" s="187" t="s">
        <v>2369</v>
      </c>
      <c r="F17" s="173" t="str">
        <f t="shared" si="4"/>
        <v>请填写</v>
      </c>
      <c r="G17" s="173" t="e">
        <f>INDEX(服务费底表!$K:$K,MATCH('SOW-ERP导入表'!$E17,服务费底表!$D:$D,0))</f>
        <v>#N/A</v>
      </c>
      <c r="H17" s="183" t="e">
        <f>INDEX(服务费底表!L:L,MATCH('SOW-ERP导入表'!$E17,服务费底表!$D:$D,0))</f>
        <v>#N/A</v>
      </c>
      <c r="I17" s="173" t="e">
        <f>INDEX(服务费底表!$T:$T,MATCH('SOW-ERP导入表'!$E17,服务费底表!$D:$D,0))</f>
        <v>#N/A</v>
      </c>
      <c r="J17" s="184">
        <f>SUMIF(服务费底表!$D:$D,E17,服务费底表!$AC:$AC)+SUMIF(注册申报底表!$D:$D,'SOW-ERP导入表'!E17,注册申报底表!$Z:$Z)</f>
        <v>0</v>
      </c>
      <c r="K17" s="173">
        <f>IFERROR(INDEX(服务费底表!$C:$C,MATCH('SOW-ERP导入表'!$E17,服务费底表!$D:$D,0)),0)+IFERROR(INDEX(注册申报底表!$C:$C,MATCH('SOW-ERP导入表'!$E17,注册申报底表!$D:$D,0)),0)</f>
        <v>0</v>
      </c>
      <c r="L17" s="185">
        <f t="shared" si="0"/>
        <v>0</v>
      </c>
      <c r="M17" s="184">
        <f>SUMIF(服务费底表!$D:$D,E17,服务费底表!$AG:$AG)+SUMIF(注册申报底表!$D:$D,'SOW-ERP导入表'!E17,注册申报底表!$AD:$AD)</f>
        <v>0</v>
      </c>
    </row>
    <row r="18" spans="2:13">
      <c r="B18" s="173"/>
      <c r="D18" s="173"/>
      <c r="E18" s="187" t="s">
        <v>2370</v>
      </c>
      <c r="F18" s="173" t="str">
        <f t="shared" si="4"/>
        <v>请填写</v>
      </c>
      <c r="G18" s="173" t="str">
        <f>INDEX(服务费底表!$K:$K,MATCH('SOW-ERP导入表'!$E18,服务费底表!$D:$D,0))</f>
        <v>A003</v>
      </c>
      <c r="H18" s="183" t="str">
        <f>INDEX(服务费底表!L:L,MATCH('SOW-ERP导入表'!$E18,服务费底表!$D:$D,0))</f>
        <v>方案版本更新</v>
      </c>
      <c r="I18" s="173" t="str">
        <f>INDEX(服务费底表!$T:$T,MATCH('SOW-ERP导入表'!$E18,服务费底表!$D:$D,0))</f>
        <v>MD</v>
      </c>
      <c r="J18" s="184">
        <f>SUMIF(服务费底表!$D:$D,E18,服务费底表!$AC:$AC)+SUMIF(注册申报底表!$D:$D,'SOW-ERP导入表'!E18,注册申报底表!$Z:$Z)</f>
        <v>10</v>
      </c>
      <c r="K18" s="173">
        <f>IFERROR(INDEX(服务费底表!$C:$C,MATCH('SOW-ERP导入表'!$E18,服务费底表!$D:$D,0)),0)+IFERROR(INDEX(注册申报底表!$C:$C,MATCH('SOW-ERP导入表'!$E18,注册申报底表!$D:$D,0)),0)</f>
        <v>1</v>
      </c>
      <c r="L18" s="185">
        <f t="shared" si="0"/>
        <v>9900</v>
      </c>
      <c r="M18" s="184">
        <f>SUMIF(服务费底表!$D:$D,E18,服务费底表!$AG:$AG)+SUMIF(注册申报底表!$D:$D,'SOW-ERP导入表'!E18,注册申报底表!$AD:$AD)</f>
        <v>9900</v>
      </c>
    </row>
    <row r="19" spans="2:13">
      <c r="B19" s="173"/>
      <c r="D19" s="173"/>
      <c r="E19" s="187" t="s">
        <v>2371</v>
      </c>
      <c r="F19" s="173" t="str">
        <f t="shared" si="4"/>
        <v>请填写</v>
      </c>
      <c r="G19" s="173" t="str">
        <f>INDEX(服务费底表!$K:$K,MATCH('SOW-ERP导入表'!$E19,服务费底表!$D:$D,0))</f>
        <v>A003</v>
      </c>
      <c r="H19" s="183" t="str">
        <f>INDEX(服务费底表!L:L,MATCH('SOW-ERP导入表'!$E19,服务费底表!$D:$D,0))</f>
        <v>方案版本更新</v>
      </c>
      <c r="I19" s="173" t="str">
        <f>INDEX(服务费底表!$T:$T,MATCH('SOW-ERP导入表'!$E19,服务费底表!$D:$D,0))</f>
        <v>ST</v>
      </c>
      <c r="J19" s="184">
        <f>SUMIF(服务费底表!$D:$D,E19,服务费底表!$AC:$AC)+SUMIF(注册申报底表!$D:$D,'SOW-ERP导入表'!E19,注册申报底表!$Z:$Z)</f>
        <v>4</v>
      </c>
      <c r="K19" s="173">
        <f>IFERROR(INDEX(服务费底表!$C:$C,MATCH('SOW-ERP导入表'!$E19,服务费底表!$D:$D,0)),0)+IFERROR(INDEX(注册申报底表!$C:$C,MATCH('SOW-ERP导入表'!$E19,注册申报底表!$D:$D,0)),0)</f>
        <v>1</v>
      </c>
      <c r="L19" s="185">
        <f t="shared" si="0"/>
        <v>1600</v>
      </c>
      <c r="M19" s="184">
        <f>SUMIF(服务费底表!$D:$D,E19,服务费底表!$AG:$AG)+SUMIF(注册申报底表!$D:$D,'SOW-ERP导入表'!E19,注册申报底表!$AD:$AD)</f>
        <v>1600</v>
      </c>
    </row>
    <row r="20" spans="2:13">
      <c r="B20" s="173"/>
      <c r="D20" s="173"/>
      <c r="E20" s="187" t="s">
        <v>2372</v>
      </c>
      <c r="F20" s="173" t="str">
        <f t="shared" si="4"/>
        <v>请填写</v>
      </c>
      <c r="G20" s="173" t="e">
        <f>INDEX(服务费底表!$K:$K,MATCH('SOW-ERP导入表'!$E20,服务费底表!$D:$D,0))</f>
        <v>#N/A</v>
      </c>
      <c r="H20" s="183" t="e">
        <f>INDEX(服务费底表!L:L,MATCH('SOW-ERP导入表'!$E20,服务费底表!$D:$D,0))</f>
        <v>#N/A</v>
      </c>
      <c r="I20" s="173" t="e">
        <f>INDEX(服务费底表!$T:$T,MATCH('SOW-ERP导入表'!$E20,服务费底表!$D:$D,0))</f>
        <v>#N/A</v>
      </c>
      <c r="J20" s="184">
        <f>SUMIF(服务费底表!$D:$D,E20,服务费底表!$AC:$AC)+SUMIF(注册申报底表!$D:$D,'SOW-ERP导入表'!E20,注册申报底表!$Z:$Z)</f>
        <v>0</v>
      </c>
      <c r="K20" s="173">
        <f>IFERROR(INDEX(服务费底表!$C:$C,MATCH('SOW-ERP导入表'!$E20,服务费底表!$D:$D,0)),0)+IFERROR(INDEX(注册申报底表!$C:$C,MATCH('SOW-ERP导入表'!$E20,注册申报底表!$D:$D,0)),0)</f>
        <v>0</v>
      </c>
      <c r="L20" s="185">
        <f t="shared" si="0"/>
        <v>0</v>
      </c>
      <c r="M20" s="184">
        <f>SUMIF(服务费底表!$D:$D,E20,服务费底表!$AG:$AG)+SUMIF(注册申报底表!$D:$D,'SOW-ERP导入表'!E20,注册申报底表!$AD:$AD)</f>
        <v>0</v>
      </c>
    </row>
    <row r="21" spans="2:13">
      <c r="B21" s="173"/>
      <c r="D21" s="173"/>
      <c r="E21" s="187" t="s">
        <v>2373</v>
      </c>
      <c r="F21" s="173" t="str">
        <f t="shared" si="4"/>
        <v>请填写</v>
      </c>
      <c r="G21" s="173" t="str">
        <f>INDEX(服务费底表!$K:$K,MATCH('SOW-ERP导入表'!$E21,服务费底表!$D:$D,0))</f>
        <v>A004</v>
      </c>
      <c r="H21" s="183" t="str">
        <f>INDEX(服务费底表!L:L,MATCH('SOW-ERP导入表'!$E21,服务费底表!$D:$D,0))</f>
        <v>主知情同意撰写</v>
      </c>
      <c r="I21" s="173" t="str">
        <f>INDEX(服务费底表!$T:$T,MATCH('SOW-ERP导入表'!$E21,服务费底表!$D:$D,0))</f>
        <v>MM</v>
      </c>
      <c r="J21" s="184">
        <f>SUMIF(服务费底表!$D:$D,E21,服务费底表!$AC:$AC)+SUMIF(注册申报底表!$D:$D,'SOW-ERP导入表'!E21,注册申报底表!$Z:$Z)</f>
        <v>10</v>
      </c>
      <c r="K21" s="173">
        <f>IFERROR(INDEX(服务费底表!$C:$C,MATCH('SOW-ERP导入表'!$E21,服务费底表!$D:$D,0)),0)+IFERROR(INDEX(注册申报底表!$C:$C,MATCH('SOW-ERP导入表'!$E21,注册申报底表!$D:$D,0)),0)</f>
        <v>1</v>
      </c>
      <c r="L21" s="185">
        <f t="shared" si="0"/>
        <v>6500</v>
      </c>
      <c r="M21" s="184">
        <f>SUMIF(服务费底表!$D:$D,E21,服务费底表!$AG:$AG)+SUMIF(注册申报底表!$D:$D,'SOW-ERP导入表'!E21,注册申报底表!$AD:$AD)</f>
        <v>6500</v>
      </c>
    </row>
    <row r="22" spans="2:13">
      <c r="B22" s="173"/>
      <c r="D22" s="173"/>
      <c r="E22" s="187" t="s">
        <v>2374</v>
      </c>
      <c r="F22" s="173" t="str">
        <f t="shared" si="4"/>
        <v>请填写</v>
      </c>
      <c r="G22" s="173" t="str">
        <f>INDEX(服务费底表!$K:$K,MATCH('SOW-ERP导入表'!$E22,服务费底表!$D:$D,0))</f>
        <v>A004</v>
      </c>
      <c r="H22" s="183" t="str">
        <f>INDEX(服务费底表!L:L,MATCH('SOW-ERP导入表'!$E22,服务费底表!$D:$D,0))</f>
        <v>主知情同意撰写</v>
      </c>
      <c r="I22" s="173" t="str">
        <f>INDEX(服务费底表!$T:$T,MATCH('SOW-ERP导入表'!$E22,服务费底表!$D:$D,0))</f>
        <v>MD</v>
      </c>
      <c r="J22" s="184">
        <f>SUMIF(服务费底表!$D:$D,E22,服务费底表!$AC:$AC)+SUMIF(注册申报底表!$D:$D,'SOW-ERP导入表'!E22,注册申报底表!$Z:$Z)</f>
        <v>4</v>
      </c>
      <c r="K22" s="173">
        <f>IFERROR(INDEX(服务费底表!$C:$C,MATCH('SOW-ERP导入表'!$E22,服务费底表!$D:$D,0)),0)+IFERROR(INDEX(注册申报底表!$C:$C,MATCH('SOW-ERP导入表'!$E22,注册申报底表!$D:$D,0)),0)</f>
        <v>1</v>
      </c>
      <c r="L22" s="185">
        <f t="shared" si="0"/>
        <v>3960</v>
      </c>
      <c r="M22" s="184">
        <f>SUMIF(服务费底表!$D:$D,E22,服务费底表!$AG:$AG)+SUMIF(注册申报底表!$D:$D,'SOW-ERP导入表'!E22,注册申报底表!$AD:$AD)</f>
        <v>3960</v>
      </c>
    </row>
    <row r="23" spans="2:13">
      <c r="B23" s="173"/>
      <c r="D23" s="173"/>
      <c r="E23" s="187" t="s">
        <v>2375</v>
      </c>
      <c r="F23" s="173" t="str">
        <f t="shared" si="4"/>
        <v>请填写</v>
      </c>
      <c r="G23" s="173" t="str">
        <f>INDEX(服务费底表!$K:$K,MATCH('SOW-ERP导入表'!$E23,服务费底表!$D:$D,0))</f>
        <v>A004</v>
      </c>
      <c r="H23" s="183" t="str">
        <f>INDEX(服务费底表!L:L,MATCH('SOW-ERP导入表'!$E23,服务费底表!$D:$D,0))</f>
        <v>主知情同意撰写</v>
      </c>
      <c r="I23" s="173" t="str">
        <f>INDEX(服务费底表!$T:$T,MATCH('SOW-ERP导入表'!$E23,服务费底表!$D:$D,0))</f>
        <v>PM</v>
      </c>
      <c r="J23" s="184">
        <f>SUMIF(服务费底表!$D:$D,E23,服务费底表!$AC:$AC)+SUMIF(注册申报底表!$D:$D,'SOW-ERP导入表'!E23,注册申报底表!$Z:$Z)</f>
        <v>2</v>
      </c>
      <c r="K23" s="173">
        <f>IFERROR(INDEX(服务费底表!$C:$C,MATCH('SOW-ERP导入表'!$E23,服务费底表!$D:$D,0)),0)+IFERROR(INDEX(注册申报底表!$C:$C,MATCH('SOW-ERP导入表'!$E23,注册申报底表!$D:$D,0)),0)</f>
        <v>1</v>
      </c>
      <c r="L23" s="185">
        <f t="shared" si="0"/>
        <v>1300</v>
      </c>
      <c r="M23" s="184">
        <f>SUMIF(服务费底表!$D:$D,E23,服务费底表!$AG:$AG)+SUMIF(注册申报底表!$D:$D,'SOW-ERP导入表'!E23,注册申报底表!$AD:$AD)</f>
        <v>1300</v>
      </c>
    </row>
    <row r="24" spans="2:13">
      <c r="B24" s="173"/>
      <c r="D24" s="173"/>
      <c r="E24" s="187" t="s">
        <v>2376</v>
      </c>
      <c r="F24" s="173" t="str">
        <f t="shared" si="4"/>
        <v>请填写</v>
      </c>
      <c r="G24" s="173" t="e">
        <f>INDEX(服务费底表!$K:$K,MATCH('SOW-ERP导入表'!$E24,服务费底表!$D:$D,0))</f>
        <v>#N/A</v>
      </c>
      <c r="H24" s="183" t="e">
        <f>INDEX(服务费底表!L:L,MATCH('SOW-ERP导入表'!$E24,服务费底表!$D:$D,0))</f>
        <v>#N/A</v>
      </c>
      <c r="I24" s="173" t="e">
        <f>INDEX(服务费底表!$T:$T,MATCH('SOW-ERP导入表'!$E24,服务费底表!$D:$D,0))</f>
        <v>#N/A</v>
      </c>
      <c r="J24" s="184">
        <f>SUMIF(服务费底表!$D:$D,E24,服务费底表!$AC:$AC)+SUMIF(注册申报底表!$D:$D,'SOW-ERP导入表'!E24,注册申报底表!$Z:$Z)</f>
        <v>0</v>
      </c>
      <c r="K24" s="173">
        <f>IFERROR(INDEX(服务费底表!$C:$C,MATCH('SOW-ERP导入表'!$E24,服务费底表!$D:$D,0)),0)+IFERROR(INDEX(注册申报底表!$C:$C,MATCH('SOW-ERP导入表'!$E24,注册申报底表!$D:$D,0)),0)</f>
        <v>0</v>
      </c>
      <c r="L24" s="185">
        <f t="shared" si="0"/>
        <v>0</v>
      </c>
      <c r="M24" s="184">
        <f>SUMIF(服务费底表!$D:$D,E24,服务费底表!$AG:$AG)+SUMIF(注册申报底表!$D:$D,'SOW-ERP导入表'!E24,注册申报底表!$AD:$AD)</f>
        <v>0</v>
      </c>
    </row>
    <row r="25" spans="2:13">
      <c r="B25" s="173"/>
      <c r="D25" s="173"/>
      <c r="E25" s="187" t="s">
        <v>2377</v>
      </c>
      <c r="F25" s="173" t="str">
        <f t="shared" si="4"/>
        <v>请填写</v>
      </c>
      <c r="G25" s="173" t="str">
        <f>INDEX(服务费底表!$K:$K,MATCH('SOW-ERP导入表'!$E25,服务费底表!$D:$D,0))</f>
        <v>A005</v>
      </c>
      <c r="H25" s="183" t="str">
        <f>INDEX(服务费底表!L:L,MATCH('SOW-ERP导入表'!$E25,服务费底表!$D:$D,0))</f>
        <v>主知情同意版本更新</v>
      </c>
      <c r="I25" s="173" t="str">
        <f>INDEX(服务费底表!$T:$T,MATCH('SOW-ERP导入表'!$E25,服务费底表!$D:$D,0))</f>
        <v>MM</v>
      </c>
      <c r="J25" s="184">
        <f>SUMIF(服务费底表!$D:$D,E25,服务费底表!$AC:$AC)+SUMIF(注册申报底表!$D:$D,'SOW-ERP导入表'!E25,注册申报底表!$Z:$Z)</f>
        <v>6</v>
      </c>
      <c r="K25" s="173">
        <f>IFERROR(INDEX(服务费底表!$C:$C,MATCH('SOW-ERP导入表'!$E25,服务费底表!$D:$D,0)),0)+IFERROR(INDEX(注册申报底表!$C:$C,MATCH('SOW-ERP导入表'!$E25,注册申报底表!$D:$D,0)),0)</f>
        <v>1</v>
      </c>
      <c r="L25" s="185">
        <f t="shared" si="0"/>
        <v>3900</v>
      </c>
      <c r="M25" s="184">
        <f>SUMIF(服务费底表!$D:$D,E25,服务费底表!$AG:$AG)+SUMIF(注册申报底表!$D:$D,'SOW-ERP导入表'!E25,注册申报底表!$AD:$AD)</f>
        <v>3900</v>
      </c>
    </row>
    <row r="26" spans="2:13">
      <c r="B26" s="173"/>
      <c r="D26" s="173"/>
      <c r="E26" s="187" t="s">
        <v>2378</v>
      </c>
      <c r="F26" s="173" t="str">
        <f t="shared" si="4"/>
        <v>请填写</v>
      </c>
      <c r="G26" s="173" t="str">
        <f>INDEX(服务费底表!$K:$K,MATCH('SOW-ERP导入表'!$E26,服务费底表!$D:$D,0))</f>
        <v>A006</v>
      </c>
      <c r="H26" s="183" t="str">
        <f>INDEX(服务费底表!L:L,MATCH('SOW-ERP导入表'!$E26,服务费底表!$D:$D,0))</f>
        <v>试验参与者日记卡撰写</v>
      </c>
      <c r="I26" s="173" t="str">
        <f>INDEX(服务费底表!$T:$T,MATCH('SOW-ERP导入表'!$E26,服务费底表!$D:$D,0))</f>
        <v>PM</v>
      </c>
      <c r="J26" s="184">
        <f>SUMIF(服务费底表!$D:$D,E26,服务费底表!$AC:$AC)+SUMIF(注册申报底表!$D:$D,'SOW-ERP导入表'!E26,注册申报底表!$Z:$Z)</f>
        <v>6</v>
      </c>
      <c r="K26" s="173">
        <f>IFERROR(INDEX(服务费底表!$C:$C,MATCH('SOW-ERP导入表'!$E26,服务费底表!$D:$D,0)),0)+IFERROR(INDEX(注册申报底表!$C:$C,MATCH('SOW-ERP导入表'!$E26,注册申报底表!$D:$D,0)),0)</f>
        <v>1</v>
      </c>
      <c r="L26" s="185">
        <f t="shared" si="0"/>
        <v>3900</v>
      </c>
      <c r="M26" s="184">
        <f>SUMIF(服务费底表!$D:$D,E26,服务费底表!$AG:$AG)+SUMIF(注册申报底表!$D:$D,'SOW-ERP导入表'!E26,注册申报底表!$AD:$AD)</f>
        <v>3900</v>
      </c>
    </row>
    <row r="27" spans="2:13">
      <c r="B27" s="173"/>
      <c r="D27" s="173"/>
      <c r="E27" s="187" t="s">
        <v>2379</v>
      </c>
      <c r="F27" s="173" t="str">
        <f t="shared" si="4"/>
        <v>请填写</v>
      </c>
      <c r="G27" s="173" t="str">
        <f>INDEX(服务费底表!$K:$K,MATCH('SOW-ERP导入表'!$E27,服务费底表!$D:$D,0))</f>
        <v>A006</v>
      </c>
      <c r="H27" s="183" t="str">
        <f>INDEX(服务费底表!L:L,MATCH('SOW-ERP导入表'!$E27,服务费底表!$D:$D,0))</f>
        <v>试验参与者日记卡撰写</v>
      </c>
      <c r="I27" s="173" t="str">
        <f>INDEX(服务费底表!$T:$T,MATCH('SOW-ERP导入表'!$E27,服务费底表!$D:$D,0))</f>
        <v>MM</v>
      </c>
      <c r="J27" s="184">
        <f>SUMIF(服务费底表!$D:$D,E27,服务费底表!$AC:$AC)+SUMIF(注册申报底表!$D:$D,'SOW-ERP导入表'!E27,注册申报底表!$Z:$Z)</f>
        <v>2</v>
      </c>
      <c r="K27" s="173">
        <f>IFERROR(INDEX(服务费底表!$C:$C,MATCH('SOW-ERP导入表'!$E27,服务费底表!$D:$D,0)),0)+IFERROR(INDEX(注册申报底表!$C:$C,MATCH('SOW-ERP导入表'!$E27,注册申报底表!$D:$D,0)),0)</f>
        <v>1</v>
      </c>
      <c r="L27" s="185">
        <f t="shared" si="0"/>
        <v>1300</v>
      </c>
      <c r="M27" s="184">
        <f>SUMIF(服务费底表!$D:$D,E27,服务费底表!$AG:$AG)+SUMIF(注册申报底表!$D:$D,'SOW-ERP导入表'!E27,注册申报底表!$AD:$AD)</f>
        <v>1300</v>
      </c>
    </row>
    <row r="28" spans="2:13">
      <c r="B28" s="173"/>
      <c r="D28" s="173"/>
      <c r="E28" s="187" t="s">
        <v>2380</v>
      </c>
      <c r="F28" s="173" t="str">
        <f t="shared" si="4"/>
        <v>请填写</v>
      </c>
      <c r="G28" s="173" t="str">
        <f>INDEX(服务费底表!$K:$K,MATCH('SOW-ERP导入表'!$E28,服务费底表!$D:$D,0))</f>
        <v>A007</v>
      </c>
      <c r="H28" s="183" t="str">
        <f>INDEX(服务费底表!L:L,MATCH('SOW-ERP导入表'!$E28,服务费底表!$D:$D,0))</f>
        <v>试验参与者招募广告撰写</v>
      </c>
      <c r="I28" s="173" t="str">
        <f>INDEX(服务费底表!$T:$T,MATCH('SOW-ERP导入表'!$E28,服务费底表!$D:$D,0))</f>
        <v>PM</v>
      </c>
      <c r="J28" s="184">
        <f>SUMIF(服务费底表!$D:$D,E28,服务费底表!$AC:$AC)+SUMIF(注册申报底表!$D:$D,'SOW-ERP导入表'!E28,注册申报底表!$Z:$Z)</f>
        <v>6</v>
      </c>
      <c r="K28" s="173">
        <f>IFERROR(INDEX(服务费底表!$C:$C,MATCH('SOW-ERP导入表'!$E28,服务费底表!$D:$D,0)),0)+IFERROR(INDEX(注册申报底表!$C:$C,MATCH('SOW-ERP导入表'!$E28,注册申报底表!$D:$D,0)),0)</f>
        <v>1</v>
      </c>
      <c r="L28" s="185">
        <f t="shared" si="0"/>
        <v>3900</v>
      </c>
      <c r="M28" s="184">
        <f>SUMIF(服务费底表!$D:$D,E28,服务费底表!$AG:$AG)+SUMIF(注册申报底表!$D:$D,'SOW-ERP导入表'!E28,注册申报底表!$AD:$AD)</f>
        <v>3900</v>
      </c>
    </row>
    <row r="29" spans="2:13">
      <c r="B29" s="173"/>
      <c r="D29" s="173"/>
      <c r="E29" s="187" t="s">
        <v>2381</v>
      </c>
      <c r="F29" s="173" t="str">
        <f t="shared" si="4"/>
        <v>请填写</v>
      </c>
      <c r="G29" s="173" t="str">
        <f>INDEX(服务费底表!$K:$K,MATCH('SOW-ERP导入表'!$E29,服务费底表!$D:$D,0))</f>
        <v>A007</v>
      </c>
      <c r="H29" s="183" t="str">
        <f>INDEX(服务费底表!L:L,MATCH('SOW-ERP导入表'!$E29,服务费底表!$D:$D,0))</f>
        <v>试验参与者招募广告撰写</v>
      </c>
      <c r="I29" s="173" t="str">
        <f>INDEX(服务费底表!$T:$T,MATCH('SOW-ERP导入表'!$E29,服务费底表!$D:$D,0))</f>
        <v>MM</v>
      </c>
      <c r="J29" s="184">
        <f>SUMIF(服务费底表!$D:$D,E29,服务费底表!$AC:$AC)+SUMIF(注册申报底表!$D:$D,'SOW-ERP导入表'!E29,注册申报底表!$Z:$Z)</f>
        <v>1</v>
      </c>
      <c r="K29" s="173">
        <f>IFERROR(INDEX(服务费底表!$C:$C,MATCH('SOW-ERP导入表'!$E29,服务费底表!$D:$D,0)),0)+IFERROR(INDEX(注册申报底表!$C:$C,MATCH('SOW-ERP导入表'!$E29,注册申报底表!$D:$D,0)),0)</f>
        <v>1</v>
      </c>
      <c r="L29" s="185">
        <f t="shared" si="0"/>
        <v>650</v>
      </c>
      <c r="M29" s="184">
        <f>SUMIF(服务费底表!$D:$D,E29,服务费底表!$AG:$AG)+SUMIF(注册申报底表!$D:$D,'SOW-ERP导入表'!E29,注册申报底表!$AD:$AD)</f>
        <v>650</v>
      </c>
    </row>
    <row r="30" spans="2:13">
      <c r="B30" s="173"/>
      <c r="D30" s="173"/>
      <c r="E30" s="187" t="s">
        <v>2382</v>
      </c>
      <c r="F30" s="173" t="str">
        <f t="shared" si="4"/>
        <v>请填写</v>
      </c>
      <c r="G30" s="173" t="str">
        <f>INDEX(服务费底表!$K:$K,MATCH('SOW-ERP导入表'!$E30,服务费底表!$D:$D,0))</f>
        <v>A008</v>
      </c>
      <c r="H30" s="183" t="str">
        <f>INDEX(服务费底表!L:L,MATCH('SOW-ERP导入表'!$E30,服务费底表!$D:$D,0))</f>
        <v>召开客户启动会</v>
      </c>
      <c r="I30" s="173" t="str">
        <f>INDEX(服务费底表!$T:$T,MATCH('SOW-ERP导入表'!$E30,服务费底表!$D:$D,0))</f>
        <v>PM</v>
      </c>
      <c r="J30" s="184">
        <f>SUMIF(服务费底表!$D:$D,E30,服务费底表!$AC:$AC)+SUMIF(注册申报底表!$D:$D,'SOW-ERP导入表'!E30,注册申报底表!$Z:$Z)</f>
        <v>6</v>
      </c>
      <c r="K30" s="173">
        <f>IFERROR(INDEX(服务费底表!$C:$C,MATCH('SOW-ERP导入表'!$E30,服务费底表!$D:$D,0)),0)+IFERROR(INDEX(注册申报底表!$C:$C,MATCH('SOW-ERP导入表'!$E30,注册申报底表!$D:$D,0)),0)</f>
        <v>1</v>
      </c>
      <c r="L30" s="185">
        <f t="shared" si="0"/>
        <v>3900</v>
      </c>
      <c r="M30" s="184">
        <f>SUMIF(服务费底表!$D:$D,E30,服务费底表!$AG:$AG)+SUMIF(注册申报底表!$D:$D,'SOW-ERP导入表'!E30,注册申报底表!$AD:$AD)</f>
        <v>3900</v>
      </c>
    </row>
    <row r="31" spans="2:13">
      <c r="B31" s="173"/>
      <c r="D31" s="173"/>
      <c r="E31" s="187" t="s">
        <v>2383</v>
      </c>
      <c r="F31" s="173" t="str">
        <f t="shared" si="4"/>
        <v>请填写</v>
      </c>
      <c r="G31" s="173" t="e">
        <f>INDEX(服务费底表!$K:$K,MATCH('SOW-ERP导入表'!$E31,服务费底表!$D:$D,0))</f>
        <v>#N/A</v>
      </c>
      <c r="H31" s="183" t="e">
        <f>INDEX(服务费底表!L:L,MATCH('SOW-ERP导入表'!$E31,服务费底表!$D:$D,0))</f>
        <v>#N/A</v>
      </c>
      <c r="I31" s="173" t="e">
        <f>INDEX(服务费底表!$T:$T,MATCH('SOW-ERP导入表'!$E31,服务费底表!$D:$D,0))</f>
        <v>#N/A</v>
      </c>
      <c r="J31" s="184">
        <f>SUMIF(服务费底表!$D:$D,E31,服务费底表!$AC:$AC)+SUMIF(注册申报底表!$D:$D,'SOW-ERP导入表'!E31,注册申报底表!$Z:$Z)</f>
        <v>0</v>
      </c>
      <c r="K31" s="173">
        <f>IFERROR(INDEX(服务费底表!$C:$C,MATCH('SOW-ERP导入表'!$E31,服务费底表!$D:$D,0)),0)+IFERROR(INDEX(注册申报底表!$C:$C,MATCH('SOW-ERP导入表'!$E31,注册申报底表!$D:$D,0)),0)</f>
        <v>0</v>
      </c>
      <c r="L31" s="185">
        <f t="shared" si="0"/>
        <v>0</v>
      </c>
      <c r="M31" s="184">
        <f>SUMIF(服务费底表!$D:$D,E31,服务费底表!$AG:$AG)+SUMIF(注册申报底表!$D:$D,'SOW-ERP导入表'!E31,注册申报底表!$AD:$AD)</f>
        <v>0</v>
      </c>
    </row>
    <row r="32" spans="2:13">
      <c r="B32" s="173"/>
      <c r="D32" s="173"/>
      <c r="E32" s="187" t="s">
        <v>2384</v>
      </c>
      <c r="F32" s="173" t="str">
        <f t="shared" si="4"/>
        <v>请填写</v>
      </c>
      <c r="G32" s="173" t="str">
        <f>INDEX(服务费底表!$K:$K,MATCH('SOW-ERP导入表'!$E32,服务费底表!$D:$D,0))</f>
        <v>A008</v>
      </c>
      <c r="H32" s="183" t="str">
        <f>INDEX(服务费底表!L:L,MATCH('SOW-ERP导入表'!$E32,服务费底表!$D:$D,0))</f>
        <v>召开客户启动会</v>
      </c>
      <c r="I32" s="173" t="str">
        <f>INDEX(服务费底表!$T:$T,MATCH('SOW-ERP导入表'!$E32,服务费底表!$D:$D,0))</f>
        <v>CTA</v>
      </c>
      <c r="J32" s="184">
        <f>SUMIF(服务费底表!$D:$D,E32,服务费底表!$AC:$AC)+SUMIF(注册申报底表!$D:$D,'SOW-ERP导入表'!E32,注册申报底表!$Z:$Z)</f>
        <v>2</v>
      </c>
      <c r="K32" s="173">
        <f>IFERROR(INDEX(服务费底表!$C:$C,MATCH('SOW-ERP导入表'!$E32,服务费底表!$D:$D,0)),0)+IFERROR(INDEX(注册申报底表!$C:$C,MATCH('SOW-ERP导入表'!$E32,注册申报底表!$D:$D,0)),0)</f>
        <v>1</v>
      </c>
      <c r="L32" s="185">
        <f t="shared" si="0"/>
        <v>440</v>
      </c>
      <c r="M32" s="184">
        <f>SUMIF(服务费底表!$D:$D,E32,服务费底表!$AG:$AG)+SUMIF(注册申报底表!$D:$D,'SOW-ERP导入表'!E32,注册申报底表!$AD:$AD)</f>
        <v>440</v>
      </c>
    </row>
    <row r="33" spans="2:13">
      <c r="B33" s="173"/>
      <c r="D33" s="173"/>
      <c r="E33" s="187" t="s">
        <v>2385</v>
      </c>
      <c r="F33" s="173" t="str">
        <f t="shared" si="4"/>
        <v>请填写</v>
      </c>
      <c r="G33" s="173" t="str">
        <f>INDEX(服务费底表!$K:$K,MATCH('SOW-ERP导入表'!$E33,服务费底表!$D:$D,0))</f>
        <v>A008</v>
      </c>
      <c r="H33" s="183" t="str">
        <f>INDEX(服务费底表!L:L,MATCH('SOW-ERP导入表'!$E33,服务费底表!$D:$D,0))</f>
        <v>召开客户启动会</v>
      </c>
      <c r="I33" s="173" t="str">
        <f>INDEX(服务费底表!$T:$T,MATCH('SOW-ERP导入表'!$E33,服务费底表!$D:$D,0))</f>
        <v>PMD</v>
      </c>
      <c r="J33" s="184">
        <f>SUMIF(服务费底表!$D:$D,E33,服务费底表!$AC:$AC)+SUMIF(注册申报底表!$D:$D,'SOW-ERP导入表'!E33,注册申报底表!$Z:$Z)</f>
        <v>2</v>
      </c>
      <c r="K33" s="173">
        <f>IFERROR(INDEX(服务费底表!$C:$C,MATCH('SOW-ERP导入表'!$E33,服务费底表!$D:$D,0)),0)+IFERROR(INDEX(注册申报底表!$C:$C,MATCH('SOW-ERP导入表'!$E33,注册申报底表!$D:$D,0)),0)</f>
        <v>1</v>
      </c>
      <c r="L33" s="185">
        <f t="shared" si="0"/>
        <v>1600</v>
      </c>
      <c r="M33" s="184">
        <f>SUMIF(服务费底表!$D:$D,E33,服务费底表!$AG:$AG)+SUMIF(注册申报底表!$D:$D,'SOW-ERP导入表'!E33,注册申报底表!$AD:$AD)</f>
        <v>1600</v>
      </c>
    </row>
    <row r="34" spans="2:13">
      <c r="B34" s="173"/>
      <c r="D34" s="173"/>
      <c r="E34" s="187" t="s">
        <v>2386</v>
      </c>
      <c r="F34" s="173" t="str">
        <f t="shared" si="4"/>
        <v>请填写</v>
      </c>
      <c r="G34" s="173" t="str">
        <f>INDEX(服务费底表!$K:$K,MATCH('SOW-ERP导入表'!$E34,服务费底表!$D:$D,0))</f>
        <v>A008</v>
      </c>
      <c r="H34" s="183" t="str">
        <f>INDEX(服务费底表!L:L,MATCH('SOW-ERP导入表'!$E34,服务费底表!$D:$D,0))</f>
        <v>召开客户启动会</v>
      </c>
      <c r="I34" s="173" t="str">
        <f>INDEX(服务费底表!$T:$T,MATCH('SOW-ERP导入表'!$E34,服务费底表!$D:$D,0))</f>
        <v>MM</v>
      </c>
      <c r="J34" s="184">
        <f>SUMIF(服务费底表!$D:$D,E34,服务费底表!$AC:$AC)+SUMIF(注册申报底表!$D:$D,'SOW-ERP导入表'!E34,注册申报底表!$Z:$Z)</f>
        <v>2</v>
      </c>
      <c r="K34" s="173">
        <f>IFERROR(INDEX(服务费底表!$C:$C,MATCH('SOW-ERP导入表'!$E34,服务费底表!$D:$D,0)),0)+IFERROR(INDEX(注册申报底表!$C:$C,MATCH('SOW-ERP导入表'!$E34,注册申报底表!$D:$D,0)),0)</f>
        <v>1</v>
      </c>
      <c r="L34" s="185">
        <f t="shared" si="0"/>
        <v>1300</v>
      </c>
      <c r="M34" s="184">
        <f>SUMIF(服务费底表!$D:$D,E34,服务费底表!$AG:$AG)+SUMIF(注册申报底表!$D:$D,'SOW-ERP导入表'!E34,注册申报底表!$AD:$AD)</f>
        <v>1300</v>
      </c>
    </row>
    <row r="35" spans="2:13">
      <c r="B35" s="173"/>
      <c r="D35" s="173"/>
      <c r="E35" s="187" t="s">
        <v>2387</v>
      </c>
      <c r="F35" s="173" t="str">
        <f t="shared" si="4"/>
        <v>请填写</v>
      </c>
      <c r="G35" s="173" t="str">
        <f>INDEX(服务费底表!$K:$K,MATCH('SOW-ERP导入表'!$E35,服务费底表!$D:$D,0))</f>
        <v>A008</v>
      </c>
      <c r="H35" s="183" t="str">
        <f>INDEX(服务费底表!L:L,MATCH('SOW-ERP导入表'!$E35,服务费底表!$D:$D,0))</f>
        <v>召开客户启动会</v>
      </c>
      <c r="I35" s="173" t="str">
        <f>INDEX(服务费底表!$T:$T,MATCH('SOW-ERP导入表'!$E35,服务费底表!$D:$D,0))</f>
        <v>LDM</v>
      </c>
      <c r="J35" s="184">
        <f>SUMIF(服务费底表!$D:$D,E35,服务费底表!$AC:$AC)+SUMIF(注册申报底表!$D:$D,'SOW-ERP导入表'!E35,注册申报底表!$Z:$Z)</f>
        <v>2</v>
      </c>
      <c r="K35" s="173">
        <f>IFERROR(INDEX(服务费底表!$C:$C,MATCH('SOW-ERP导入表'!$E35,服务费底表!$D:$D,0)),0)+IFERROR(INDEX(注册申报底表!$C:$C,MATCH('SOW-ERP导入表'!$E35,注册申报底表!$D:$D,0)),0)</f>
        <v>1</v>
      </c>
      <c r="L35" s="185">
        <f t="shared" si="0"/>
        <v>720</v>
      </c>
      <c r="M35" s="184">
        <f>SUMIF(服务费底表!$D:$D,E35,服务费底表!$AG:$AG)+SUMIF(注册申报底表!$D:$D,'SOW-ERP导入表'!E35,注册申报底表!$AD:$AD)</f>
        <v>720</v>
      </c>
    </row>
    <row r="36" spans="2:13">
      <c r="B36" s="173"/>
      <c r="D36" s="173"/>
      <c r="E36" s="187" t="s">
        <v>2388</v>
      </c>
      <c r="F36" s="173" t="str">
        <f t="shared" si="4"/>
        <v>请填写</v>
      </c>
      <c r="G36" s="173" t="str">
        <f>INDEX(服务费底表!$K:$K,MATCH('SOW-ERP导入表'!$E36,服务费底表!$D:$D,0))</f>
        <v>A008</v>
      </c>
      <c r="H36" s="183" t="str">
        <f>INDEX(服务费底表!L:L,MATCH('SOW-ERP导入表'!$E36,服务费底表!$D:$D,0))</f>
        <v>召开客户启动会</v>
      </c>
      <c r="I36" s="173" t="str">
        <f>INDEX(服务费底表!$T:$T,MATCH('SOW-ERP导入表'!$E36,服务费底表!$D:$D,0))</f>
        <v>ST</v>
      </c>
      <c r="J36" s="184">
        <f>SUMIF(服务费底表!$D:$D,E36,服务费底表!$AC:$AC)+SUMIF(注册申报底表!$D:$D,'SOW-ERP导入表'!E36,注册申报底表!$Z:$Z)</f>
        <v>2</v>
      </c>
      <c r="K36" s="173">
        <f>IFERROR(INDEX(服务费底表!$C:$C,MATCH('SOW-ERP导入表'!$E36,服务费底表!$D:$D,0)),0)+IFERROR(INDEX(注册申报底表!$C:$C,MATCH('SOW-ERP导入表'!$E36,注册申报底表!$D:$D,0)),0)</f>
        <v>1</v>
      </c>
      <c r="L36" s="185">
        <f t="shared" si="0"/>
        <v>800</v>
      </c>
      <c r="M36" s="184">
        <f>SUMIF(服务费底表!$D:$D,E36,服务费底表!$AG:$AG)+SUMIF(注册申报底表!$D:$D,'SOW-ERP导入表'!E36,注册申报底表!$AD:$AD)</f>
        <v>800</v>
      </c>
    </row>
    <row r="37" spans="2:13">
      <c r="B37" s="173"/>
      <c r="D37" s="173"/>
      <c r="E37" s="187" t="s">
        <v>2389</v>
      </c>
      <c r="F37" s="173" t="str">
        <f t="shared" si="4"/>
        <v>请填写</v>
      </c>
      <c r="G37" s="173" t="str">
        <f>INDEX(服务费底表!$K:$K,MATCH('SOW-ERP导入表'!$E37,服务费底表!$D:$D,0))</f>
        <v>A008</v>
      </c>
      <c r="H37" s="183" t="str">
        <f>INDEX(服务费底表!L:L,MATCH('SOW-ERP导入表'!$E37,服务费底表!$D:$D,0))</f>
        <v>召开客户启动会</v>
      </c>
      <c r="I37" s="173" t="str">
        <f>INDEX(服务费底表!$T:$T,MATCH('SOW-ERP导入表'!$E37,服务费底表!$D:$D,0))</f>
        <v>PVM</v>
      </c>
      <c r="J37" s="184">
        <f>SUMIF(服务费底表!$D:$D,E37,服务费底表!$AC:$AC)+SUMIF(注册申报底表!$D:$D,'SOW-ERP导入表'!E37,注册申报底表!$Z:$Z)</f>
        <v>2</v>
      </c>
      <c r="K37" s="173">
        <f>IFERROR(INDEX(服务费底表!$C:$C,MATCH('SOW-ERP导入表'!$E37,服务费底表!$D:$D,0)),0)+IFERROR(INDEX(注册申报底表!$C:$C,MATCH('SOW-ERP导入表'!$E37,注册申报底表!$D:$D,0)),0)</f>
        <v>1</v>
      </c>
      <c r="L37" s="185">
        <f t="shared" si="0"/>
        <v>1000</v>
      </c>
      <c r="M37" s="184">
        <f>SUMIF(服务费底表!$D:$D,E37,服务费底表!$AG:$AG)+SUMIF(注册申报底表!$D:$D,'SOW-ERP导入表'!E37,注册申报底表!$AD:$AD)</f>
        <v>1000</v>
      </c>
    </row>
    <row r="38" spans="2:13">
      <c r="B38" s="173"/>
      <c r="D38" s="173"/>
      <c r="E38" s="187" t="s">
        <v>2390</v>
      </c>
      <c r="F38" s="173" t="str">
        <f t="shared" si="4"/>
        <v>请填写</v>
      </c>
      <c r="G38" s="173" t="str">
        <f>INDEX(服务费底表!$K:$K,MATCH('SOW-ERP导入表'!$E38,服务费底表!$D:$D,0))</f>
        <v>A008</v>
      </c>
      <c r="H38" s="183" t="str">
        <f>INDEX(服务费底表!L:L,MATCH('SOW-ERP导入表'!$E38,服务费底表!$D:$D,0))</f>
        <v>召开客户启动会</v>
      </c>
      <c r="I38" s="173" t="str">
        <f>INDEX(服务费底表!$T:$T,MATCH('SOW-ERP导入表'!$E38,服务费底表!$D:$D,0))</f>
        <v>CPSS</v>
      </c>
      <c r="J38" s="184">
        <f>SUMIF(服务费底表!$D:$D,E38,服务费底表!$AC:$AC)+SUMIF(注册申报底表!$D:$D,'SOW-ERP导入表'!E38,注册申报底表!$Z:$Z)</f>
        <v>2</v>
      </c>
      <c r="K38" s="173">
        <f>IFERROR(INDEX(服务费底表!$C:$C,MATCH('SOW-ERP导入表'!$E38,服务费底表!$D:$D,0)),0)+IFERROR(INDEX(注册申报底表!$C:$C,MATCH('SOW-ERP导入表'!$E38,注册申报底表!$D:$D,0)),0)</f>
        <v>1</v>
      </c>
      <c r="L38" s="185">
        <f t="shared" si="0"/>
        <v>1400</v>
      </c>
      <c r="M38" s="184">
        <f>SUMIF(服务费底表!$D:$D,E38,服务费底表!$AG:$AG)+SUMIF(注册申报底表!$D:$D,'SOW-ERP导入表'!E38,注册申报底表!$AD:$AD)</f>
        <v>1400</v>
      </c>
    </row>
    <row r="39" spans="2:13">
      <c r="B39" s="173"/>
      <c r="D39" s="173"/>
      <c r="E39" s="187" t="s">
        <v>2391</v>
      </c>
      <c r="F39" s="173" t="str">
        <f t="shared" si="4"/>
        <v>请填写</v>
      </c>
      <c r="G39" s="173" t="str">
        <f>INDEX(服务费底表!$K:$K,MATCH('SOW-ERP导入表'!$E39,服务费底表!$D:$D,0))</f>
        <v>A009</v>
      </c>
      <c r="H39" s="183" t="str">
        <f>INDEX(服务费底表!L:L,MATCH('SOW-ERP导入表'!$E39,服务费底表!$D:$D,0))</f>
        <v>方案培训</v>
      </c>
      <c r="I39" s="173" t="str">
        <f>INDEX(服务费底表!$T:$T,MATCH('SOW-ERP导入表'!$E39,服务费底表!$D:$D,0))</f>
        <v>MM</v>
      </c>
      <c r="J39" s="184">
        <f>SUMIF(服务费底表!$D:$D,E39,服务费底表!$AC:$AC)+SUMIF(注册申报底表!$D:$D,'SOW-ERP导入表'!E39,注册申报底表!$Z:$Z)</f>
        <v>7</v>
      </c>
      <c r="K39" s="173">
        <f>IFERROR(INDEX(服务费底表!$C:$C,MATCH('SOW-ERP导入表'!$E39,服务费底表!$D:$D,0)),0)+IFERROR(INDEX(注册申报底表!$C:$C,MATCH('SOW-ERP导入表'!$E39,注册申报底表!$D:$D,0)),0)</f>
        <v>1</v>
      </c>
      <c r="L39" s="185">
        <f t="shared" si="0"/>
        <v>4550</v>
      </c>
      <c r="M39" s="184">
        <f>SUMIF(服务费底表!$D:$D,E39,服务费底表!$AG:$AG)+SUMIF(注册申报底表!$D:$D,'SOW-ERP导入表'!E39,注册申报底表!$AD:$AD)</f>
        <v>4550</v>
      </c>
    </row>
    <row r="40" spans="2:13">
      <c r="B40" s="173"/>
      <c r="D40" s="173"/>
      <c r="E40" s="187" t="s">
        <v>2392</v>
      </c>
      <c r="F40" s="173" t="str">
        <f t="shared" si="4"/>
        <v>请填写</v>
      </c>
      <c r="G40" s="173" t="str">
        <f>INDEX(服务费底表!$K:$K,MATCH('SOW-ERP导入表'!$E40,服务费底表!$D:$D,0))</f>
        <v>A009</v>
      </c>
      <c r="H40" s="183" t="str">
        <f>INDEX(服务费底表!L:L,MATCH('SOW-ERP导入表'!$E40,服务费底表!$D:$D,0))</f>
        <v>方案培训</v>
      </c>
      <c r="I40" s="173" t="str">
        <f>INDEX(服务费底表!$T:$T,MATCH('SOW-ERP导入表'!$E40,服务费底表!$D:$D,0))</f>
        <v>MD</v>
      </c>
      <c r="J40" s="184">
        <f>SUMIF(服务费底表!$D:$D,E40,服务费底表!$AC:$AC)+SUMIF(注册申报底表!$D:$D,'SOW-ERP导入表'!E40,注册申报底表!$Z:$Z)</f>
        <v>1</v>
      </c>
      <c r="K40" s="173">
        <f>IFERROR(INDEX(服务费底表!$C:$C,MATCH('SOW-ERP导入表'!$E40,服务费底表!$D:$D,0)),0)+IFERROR(INDEX(注册申报底表!$C:$C,MATCH('SOW-ERP导入表'!$E40,注册申报底表!$D:$D,0)),0)</f>
        <v>1</v>
      </c>
      <c r="L40" s="185">
        <f t="shared" si="0"/>
        <v>990</v>
      </c>
      <c r="M40" s="184">
        <f>SUMIF(服务费底表!$D:$D,E40,服务费底表!$AG:$AG)+SUMIF(注册申报底表!$D:$D,'SOW-ERP导入表'!E40,注册申报底表!$AD:$AD)</f>
        <v>990</v>
      </c>
    </row>
    <row r="41" spans="2:13">
      <c r="B41" s="173"/>
      <c r="D41" s="173"/>
      <c r="E41" s="187" t="s">
        <v>2393</v>
      </c>
      <c r="F41" s="173" t="str">
        <f t="shared" si="4"/>
        <v>请填写</v>
      </c>
      <c r="G41" s="173" t="str">
        <f>INDEX(服务费底表!$K:$K,MATCH('SOW-ERP导入表'!$E41,服务费底表!$D:$D,0))</f>
        <v>A009</v>
      </c>
      <c r="H41" s="183" t="str">
        <f>INDEX(服务费底表!L:L,MATCH('SOW-ERP导入表'!$E41,服务费底表!$D:$D,0))</f>
        <v>方案培训</v>
      </c>
      <c r="I41" s="173" t="str">
        <f>INDEX(服务费底表!$T:$T,MATCH('SOW-ERP导入表'!$E41,服务费底表!$D:$D,0))</f>
        <v>PM</v>
      </c>
      <c r="J41" s="184">
        <f>SUMIF(服务费底表!$D:$D,E41,服务费底表!$AC:$AC)+SUMIF(注册申报底表!$D:$D,'SOW-ERP导入表'!E41,注册申报底表!$Z:$Z)</f>
        <v>1</v>
      </c>
      <c r="K41" s="173">
        <f>IFERROR(INDEX(服务费底表!$C:$C,MATCH('SOW-ERP导入表'!$E41,服务费底表!$D:$D,0)),0)+IFERROR(INDEX(注册申报底表!$C:$C,MATCH('SOW-ERP导入表'!$E41,注册申报底表!$D:$D,0)),0)</f>
        <v>1</v>
      </c>
      <c r="L41" s="185">
        <f t="shared" si="0"/>
        <v>650</v>
      </c>
      <c r="M41" s="184">
        <f>SUMIF(服务费底表!$D:$D,E41,服务费底表!$AG:$AG)+SUMIF(注册申报底表!$D:$D,'SOW-ERP导入表'!E41,注册申报底表!$AD:$AD)</f>
        <v>650</v>
      </c>
    </row>
    <row r="42" spans="2:13">
      <c r="B42" s="173"/>
      <c r="D42" s="173"/>
      <c r="E42" s="187" t="s">
        <v>2394</v>
      </c>
      <c r="F42" s="173" t="str">
        <f t="shared" si="4"/>
        <v>请填写</v>
      </c>
      <c r="G42" s="173" t="str">
        <f>INDEX(服务费底表!$K:$K,MATCH('SOW-ERP导入表'!$E42,服务费底表!$D:$D,0))</f>
        <v>A009</v>
      </c>
      <c r="H42" s="183" t="str">
        <f>INDEX(服务费底表!L:L,MATCH('SOW-ERP导入表'!$E42,服务费底表!$D:$D,0))</f>
        <v>方案培训</v>
      </c>
      <c r="I42" s="173" t="str">
        <f>INDEX(服务费底表!$T:$T,MATCH('SOW-ERP导入表'!$E42,服务费底表!$D:$D,0))</f>
        <v>CRA</v>
      </c>
      <c r="J42" s="184">
        <f>SUMIF(服务费底表!$D:$D,E42,服务费底表!$AC:$AC)+SUMIF(注册申报底表!$D:$D,'SOW-ERP导入表'!E42,注册申报底表!$Z:$Z)</f>
        <v>2</v>
      </c>
      <c r="K42" s="173">
        <f>IFERROR(INDEX(服务费底表!$C:$C,MATCH('SOW-ERP导入表'!$E42,服务费底表!$D:$D,0)),0)+IFERROR(INDEX(注册申报底表!$C:$C,MATCH('SOW-ERP导入表'!$E42,注册申报底表!$D:$D,0)),0)</f>
        <v>1</v>
      </c>
      <c r="L42" s="185">
        <f t="shared" si="0"/>
        <v>680</v>
      </c>
      <c r="M42" s="184">
        <f>SUMIF(服务费底表!$D:$D,E42,服务费底表!$AG:$AG)+SUMIF(注册申报底表!$D:$D,'SOW-ERP导入表'!E42,注册申报底表!$AD:$AD)</f>
        <v>680</v>
      </c>
    </row>
    <row r="43" spans="2:13">
      <c r="B43" s="173"/>
      <c r="D43" s="173"/>
      <c r="E43" s="187" t="s">
        <v>2395</v>
      </c>
      <c r="F43" s="173" t="str">
        <f t="shared" si="4"/>
        <v>请填写</v>
      </c>
      <c r="G43" s="173" t="str">
        <f>INDEX(服务费底表!$K:$K,MATCH('SOW-ERP导入表'!$E43,服务费底表!$D:$D,0))</f>
        <v>A009</v>
      </c>
      <c r="H43" s="183" t="str">
        <f>INDEX(服务费底表!L:L,MATCH('SOW-ERP导入表'!$E43,服务费底表!$D:$D,0))</f>
        <v>方案培训</v>
      </c>
      <c r="I43" s="173" t="str">
        <f>INDEX(服务费底表!$T:$T,MATCH('SOW-ERP导入表'!$E43,服务费底表!$D:$D,0))</f>
        <v>CTA</v>
      </c>
      <c r="J43" s="184">
        <f>SUMIF(服务费底表!$D:$D,E43,服务费底表!$AC:$AC)+SUMIF(注册申报底表!$D:$D,'SOW-ERP导入表'!E43,注册申报底表!$Z:$Z)</f>
        <v>1</v>
      </c>
      <c r="K43" s="173">
        <f>IFERROR(INDEX(服务费底表!$C:$C,MATCH('SOW-ERP导入表'!$E43,服务费底表!$D:$D,0)),0)+IFERROR(INDEX(注册申报底表!$C:$C,MATCH('SOW-ERP导入表'!$E43,注册申报底表!$D:$D,0)),0)</f>
        <v>1</v>
      </c>
      <c r="L43" s="185">
        <f t="shared" si="0"/>
        <v>220</v>
      </c>
      <c r="M43" s="184">
        <f>SUMIF(服务费底表!$D:$D,E43,服务费底表!$AG:$AG)+SUMIF(注册申报底表!$D:$D,'SOW-ERP导入表'!E43,注册申报底表!$AD:$AD)</f>
        <v>220</v>
      </c>
    </row>
    <row r="44" spans="2:13">
      <c r="B44" s="173"/>
      <c r="D44" s="173"/>
      <c r="E44" s="187" t="s">
        <v>2396</v>
      </c>
      <c r="F44" s="173" t="str">
        <f t="shared" si="4"/>
        <v>请填写</v>
      </c>
      <c r="G44" s="173" t="str">
        <f>INDEX(服务费底表!$K:$K,MATCH('SOW-ERP导入表'!$E44,服务费底表!$D:$D,0))</f>
        <v>A009</v>
      </c>
      <c r="H44" s="183" t="str">
        <f>INDEX(服务费底表!L:L,MATCH('SOW-ERP导入表'!$E44,服务费底表!$D:$D,0))</f>
        <v>方案培训</v>
      </c>
      <c r="I44" s="173" t="str">
        <f>INDEX(服务费底表!$T:$T,MATCH('SOW-ERP导入表'!$E44,服务费底表!$D:$D,0))</f>
        <v>LDM</v>
      </c>
      <c r="J44" s="184">
        <f>SUMIF(服务费底表!$D:$D,E44,服务费底表!$AC:$AC)+SUMIF(注册申报底表!$D:$D,'SOW-ERP导入表'!E44,注册申报底表!$Z:$Z)</f>
        <v>1</v>
      </c>
      <c r="K44" s="173">
        <f>IFERROR(INDEX(服务费底表!$C:$C,MATCH('SOW-ERP导入表'!$E44,服务费底表!$D:$D,0)),0)+IFERROR(INDEX(注册申报底表!$C:$C,MATCH('SOW-ERP导入表'!$E44,注册申报底表!$D:$D,0)),0)</f>
        <v>1</v>
      </c>
      <c r="L44" s="185">
        <f t="shared" si="0"/>
        <v>360</v>
      </c>
      <c r="M44" s="184">
        <f>SUMIF(服务费底表!$D:$D,E44,服务费底表!$AG:$AG)+SUMIF(注册申报底表!$D:$D,'SOW-ERP导入表'!E44,注册申报底表!$AD:$AD)</f>
        <v>360</v>
      </c>
    </row>
    <row r="45" spans="2:13">
      <c r="B45" s="173"/>
      <c r="D45" s="173"/>
      <c r="E45" s="187" t="s">
        <v>2397</v>
      </c>
      <c r="F45" s="173" t="str">
        <f t="shared" si="4"/>
        <v>请填写</v>
      </c>
      <c r="G45" s="173" t="str">
        <f>INDEX(服务费底表!$K:$K,MATCH('SOW-ERP导入表'!$E45,服务费底表!$D:$D,0))</f>
        <v>A009</v>
      </c>
      <c r="H45" s="183" t="str">
        <f>INDEX(服务费底表!L:L,MATCH('SOW-ERP导入表'!$E45,服务费底表!$D:$D,0))</f>
        <v>方案培训</v>
      </c>
      <c r="I45" s="173" t="str">
        <f>INDEX(服务费底表!$T:$T,MATCH('SOW-ERP导入表'!$E45,服务费底表!$D:$D,0))</f>
        <v>ST</v>
      </c>
      <c r="J45" s="184">
        <f>SUMIF(服务费底表!$D:$D,E45,服务费底表!$AC:$AC)+SUMIF(注册申报底表!$D:$D,'SOW-ERP导入表'!E45,注册申报底表!$Z:$Z)</f>
        <v>1</v>
      </c>
      <c r="K45" s="173">
        <f>IFERROR(INDEX(服务费底表!$C:$C,MATCH('SOW-ERP导入表'!$E45,服务费底表!$D:$D,0)),0)+IFERROR(INDEX(注册申报底表!$C:$C,MATCH('SOW-ERP导入表'!$E45,注册申报底表!$D:$D,0)),0)</f>
        <v>1</v>
      </c>
      <c r="L45" s="185">
        <f t="shared" si="0"/>
        <v>400</v>
      </c>
      <c r="M45" s="184">
        <f>SUMIF(服务费底表!$D:$D,E45,服务费底表!$AG:$AG)+SUMIF(注册申报底表!$D:$D,'SOW-ERP导入表'!E45,注册申报底表!$AD:$AD)</f>
        <v>400</v>
      </c>
    </row>
    <row r="46" spans="2:13">
      <c r="B46" s="173"/>
      <c r="D46" s="173"/>
      <c r="E46" s="187" t="s">
        <v>2398</v>
      </c>
      <c r="F46" s="173" t="str">
        <f t="shared" si="4"/>
        <v>请填写</v>
      </c>
      <c r="G46" s="173" t="str">
        <f>INDEX(服务费底表!$K:$K,MATCH('SOW-ERP导入表'!$E46,服务费底表!$D:$D,0))</f>
        <v>A009</v>
      </c>
      <c r="H46" s="183" t="str">
        <f>INDEX(服务费底表!L:L,MATCH('SOW-ERP导入表'!$E46,服务费底表!$D:$D,0))</f>
        <v>方案培训</v>
      </c>
      <c r="I46" s="173" t="str">
        <f>INDEX(服务费底表!$T:$T,MATCH('SOW-ERP导入表'!$E46,服务费底表!$D:$D,0))</f>
        <v>PVM</v>
      </c>
      <c r="J46" s="184">
        <f>SUMIF(服务费底表!$D:$D,E46,服务费底表!$AC:$AC)+SUMIF(注册申报底表!$D:$D,'SOW-ERP导入表'!E46,注册申报底表!$Z:$Z)</f>
        <v>1</v>
      </c>
      <c r="K46" s="173">
        <f>IFERROR(INDEX(服务费底表!$C:$C,MATCH('SOW-ERP导入表'!$E46,服务费底表!$D:$D,0)),0)+IFERROR(INDEX(注册申报底表!$C:$C,MATCH('SOW-ERP导入表'!$E46,注册申报底表!$D:$D,0)),0)</f>
        <v>1</v>
      </c>
      <c r="L46" s="185">
        <f t="shared" si="0"/>
        <v>500</v>
      </c>
      <c r="M46" s="184">
        <f>SUMIF(服务费底表!$D:$D,E46,服务费底表!$AG:$AG)+SUMIF(注册申报底表!$D:$D,'SOW-ERP导入表'!E46,注册申报底表!$AD:$AD)</f>
        <v>500</v>
      </c>
    </row>
    <row r="47" spans="2:13">
      <c r="B47" s="173"/>
      <c r="D47" s="173"/>
      <c r="E47" s="187" t="s">
        <v>2399</v>
      </c>
      <c r="F47" s="173" t="str">
        <f t="shared" si="4"/>
        <v>请填写</v>
      </c>
      <c r="G47" s="173" t="str">
        <f>INDEX(服务费底表!$K:$K,MATCH('SOW-ERP导入表'!$E47,服务费底表!$D:$D,0))</f>
        <v>A009</v>
      </c>
      <c r="H47" s="183" t="str">
        <f>INDEX(服务费底表!L:L,MATCH('SOW-ERP导入表'!$E47,服务费底表!$D:$D,0))</f>
        <v>方案培训</v>
      </c>
      <c r="I47" s="173" t="str">
        <f>INDEX(服务费底表!$T:$T,MATCH('SOW-ERP导入表'!$E47,服务费底表!$D:$D,0))</f>
        <v>CPS</v>
      </c>
      <c r="J47" s="184">
        <f>SUMIF(服务费底表!$D:$D,E47,服务费底表!$AC:$AC)+SUMIF(注册申报底表!$D:$D,'SOW-ERP导入表'!E47,注册申报底表!$Z:$Z)</f>
        <v>1</v>
      </c>
      <c r="K47" s="173">
        <f>IFERROR(INDEX(服务费底表!$C:$C,MATCH('SOW-ERP导入表'!$E47,服务费底表!$D:$D,0)),0)+IFERROR(INDEX(注册申报底表!$C:$C,MATCH('SOW-ERP导入表'!$E47,注册申报底表!$D:$D,0)),0)</f>
        <v>1</v>
      </c>
      <c r="L47" s="185">
        <f t="shared" si="0"/>
        <v>580</v>
      </c>
      <c r="M47" s="184">
        <f>SUMIF(服务费底表!$D:$D,E47,服务费底表!$AG:$AG)+SUMIF(注册申报底表!$D:$D,'SOW-ERP导入表'!E47,注册申报底表!$AD:$AD)</f>
        <v>580</v>
      </c>
    </row>
    <row r="48" spans="2:13">
      <c r="B48" s="173"/>
      <c r="D48" s="173"/>
      <c r="E48" s="187" t="s">
        <v>2400</v>
      </c>
      <c r="F48" s="173" t="str">
        <f t="shared" si="4"/>
        <v>请填写</v>
      </c>
      <c r="G48" s="173" t="e">
        <f>INDEX(服务费底表!$K:$K,MATCH('SOW-ERP导入表'!$E48,服务费底表!$D:$D,0))</f>
        <v>#N/A</v>
      </c>
      <c r="H48" s="183" t="e">
        <f>INDEX(服务费底表!L:L,MATCH('SOW-ERP导入表'!$E48,服务费底表!$D:$D,0))</f>
        <v>#N/A</v>
      </c>
      <c r="I48" s="173" t="e">
        <f>INDEX(服务费底表!$T:$T,MATCH('SOW-ERP导入表'!$E48,服务费底表!$D:$D,0))</f>
        <v>#N/A</v>
      </c>
      <c r="J48" s="184">
        <f>SUMIF(服务费底表!$D:$D,E48,服务费底表!$AC:$AC)+SUMIF(注册申报底表!$D:$D,'SOW-ERP导入表'!E48,注册申报底表!$Z:$Z)</f>
        <v>0</v>
      </c>
      <c r="K48" s="173">
        <f>IFERROR(INDEX(服务费底表!$C:$C,MATCH('SOW-ERP导入表'!$E48,服务费底表!$D:$D,0)),0)+IFERROR(INDEX(注册申报底表!$C:$C,MATCH('SOW-ERP导入表'!$E48,注册申报底表!$D:$D,0)),0)</f>
        <v>0</v>
      </c>
      <c r="L48" s="185">
        <f t="shared" si="0"/>
        <v>0</v>
      </c>
      <c r="M48" s="184">
        <f>SUMIF(服务费底表!$D:$D,E48,服务费底表!$AG:$AG)+SUMIF(注册申报底表!$D:$D,'SOW-ERP导入表'!E48,注册申报底表!$AD:$AD)</f>
        <v>0</v>
      </c>
    </row>
    <row r="49" spans="2:13">
      <c r="B49" s="173"/>
      <c r="D49" s="173"/>
      <c r="E49" s="187" t="s">
        <v>2401</v>
      </c>
      <c r="F49" s="173" t="str">
        <f t="shared" si="4"/>
        <v>请填写</v>
      </c>
      <c r="G49" s="173" t="str">
        <f>INDEX(服务费底表!$K:$K,MATCH('SOW-ERP导入表'!$E49,服务费底表!$D:$D,0))</f>
        <v>A010</v>
      </c>
      <c r="H49" s="183" t="str">
        <f>INDEX(服务费底表!L:L,MATCH('SOW-ERP导入表'!$E49,服务费底表!$D:$D,0))</f>
        <v>中心可行性调研</v>
      </c>
      <c r="I49" s="173" t="str">
        <f>INDEX(服务费底表!$T:$T,MATCH('SOW-ERP导入表'!$E49,服务费底表!$D:$D,0))</f>
        <v>CRA</v>
      </c>
      <c r="J49" s="184">
        <f>SUMIF(服务费底表!$D:$D,E49,服务费底表!$AC:$AC)+SUMIF(注册申报底表!$D:$D,'SOW-ERP导入表'!E49,注册申报底表!$Z:$Z)</f>
        <v>24</v>
      </c>
      <c r="K49" s="173">
        <f>IFERROR(INDEX(服务费底表!$C:$C,MATCH('SOW-ERP导入表'!$E49,服务费底表!$D:$D,0)),0)+IFERROR(INDEX(注册申报底表!$C:$C,MATCH('SOW-ERP导入表'!$E49,注册申报底表!$D:$D,0)),0)</f>
        <v>8</v>
      </c>
      <c r="L49" s="185">
        <f t="shared" si="0"/>
        <v>1020</v>
      </c>
      <c r="M49" s="184">
        <f>SUMIF(服务费底表!$D:$D,E49,服务费底表!$AG:$AG)+SUMIF(注册申报底表!$D:$D,'SOW-ERP导入表'!E49,注册申报底表!$AD:$AD)</f>
        <v>8160</v>
      </c>
    </row>
    <row r="50" spans="2:13">
      <c r="B50" s="173"/>
      <c r="D50" s="173"/>
      <c r="E50" s="187" t="s">
        <v>2402</v>
      </c>
      <c r="F50" s="173" t="str">
        <f t="shared" si="4"/>
        <v>请填写</v>
      </c>
      <c r="G50" s="173" t="str">
        <f>INDEX(服务费底表!$K:$K,MATCH('SOW-ERP导入表'!$E50,服务费底表!$D:$D,0))</f>
        <v>A011</v>
      </c>
      <c r="H50" s="183" t="str">
        <f>INDEX(服务费底表!L:L,MATCH('SOW-ERP导入表'!$E50,服务费底表!$D:$D,0))</f>
        <v>筛选访视</v>
      </c>
      <c r="I50" s="173" t="str">
        <f>INDEX(服务费底表!$T:$T,MATCH('SOW-ERP导入表'!$E50,服务费底表!$D:$D,0))</f>
        <v>CRA</v>
      </c>
      <c r="J50" s="184">
        <f>SUMIF(服务费底表!$D:$D,E50,服务费底表!$AC:$AC)+SUMIF(注册申报底表!$D:$D,'SOW-ERP导入表'!E50,注册申报底表!$Z:$Z)</f>
        <v>90</v>
      </c>
      <c r="K50" s="173">
        <f>IFERROR(INDEX(服务费底表!$C:$C,MATCH('SOW-ERP导入表'!$E50,服务费底表!$D:$D,0)),0)+IFERROR(INDEX(注册申报底表!$C:$C,MATCH('SOW-ERP导入表'!$E50,注册申报底表!$D:$D,0)),0)</f>
        <v>6</v>
      </c>
      <c r="L50" s="185">
        <f t="shared" si="0"/>
        <v>5100</v>
      </c>
      <c r="M50" s="184">
        <f>SUMIF(服务费底表!$D:$D,E50,服务费底表!$AG:$AG)+SUMIF(注册申报底表!$D:$D,'SOW-ERP导入表'!E50,注册申报底表!$AD:$AD)</f>
        <v>30600</v>
      </c>
    </row>
    <row r="51" spans="2:13">
      <c r="B51" s="173"/>
      <c r="D51" s="173"/>
      <c r="E51" s="187" t="s">
        <v>2403</v>
      </c>
      <c r="F51" s="173" t="str">
        <f t="shared" si="4"/>
        <v>请填写</v>
      </c>
      <c r="G51" s="173" t="str">
        <f>INDEX(服务费底表!$K:$K,MATCH('SOW-ERP导入表'!$E51,服务费底表!$D:$D,0))</f>
        <v>A011</v>
      </c>
      <c r="H51" s="183" t="str">
        <f>INDEX(服务费底表!L:L,MATCH('SOW-ERP导入表'!$E51,服务费底表!$D:$D,0))</f>
        <v>筛选访视</v>
      </c>
      <c r="I51" s="173" t="str">
        <f>INDEX(服务费底表!$T:$T,MATCH('SOW-ERP导入表'!$E51,服务费底表!$D:$D,0))</f>
        <v>PM</v>
      </c>
      <c r="J51" s="184">
        <f>SUMIF(服务费底表!$D:$D,E51,服务费底表!$AC:$AC)+SUMIF(注册申报底表!$D:$D,'SOW-ERP导入表'!E51,注册申报底表!$Z:$Z)</f>
        <v>12</v>
      </c>
      <c r="K51" s="173">
        <f>IFERROR(INDEX(服务费底表!$C:$C,MATCH('SOW-ERP导入表'!$E51,服务费底表!$D:$D,0)),0)+IFERROR(INDEX(注册申报底表!$C:$C,MATCH('SOW-ERP导入表'!$E51,注册申报底表!$D:$D,0)),0)</f>
        <v>6</v>
      </c>
      <c r="L51" s="185">
        <f t="shared" si="0"/>
        <v>1300</v>
      </c>
      <c r="M51" s="184">
        <f>SUMIF(服务费底表!$D:$D,E51,服务费底表!$AG:$AG)+SUMIF(注册申报底表!$D:$D,'SOW-ERP导入表'!E51,注册申报底表!$AD:$AD)</f>
        <v>7800</v>
      </c>
    </row>
    <row r="52" spans="2:13">
      <c r="B52" s="173"/>
      <c r="D52" s="173"/>
      <c r="E52" s="187" t="s">
        <v>2404</v>
      </c>
      <c r="F52" s="173" t="str">
        <f t="shared" si="4"/>
        <v>请填写</v>
      </c>
      <c r="G52" s="173" t="str">
        <f>INDEX(服务费底表!$K:$K,MATCH('SOW-ERP导入表'!$E52,服务费底表!$D:$D,0))</f>
        <v>A012</v>
      </c>
      <c r="H52" s="183" t="str">
        <f>INDEX(服务费底表!L:L,MATCH('SOW-ERP导入表'!$E52,服务费底表!$D:$D,0))</f>
        <v>机构立项</v>
      </c>
      <c r="I52" s="173" t="str">
        <f>INDEX(服务费底表!$T:$T,MATCH('SOW-ERP导入表'!$E52,服务费底表!$D:$D,0))</f>
        <v>CRA</v>
      </c>
      <c r="J52" s="184">
        <f>SUMIF(服务费底表!$D:$D,E52,服务费底表!$AC:$AC)+SUMIF(注册申报底表!$D:$D,'SOW-ERP导入表'!E52,注册申报底表!$Z:$Z)</f>
        <v>64</v>
      </c>
      <c r="K52" s="173">
        <f>IFERROR(INDEX(服务费底表!$C:$C,MATCH('SOW-ERP导入表'!$E52,服务费底表!$D:$D,0)),0)+IFERROR(INDEX(注册申报底表!$C:$C,MATCH('SOW-ERP导入表'!$E52,注册申报底表!$D:$D,0)),0)</f>
        <v>4</v>
      </c>
      <c r="L52" s="185">
        <f t="shared" si="0"/>
        <v>5440</v>
      </c>
      <c r="M52" s="184">
        <f>SUMIF(服务费底表!$D:$D,E52,服务费底表!$AG:$AG)+SUMIF(注册申报底表!$D:$D,'SOW-ERP导入表'!E52,注册申报底表!$AD:$AD)</f>
        <v>21760</v>
      </c>
    </row>
    <row r="53" spans="2:13">
      <c r="B53" s="173"/>
      <c r="D53" s="173"/>
      <c r="E53" s="187" t="s">
        <v>2405</v>
      </c>
      <c r="F53" s="173" t="str">
        <f t="shared" si="4"/>
        <v>请填写</v>
      </c>
      <c r="G53" s="173" t="str">
        <f>INDEX(服务费底表!$K:$K,MATCH('SOW-ERP导入表'!$E53,服务费底表!$D:$D,0))</f>
        <v>A012</v>
      </c>
      <c r="H53" s="183" t="str">
        <f>INDEX(服务费底表!L:L,MATCH('SOW-ERP导入表'!$E53,服务费底表!$D:$D,0))</f>
        <v>机构立项</v>
      </c>
      <c r="I53" s="173" t="str">
        <f>INDEX(服务费底表!$T:$T,MATCH('SOW-ERP导入表'!$E53,服务费底表!$D:$D,0))</f>
        <v>CTA</v>
      </c>
      <c r="J53" s="184">
        <f>SUMIF(服务费底表!$D:$D,E53,服务费底表!$AC:$AC)+SUMIF(注册申报底表!$D:$D,'SOW-ERP导入表'!E53,注册申报底表!$Z:$Z)</f>
        <v>12</v>
      </c>
      <c r="K53" s="173">
        <f>IFERROR(INDEX(服务费底表!$C:$C,MATCH('SOW-ERP导入表'!$E53,服务费底表!$D:$D,0)),0)+IFERROR(INDEX(注册申报底表!$C:$C,MATCH('SOW-ERP导入表'!$E53,注册申报底表!$D:$D,0)),0)</f>
        <v>4</v>
      </c>
      <c r="L53" s="185">
        <f t="shared" si="0"/>
        <v>660</v>
      </c>
      <c r="M53" s="184">
        <f>SUMIF(服务费底表!$D:$D,E53,服务费底表!$AG:$AG)+SUMIF(注册申报底表!$D:$D,'SOW-ERP导入表'!E53,注册申报底表!$AD:$AD)</f>
        <v>2640</v>
      </c>
    </row>
    <row r="54" spans="2:13">
      <c r="B54" s="173"/>
      <c r="D54" s="173"/>
      <c r="E54" s="187" t="s">
        <v>2406</v>
      </c>
      <c r="F54" s="173" t="str">
        <f t="shared" si="4"/>
        <v>请填写</v>
      </c>
      <c r="G54" s="173" t="str">
        <f>INDEX(服务费底表!$K:$K,MATCH('SOW-ERP导入表'!$E54,服务费底表!$D:$D,0))</f>
        <v>A012</v>
      </c>
      <c r="H54" s="183" t="str">
        <f>INDEX(服务费底表!L:L,MATCH('SOW-ERP导入表'!$E54,服务费底表!$D:$D,0))</f>
        <v>机构立项</v>
      </c>
      <c r="I54" s="173" t="str">
        <f>INDEX(服务费底表!$T:$T,MATCH('SOW-ERP导入表'!$E54,服务费底表!$D:$D,0))</f>
        <v>PM</v>
      </c>
      <c r="J54" s="184">
        <f>SUMIF(服务费底表!$D:$D,E54,服务费底表!$AC:$AC)+SUMIF(注册申报底表!$D:$D,'SOW-ERP导入表'!E54,注册申报底表!$Z:$Z)</f>
        <v>8</v>
      </c>
      <c r="K54" s="173">
        <f>IFERROR(INDEX(服务费底表!$C:$C,MATCH('SOW-ERP导入表'!$E54,服务费底表!$D:$D,0)),0)+IFERROR(INDEX(注册申报底表!$C:$C,MATCH('SOW-ERP导入表'!$E54,注册申报底表!$D:$D,0)),0)</f>
        <v>4</v>
      </c>
      <c r="L54" s="185">
        <f t="shared" si="0"/>
        <v>1300</v>
      </c>
      <c r="M54" s="184">
        <f>SUMIF(服务费底表!$D:$D,E54,服务费底表!$AG:$AG)+SUMIF(注册申报底表!$D:$D,'SOW-ERP导入表'!E54,注册申报底表!$AD:$AD)</f>
        <v>5200</v>
      </c>
    </row>
    <row r="55" spans="2:13">
      <c r="B55" s="173"/>
      <c r="D55" s="173"/>
      <c r="E55" s="187" t="s">
        <v>2407</v>
      </c>
      <c r="F55" s="173" t="str">
        <f t="shared" si="4"/>
        <v>请填写</v>
      </c>
      <c r="G55" s="173" t="str">
        <f>INDEX(服务费底表!$K:$K,MATCH('SOW-ERP导入表'!$E55,服务费底表!$D:$D,0))</f>
        <v>A013</v>
      </c>
      <c r="H55" s="183" t="str">
        <f>INDEX(服务费底表!L:L,MATCH('SOW-ERP导入表'!$E55,服务费底表!$D:$D,0))</f>
        <v>首次伦理文件准备和递交</v>
      </c>
      <c r="I55" s="173" t="str">
        <f>INDEX(服务费底表!$T:$T,MATCH('SOW-ERP导入表'!$E55,服务费底表!$D:$D,0))</f>
        <v>CRA</v>
      </c>
      <c r="J55" s="184">
        <f>SUMIF(服务费底表!$D:$D,E55,服务费底表!$AC:$AC)+SUMIF(注册申报底表!$D:$D,'SOW-ERP导入表'!E55,注册申报底表!$Z:$Z)</f>
        <v>96</v>
      </c>
      <c r="K55" s="173">
        <f>IFERROR(INDEX(服务费底表!$C:$C,MATCH('SOW-ERP导入表'!$E55,服务费底表!$D:$D,0)),0)+IFERROR(INDEX(注册申报底表!$C:$C,MATCH('SOW-ERP导入表'!$E55,注册申报底表!$D:$D,0)),0)</f>
        <v>4</v>
      </c>
      <c r="L55" s="185">
        <f t="shared" si="0"/>
        <v>8160</v>
      </c>
      <c r="M55" s="184">
        <f>SUMIF(服务费底表!$D:$D,E55,服务费底表!$AG:$AG)+SUMIF(注册申报底表!$D:$D,'SOW-ERP导入表'!E55,注册申报底表!$AD:$AD)</f>
        <v>32640</v>
      </c>
    </row>
    <row r="56" spans="2:13">
      <c r="B56" s="173"/>
      <c r="D56" s="173"/>
      <c r="E56" s="187" t="s">
        <v>2408</v>
      </c>
      <c r="F56" s="173" t="str">
        <f t="shared" si="4"/>
        <v>请填写</v>
      </c>
      <c r="G56" s="173" t="str">
        <f>INDEX(服务费底表!$K:$K,MATCH('SOW-ERP导入表'!$E56,服务费底表!$D:$D,0))</f>
        <v>A013</v>
      </c>
      <c r="H56" s="183" t="str">
        <f>INDEX(服务费底表!L:L,MATCH('SOW-ERP导入表'!$E56,服务费底表!$D:$D,0))</f>
        <v>首次伦理文件准备和递交</v>
      </c>
      <c r="I56" s="173" t="str">
        <f>INDEX(服务费底表!$T:$T,MATCH('SOW-ERP导入表'!$E56,服务费底表!$D:$D,0))</f>
        <v>CTA</v>
      </c>
      <c r="J56" s="184">
        <f>SUMIF(服务费底表!$D:$D,E56,服务费底表!$AC:$AC)+SUMIF(注册申报底表!$D:$D,'SOW-ERP导入表'!E56,注册申报底表!$Z:$Z)</f>
        <v>12</v>
      </c>
      <c r="K56" s="173">
        <f>IFERROR(INDEX(服务费底表!$C:$C,MATCH('SOW-ERP导入表'!$E56,服务费底表!$D:$D,0)),0)+IFERROR(INDEX(注册申报底表!$C:$C,MATCH('SOW-ERP导入表'!$E56,注册申报底表!$D:$D,0)),0)</f>
        <v>4</v>
      </c>
      <c r="L56" s="185">
        <f t="shared" si="0"/>
        <v>660</v>
      </c>
      <c r="M56" s="184">
        <f>SUMIF(服务费底表!$D:$D,E56,服务费底表!$AG:$AG)+SUMIF(注册申报底表!$D:$D,'SOW-ERP导入表'!E56,注册申报底表!$AD:$AD)</f>
        <v>2640</v>
      </c>
    </row>
    <row r="57" spans="2:13">
      <c r="B57" s="173"/>
      <c r="D57" s="173"/>
      <c r="E57" s="187" t="s">
        <v>2409</v>
      </c>
      <c r="F57" s="173" t="str">
        <f t="shared" si="4"/>
        <v>请填写</v>
      </c>
      <c r="G57" s="173" t="str">
        <f>INDEX(服务费底表!$K:$K,MATCH('SOW-ERP导入表'!$E57,服务费底表!$D:$D,0))</f>
        <v>A013</v>
      </c>
      <c r="H57" s="183" t="str">
        <f>INDEX(服务费底表!L:L,MATCH('SOW-ERP导入表'!$E57,服务费底表!$D:$D,0))</f>
        <v>首次伦理文件准备和递交</v>
      </c>
      <c r="I57" s="173" t="str">
        <f>INDEX(服务费底表!$T:$T,MATCH('SOW-ERP导入表'!$E57,服务费底表!$D:$D,0))</f>
        <v>PM</v>
      </c>
      <c r="J57" s="184">
        <f>SUMIF(服务费底表!$D:$D,E57,服务费底表!$AC:$AC)+SUMIF(注册申报底表!$D:$D,'SOW-ERP导入表'!E57,注册申报底表!$Z:$Z)</f>
        <v>8</v>
      </c>
      <c r="K57" s="173">
        <f>IFERROR(INDEX(服务费底表!$C:$C,MATCH('SOW-ERP导入表'!$E57,服务费底表!$D:$D,0)),0)+IFERROR(INDEX(注册申报底表!$C:$C,MATCH('SOW-ERP导入表'!$E57,注册申报底表!$D:$D,0)),0)</f>
        <v>4</v>
      </c>
      <c r="L57" s="185">
        <f t="shared" si="0"/>
        <v>1300</v>
      </c>
      <c r="M57" s="184">
        <f>SUMIF(服务费底表!$D:$D,E57,服务费底表!$AG:$AG)+SUMIF(注册申报底表!$D:$D,'SOW-ERP导入表'!E57,注册申报底表!$AD:$AD)</f>
        <v>5200</v>
      </c>
    </row>
    <row r="58" spans="2:13">
      <c r="B58" s="173"/>
      <c r="D58" s="173"/>
      <c r="E58" s="187" t="s">
        <v>2410</v>
      </c>
      <c r="F58" s="173" t="str">
        <f t="shared" si="4"/>
        <v>请填写</v>
      </c>
      <c r="G58" s="173" t="str">
        <f>INDEX(服务费底表!$K:$K,MATCH('SOW-ERP导入表'!$E58,服务费底表!$D:$D,0))</f>
        <v>A014</v>
      </c>
      <c r="H58" s="183" t="str">
        <f>INDEX(服务费底表!L:L,MATCH('SOW-ERP导入表'!$E58,服务费底表!$D:$D,0))</f>
        <v>中心知情同意书撰写</v>
      </c>
      <c r="I58" s="173" t="str">
        <f>INDEX(服务费底表!$T:$T,MATCH('SOW-ERP导入表'!$E58,服务费底表!$D:$D,0))</f>
        <v>CRA</v>
      </c>
      <c r="J58" s="184">
        <f>SUMIF(服务费底表!$D:$D,E58,服务费底表!$AC:$AC)+SUMIF(注册申报底表!$D:$D,'SOW-ERP导入表'!E58,注册申报底表!$Z:$Z)</f>
        <v>3</v>
      </c>
      <c r="K58" s="173">
        <f>IFERROR(INDEX(服务费底表!$C:$C,MATCH('SOW-ERP导入表'!$E58,服务费底表!$D:$D,0)),0)+IFERROR(INDEX(注册申报底表!$C:$C,MATCH('SOW-ERP导入表'!$E58,注册申报底表!$D:$D,0)),0)</f>
        <v>3</v>
      </c>
      <c r="L58" s="185">
        <f t="shared" si="0"/>
        <v>340</v>
      </c>
      <c r="M58" s="184">
        <f>SUMIF(服务费底表!$D:$D,E58,服务费底表!$AG:$AG)+SUMIF(注册申报底表!$D:$D,'SOW-ERP导入表'!E58,注册申报底表!$AD:$AD)</f>
        <v>1020</v>
      </c>
    </row>
    <row r="59" spans="2:13">
      <c r="B59" s="173"/>
      <c r="D59" s="173"/>
      <c r="E59" s="187" t="s">
        <v>2411</v>
      </c>
      <c r="F59" s="173" t="str">
        <f t="shared" si="4"/>
        <v>请填写</v>
      </c>
      <c r="G59" s="173" t="str">
        <f>INDEX(服务费底表!$K:$K,MATCH('SOW-ERP导入表'!$E59,服务费底表!$D:$D,0))</f>
        <v>A014</v>
      </c>
      <c r="H59" s="183" t="str">
        <f>INDEX(服务费底表!L:L,MATCH('SOW-ERP导入表'!$E59,服务费底表!$D:$D,0))</f>
        <v>中心知情同意书撰写</v>
      </c>
      <c r="I59" s="173" t="str">
        <f>INDEX(服务费底表!$T:$T,MATCH('SOW-ERP导入表'!$E59,服务费底表!$D:$D,0))</f>
        <v>PM</v>
      </c>
      <c r="J59" s="184">
        <f>SUMIF(服务费底表!$D:$D,E59,服务费底表!$AC:$AC)+SUMIF(注册申报底表!$D:$D,'SOW-ERP导入表'!E59,注册申报底表!$Z:$Z)</f>
        <v>3</v>
      </c>
      <c r="K59" s="173">
        <f>IFERROR(INDEX(服务费底表!$C:$C,MATCH('SOW-ERP导入表'!$E59,服务费底表!$D:$D,0)),0)+IFERROR(INDEX(注册申报底表!$C:$C,MATCH('SOW-ERP导入表'!$E59,注册申报底表!$D:$D,0)),0)</f>
        <v>3</v>
      </c>
      <c r="L59" s="185">
        <f t="shared" si="0"/>
        <v>650</v>
      </c>
      <c r="M59" s="184">
        <f>SUMIF(服务费底表!$D:$D,E59,服务费底表!$AG:$AG)+SUMIF(注册申报底表!$D:$D,'SOW-ERP导入表'!E59,注册申报底表!$AD:$AD)</f>
        <v>1950</v>
      </c>
    </row>
    <row r="60" spans="2:13">
      <c r="B60" s="173"/>
      <c r="D60" s="173"/>
      <c r="E60" s="187" t="s">
        <v>2412</v>
      </c>
      <c r="F60" s="173" t="str">
        <f t="shared" si="4"/>
        <v>请填写</v>
      </c>
      <c r="G60" s="173" t="str">
        <f>INDEX(服务费底表!$K:$K,MATCH('SOW-ERP导入表'!$E60,服务费底表!$D:$D,0))</f>
        <v>A015</v>
      </c>
      <c r="H60" s="183" t="str">
        <f>INDEX(服务费底表!L:L,MATCH('SOW-ERP导入表'!$E60,服务费底表!$D:$D,0))</f>
        <v>EDC上线前测试</v>
      </c>
      <c r="I60" s="173" t="str">
        <f>INDEX(服务费底表!$T:$T,MATCH('SOW-ERP导入表'!$E60,服务费底表!$D:$D,0))</f>
        <v>CRA</v>
      </c>
      <c r="J60" s="184">
        <f>SUMIF(服务费底表!$D:$D,E60,服务费底表!$AC:$AC)+SUMIF(注册申报底表!$D:$D,'SOW-ERP导入表'!E60,注册申报底表!$Z:$Z)</f>
        <v>0</v>
      </c>
      <c r="K60" s="173">
        <f>IFERROR(INDEX(服务费底表!$C:$C,MATCH('SOW-ERP导入表'!$E60,服务费底表!$D:$D,0)),0)+IFERROR(INDEX(注册申报底表!$C:$C,MATCH('SOW-ERP导入表'!$E60,注册申报底表!$D:$D,0)),0)</f>
        <v>1</v>
      </c>
      <c r="L60" s="185">
        <f t="shared" si="0"/>
        <v>0</v>
      </c>
      <c r="M60" s="184">
        <f>SUMIF(服务费底表!$D:$D,E60,服务费底表!$AG:$AG)+SUMIF(注册申报底表!$D:$D,'SOW-ERP导入表'!E60,注册申报底表!$AD:$AD)</f>
        <v>0</v>
      </c>
    </row>
    <row r="61" spans="2:13">
      <c r="B61" s="173"/>
      <c r="D61" s="173"/>
      <c r="E61" s="187" t="s">
        <v>2413</v>
      </c>
      <c r="F61" s="173" t="str">
        <f t="shared" si="4"/>
        <v>请填写</v>
      </c>
      <c r="G61" s="173" t="str">
        <f>INDEX(服务费底表!$K:$K,MATCH('SOW-ERP导入表'!$E61,服务费底表!$D:$D,0))</f>
        <v>A015</v>
      </c>
      <c r="H61" s="183" t="str">
        <f>INDEX(服务费底表!L:L,MATCH('SOW-ERP导入表'!$E61,服务费底表!$D:$D,0))</f>
        <v>EDC上线前测试</v>
      </c>
      <c r="I61" s="173" t="str">
        <f>INDEX(服务费底表!$T:$T,MATCH('SOW-ERP导入表'!$E61,服务费底表!$D:$D,0))</f>
        <v>PM</v>
      </c>
      <c r="J61" s="184">
        <f>SUMIF(服务费底表!$D:$D,E61,服务费底表!$AC:$AC)+SUMIF(注册申报底表!$D:$D,'SOW-ERP导入表'!E61,注册申报底表!$Z:$Z)</f>
        <v>2</v>
      </c>
      <c r="K61" s="173">
        <f>IFERROR(INDEX(服务费底表!$C:$C,MATCH('SOW-ERP导入表'!$E61,服务费底表!$D:$D,0)),0)+IFERROR(INDEX(注册申报底表!$C:$C,MATCH('SOW-ERP导入表'!$E61,注册申报底表!$D:$D,0)),0)</f>
        <v>1</v>
      </c>
      <c r="L61" s="185">
        <f t="shared" si="0"/>
        <v>1300</v>
      </c>
      <c r="M61" s="184">
        <f>SUMIF(服务费底表!$D:$D,E61,服务费底表!$AG:$AG)+SUMIF(注册申报底表!$D:$D,'SOW-ERP导入表'!E61,注册申报底表!$AD:$AD)</f>
        <v>1300</v>
      </c>
    </row>
    <row r="62" spans="2:13">
      <c r="B62" s="173"/>
      <c r="D62" s="173"/>
      <c r="E62" s="187" t="s">
        <v>2414</v>
      </c>
      <c r="F62" s="173" t="str">
        <f t="shared" si="4"/>
        <v>请填写</v>
      </c>
      <c r="G62" s="173" t="str">
        <f>INDEX(服务费底表!$K:$K,MATCH('SOW-ERP导入表'!$E62,服务费底表!$D:$D,0))</f>
        <v>A016</v>
      </c>
      <c r="H62" s="183" t="str">
        <f>INDEX(服务费底表!L:L,MATCH('SOW-ERP导入表'!$E62,服务费底表!$D:$D,0))</f>
        <v>研究中心启动文件准备和快递</v>
      </c>
      <c r="I62" s="173" t="str">
        <f>INDEX(服务费底表!$T:$T,MATCH('SOW-ERP导入表'!$E62,服务费底表!$D:$D,0))</f>
        <v>CRA</v>
      </c>
      <c r="J62" s="184">
        <f>SUMIF(服务费底表!$D:$D,E62,服务费底表!$AC:$AC)+SUMIF(注册申报底表!$D:$D,'SOW-ERP导入表'!E62,注册申报底表!$Z:$Z)</f>
        <v>16</v>
      </c>
      <c r="K62" s="173">
        <f>IFERROR(INDEX(服务费底表!$C:$C,MATCH('SOW-ERP导入表'!$E62,服务费底表!$D:$D,0)),0)+IFERROR(INDEX(注册申报底表!$C:$C,MATCH('SOW-ERP导入表'!$E62,注册申报底表!$D:$D,0)),0)</f>
        <v>4</v>
      </c>
      <c r="L62" s="185">
        <f t="shared" si="0"/>
        <v>1360</v>
      </c>
      <c r="M62" s="184">
        <f>SUMIF(服务费底表!$D:$D,E62,服务费底表!$AG:$AG)+SUMIF(注册申报底表!$D:$D,'SOW-ERP导入表'!E62,注册申报底表!$AD:$AD)</f>
        <v>5440</v>
      </c>
    </row>
    <row r="63" spans="2:13">
      <c r="B63" s="173"/>
      <c r="D63" s="173"/>
      <c r="E63" s="187" t="s">
        <v>2415</v>
      </c>
      <c r="F63" s="173" t="str">
        <f t="shared" si="4"/>
        <v>请填写</v>
      </c>
      <c r="G63" s="173" t="str">
        <f>INDEX(服务费底表!$K:$K,MATCH('SOW-ERP导入表'!$E63,服务费底表!$D:$D,0))</f>
        <v>A016</v>
      </c>
      <c r="H63" s="183" t="str">
        <f>INDEX(服务费底表!L:L,MATCH('SOW-ERP导入表'!$E63,服务费底表!$D:$D,0))</f>
        <v>研究中心启动文件准备和快递</v>
      </c>
      <c r="I63" s="173" t="str">
        <f>INDEX(服务费底表!$T:$T,MATCH('SOW-ERP导入表'!$E63,服务费底表!$D:$D,0))</f>
        <v>CTA</v>
      </c>
      <c r="J63" s="184">
        <f>SUMIF(服务费底表!$D:$D,E63,服务费底表!$AC:$AC)+SUMIF(注册申报底表!$D:$D,'SOW-ERP导入表'!E63,注册申报底表!$Z:$Z)</f>
        <v>16</v>
      </c>
      <c r="K63" s="173">
        <f>IFERROR(INDEX(服务费底表!$C:$C,MATCH('SOW-ERP导入表'!$E63,服务费底表!$D:$D,0)),0)+IFERROR(INDEX(注册申报底表!$C:$C,MATCH('SOW-ERP导入表'!$E63,注册申报底表!$D:$D,0)),0)</f>
        <v>4</v>
      </c>
      <c r="L63" s="185">
        <f t="shared" si="0"/>
        <v>880</v>
      </c>
      <c r="M63" s="184">
        <f>SUMIF(服务费底表!$D:$D,E63,服务费底表!$AG:$AG)+SUMIF(注册申报底表!$D:$D,'SOW-ERP导入表'!E63,注册申报底表!$AD:$AD)</f>
        <v>3520</v>
      </c>
    </row>
    <row r="64" spans="2:13">
      <c r="B64" s="173"/>
      <c r="D64" s="173"/>
      <c r="E64" s="187" t="s">
        <v>2416</v>
      </c>
      <c r="F64" s="173" t="str">
        <f t="shared" si="4"/>
        <v>请填写</v>
      </c>
      <c r="G64" s="173" t="str">
        <f>INDEX(服务费底表!$K:$K,MATCH('SOW-ERP导入表'!$E64,服务费底表!$D:$D,0))</f>
        <v>A017</v>
      </c>
      <c r="H64" s="183" t="str">
        <f>INDEX(服务费底表!L:L,MATCH('SOW-ERP导入表'!$E64,服务费底表!$D:$D,0))</f>
        <v>临床试验国家局备案</v>
      </c>
      <c r="I64" s="173" t="str">
        <f>INDEX(服务费底表!$T:$T,MATCH('SOW-ERP导入表'!$E64,服务费底表!$D:$D,0))</f>
        <v>PM</v>
      </c>
      <c r="J64" s="184">
        <f>SUMIF(服务费底表!$D:$D,E64,服务费底表!$AC:$AC)+SUMIF(注册申报底表!$D:$D,'SOW-ERP导入表'!E64,注册申报底表!$Z:$Z)</f>
        <v>0</v>
      </c>
      <c r="K64" s="173">
        <f>IFERROR(INDEX(服务费底表!$C:$C,MATCH('SOW-ERP导入表'!$E64,服务费底表!$D:$D,0)),0)+IFERROR(INDEX(注册申报底表!$C:$C,MATCH('SOW-ERP导入表'!$E64,注册申报底表!$D:$D,0)),0)</f>
        <v>0</v>
      </c>
      <c r="L64" s="185">
        <f t="shared" si="0"/>
        <v>0</v>
      </c>
      <c r="M64" s="184">
        <f>SUMIF(服务费底表!$D:$D,E64,服务费底表!$AG:$AG)+SUMIF(注册申报底表!$D:$D,'SOW-ERP导入表'!E64,注册申报底表!$AD:$AD)</f>
        <v>0</v>
      </c>
    </row>
    <row r="65" spans="2:13">
      <c r="B65" s="173"/>
      <c r="D65" s="173"/>
      <c r="E65" s="187" t="s">
        <v>2417</v>
      </c>
      <c r="F65" s="173" t="str">
        <f t="shared" si="4"/>
        <v>请填写</v>
      </c>
      <c r="G65" s="173" t="str">
        <f>INDEX(服务费底表!$K:$K,MATCH('SOW-ERP导入表'!$E65,服务费底表!$D:$D,0))</f>
        <v>A018</v>
      </c>
      <c r="H65" s="183" t="str">
        <f>INDEX(服务费底表!L:L,MATCH('SOW-ERP导入表'!$E65,服务费底表!$D:$D,0))</f>
        <v>临床试验省局备案</v>
      </c>
      <c r="I65" s="173" t="str">
        <f>INDEX(服务费底表!$T:$T,MATCH('SOW-ERP导入表'!$E65,服务费底表!$D:$D,0))</f>
        <v>CRA</v>
      </c>
      <c r="J65" s="184">
        <f>SUMIF(服务费底表!$D:$D,E65,服务费底表!$AC:$AC)+SUMIF(注册申报底表!$D:$D,'SOW-ERP导入表'!E65,注册申报底表!$Z:$Z)</f>
        <v>0</v>
      </c>
      <c r="K65" s="173">
        <f>IFERROR(INDEX(服务费底表!$C:$C,MATCH('SOW-ERP导入表'!$E65,服务费底表!$D:$D,0)),0)+IFERROR(INDEX(注册申报底表!$C:$C,MATCH('SOW-ERP导入表'!$E65,注册申报底表!$D:$D,0)),0)</f>
        <v>0</v>
      </c>
      <c r="L65" s="185">
        <f t="shared" si="0"/>
        <v>0</v>
      </c>
      <c r="M65" s="184">
        <f>SUMIF(服务费底表!$D:$D,E65,服务费底表!$AG:$AG)+SUMIF(注册申报底表!$D:$D,'SOW-ERP导入表'!E65,注册申报底表!$AD:$AD)</f>
        <v>0</v>
      </c>
    </row>
    <row r="66" spans="2:13">
      <c r="B66" s="173"/>
      <c r="D66" s="173"/>
      <c r="E66" s="187" t="s">
        <v>2418</v>
      </c>
      <c r="F66" s="173" t="str">
        <f t="shared" si="4"/>
        <v>请填写</v>
      </c>
      <c r="G66" s="173" t="str">
        <f>INDEX(服务费底表!$K:$K,MATCH('SOW-ERP导入表'!$E66,服务费底表!$D:$D,0))</f>
        <v>A209</v>
      </c>
      <c r="H66" s="183" t="str">
        <f>INDEX(服务费底表!L:L,MATCH('SOW-ERP导入表'!$E66,服务费底表!$D:$D,0))</f>
        <v>卫健委备案</v>
      </c>
      <c r="I66" s="173" t="str">
        <f>INDEX(服务费底表!$T:$T,MATCH('SOW-ERP导入表'!$E66,服务费底表!$D:$D,0))</f>
        <v>PM</v>
      </c>
      <c r="J66" s="184">
        <f>SUMIF(服务费底表!$D:$D,E66,服务费底表!$AC:$AC)+SUMIF(注册申报底表!$D:$D,'SOW-ERP导入表'!E66,注册申报底表!$Z:$Z)</f>
        <v>0</v>
      </c>
      <c r="K66" s="173">
        <f>IFERROR(INDEX(服务费底表!$C:$C,MATCH('SOW-ERP导入表'!$E66,服务费底表!$D:$D,0)),0)+IFERROR(INDEX(注册申报底表!$C:$C,MATCH('SOW-ERP导入表'!$E66,注册申报底表!$D:$D,0)),0)</f>
        <v>0</v>
      </c>
      <c r="L66" s="185">
        <f t="shared" ref="L66" si="5">IFERROR(M66/K66,0)</f>
        <v>0</v>
      </c>
      <c r="M66" s="184">
        <f>SUMIF(服务费底表!$D:$D,E66,服务费底表!$AG:$AG)+SUMIF(注册申报底表!$D:$D,'SOW-ERP导入表'!E66,注册申报底表!$AD:$AD)</f>
        <v>0</v>
      </c>
    </row>
    <row r="67" spans="2:13">
      <c r="B67" s="173"/>
      <c r="D67" s="173"/>
      <c r="E67" s="187" t="s">
        <v>2419</v>
      </c>
      <c r="F67" s="173" t="str">
        <f t="shared" si="4"/>
        <v>请填写</v>
      </c>
      <c r="G67" s="173" t="e">
        <f>INDEX(服务费底表!$K:$K,MATCH('SOW-ERP导入表'!$E67,服务费底表!$D:$D,0))</f>
        <v>#N/A</v>
      </c>
      <c r="H67" s="183" t="e">
        <f>INDEX(服务费底表!L:L,MATCH('SOW-ERP导入表'!$E67,服务费底表!$D:$D,0))</f>
        <v>#N/A</v>
      </c>
      <c r="I67" s="173" t="e">
        <f>INDEX(服务费底表!$T:$T,MATCH('SOW-ERP导入表'!$E67,服务费底表!$D:$D,0))</f>
        <v>#N/A</v>
      </c>
      <c r="J67" s="184">
        <f>SUMIF(服务费底表!$D:$D,E67,服务费底表!$AC:$AC)+SUMIF(注册申报底表!$D:$D,'SOW-ERP导入表'!E67,注册申报底表!$Z:$Z)</f>
        <v>0</v>
      </c>
      <c r="K67" s="173">
        <f>IFERROR(INDEX(服务费底表!$C:$C,MATCH('SOW-ERP导入表'!$E67,服务费底表!$D:$D,0)),0)+IFERROR(INDEX(注册申报底表!$C:$C,MATCH('SOW-ERP导入表'!$E67,注册申报底表!$D:$D,0)),0)</f>
        <v>0</v>
      </c>
      <c r="L67" s="185">
        <f t="shared" si="0"/>
        <v>0</v>
      </c>
      <c r="M67" s="184">
        <f>SUMIF(服务费底表!$D:$D,E67,服务费底表!$AG:$AG)+SUMIF(注册申报底表!$D:$D,'SOW-ERP导入表'!E67,注册申报底表!$AD:$AD)</f>
        <v>0</v>
      </c>
    </row>
    <row r="68" spans="2:13">
      <c r="B68" s="173"/>
      <c r="D68" s="173"/>
      <c r="E68" s="187" t="s">
        <v>2420</v>
      </c>
      <c r="F68" s="173" t="str">
        <f t="shared" si="4"/>
        <v>请填写</v>
      </c>
      <c r="G68" s="173" t="str">
        <f>INDEX(服务费底表!$K:$K,MATCH('SOW-ERP导入表'!$E68,服务费底表!$D:$D,0))</f>
        <v>A019</v>
      </c>
      <c r="H68" s="183" t="str">
        <f>INDEX(服务费底表!L:L,MATCH('SOW-ERP导入表'!$E68,服务费底表!$D:$D,0))</f>
        <v>ClinicalTrials翻译</v>
      </c>
      <c r="I68" s="173" t="str">
        <f>INDEX(服务费底表!$T:$T,MATCH('SOW-ERP导入表'!$E68,服务费底表!$D:$D,0))</f>
        <v>MM</v>
      </c>
      <c r="J68" s="184">
        <f>SUMIF(服务费底表!$D:$D,E68,服务费底表!$AC:$AC)+SUMIF(注册申报底表!$D:$D,'SOW-ERP导入表'!E68,注册申报底表!$Z:$Z)</f>
        <v>0</v>
      </c>
      <c r="K68" s="173">
        <f>IFERROR(INDEX(服务费底表!$C:$C,MATCH('SOW-ERP导入表'!$E68,服务费底表!$D:$D,0)),0)+IFERROR(INDEX(注册申报底表!$C:$C,MATCH('SOW-ERP导入表'!$E68,注册申报底表!$D:$D,0)),0)</f>
        <v>0</v>
      </c>
      <c r="L68" s="185">
        <f t="shared" si="0"/>
        <v>0</v>
      </c>
      <c r="M68" s="184">
        <f>SUMIF(服务费底表!$D:$D,E68,服务费底表!$AG:$AG)+SUMIF(注册申报底表!$D:$D,'SOW-ERP导入表'!E68,注册申报底表!$AD:$AD)</f>
        <v>0</v>
      </c>
    </row>
    <row r="69" spans="2:13">
      <c r="B69" s="173"/>
      <c r="D69" s="173"/>
      <c r="E69" s="187" t="s">
        <v>2421</v>
      </c>
      <c r="F69" s="173" t="str">
        <f t="shared" si="4"/>
        <v>请填写</v>
      </c>
      <c r="G69" s="173" t="e">
        <f>INDEX(服务费底表!$K:$K,MATCH('SOW-ERP导入表'!$E69,服务费底表!$D:$D,0))</f>
        <v>#N/A</v>
      </c>
      <c r="H69" s="183" t="e">
        <f>INDEX(服务费底表!L:L,MATCH('SOW-ERP导入表'!$E69,服务费底表!$D:$D,0))</f>
        <v>#N/A</v>
      </c>
      <c r="I69" s="173" t="e">
        <f>INDEX(服务费底表!$T:$T,MATCH('SOW-ERP导入表'!$E69,服务费底表!$D:$D,0))</f>
        <v>#N/A</v>
      </c>
      <c r="J69" s="184">
        <f>SUMIF(服务费底表!$D:$D,E69,服务费底表!$AC:$AC)+SUMIF(注册申报底表!$D:$D,'SOW-ERP导入表'!E69,注册申报底表!$Z:$Z)</f>
        <v>0</v>
      </c>
      <c r="K69" s="173">
        <f>IFERROR(INDEX(服务费底表!$C:$C,MATCH('SOW-ERP导入表'!$E69,服务费底表!$D:$D,0)),0)+IFERROR(INDEX(注册申报底表!$C:$C,MATCH('SOW-ERP导入表'!$E69,注册申报底表!$D:$D,0)),0)</f>
        <v>0</v>
      </c>
      <c r="L69" s="185">
        <f t="shared" si="0"/>
        <v>0</v>
      </c>
      <c r="M69" s="184">
        <f>SUMIF(服务费底表!$D:$D,E69,服务费底表!$AG:$AG)+SUMIF(注册申报底表!$D:$D,'SOW-ERP导入表'!E69,注册申报底表!$AD:$AD)</f>
        <v>0</v>
      </c>
    </row>
    <row r="70" spans="2:13">
      <c r="B70" s="173"/>
      <c r="D70" s="173"/>
      <c r="E70" s="187" t="s">
        <v>2422</v>
      </c>
      <c r="F70" s="173" t="str">
        <f t="shared" si="4"/>
        <v>请填写</v>
      </c>
      <c r="G70" s="173" t="e">
        <f>INDEX(服务费底表!$K:$K,MATCH('SOW-ERP导入表'!$E70,服务费底表!$D:$D,0))</f>
        <v>#N/A</v>
      </c>
      <c r="H70" s="183" t="e">
        <f>INDEX(服务费底表!L:L,MATCH('SOW-ERP导入表'!$E70,服务费底表!$D:$D,0))</f>
        <v>#N/A</v>
      </c>
      <c r="I70" s="173" t="e">
        <f>INDEX(服务费底表!$T:$T,MATCH('SOW-ERP导入表'!$E70,服务费底表!$D:$D,0))</f>
        <v>#N/A</v>
      </c>
      <c r="J70" s="184">
        <f>SUMIF(服务费底表!$D:$D,E70,服务费底表!$AC:$AC)+SUMIF(注册申报底表!$D:$D,'SOW-ERP导入表'!E70,注册申报底表!$Z:$Z)</f>
        <v>0</v>
      </c>
      <c r="K70" s="173">
        <f>IFERROR(INDEX(服务费底表!$C:$C,MATCH('SOW-ERP导入表'!$E70,服务费底表!$D:$D,0)),0)+IFERROR(INDEX(注册申报底表!$C:$C,MATCH('SOW-ERP导入表'!$E70,注册申报底表!$D:$D,0)),0)</f>
        <v>0</v>
      </c>
      <c r="L70" s="185">
        <f t="shared" ref="L70:L134" si="6">IFERROR(M70/K70,0)</f>
        <v>0</v>
      </c>
      <c r="M70" s="184">
        <f>SUMIF(服务费底表!$D:$D,E70,服务费底表!$AG:$AG)+SUMIF(注册申报底表!$D:$D,'SOW-ERP导入表'!E70,注册申报底表!$AD:$AD)</f>
        <v>0</v>
      </c>
    </row>
    <row r="71" spans="2:13">
      <c r="B71" s="173"/>
      <c r="D71" s="173"/>
      <c r="E71" s="187" t="s">
        <v>2423</v>
      </c>
      <c r="F71" s="173" t="str">
        <f t="shared" si="4"/>
        <v>请填写</v>
      </c>
      <c r="G71" s="173" t="e">
        <f>INDEX(服务费底表!$K:$K,MATCH('SOW-ERP导入表'!$E71,服务费底表!$D:$D,0))</f>
        <v>#N/A</v>
      </c>
      <c r="H71" s="183" t="e">
        <f>INDEX(服务费底表!L:L,MATCH('SOW-ERP导入表'!$E71,服务费底表!$D:$D,0))</f>
        <v>#N/A</v>
      </c>
      <c r="I71" s="173" t="e">
        <f>INDEX(服务费底表!$T:$T,MATCH('SOW-ERP导入表'!$E71,服务费底表!$D:$D,0))</f>
        <v>#N/A</v>
      </c>
      <c r="J71" s="184">
        <f>SUMIF(服务费底表!$D:$D,E71,服务费底表!$AC:$AC)+SUMIF(注册申报底表!$D:$D,'SOW-ERP导入表'!E71,注册申报底表!$Z:$Z)</f>
        <v>0</v>
      </c>
      <c r="K71" s="173">
        <f>IFERROR(INDEX(服务费底表!$C:$C,MATCH('SOW-ERP导入表'!$E71,服务费底表!$D:$D,0)),0)+IFERROR(INDEX(注册申报底表!$C:$C,MATCH('SOW-ERP导入表'!$E71,注册申报底表!$D:$D,0)),0)</f>
        <v>0</v>
      </c>
      <c r="L71" s="185">
        <f t="shared" si="6"/>
        <v>0</v>
      </c>
      <c r="M71" s="184">
        <f>SUMIF(服务费底表!$D:$D,E71,服务费底表!$AG:$AG)+SUMIF(注册申报底表!$D:$D,'SOW-ERP导入表'!E71,注册申报底表!$AD:$AD)</f>
        <v>0</v>
      </c>
    </row>
    <row r="72" spans="2:13">
      <c r="B72" s="173"/>
      <c r="D72" s="173"/>
      <c r="E72" s="187" t="s">
        <v>2424</v>
      </c>
      <c r="F72" s="173" t="str">
        <f t="shared" si="4"/>
        <v>请填写</v>
      </c>
      <c r="G72" s="173" t="e">
        <f>INDEX(服务费底表!$K:$K,MATCH('SOW-ERP导入表'!$E72,服务费底表!$D:$D,0))</f>
        <v>#N/A</v>
      </c>
      <c r="H72" s="183" t="e">
        <f>INDEX(服务费底表!L:L,MATCH('SOW-ERP导入表'!$E72,服务费底表!$D:$D,0))</f>
        <v>#N/A</v>
      </c>
      <c r="I72" s="173" t="e">
        <f>INDEX(服务费底表!$T:$T,MATCH('SOW-ERP导入表'!$E72,服务费底表!$D:$D,0))</f>
        <v>#N/A</v>
      </c>
      <c r="J72" s="184">
        <f>SUMIF(服务费底表!$D:$D,E72,服务费底表!$AC:$AC)+SUMIF(注册申报底表!$D:$D,'SOW-ERP导入表'!E72,注册申报底表!$Z:$Z)</f>
        <v>0</v>
      </c>
      <c r="K72" s="173">
        <f>IFERROR(INDEX(服务费底表!$C:$C,MATCH('SOW-ERP导入表'!$E72,服务费底表!$D:$D,0)),0)+IFERROR(INDEX(注册申报底表!$C:$C,MATCH('SOW-ERP导入表'!$E72,注册申报底表!$D:$D,0)),0)</f>
        <v>0</v>
      </c>
      <c r="L72" s="185">
        <f t="shared" si="6"/>
        <v>0</v>
      </c>
      <c r="M72" s="184">
        <f>SUMIF(服务费底表!$D:$D,E72,服务费底表!$AG:$AG)+SUMIF(注册申报底表!$D:$D,'SOW-ERP导入表'!E72,注册申报底表!$AD:$AD)</f>
        <v>0</v>
      </c>
    </row>
    <row r="73" spans="2:13">
      <c r="B73" s="173"/>
      <c r="D73" s="173"/>
      <c r="E73" s="187" t="s">
        <v>2425</v>
      </c>
      <c r="F73" s="173" t="str">
        <f t="shared" si="4"/>
        <v>请填写</v>
      </c>
      <c r="G73" s="173" t="e">
        <f>INDEX(服务费底表!$K:$K,MATCH('SOW-ERP导入表'!$E73,服务费底表!$D:$D,0))</f>
        <v>#N/A</v>
      </c>
      <c r="H73" s="183" t="e">
        <f>INDEX(服务费底表!L:L,MATCH('SOW-ERP导入表'!$E73,服务费底表!$D:$D,0))</f>
        <v>#N/A</v>
      </c>
      <c r="I73" s="173" t="e">
        <f>INDEX(服务费底表!$T:$T,MATCH('SOW-ERP导入表'!$E73,服务费底表!$D:$D,0))</f>
        <v>#N/A</v>
      </c>
      <c r="J73" s="184">
        <f>SUMIF(服务费底表!$D:$D,E73,服务费底表!$AC:$AC)+SUMIF(注册申报底表!$D:$D,'SOW-ERP导入表'!E73,注册申报底表!$Z:$Z)</f>
        <v>0</v>
      </c>
      <c r="K73" s="173">
        <f>IFERROR(INDEX(服务费底表!$C:$C,MATCH('SOW-ERP导入表'!$E73,服务费底表!$D:$D,0)),0)+IFERROR(INDEX(注册申报底表!$C:$C,MATCH('SOW-ERP导入表'!$E73,注册申报底表!$D:$D,0)),0)</f>
        <v>0</v>
      </c>
      <c r="L73" s="185">
        <f t="shared" si="6"/>
        <v>0</v>
      </c>
      <c r="M73" s="184">
        <f>SUMIF(服务费底表!$D:$D,E73,服务费底表!$AG:$AG)+SUMIF(注册申报底表!$D:$D,'SOW-ERP导入表'!E73,注册申报底表!$AD:$AD)</f>
        <v>0</v>
      </c>
    </row>
    <row r="74" spans="2:13">
      <c r="B74" s="173"/>
      <c r="D74" s="173"/>
      <c r="E74" s="187" t="s">
        <v>2426</v>
      </c>
      <c r="F74" s="173" t="str">
        <f t="shared" si="4"/>
        <v>请填写</v>
      </c>
      <c r="G74" s="173" t="e">
        <f>INDEX(服务费底表!$K:$K,MATCH('SOW-ERP导入表'!$E74,服务费底表!$D:$D,0))</f>
        <v>#N/A</v>
      </c>
      <c r="H74" s="183" t="e">
        <f>INDEX(服务费底表!L:L,MATCH('SOW-ERP导入表'!$E74,服务费底表!$D:$D,0))</f>
        <v>#N/A</v>
      </c>
      <c r="I74" s="173" t="e">
        <f>INDEX(服务费底表!$T:$T,MATCH('SOW-ERP导入表'!$E74,服务费底表!$D:$D,0))</f>
        <v>#N/A</v>
      </c>
      <c r="J74" s="184">
        <f>SUMIF(服务费底表!$D:$D,E74,服务费底表!$AC:$AC)+SUMIF(注册申报底表!$D:$D,'SOW-ERP导入表'!E74,注册申报底表!$Z:$Z)</f>
        <v>0</v>
      </c>
      <c r="K74" s="173">
        <f>IFERROR(INDEX(服务费底表!$C:$C,MATCH('SOW-ERP导入表'!$E74,服务费底表!$D:$D,0)),0)+IFERROR(INDEX(注册申报底表!$C:$C,MATCH('SOW-ERP导入表'!$E74,注册申报底表!$D:$D,0)),0)</f>
        <v>0</v>
      </c>
      <c r="L74" s="185">
        <f t="shared" si="6"/>
        <v>0</v>
      </c>
      <c r="M74" s="184">
        <f>SUMIF(服务费底表!$D:$D,E74,服务费底表!$AG:$AG)+SUMIF(注册申报底表!$D:$D,'SOW-ERP导入表'!E74,注册申报底表!$AD:$AD)</f>
        <v>0</v>
      </c>
    </row>
    <row r="75" spans="2:13">
      <c r="B75" s="173"/>
      <c r="D75" s="173"/>
      <c r="E75" s="187" t="s">
        <v>2427</v>
      </c>
      <c r="F75" s="173" t="str">
        <f t="shared" ref="F75:F139" si="7">$F$2</f>
        <v>请填写</v>
      </c>
      <c r="G75" s="173" t="e">
        <f>INDEX(服务费底表!$K:$K,MATCH('SOW-ERP导入表'!$E75,服务费底表!$D:$D,0))</f>
        <v>#N/A</v>
      </c>
      <c r="H75" s="183" t="e">
        <f>INDEX(服务费底表!L:L,MATCH('SOW-ERP导入表'!$E75,服务费底表!$D:$D,0))</f>
        <v>#N/A</v>
      </c>
      <c r="I75" s="173" t="e">
        <f>INDEX(服务费底表!$T:$T,MATCH('SOW-ERP导入表'!$E75,服务费底表!$D:$D,0))</f>
        <v>#N/A</v>
      </c>
      <c r="J75" s="184">
        <f>SUMIF(服务费底表!$D:$D,E75,服务费底表!$AC:$AC)+SUMIF(注册申报底表!$D:$D,'SOW-ERP导入表'!E75,注册申报底表!$Z:$Z)</f>
        <v>0</v>
      </c>
      <c r="K75" s="173">
        <f>IFERROR(INDEX(服务费底表!$C:$C,MATCH('SOW-ERP导入表'!$E75,服务费底表!$D:$D,0)),0)+IFERROR(INDEX(注册申报底表!$C:$C,MATCH('SOW-ERP导入表'!$E75,注册申报底表!$D:$D,0)),0)</f>
        <v>0</v>
      </c>
      <c r="L75" s="185">
        <f t="shared" si="6"/>
        <v>0</v>
      </c>
      <c r="M75" s="184">
        <f>SUMIF(服务费底表!$D:$D,E75,服务费底表!$AG:$AG)+SUMIF(注册申报底表!$D:$D,'SOW-ERP导入表'!E75,注册申报底表!$AD:$AD)</f>
        <v>0</v>
      </c>
    </row>
    <row r="76" spans="2:13">
      <c r="B76" s="173"/>
      <c r="D76" s="173"/>
      <c r="E76" s="187" t="s">
        <v>2428</v>
      </c>
      <c r="F76" s="173" t="str">
        <f t="shared" si="7"/>
        <v>请填写</v>
      </c>
      <c r="G76" s="173" t="e">
        <f>INDEX(服务费底表!$K:$K,MATCH('SOW-ERP导入表'!$E76,服务费底表!$D:$D,0))</f>
        <v>#N/A</v>
      </c>
      <c r="H76" s="183" t="e">
        <f>INDEX(服务费底表!L:L,MATCH('SOW-ERP导入表'!$E76,服务费底表!$D:$D,0))</f>
        <v>#N/A</v>
      </c>
      <c r="I76" s="173" t="e">
        <f>INDEX(服务费底表!$T:$T,MATCH('SOW-ERP导入表'!$E76,服务费底表!$D:$D,0))</f>
        <v>#N/A</v>
      </c>
      <c r="J76" s="184">
        <f>SUMIF(服务费底表!$D:$D,E76,服务费底表!$AC:$AC)+SUMIF(注册申报底表!$D:$D,'SOW-ERP导入表'!E76,注册申报底表!$Z:$Z)</f>
        <v>0</v>
      </c>
      <c r="K76" s="173">
        <f>IFERROR(INDEX(服务费底表!$C:$C,MATCH('SOW-ERP导入表'!$E76,服务费底表!$D:$D,0)),0)+IFERROR(INDEX(注册申报底表!$C:$C,MATCH('SOW-ERP导入表'!$E76,注册申报底表!$D:$D,0)),0)</f>
        <v>0</v>
      </c>
      <c r="L76" s="185">
        <f t="shared" si="6"/>
        <v>0</v>
      </c>
      <c r="M76" s="184">
        <f>SUMIF(服务费底表!$D:$D,E76,服务费底表!$AG:$AG)+SUMIF(注册申报底表!$D:$D,'SOW-ERP导入表'!E76,注册申报底表!$AD:$AD)</f>
        <v>0</v>
      </c>
    </row>
    <row r="77" spans="2:13">
      <c r="B77" s="173"/>
      <c r="D77" s="173"/>
      <c r="E77" s="187" t="s">
        <v>2429</v>
      </c>
      <c r="F77" s="173" t="str">
        <f t="shared" si="7"/>
        <v>请填写</v>
      </c>
      <c r="G77" s="173" t="e">
        <f>INDEX(服务费底表!$K:$K,MATCH('SOW-ERP导入表'!$E77,服务费底表!$D:$D,0))</f>
        <v>#N/A</v>
      </c>
      <c r="H77" s="183" t="e">
        <f>INDEX(服务费底表!L:L,MATCH('SOW-ERP导入表'!$E77,服务费底表!$D:$D,0))</f>
        <v>#N/A</v>
      </c>
      <c r="I77" s="173" t="e">
        <f>INDEX(服务费底表!$T:$T,MATCH('SOW-ERP导入表'!$E77,服务费底表!$D:$D,0))</f>
        <v>#N/A</v>
      </c>
      <c r="J77" s="184">
        <f>SUMIF(服务费底表!$D:$D,E77,服务费底表!$AC:$AC)+SUMIF(注册申报底表!$D:$D,'SOW-ERP导入表'!E77,注册申报底表!$Z:$Z)</f>
        <v>0</v>
      </c>
      <c r="K77" s="173">
        <f>IFERROR(INDEX(服务费底表!$C:$C,MATCH('SOW-ERP导入表'!$E77,服务费底表!$D:$D,0)),0)+IFERROR(INDEX(注册申报底表!$C:$C,MATCH('SOW-ERP导入表'!$E77,注册申报底表!$D:$D,0)),0)</f>
        <v>0</v>
      </c>
      <c r="L77" s="185">
        <f t="shared" si="6"/>
        <v>0</v>
      </c>
      <c r="M77" s="184">
        <f>SUMIF(服务费底表!$D:$D,E77,服务费底表!$AG:$AG)+SUMIF(注册申报底表!$D:$D,'SOW-ERP导入表'!E77,注册申报底表!$AD:$AD)</f>
        <v>0</v>
      </c>
    </row>
    <row r="78" spans="2:13">
      <c r="B78" s="173"/>
      <c r="D78" s="173"/>
      <c r="E78" s="187" t="s">
        <v>2430</v>
      </c>
      <c r="F78" s="173" t="str">
        <f t="shared" si="7"/>
        <v>请填写</v>
      </c>
      <c r="G78" s="173" t="e">
        <f>INDEX(服务费底表!$K:$K,MATCH('SOW-ERP导入表'!$E78,服务费底表!$D:$D,0))</f>
        <v>#N/A</v>
      </c>
      <c r="H78" s="183" t="e">
        <f>INDEX(服务费底表!L:L,MATCH('SOW-ERP导入表'!$E78,服务费底表!$D:$D,0))</f>
        <v>#N/A</v>
      </c>
      <c r="I78" s="173" t="e">
        <f>INDEX(服务费底表!$T:$T,MATCH('SOW-ERP导入表'!$E78,服务费底表!$D:$D,0))</f>
        <v>#N/A</v>
      </c>
      <c r="J78" s="184">
        <f>SUMIF(服务费底表!$D:$D,E78,服务费底表!$AC:$AC)+SUMIF(注册申报底表!$D:$D,'SOW-ERP导入表'!E78,注册申报底表!$Z:$Z)</f>
        <v>0</v>
      </c>
      <c r="K78" s="173">
        <f>IFERROR(INDEX(服务费底表!$C:$C,MATCH('SOW-ERP导入表'!$E78,服务费底表!$D:$D,0)),0)+IFERROR(INDEX(注册申报底表!$C:$C,MATCH('SOW-ERP导入表'!$E78,注册申报底表!$D:$D,0)),0)</f>
        <v>0</v>
      </c>
      <c r="L78" s="185">
        <f t="shared" si="6"/>
        <v>0</v>
      </c>
      <c r="M78" s="184">
        <f>SUMIF(服务费底表!$D:$D,E78,服务费底表!$AG:$AG)+SUMIF(注册申报底表!$D:$D,'SOW-ERP导入表'!E78,注册申报底表!$AD:$AD)</f>
        <v>0</v>
      </c>
    </row>
    <row r="79" spans="2:13">
      <c r="B79" s="173"/>
      <c r="D79" s="173"/>
      <c r="E79" s="187" t="s">
        <v>2431</v>
      </c>
      <c r="F79" s="173" t="str">
        <f t="shared" si="7"/>
        <v>请填写</v>
      </c>
      <c r="G79" s="173" t="e">
        <f>INDEX(服务费底表!$K:$K,MATCH('SOW-ERP导入表'!$E79,服务费底表!$D:$D,0))</f>
        <v>#N/A</v>
      </c>
      <c r="H79" s="183" t="e">
        <f>INDEX(服务费底表!L:L,MATCH('SOW-ERP导入表'!$E79,服务费底表!$D:$D,0))</f>
        <v>#N/A</v>
      </c>
      <c r="I79" s="173" t="e">
        <f>INDEX(服务费底表!$T:$T,MATCH('SOW-ERP导入表'!$E79,服务费底表!$D:$D,0))</f>
        <v>#N/A</v>
      </c>
      <c r="J79" s="184">
        <f>SUMIF(服务费底表!$D:$D,E79,服务费底表!$AC:$AC)+SUMIF(注册申报底表!$D:$D,'SOW-ERP导入表'!E79,注册申报底表!$Z:$Z)</f>
        <v>0</v>
      </c>
      <c r="K79" s="173">
        <f>IFERROR(INDEX(服务费底表!$C:$C,MATCH('SOW-ERP导入表'!$E79,服务费底表!$D:$D,0)),0)+IFERROR(INDEX(注册申报底表!$C:$C,MATCH('SOW-ERP导入表'!$E79,注册申报底表!$D:$D,0)),0)</f>
        <v>0</v>
      </c>
      <c r="L79" s="185">
        <f t="shared" si="6"/>
        <v>0</v>
      </c>
      <c r="M79" s="184">
        <f>SUMIF(服务费底表!$D:$D,E79,服务费底表!$AG:$AG)+SUMIF(注册申报底表!$D:$D,'SOW-ERP导入表'!E79,注册申报底表!$AD:$AD)</f>
        <v>0</v>
      </c>
    </row>
    <row r="80" spans="2:13">
      <c r="B80" s="173"/>
      <c r="D80" s="173"/>
      <c r="E80" s="187" t="s">
        <v>2432</v>
      </c>
      <c r="F80" s="173" t="str">
        <f t="shared" si="7"/>
        <v>请填写</v>
      </c>
      <c r="G80" s="173" t="e">
        <f>INDEX(服务费底表!$K:$K,MATCH('SOW-ERP导入表'!$E80,服务费底表!$D:$D,0))</f>
        <v>#N/A</v>
      </c>
      <c r="H80" s="183" t="e">
        <f>INDEX(服务费底表!L:L,MATCH('SOW-ERP导入表'!$E80,服务费底表!$D:$D,0))</f>
        <v>#N/A</v>
      </c>
      <c r="I80" s="173" t="e">
        <f>INDEX(服务费底表!$T:$T,MATCH('SOW-ERP导入表'!$E80,服务费底表!$D:$D,0))</f>
        <v>#N/A</v>
      </c>
      <c r="J80" s="184">
        <f>SUMIF(服务费底表!$D:$D,E80,服务费底表!$AC:$AC)+SUMIF(注册申报底表!$D:$D,'SOW-ERP导入表'!E80,注册申报底表!$Z:$Z)</f>
        <v>0</v>
      </c>
      <c r="K80" s="173">
        <f>IFERROR(INDEX(服务费底表!$C:$C,MATCH('SOW-ERP导入表'!$E80,服务费底表!$D:$D,0)),0)+IFERROR(INDEX(注册申报底表!$C:$C,MATCH('SOW-ERP导入表'!$E80,注册申报底表!$D:$D,0)),0)</f>
        <v>0</v>
      </c>
      <c r="L80" s="185">
        <f t="shared" si="6"/>
        <v>0</v>
      </c>
      <c r="M80" s="184">
        <f>SUMIF(服务费底表!$D:$D,E80,服务费底表!$AG:$AG)+SUMIF(注册申报底表!$D:$D,'SOW-ERP导入表'!E80,注册申报底表!$AD:$AD)</f>
        <v>0</v>
      </c>
    </row>
    <row r="81" spans="2:13">
      <c r="B81" s="173"/>
      <c r="D81" s="173"/>
      <c r="E81" s="187" t="s">
        <v>2433</v>
      </c>
      <c r="F81" s="173" t="str">
        <f t="shared" si="7"/>
        <v>请填写</v>
      </c>
      <c r="G81" s="173" t="e">
        <f>INDEX(服务费底表!$K:$K,MATCH('SOW-ERP导入表'!$E81,服务费底表!$D:$D,0))</f>
        <v>#N/A</v>
      </c>
      <c r="H81" s="183" t="e">
        <f>INDEX(服务费底表!L:L,MATCH('SOW-ERP导入表'!$E81,服务费底表!$D:$D,0))</f>
        <v>#N/A</v>
      </c>
      <c r="I81" s="173" t="e">
        <f>INDEX(服务费底表!$T:$T,MATCH('SOW-ERP导入表'!$E81,服务费底表!$D:$D,0))</f>
        <v>#N/A</v>
      </c>
      <c r="J81" s="184">
        <f>SUMIF(服务费底表!$D:$D,E81,服务费底表!$AC:$AC)+SUMIF(注册申报底表!$D:$D,'SOW-ERP导入表'!E81,注册申报底表!$Z:$Z)</f>
        <v>0</v>
      </c>
      <c r="K81" s="173">
        <f>IFERROR(INDEX(服务费底表!$C:$C,MATCH('SOW-ERP导入表'!$E81,服务费底表!$D:$D,0)),0)+IFERROR(INDEX(注册申报底表!$C:$C,MATCH('SOW-ERP导入表'!$E81,注册申报底表!$D:$D,0)),0)</f>
        <v>0</v>
      </c>
      <c r="L81" s="185">
        <f t="shared" si="6"/>
        <v>0</v>
      </c>
      <c r="M81" s="184">
        <f>SUMIF(服务费底表!$D:$D,E81,服务费底表!$AG:$AG)+SUMIF(注册申报底表!$D:$D,'SOW-ERP导入表'!E81,注册申报底表!$AD:$AD)</f>
        <v>0</v>
      </c>
    </row>
    <row r="82" spans="2:13">
      <c r="B82" s="173"/>
      <c r="D82" s="173"/>
      <c r="E82" s="187" t="s">
        <v>2434</v>
      </c>
      <c r="F82" s="173" t="str">
        <f t="shared" si="7"/>
        <v>请填写</v>
      </c>
      <c r="G82" s="173" t="str">
        <f>INDEX(服务费底表!$K:$K,MATCH('SOW-ERP导入表'!$E82,服务费底表!$D:$D,0))</f>
        <v>A025</v>
      </c>
      <c r="H82" s="183" t="str">
        <f>INDEX(服务费底表!L:L,MATCH('SOW-ERP导入表'!$E82,服务费底表!$D:$D,0))</f>
        <v>召开方案讨论会</v>
      </c>
      <c r="I82" s="173" t="str">
        <f>INDEX(服务费底表!$T:$T,MATCH('SOW-ERP导入表'!$E82,服务费底表!$D:$D,0))</f>
        <v>MM</v>
      </c>
      <c r="J82" s="184">
        <f>SUMIF(服务费底表!$D:$D,E82,服务费底表!$AC:$AC)+SUMIF(注册申报底表!$D:$D,'SOW-ERP导入表'!E82,注册申报底表!$Z:$Z)</f>
        <v>13</v>
      </c>
      <c r="K82" s="173">
        <f>IFERROR(INDEX(服务费底表!$C:$C,MATCH('SOW-ERP导入表'!$E82,服务费底表!$D:$D,0)),0)+IFERROR(INDEX(注册申报底表!$C:$C,MATCH('SOW-ERP导入表'!$E82,注册申报底表!$D:$D,0)),0)</f>
        <v>1</v>
      </c>
      <c r="L82" s="185">
        <f t="shared" si="6"/>
        <v>8450</v>
      </c>
      <c r="M82" s="184">
        <f>SUMIF(服务费底表!$D:$D,E82,服务费底表!$AG:$AG)+SUMIF(注册申报底表!$D:$D,'SOW-ERP导入表'!E82,注册申报底表!$AD:$AD)</f>
        <v>8450</v>
      </c>
    </row>
    <row r="83" spans="2:13">
      <c r="B83" s="173"/>
      <c r="D83" s="173"/>
      <c r="E83" s="187" t="s">
        <v>2435</v>
      </c>
      <c r="F83" s="173" t="str">
        <f t="shared" si="7"/>
        <v>请填写</v>
      </c>
      <c r="G83" s="173" t="str">
        <f>INDEX(服务费底表!$K:$K,MATCH('SOW-ERP导入表'!$E83,服务费底表!$D:$D,0))</f>
        <v>A025</v>
      </c>
      <c r="H83" s="183" t="str">
        <f>INDEX(服务费底表!L:L,MATCH('SOW-ERP导入表'!$E83,服务费底表!$D:$D,0))</f>
        <v>召开方案讨论会</v>
      </c>
      <c r="I83" s="173" t="str">
        <f>INDEX(服务费底表!$T:$T,MATCH('SOW-ERP导入表'!$E83,服务费底表!$D:$D,0))</f>
        <v>MD</v>
      </c>
      <c r="J83" s="184">
        <f>SUMIF(服务费底表!$D:$D,E83,服务费底表!$AC:$AC)+SUMIF(注册申报底表!$D:$D,'SOW-ERP导入表'!E83,注册申报底表!$Z:$Z)</f>
        <v>2</v>
      </c>
      <c r="K83" s="173">
        <f>IFERROR(INDEX(服务费底表!$C:$C,MATCH('SOW-ERP导入表'!$E83,服务费底表!$D:$D,0)),0)+IFERROR(INDEX(注册申报底表!$C:$C,MATCH('SOW-ERP导入表'!$E83,注册申报底表!$D:$D,0)),0)</f>
        <v>1</v>
      </c>
      <c r="L83" s="185">
        <f t="shared" si="6"/>
        <v>1980</v>
      </c>
      <c r="M83" s="184">
        <f>SUMIF(服务费底表!$D:$D,E83,服务费底表!$AG:$AG)+SUMIF(注册申报底表!$D:$D,'SOW-ERP导入表'!E83,注册申报底表!$AD:$AD)</f>
        <v>1980</v>
      </c>
    </row>
    <row r="84" spans="2:13">
      <c r="B84" s="173"/>
      <c r="D84" s="173"/>
      <c r="E84" s="187" t="s">
        <v>2436</v>
      </c>
      <c r="F84" s="173" t="str">
        <f t="shared" si="7"/>
        <v>请填写</v>
      </c>
      <c r="G84" s="173" t="e">
        <f>INDEX(服务费底表!$K:$K,MATCH('SOW-ERP导入表'!$E84,服务费底表!$D:$D,0))</f>
        <v>#N/A</v>
      </c>
      <c r="H84" s="183" t="e">
        <f>INDEX(服务费底表!L:L,MATCH('SOW-ERP导入表'!$E84,服务费底表!$D:$D,0))</f>
        <v>#N/A</v>
      </c>
      <c r="I84" s="173" t="e">
        <f>INDEX(服务费底表!$T:$T,MATCH('SOW-ERP导入表'!$E84,服务费底表!$D:$D,0))</f>
        <v>#N/A</v>
      </c>
      <c r="J84" s="184">
        <f>SUMIF(服务费底表!$D:$D,E84,服务费底表!$AC:$AC)+SUMIF(注册申报底表!$D:$D,'SOW-ERP导入表'!E84,注册申报底表!$Z:$Z)</f>
        <v>0</v>
      </c>
      <c r="K84" s="173">
        <f>IFERROR(INDEX(服务费底表!$C:$C,MATCH('SOW-ERP导入表'!$E84,服务费底表!$D:$D,0)),0)+IFERROR(INDEX(注册申报底表!$C:$C,MATCH('SOW-ERP导入表'!$E84,注册申报底表!$D:$D,0)),0)</f>
        <v>0</v>
      </c>
      <c r="L84" s="185">
        <f t="shared" si="6"/>
        <v>0</v>
      </c>
      <c r="M84" s="184">
        <f>SUMIF(服务费底表!$D:$D,E84,服务费底表!$AG:$AG)+SUMIF(注册申报底表!$D:$D,'SOW-ERP导入表'!E84,注册申报底表!$AD:$AD)</f>
        <v>0</v>
      </c>
    </row>
    <row r="85" spans="2:13">
      <c r="B85" s="173"/>
      <c r="D85" s="173"/>
      <c r="E85" s="187" t="s">
        <v>2437</v>
      </c>
      <c r="F85" s="173" t="str">
        <f t="shared" si="7"/>
        <v>请填写</v>
      </c>
      <c r="G85" s="173" t="str">
        <f>INDEX(服务费底表!$K:$K,MATCH('SOW-ERP导入表'!$E85,服务费底表!$D:$D,0))</f>
        <v>A025</v>
      </c>
      <c r="H85" s="183" t="str">
        <f>INDEX(服务费底表!L:L,MATCH('SOW-ERP导入表'!$E85,服务费底表!$D:$D,0))</f>
        <v>召开方案讨论会</v>
      </c>
      <c r="I85" s="173" t="str">
        <f>INDEX(服务费底表!$T:$T,MATCH('SOW-ERP导入表'!$E85,服务费底表!$D:$D,0))</f>
        <v>ST</v>
      </c>
      <c r="J85" s="184">
        <f>SUMIF(服务费底表!$D:$D,E85,服务费底表!$AC:$AC)+SUMIF(注册申报底表!$D:$D,'SOW-ERP导入表'!E85,注册申报底表!$Z:$Z)</f>
        <v>1</v>
      </c>
      <c r="K85" s="173">
        <f>IFERROR(INDEX(服务费底表!$C:$C,MATCH('SOW-ERP导入表'!$E85,服务费底表!$D:$D,0)),0)+IFERROR(INDEX(注册申报底表!$C:$C,MATCH('SOW-ERP导入表'!$E85,注册申报底表!$D:$D,0)),0)</f>
        <v>1</v>
      </c>
      <c r="L85" s="185">
        <f t="shared" si="6"/>
        <v>400</v>
      </c>
      <c r="M85" s="184">
        <f>SUMIF(服务费底表!$D:$D,E85,服务费底表!$AG:$AG)+SUMIF(注册申报底表!$D:$D,'SOW-ERP导入表'!E85,注册申报底表!$AD:$AD)</f>
        <v>400</v>
      </c>
    </row>
    <row r="86" spans="2:13">
      <c r="B86" s="173"/>
      <c r="D86" s="173"/>
      <c r="E86" s="187" t="s">
        <v>2438</v>
      </c>
      <c r="F86" s="173" t="str">
        <f t="shared" si="7"/>
        <v>请填写</v>
      </c>
      <c r="G86" s="173" t="str">
        <f>INDEX(服务费底表!$K:$K,MATCH('SOW-ERP导入表'!$E86,服务费底表!$D:$D,0))</f>
        <v>A025</v>
      </c>
      <c r="H86" s="183" t="str">
        <f>INDEX(服务费底表!L:L,MATCH('SOW-ERP导入表'!$E86,服务费底表!$D:$D,0))</f>
        <v>召开方案讨论会</v>
      </c>
      <c r="I86" s="173" t="str">
        <f>INDEX(服务费底表!$T:$T,MATCH('SOW-ERP导入表'!$E86,服务费底表!$D:$D,0))</f>
        <v>PM</v>
      </c>
      <c r="J86" s="184">
        <f>SUMIF(服务费底表!$D:$D,E86,服务费底表!$AC:$AC)+SUMIF(注册申报底表!$D:$D,'SOW-ERP导入表'!E86,注册申报底表!$Z:$Z)</f>
        <v>1</v>
      </c>
      <c r="K86" s="173">
        <f>IFERROR(INDEX(服务费底表!$C:$C,MATCH('SOW-ERP导入表'!$E86,服务费底表!$D:$D,0)),0)+IFERROR(INDEX(注册申报底表!$C:$C,MATCH('SOW-ERP导入表'!$E86,注册申报底表!$D:$D,0)),0)</f>
        <v>1</v>
      </c>
      <c r="L86" s="185">
        <f t="shared" si="6"/>
        <v>650</v>
      </c>
      <c r="M86" s="184">
        <f>SUMIF(服务费底表!$D:$D,E86,服务费底表!$AG:$AG)+SUMIF(注册申报底表!$D:$D,'SOW-ERP导入表'!E86,注册申报底表!$AD:$AD)</f>
        <v>650</v>
      </c>
    </row>
    <row r="87" spans="2:13">
      <c r="B87" s="173"/>
      <c r="D87" s="173"/>
      <c r="E87" s="187" t="s">
        <v>2439</v>
      </c>
      <c r="F87" s="173" t="str">
        <f t="shared" si="7"/>
        <v>请填写</v>
      </c>
      <c r="G87" s="173" t="str">
        <f>INDEX(服务费底表!$K:$K,MATCH('SOW-ERP导入表'!$E87,服务费底表!$D:$D,0))</f>
        <v>A025</v>
      </c>
      <c r="H87" s="183" t="str">
        <f>INDEX(服务费底表!L:L,MATCH('SOW-ERP导入表'!$E87,服务费底表!$D:$D,0))</f>
        <v>召开方案讨论会</v>
      </c>
      <c r="I87" s="173" t="str">
        <f>INDEX(服务费底表!$T:$T,MATCH('SOW-ERP导入表'!$E87,服务费底表!$D:$D,0))</f>
        <v>CPS</v>
      </c>
      <c r="J87" s="184">
        <f>SUMIF(服务费底表!$D:$D,E87,服务费底表!$AC:$AC)+SUMIF(注册申报底表!$D:$D,'SOW-ERP导入表'!E87,注册申报底表!$Z:$Z)</f>
        <v>1</v>
      </c>
      <c r="K87" s="173">
        <f>IFERROR(INDEX(服务费底表!$C:$C,MATCH('SOW-ERP导入表'!$E87,服务费底表!$D:$D,0)),0)+IFERROR(INDEX(注册申报底表!$C:$C,MATCH('SOW-ERP导入表'!$E87,注册申报底表!$D:$D,0)),0)</f>
        <v>1</v>
      </c>
      <c r="L87" s="185">
        <f t="shared" ref="L87" si="8">IFERROR(M87/K87,0)</f>
        <v>580</v>
      </c>
      <c r="M87" s="184">
        <f>SUMIF(服务费底表!$D:$D,E87,服务费底表!$AG:$AG)+SUMIF(注册申报底表!$D:$D,'SOW-ERP导入表'!E87,注册申报底表!$AD:$AD)</f>
        <v>580</v>
      </c>
    </row>
    <row r="88" spans="2:13">
      <c r="B88" s="173"/>
      <c r="D88" s="173"/>
      <c r="E88" s="187" t="s">
        <v>2440</v>
      </c>
      <c r="F88" s="173" t="str">
        <f t="shared" si="7"/>
        <v>请填写</v>
      </c>
      <c r="G88" s="173" t="str">
        <f>INDEX(服务费底表!$K:$K,MATCH('SOW-ERP导入表'!$E88,服务费底表!$D:$D,0))</f>
        <v>A026</v>
      </c>
      <c r="H88" s="183" t="str">
        <f>INDEX(服务费底表!L:L,MATCH('SOW-ERP导入表'!$E88,服务费底表!$D:$D,0))</f>
        <v>召开首次研究者会</v>
      </c>
      <c r="I88" s="173" t="str">
        <f>INDEX(服务费底表!$T:$T,MATCH('SOW-ERP导入表'!$E88,服务费底表!$D:$D,0))</f>
        <v>PM</v>
      </c>
      <c r="J88" s="184">
        <f>SUMIF(服务费底表!$D:$D,E88,服务费底表!$AC:$AC)+SUMIF(注册申报底表!$D:$D,'SOW-ERP导入表'!E88,注册申报底表!$Z:$Z)</f>
        <v>3</v>
      </c>
      <c r="K88" s="173">
        <f>IFERROR(INDEX(服务费底表!$C:$C,MATCH('SOW-ERP导入表'!$E88,服务费底表!$D:$D,0)),0)+IFERROR(INDEX(注册申报底表!$C:$C,MATCH('SOW-ERP导入表'!$E88,注册申报底表!$D:$D,0)),0)</f>
        <v>1</v>
      </c>
      <c r="L88" s="185">
        <f t="shared" si="6"/>
        <v>1950</v>
      </c>
      <c r="M88" s="184">
        <f>SUMIF(服务费底表!$D:$D,E88,服务费底表!$AG:$AG)+SUMIF(注册申报底表!$D:$D,'SOW-ERP导入表'!E88,注册申报底表!$AD:$AD)</f>
        <v>1950</v>
      </c>
    </row>
    <row r="89" spans="2:13">
      <c r="B89" s="173"/>
      <c r="D89" s="173"/>
      <c r="E89" s="187" t="s">
        <v>2441</v>
      </c>
      <c r="F89" s="173" t="str">
        <f t="shared" si="7"/>
        <v>请填写</v>
      </c>
      <c r="G89" s="173" t="str">
        <f>INDEX(服务费底表!$K:$K,MATCH('SOW-ERP导入表'!$E89,服务费底表!$D:$D,0))</f>
        <v>A026</v>
      </c>
      <c r="H89" s="183" t="str">
        <f>INDEX(服务费底表!L:L,MATCH('SOW-ERP导入表'!$E89,服务费底表!$D:$D,0))</f>
        <v>召开首次研究者会</v>
      </c>
      <c r="I89" s="173" t="str">
        <f>INDEX(服务费底表!$T:$T,MATCH('SOW-ERP导入表'!$E89,服务费底表!$D:$D,0))</f>
        <v>CRA</v>
      </c>
      <c r="J89" s="184">
        <f>SUMIF(服务费底表!$D:$D,E89,服务费底表!$AC:$AC)+SUMIF(注册申报底表!$D:$D,'SOW-ERP导入表'!E89,注册申报底表!$Z:$Z)</f>
        <v>4</v>
      </c>
      <c r="K89" s="173">
        <f>IFERROR(INDEX(服务费底表!$C:$C,MATCH('SOW-ERP导入表'!$E89,服务费底表!$D:$D,0)),0)+IFERROR(INDEX(注册申报底表!$C:$C,MATCH('SOW-ERP导入表'!$E89,注册申报底表!$D:$D,0)),0)</f>
        <v>1</v>
      </c>
      <c r="L89" s="185">
        <f t="shared" si="6"/>
        <v>1360</v>
      </c>
      <c r="M89" s="184">
        <f>SUMIF(服务费底表!$D:$D,E89,服务费底表!$AG:$AG)+SUMIF(注册申报底表!$D:$D,'SOW-ERP导入表'!E89,注册申报底表!$AD:$AD)</f>
        <v>1360</v>
      </c>
    </row>
    <row r="90" spans="2:13">
      <c r="B90" s="173"/>
      <c r="D90" s="173"/>
      <c r="E90" s="187" t="s">
        <v>2442</v>
      </c>
      <c r="F90" s="173" t="str">
        <f t="shared" si="7"/>
        <v>请填写</v>
      </c>
      <c r="G90" s="173" t="str">
        <f>INDEX(服务费底表!$K:$K,MATCH('SOW-ERP导入表'!$E90,服务费底表!$D:$D,0))</f>
        <v>A026</v>
      </c>
      <c r="H90" s="183" t="str">
        <f>INDEX(服务费底表!L:L,MATCH('SOW-ERP导入表'!$E90,服务费底表!$D:$D,0))</f>
        <v>召开首次研究者会</v>
      </c>
      <c r="I90" s="173" t="str">
        <f>INDEX(服务费底表!$T:$T,MATCH('SOW-ERP导入表'!$E90,服务费底表!$D:$D,0))</f>
        <v>CTA</v>
      </c>
      <c r="J90" s="184">
        <f>SUMIF(服务费底表!$D:$D,E90,服务费底表!$AC:$AC)+SUMIF(注册申报底表!$D:$D,'SOW-ERP导入表'!E90,注册申报底表!$Z:$Z)</f>
        <v>3</v>
      </c>
      <c r="K90" s="173">
        <f>IFERROR(INDEX(服务费底表!$C:$C,MATCH('SOW-ERP导入表'!$E90,服务费底表!$D:$D,0)),0)+IFERROR(INDEX(注册申报底表!$C:$C,MATCH('SOW-ERP导入表'!$E90,注册申报底表!$D:$D,0)),0)</f>
        <v>1</v>
      </c>
      <c r="L90" s="185">
        <f t="shared" si="6"/>
        <v>660</v>
      </c>
      <c r="M90" s="184">
        <f>SUMIF(服务费底表!$D:$D,E90,服务费底表!$AG:$AG)+SUMIF(注册申报底表!$D:$D,'SOW-ERP导入表'!E90,注册申报底表!$AD:$AD)</f>
        <v>660</v>
      </c>
    </row>
    <row r="91" spans="2:13">
      <c r="B91" s="173"/>
      <c r="D91" s="173"/>
      <c r="E91" s="187" t="s">
        <v>2443</v>
      </c>
      <c r="F91" s="173" t="str">
        <f t="shared" si="7"/>
        <v>请填写</v>
      </c>
      <c r="G91" s="173" t="str">
        <f>INDEX(服务费底表!$K:$K,MATCH('SOW-ERP导入表'!$E91,服务费底表!$D:$D,0))</f>
        <v>A026</v>
      </c>
      <c r="H91" s="183" t="str">
        <f>INDEX(服务费底表!L:L,MATCH('SOW-ERP导入表'!$E91,服务费底表!$D:$D,0))</f>
        <v>召开首次研究者会</v>
      </c>
      <c r="I91" s="173" t="str">
        <f>INDEX(服务费底表!$T:$T,MATCH('SOW-ERP导入表'!$E91,服务费底表!$D:$D,0))</f>
        <v>MM</v>
      </c>
      <c r="J91" s="184">
        <f>SUMIF(服务费底表!$D:$D,E91,服务费底表!$AC:$AC)+SUMIF(注册申报底表!$D:$D,'SOW-ERP导入表'!E91,注册申报底表!$Z:$Z)</f>
        <v>5</v>
      </c>
      <c r="K91" s="173">
        <f>IFERROR(INDEX(服务费底表!$C:$C,MATCH('SOW-ERP导入表'!$E91,服务费底表!$D:$D,0)),0)+IFERROR(INDEX(注册申报底表!$C:$C,MATCH('SOW-ERP导入表'!$E91,注册申报底表!$D:$D,0)),0)</f>
        <v>1</v>
      </c>
      <c r="L91" s="185">
        <f t="shared" si="6"/>
        <v>3250</v>
      </c>
      <c r="M91" s="184">
        <f>SUMIF(服务费底表!$D:$D,E91,服务费底表!$AG:$AG)+SUMIF(注册申报底表!$D:$D,'SOW-ERP导入表'!E91,注册申报底表!$AD:$AD)</f>
        <v>3250</v>
      </c>
    </row>
    <row r="92" spans="2:13">
      <c r="B92" s="173"/>
      <c r="D92" s="173"/>
      <c r="E92" s="187" t="s">
        <v>2444</v>
      </c>
      <c r="F92" s="173" t="str">
        <f t="shared" si="7"/>
        <v>请填写</v>
      </c>
      <c r="G92" s="173" t="str">
        <f>INDEX(服务费底表!$K:$K,MATCH('SOW-ERP导入表'!$E92,服务费底表!$D:$D,0))</f>
        <v>A026</v>
      </c>
      <c r="H92" s="183" t="str">
        <f>INDEX(服务费底表!L:L,MATCH('SOW-ERP导入表'!$E92,服务费底表!$D:$D,0))</f>
        <v>召开首次研究者会</v>
      </c>
      <c r="I92" s="173" t="str">
        <f>INDEX(服务费底表!$T:$T,MATCH('SOW-ERP导入表'!$E92,服务费底表!$D:$D,0))</f>
        <v>MD</v>
      </c>
      <c r="J92" s="184">
        <f>SUMIF(服务费底表!$D:$D,E92,服务费底表!$AC:$AC)+SUMIF(注册申报底表!$D:$D,'SOW-ERP导入表'!E92,注册申报底表!$Z:$Z)</f>
        <v>1</v>
      </c>
      <c r="K92" s="173">
        <f>IFERROR(INDEX(服务费底表!$C:$C,MATCH('SOW-ERP导入表'!$E92,服务费底表!$D:$D,0)),0)+IFERROR(INDEX(注册申报底表!$C:$C,MATCH('SOW-ERP导入表'!$E92,注册申报底表!$D:$D,0)),0)</f>
        <v>1</v>
      </c>
      <c r="L92" s="185">
        <f t="shared" si="6"/>
        <v>990</v>
      </c>
      <c r="M92" s="184">
        <f>SUMIF(服务费底表!$D:$D,E92,服务费底表!$AG:$AG)+SUMIF(注册申报底表!$D:$D,'SOW-ERP导入表'!E92,注册申报底表!$AD:$AD)</f>
        <v>990</v>
      </c>
    </row>
    <row r="93" spans="2:13">
      <c r="B93" s="173"/>
      <c r="D93" s="173"/>
      <c r="E93" s="187" t="s">
        <v>2445</v>
      </c>
      <c r="F93" s="173" t="str">
        <f t="shared" si="7"/>
        <v>请填写</v>
      </c>
      <c r="G93" s="173" t="str">
        <f>INDEX(服务费底表!$K:$K,MATCH('SOW-ERP导入表'!$E93,服务费底表!$D:$D,0))</f>
        <v>A026</v>
      </c>
      <c r="H93" s="183" t="str">
        <f>INDEX(服务费底表!L:L,MATCH('SOW-ERP导入表'!$E93,服务费底表!$D:$D,0))</f>
        <v>召开首次研究者会</v>
      </c>
      <c r="I93" s="173" t="str">
        <f>INDEX(服务费底表!$T:$T,MATCH('SOW-ERP导入表'!$E93,服务费底表!$D:$D,0))</f>
        <v>ST</v>
      </c>
      <c r="J93" s="184">
        <f>SUMIF(服务费底表!$D:$D,E93,服务费底表!$AC:$AC)+SUMIF(注册申报底表!$D:$D,'SOW-ERP导入表'!E93,注册申报底表!$Z:$Z)</f>
        <v>1</v>
      </c>
      <c r="K93" s="173">
        <f>IFERROR(INDEX(服务费底表!$C:$C,MATCH('SOW-ERP导入表'!$E93,服务费底表!$D:$D,0)),0)+IFERROR(INDEX(注册申报底表!$C:$C,MATCH('SOW-ERP导入表'!$E93,注册申报底表!$D:$D,0)),0)</f>
        <v>1</v>
      </c>
      <c r="L93" s="185">
        <f t="shared" si="6"/>
        <v>400</v>
      </c>
      <c r="M93" s="184">
        <f>SUMIF(服务费底表!$D:$D,E93,服务费底表!$AG:$AG)+SUMIF(注册申报底表!$D:$D,'SOW-ERP导入表'!E93,注册申报底表!$AD:$AD)</f>
        <v>400</v>
      </c>
    </row>
    <row r="94" spans="2:13">
      <c r="B94" s="173"/>
      <c r="D94" s="173"/>
      <c r="E94" s="187" t="s">
        <v>2446</v>
      </c>
      <c r="F94" s="173" t="str">
        <f t="shared" si="7"/>
        <v>请填写</v>
      </c>
      <c r="G94" s="173" t="str">
        <f>INDEX(服务费底表!$K:$K,MATCH('SOW-ERP导入表'!$E94,服务费底表!$D:$D,0))</f>
        <v>A027</v>
      </c>
      <c r="H94" s="183" t="str">
        <f>INDEX(服务费底表!L:L,MATCH('SOW-ERP导入表'!$E94,服务费底表!$D:$D,0))</f>
        <v>SRC/SMC章程撰写</v>
      </c>
      <c r="I94" s="173" t="str">
        <f>INDEX(服务费底表!$T:$T,MATCH('SOW-ERP导入表'!$E94,服务费底表!$D:$D,0))</f>
        <v>MM</v>
      </c>
      <c r="J94" s="184">
        <f>SUMIF(服务费底表!$D:$D,E94,服务费底表!$AC:$AC)+SUMIF(注册申报底表!$D:$D,'SOW-ERP导入表'!E94,注册申报底表!$Z:$Z)</f>
        <v>8</v>
      </c>
      <c r="K94" s="173">
        <f>IFERROR(INDEX(服务费底表!$C:$C,MATCH('SOW-ERP导入表'!$E94,服务费底表!$D:$D,0)),0)+IFERROR(INDEX(注册申报底表!$C:$C,MATCH('SOW-ERP导入表'!$E94,注册申报底表!$D:$D,0)),0)</f>
        <v>1</v>
      </c>
      <c r="L94" s="185">
        <f t="shared" si="6"/>
        <v>5200</v>
      </c>
      <c r="M94" s="184">
        <f>SUMIF(服务费底表!$D:$D,E94,服务费底表!$AG:$AG)+SUMIF(注册申报底表!$D:$D,'SOW-ERP导入表'!E94,注册申报底表!$AD:$AD)</f>
        <v>5200</v>
      </c>
    </row>
    <row r="95" spans="2:13">
      <c r="B95" s="173"/>
      <c r="D95" s="173"/>
      <c r="E95" s="187" t="s">
        <v>2447</v>
      </c>
      <c r="F95" s="173" t="str">
        <f t="shared" si="7"/>
        <v>请填写</v>
      </c>
      <c r="G95" s="173" t="str">
        <f>INDEX(服务费底表!$K:$K,MATCH('SOW-ERP导入表'!$E95,服务费底表!$D:$D,0))</f>
        <v>A027</v>
      </c>
      <c r="H95" s="183" t="str">
        <f>INDEX(服务费底表!L:L,MATCH('SOW-ERP导入表'!$E95,服务费底表!$D:$D,0))</f>
        <v>SRC/SMC章程撰写</v>
      </c>
      <c r="I95" s="173" t="str">
        <f>INDEX(服务费底表!$T:$T,MATCH('SOW-ERP导入表'!$E95,服务费底表!$D:$D,0))</f>
        <v>MD</v>
      </c>
      <c r="J95" s="184">
        <f>SUMIF(服务费底表!$D:$D,E95,服务费底表!$AC:$AC)+SUMIF(注册申报底表!$D:$D,'SOW-ERP导入表'!E95,注册申报底表!$Z:$Z)</f>
        <v>2</v>
      </c>
      <c r="K95" s="173">
        <f>IFERROR(INDEX(服务费底表!$C:$C,MATCH('SOW-ERP导入表'!$E95,服务费底表!$D:$D,0)),0)+IFERROR(INDEX(注册申报底表!$C:$C,MATCH('SOW-ERP导入表'!$E95,注册申报底表!$D:$D,0)),0)</f>
        <v>1</v>
      </c>
      <c r="L95" s="185">
        <f t="shared" si="6"/>
        <v>1980</v>
      </c>
      <c r="M95" s="184">
        <f>SUMIF(服务费底表!$D:$D,E95,服务费底表!$AG:$AG)+SUMIF(注册申报底表!$D:$D,'SOW-ERP导入表'!E95,注册申报底表!$AD:$AD)</f>
        <v>1980</v>
      </c>
    </row>
    <row r="96" spans="2:13">
      <c r="B96" s="173"/>
      <c r="D96" s="173"/>
      <c r="E96" s="187" t="s">
        <v>2448</v>
      </c>
      <c r="F96" s="173" t="str">
        <f t="shared" si="7"/>
        <v>请填写</v>
      </c>
      <c r="G96" s="173" t="str">
        <f>INDEX(服务费底表!$K:$K,MATCH('SOW-ERP导入表'!$E96,服务费底表!$D:$D,0))</f>
        <v>A028</v>
      </c>
      <c r="H96" s="183" t="str">
        <f>INDEX(服务费底表!L:L,MATCH('SOW-ERP导入表'!$E96,服务费底表!$D:$D,0))</f>
        <v>召开SRC/SMC会</v>
      </c>
      <c r="I96" s="173" t="str">
        <f>INDEX(服务费底表!$T:$T,MATCH('SOW-ERP导入表'!$E96,服务费底表!$D:$D,0))</f>
        <v>MM</v>
      </c>
      <c r="J96" s="184">
        <f>SUMIF(服务费底表!$D:$D,E96,服务费底表!$AC:$AC)+SUMIF(注册申报底表!$D:$D,'SOW-ERP导入表'!E96,注册申报底表!$Z:$Z)</f>
        <v>42</v>
      </c>
      <c r="K96" s="173">
        <f>IFERROR(INDEX(服务费底表!$C:$C,MATCH('SOW-ERP导入表'!$E96,服务费底表!$D:$D,0)),0)+IFERROR(INDEX(注册申报底表!$C:$C,MATCH('SOW-ERP导入表'!$E96,注册申报底表!$D:$D,0)),0)</f>
        <v>6</v>
      </c>
      <c r="L96" s="185">
        <f t="shared" si="6"/>
        <v>4550</v>
      </c>
      <c r="M96" s="184">
        <f>SUMIF(服务费底表!$D:$D,E96,服务费底表!$AG:$AG)+SUMIF(注册申报底表!$D:$D,'SOW-ERP导入表'!E96,注册申报底表!$AD:$AD)</f>
        <v>27300</v>
      </c>
    </row>
    <row r="97" spans="2:13">
      <c r="B97" s="173"/>
      <c r="D97" s="173"/>
      <c r="E97" s="187" t="s">
        <v>2449</v>
      </c>
      <c r="F97" s="173" t="str">
        <f t="shared" si="7"/>
        <v>请填写</v>
      </c>
      <c r="G97" s="173" t="e">
        <f>INDEX(服务费底表!$K:$K,MATCH('SOW-ERP导入表'!$E97,服务费底表!$D:$D,0))</f>
        <v>#N/A</v>
      </c>
      <c r="H97" s="183" t="e">
        <f>INDEX(服务费底表!L:L,MATCH('SOW-ERP导入表'!$E97,服务费底表!$D:$D,0))</f>
        <v>#N/A</v>
      </c>
      <c r="I97" s="173" t="e">
        <f>INDEX(服务费底表!$T:$T,MATCH('SOW-ERP导入表'!$E97,服务费底表!$D:$D,0))</f>
        <v>#N/A</v>
      </c>
      <c r="J97" s="184">
        <f>SUMIF(服务费底表!$D:$D,E97,服务费底表!$AC:$AC)+SUMIF(注册申报底表!$D:$D,'SOW-ERP导入表'!E97,注册申报底表!$Z:$Z)</f>
        <v>0</v>
      </c>
      <c r="K97" s="173">
        <f>IFERROR(INDEX(服务费底表!$C:$C,MATCH('SOW-ERP导入表'!$E97,服务费底表!$D:$D,0)),0)+IFERROR(INDEX(注册申报底表!$C:$C,MATCH('SOW-ERP导入表'!$E97,注册申报底表!$D:$D,0)),0)</f>
        <v>0</v>
      </c>
      <c r="L97" s="185">
        <f t="shared" si="6"/>
        <v>0</v>
      </c>
      <c r="M97" s="184">
        <f>SUMIF(服务费底表!$D:$D,E97,服务费底表!$AG:$AG)+SUMIF(注册申报底表!$D:$D,'SOW-ERP导入表'!E97,注册申报底表!$AD:$AD)</f>
        <v>0</v>
      </c>
    </row>
    <row r="98" spans="2:13">
      <c r="B98" s="173"/>
      <c r="D98" s="173"/>
      <c r="E98" s="187" t="s">
        <v>2450</v>
      </c>
      <c r="F98" s="173" t="str">
        <f t="shared" si="7"/>
        <v>请填写</v>
      </c>
      <c r="G98" s="173" t="str">
        <f>INDEX(服务费底表!$K:$K,MATCH('SOW-ERP导入表'!$E98,服务费底表!$D:$D,0))</f>
        <v>A028</v>
      </c>
      <c r="H98" s="183" t="str">
        <f>INDEX(服务费底表!L:L,MATCH('SOW-ERP导入表'!$E98,服务费底表!$D:$D,0))</f>
        <v>召开SRC/SMC会</v>
      </c>
      <c r="I98" s="173" t="str">
        <f>INDEX(服务费底表!$T:$T,MATCH('SOW-ERP导入表'!$E98,服务费底表!$D:$D,0))</f>
        <v>DM</v>
      </c>
      <c r="J98" s="184">
        <f>SUMIF(服务费底表!$D:$D,E98,服务费底表!$AC:$AC)+SUMIF(注册申报底表!$D:$D,'SOW-ERP导入表'!E98,注册申报底表!$Z:$Z)</f>
        <v>12</v>
      </c>
      <c r="K98" s="173">
        <f>IFERROR(INDEX(服务费底表!$C:$C,MATCH('SOW-ERP导入表'!$E98,服务费底表!$D:$D,0)),0)+IFERROR(INDEX(注册申报底表!$C:$C,MATCH('SOW-ERP导入表'!$E98,注册申报底表!$D:$D,0)),0)</f>
        <v>6</v>
      </c>
      <c r="L98" s="185">
        <f t="shared" si="6"/>
        <v>400</v>
      </c>
      <c r="M98" s="184">
        <f>SUMIF(服务费底表!$D:$D,E98,服务费底表!$AG:$AG)+SUMIF(注册申报底表!$D:$D,'SOW-ERP导入表'!E98,注册申报底表!$AD:$AD)</f>
        <v>2400</v>
      </c>
    </row>
    <row r="99" spans="2:13">
      <c r="B99" s="173"/>
      <c r="D99" s="173"/>
      <c r="E99" s="187" t="s">
        <v>2451</v>
      </c>
      <c r="F99" s="173" t="str">
        <f t="shared" si="7"/>
        <v>请填写</v>
      </c>
      <c r="G99" s="173" t="e">
        <f>INDEX(服务费底表!$K:$K,MATCH('SOW-ERP导入表'!$E99,服务费底表!$D:$D,0))</f>
        <v>#N/A</v>
      </c>
      <c r="H99" s="183" t="e">
        <f>INDEX(服务费底表!L:L,MATCH('SOW-ERP导入表'!$E99,服务费底表!$D:$D,0))</f>
        <v>#N/A</v>
      </c>
      <c r="I99" s="173" t="e">
        <f>INDEX(服务费底表!$T:$T,MATCH('SOW-ERP导入表'!$E99,服务费底表!$D:$D,0))</f>
        <v>#N/A</v>
      </c>
      <c r="J99" s="184">
        <f>SUMIF(服务费底表!$D:$D,E99,服务费底表!$AC:$AC)+SUMIF(注册申报底表!$D:$D,'SOW-ERP导入表'!E99,注册申报底表!$Z:$Z)</f>
        <v>0</v>
      </c>
      <c r="K99" s="173">
        <f>IFERROR(INDEX(服务费底表!$C:$C,MATCH('SOW-ERP导入表'!$E99,服务费底表!$D:$D,0)),0)+IFERROR(INDEX(注册申报底表!$C:$C,MATCH('SOW-ERP导入表'!$E99,注册申报底表!$D:$D,0)),0)</f>
        <v>0</v>
      </c>
      <c r="L99" s="185">
        <f t="shared" si="6"/>
        <v>0</v>
      </c>
      <c r="M99" s="184">
        <f>SUMIF(服务费底表!$D:$D,E99,服务费底表!$AG:$AG)+SUMIF(注册申报底表!$D:$D,'SOW-ERP导入表'!E99,注册申报底表!$AD:$AD)</f>
        <v>0</v>
      </c>
    </row>
    <row r="100" spans="2:13">
      <c r="B100" s="173"/>
      <c r="D100" s="173"/>
      <c r="E100" s="187" t="s">
        <v>2452</v>
      </c>
      <c r="F100" s="173" t="str">
        <f t="shared" si="7"/>
        <v>请填写</v>
      </c>
      <c r="G100" s="173" t="str">
        <f>INDEX(服务费底表!$K:$K,MATCH('SOW-ERP导入表'!$E100,服务费底表!$D:$D,0))</f>
        <v>A028</v>
      </c>
      <c r="H100" s="183" t="str">
        <f>INDEX(服务费底表!L:L,MATCH('SOW-ERP导入表'!$E100,服务费底表!$D:$D,0))</f>
        <v>召开SRC/SMC会</v>
      </c>
      <c r="I100" s="173" t="str">
        <f>INDEX(服务费底表!$T:$T,MATCH('SOW-ERP导入表'!$E100,服务费底表!$D:$D,0))</f>
        <v>SAM</v>
      </c>
      <c r="J100" s="184">
        <f>SUMIF(服务费底表!$D:$D,E100,服务费底表!$AC:$AC)+SUMIF(注册申报底表!$D:$D,'SOW-ERP导入表'!E100,注册申报底表!$Z:$Z)</f>
        <v>0</v>
      </c>
      <c r="K100" s="173">
        <f>IFERROR(INDEX(服务费底表!$C:$C,MATCH('SOW-ERP导入表'!$E100,服务费底表!$D:$D,0)),0)+IFERROR(INDEX(注册申报底表!$C:$C,MATCH('SOW-ERP导入表'!$E100,注册申报底表!$D:$D,0)),0)</f>
        <v>6</v>
      </c>
      <c r="L100" s="185">
        <f t="shared" si="6"/>
        <v>0</v>
      </c>
      <c r="M100" s="184">
        <f>SUMIF(服务费底表!$D:$D,E100,服务费底表!$AG:$AG)+SUMIF(注册申报底表!$D:$D,'SOW-ERP导入表'!E100,注册申报底表!$AD:$AD)</f>
        <v>0</v>
      </c>
    </row>
    <row r="101" spans="2:13">
      <c r="B101" s="173"/>
      <c r="D101" s="173"/>
      <c r="E101" s="187" t="s">
        <v>2453</v>
      </c>
      <c r="F101" s="173" t="str">
        <f t="shared" si="7"/>
        <v>请填写</v>
      </c>
      <c r="G101" s="173" t="e">
        <f>INDEX(服务费底表!$K:$K,MATCH('SOW-ERP导入表'!$E101,服务费底表!$D:$D,0))</f>
        <v>#N/A</v>
      </c>
      <c r="H101" s="183" t="e">
        <f>INDEX(服务费底表!L:L,MATCH('SOW-ERP导入表'!$E101,服务费底表!$D:$D,0))</f>
        <v>#N/A</v>
      </c>
      <c r="I101" s="173" t="e">
        <f>INDEX(服务费底表!$T:$T,MATCH('SOW-ERP导入表'!$E101,服务费底表!$D:$D,0))</f>
        <v>#N/A</v>
      </c>
      <c r="J101" s="184">
        <f>SUMIF(服务费底表!$D:$D,E101,服务费底表!$AC:$AC)+SUMIF(注册申报底表!$D:$D,'SOW-ERP导入表'!E101,注册申报底表!$Z:$Z)</f>
        <v>0</v>
      </c>
      <c r="K101" s="173">
        <f>IFERROR(INDEX(服务费底表!$C:$C,MATCH('SOW-ERP导入表'!$E101,服务费底表!$D:$D,0)),0)+IFERROR(INDEX(注册申报底表!$C:$C,MATCH('SOW-ERP导入表'!$E101,注册申报底表!$D:$D,0)),0)</f>
        <v>0</v>
      </c>
      <c r="L101" s="185">
        <f t="shared" si="6"/>
        <v>0</v>
      </c>
      <c r="M101" s="184">
        <f>SUMIF(服务费底表!$D:$D,E101,服务费底表!$AG:$AG)+SUMIF(注册申报底表!$D:$D,'SOW-ERP导入表'!E101,注册申报底表!$AD:$AD)</f>
        <v>0</v>
      </c>
    </row>
    <row r="102" spans="2:13">
      <c r="B102" s="173"/>
      <c r="D102" s="173"/>
      <c r="E102" s="187" t="s">
        <v>2454</v>
      </c>
      <c r="F102" s="173" t="str">
        <f t="shared" si="7"/>
        <v>请填写</v>
      </c>
      <c r="G102" s="173" t="e">
        <f>INDEX(服务费底表!$K:$K,MATCH('SOW-ERP导入表'!$E102,服务费底表!$D:$D,0))</f>
        <v>#N/A</v>
      </c>
      <c r="H102" s="183" t="e">
        <f>INDEX(服务费底表!L:L,MATCH('SOW-ERP导入表'!$E102,服务费底表!$D:$D,0))</f>
        <v>#N/A</v>
      </c>
      <c r="I102" s="173" t="e">
        <f>INDEX(服务费底表!$T:$T,MATCH('SOW-ERP导入表'!$E102,服务费底表!$D:$D,0))</f>
        <v>#N/A</v>
      </c>
      <c r="J102" s="184">
        <f>SUMIF(服务费底表!$D:$D,E102,服务费底表!$AC:$AC)+SUMIF(注册申报底表!$D:$D,'SOW-ERP导入表'!E102,注册申报底表!$Z:$Z)</f>
        <v>0</v>
      </c>
      <c r="K102" s="173">
        <f>IFERROR(INDEX(服务费底表!$C:$C,MATCH('SOW-ERP导入表'!$E102,服务费底表!$D:$D,0)),0)+IFERROR(INDEX(注册申报底表!$C:$C,MATCH('SOW-ERP导入表'!$E102,注册申报底表!$D:$D,0)),0)</f>
        <v>0</v>
      </c>
      <c r="L102" s="185">
        <f t="shared" si="6"/>
        <v>0</v>
      </c>
      <c r="M102" s="184">
        <f>SUMIF(服务费底表!$D:$D,E102,服务费底表!$AG:$AG)+SUMIF(注册申报底表!$D:$D,'SOW-ERP导入表'!E102,注册申报底表!$AD:$AD)</f>
        <v>0</v>
      </c>
    </row>
    <row r="103" spans="2:13">
      <c r="B103" s="173"/>
      <c r="D103" s="173"/>
      <c r="E103" s="187" t="s">
        <v>2455</v>
      </c>
      <c r="F103" s="173" t="str">
        <f t="shared" si="7"/>
        <v>请填写</v>
      </c>
      <c r="G103" s="173" t="str">
        <f>INDEX(服务费底表!$K:$K,MATCH('SOW-ERP导入表'!$E103,服务费底表!$D:$D,0))</f>
        <v>A028</v>
      </c>
      <c r="H103" s="183" t="str">
        <f>INDEX(服务费底表!L:L,MATCH('SOW-ERP导入表'!$E103,服务费底表!$D:$D,0))</f>
        <v>召开SRC/SMC会</v>
      </c>
      <c r="I103" s="173" t="str">
        <f>INDEX(服务费底表!$T:$T,MATCH('SOW-ERP导入表'!$E103,服务费底表!$D:$D,0))</f>
        <v>PM</v>
      </c>
      <c r="J103" s="184">
        <f>SUMIF(服务费底表!$D:$D,E103,服务费底表!$AC:$AC)+SUMIF(注册申报底表!$D:$D,'SOW-ERP导入表'!E103,注册申报底表!$Z:$Z)</f>
        <v>6</v>
      </c>
      <c r="K103" s="173">
        <f>IFERROR(INDEX(服务费底表!$C:$C,MATCH('SOW-ERP导入表'!$E103,服务费底表!$D:$D,0)),0)+IFERROR(INDEX(注册申报底表!$C:$C,MATCH('SOW-ERP导入表'!$E103,注册申报底表!$D:$D,0)),0)</f>
        <v>6</v>
      </c>
      <c r="L103" s="185">
        <f t="shared" si="6"/>
        <v>650</v>
      </c>
      <c r="M103" s="184">
        <f>SUMIF(服务费底表!$D:$D,E103,服务费底表!$AG:$AG)+SUMIF(注册申报底表!$D:$D,'SOW-ERP导入表'!E103,注册申报底表!$AD:$AD)</f>
        <v>3900</v>
      </c>
    </row>
    <row r="104" spans="2:13">
      <c r="B104" s="173"/>
      <c r="D104" s="173"/>
      <c r="E104" s="187" t="s">
        <v>2456</v>
      </c>
      <c r="F104" s="173" t="str">
        <f t="shared" si="7"/>
        <v>请填写</v>
      </c>
      <c r="G104" s="173" t="str">
        <f>INDEX(服务费底表!$K:$K,MATCH('SOW-ERP导入表'!$E104,服务费底表!$D:$D,0))</f>
        <v>A029</v>
      </c>
      <c r="H104" s="183" t="str">
        <f>INDEX(服务费底表!L:L,MATCH('SOW-ERP导入表'!$E104,服务费底表!$D:$D,0))</f>
        <v>召开中期研究者会</v>
      </c>
      <c r="I104" s="173" t="str">
        <f>INDEX(服务费底表!$T:$T,MATCH('SOW-ERP导入表'!$E104,服务费底表!$D:$D,0))</f>
        <v>PM</v>
      </c>
      <c r="J104" s="184">
        <f>SUMIF(服务费底表!$D:$D,E104,服务费底表!$AC:$AC)+SUMIF(注册申报底表!$D:$D,'SOW-ERP导入表'!E104,注册申报底表!$Z:$Z)</f>
        <v>0</v>
      </c>
      <c r="K104" s="173">
        <f>IFERROR(INDEX(服务费底表!$C:$C,MATCH('SOW-ERP导入表'!$E104,服务费底表!$D:$D,0)),0)+IFERROR(INDEX(注册申报底表!$C:$C,MATCH('SOW-ERP导入表'!$E104,注册申报底表!$D:$D,0)),0)</f>
        <v>0</v>
      </c>
      <c r="L104" s="185">
        <f t="shared" si="6"/>
        <v>0</v>
      </c>
      <c r="M104" s="184">
        <f>SUMIF(服务费底表!$D:$D,E104,服务费底表!$AG:$AG)+SUMIF(注册申报底表!$D:$D,'SOW-ERP导入表'!E104,注册申报底表!$AD:$AD)</f>
        <v>0</v>
      </c>
    </row>
    <row r="105" spans="2:13">
      <c r="B105" s="173"/>
      <c r="D105" s="173"/>
      <c r="E105" s="187" t="s">
        <v>2457</v>
      </c>
      <c r="F105" s="173" t="str">
        <f t="shared" si="7"/>
        <v>请填写</v>
      </c>
      <c r="G105" s="173" t="str">
        <f>INDEX(服务费底表!$K:$K,MATCH('SOW-ERP导入表'!$E105,服务费底表!$D:$D,0))</f>
        <v>A029</v>
      </c>
      <c r="H105" s="183" t="str">
        <f>INDEX(服务费底表!L:L,MATCH('SOW-ERP导入表'!$E105,服务费底表!$D:$D,0))</f>
        <v>召开中期研究者会</v>
      </c>
      <c r="I105" s="173" t="str">
        <f>INDEX(服务费底表!$T:$T,MATCH('SOW-ERP导入表'!$E105,服务费底表!$D:$D,0))</f>
        <v>CRA</v>
      </c>
      <c r="J105" s="184">
        <f>SUMIF(服务费底表!$D:$D,E105,服务费底表!$AC:$AC)+SUMIF(注册申报底表!$D:$D,'SOW-ERP导入表'!E105,注册申报底表!$Z:$Z)</f>
        <v>0</v>
      </c>
      <c r="K105" s="173">
        <f>IFERROR(INDEX(服务费底表!$C:$C,MATCH('SOW-ERP导入表'!$E105,服务费底表!$D:$D,0)),0)+IFERROR(INDEX(注册申报底表!$C:$C,MATCH('SOW-ERP导入表'!$E105,注册申报底表!$D:$D,0)),0)</f>
        <v>0</v>
      </c>
      <c r="L105" s="185">
        <f t="shared" si="6"/>
        <v>0</v>
      </c>
      <c r="M105" s="184">
        <f>SUMIF(服务费底表!$D:$D,E105,服务费底表!$AG:$AG)+SUMIF(注册申报底表!$D:$D,'SOW-ERP导入表'!E105,注册申报底表!$AD:$AD)</f>
        <v>0</v>
      </c>
    </row>
    <row r="106" spans="2:13">
      <c r="B106" s="173"/>
      <c r="D106" s="173"/>
      <c r="E106" s="187" t="s">
        <v>2458</v>
      </c>
      <c r="F106" s="173" t="str">
        <f t="shared" si="7"/>
        <v>请填写</v>
      </c>
      <c r="G106" s="173" t="str">
        <f>INDEX(服务费底表!$K:$K,MATCH('SOW-ERP导入表'!$E106,服务费底表!$D:$D,0))</f>
        <v>A029</v>
      </c>
      <c r="H106" s="183" t="str">
        <f>INDEX(服务费底表!L:L,MATCH('SOW-ERP导入表'!$E106,服务费底表!$D:$D,0))</f>
        <v>召开中期研究者会</v>
      </c>
      <c r="I106" s="173" t="str">
        <f>INDEX(服务费底表!$T:$T,MATCH('SOW-ERP导入表'!$E106,服务费底表!$D:$D,0))</f>
        <v>CTA</v>
      </c>
      <c r="J106" s="184">
        <f>SUMIF(服务费底表!$D:$D,E106,服务费底表!$AC:$AC)+SUMIF(注册申报底表!$D:$D,'SOW-ERP导入表'!E106,注册申报底表!$Z:$Z)</f>
        <v>0</v>
      </c>
      <c r="K106" s="173">
        <f>IFERROR(INDEX(服务费底表!$C:$C,MATCH('SOW-ERP导入表'!$E106,服务费底表!$D:$D,0)),0)+IFERROR(INDEX(注册申报底表!$C:$C,MATCH('SOW-ERP导入表'!$E106,注册申报底表!$D:$D,0)),0)</f>
        <v>0</v>
      </c>
      <c r="L106" s="185">
        <f t="shared" si="6"/>
        <v>0</v>
      </c>
      <c r="M106" s="184">
        <f>SUMIF(服务费底表!$D:$D,E106,服务费底表!$AG:$AG)+SUMIF(注册申报底表!$D:$D,'SOW-ERP导入表'!E106,注册申报底表!$AD:$AD)</f>
        <v>0</v>
      </c>
    </row>
    <row r="107" spans="2:13">
      <c r="B107" s="173"/>
      <c r="D107" s="173"/>
      <c r="E107" s="187" t="s">
        <v>2459</v>
      </c>
      <c r="F107" s="173" t="str">
        <f t="shared" si="7"/>
        <v>请填写</v>
      </c>
      <c r="G107" s="173" t="str">
        <f>INDEX(服务费底表!$K:$K,MATCH('SOW-ERP导入表'!$E107,服务费底表!$D:$D,0))</f>
        <v>A029</v>
      </c>
      <c r="H107" s="183" t="str">
        <f>INDEX(服务费底表!L:L,MATCH('SOW-ERP导入表'!$E107,服务费底表!$D:$D,0))</f>
        <v>召开中期研究者会</v>
      </c>
      <c r="I107" s="173" t="str">
        <f>INDEX(服务费底表!$T:$T,MATCH('SOW-ERP导入表'!$E107,服务费底表!$D:$D,0))</f>
        <v>MM</v>
      </c>
      <c r="J107" s="184">
        <f>SUMIF(服务费底表!$D:$D,E107,服务费底表!$AC:$AC)+SUMIF(注册申报底表!$D:$D,'SOW-ERP导入表'!E107,注册申报底表!$Z:$Z)</f>
        <v>0</v>
      </c>
      <c r="K107" s="173">
        <f>IFERROR(INDEX(服务费底表!$C:$C,MATCH('SOW-ERP导入表'!$E107,服务费底表!$D:$D,0)),0)+IFERROR(INDEX(注册申报底表!$C:$C,MATCH('SOW-ERP导入表'!$E107,注册申报底表!$D:$D,0)),0)</f>
        <v>0</v>
      </c>
      <c r="L107" s="185">
        <f t="shared" si="6"/>
        <v>0</v>
      </c>
      <c r="M107" s="184">
        <f>SUMIF(服务费底表!$D:$D,E107,服务费底表!$AG:$AG)+SUMIF(注册申报底表!$D:$D,'SOW-ERP导入表'!E107,注册申报底表!$AD:$AD)</f>
        <v>0</v>
      </c>
    </row>
    <row r="108" spans="2:13">
      <c r="B108" s="173"/>
      <c r="D108" s="173"/>
      <c r="E108" s="187" t="s">
        <v>2460</v>
      </c>
      <c r="F108" s="173" t="str">
        <f t="shared" si="7"/>
        <v>请填写</v>
      </c>
      <c r="G108" s="173" t="str">
        <f>INDEX(服务费底表!$K:$K,MATCH('SOW-ERP导入表'!$E108,服务费底表!$D:$D,0))</f>
        <v>A030</v>
      </c>
      <c r="H108" s="183" t="str">
        <f>INDEX(服务费底表!L:L,MATCH('SOW-ERP导入表'!$E108,服务费底表!$D:$D,0))</f>
        <v>召开研究总结会</v>
      </c>
      <c r="I108" s="173" t="str">
        <f>INDEX(服务费底表!$T:$T,MATCH('SOW-ERP导入表'!$E108,服务费底表!$D:$D,0))</f>
        <v>PM</v>
      </c>
      <c r="J108" s="184">
        <f>SUMIF(服务费底表!$D:$D,E108,服务费底表!$AC:$AC)+SUMIF(注册申报底表!$D:$D,'SOW-ERP导入表'!E108,注册申报底表!$Z:$Z)</f>
        <v>0</v>
      </c>
      <c r="K108" s="173">
        <f>IFERROR(INDEX(服务费底表!$C:$C,MATCH('SOW-ERP导入表'!$E108,服务费底表!$D:$D,0)),0)+IFERROR(INDEX(注册申报底表!$C:$C,MATCH('SOW-ERP导入表'!$E108,注册申报底表!$D:$D,0)),0)</f>
        <v>0</v>
      </c>
      <c r="L108" s="185">
        <f t="shared" si="6"/>
        <v>0</v>
      </c>
      <c r="M108" s="184">
        <f>SUMIF(服务费底表!$D:$D,E108,服务费底表!$AG:$AG)+SUMIF(注册申报底表!$D:$D,'SOW-ERP导入表'!E108,注册申报底表!$AD:$AD)</f>
        <v>0</v>
      </c>
    </row>
    <row r="109" spans="2:13">
      <c r="B109" s="173"/>
      <c r="D109" s="173"/>
      <c r="E109" s="187" t="s">
        <v>2461</v>
      </c>
      <c r="F109" s="173" t="str">
        <f t="shared" si="7"/>
        <v>请填写</v>
      </c>
      <c r="G109" s="173" t="str">
        <f>INDEX(服务费底表!$K:$K,MATCH('SOW-ERP导入表'!$E109,服务费底表!$D:$D,0))</f>
        <v>A030</v>
      </c>
      <c r="H109" s="183" t="str">
        <f>INDEX(服务费底表!L:L,MATCH('SOW-ERP导入表'!$E109,服务费底表!$D:$D,0))</f>
        <v>召开研究总结会</v>
      </c>
      <c r="I109" s="173" t="str">
        <f>INDEX(服务费底表!$T:$T,MATCH('SOW-ERP导入表'!$E109,服务费底表!$D:$D,0))</f>
        <v>CRA</v>
      </c>
      <c r="J109" s="184">
        <f>SUMIF(服务费底表!$D:$D,E109,服务费底表!$AC:$AC)+SUMIF(注册申报底表!$D:$D,'SOW-ERP导入表'!E109,注册申报底表!$Z:$Z)</f>
        <v>0</v>
      </c>
      <c r="K109" s="173">
        <f>IFERROR(INDEX(服务费底表!$C:$C,MATCH('SOW-ERP导入表'!$E109,服务费底表!$D:$D,0)),0)+IFERROR(INDEX(注册申报底表!$C:$C,MATCH('SOW-ERP导入表'!$E109,注册申报底表!$D:$D,0)),0)</f>
        <v>0</v>
      </c>
      <c r="L109" s="185">
        <f t="shared" si="6"/>
        <v>0</v>
      </c>
      <c r="M109" s="184">
        <f>SUMIF(服务费底表!$D:$D,E109,服务费底表!$AG:$AG)+SUMIF(注册申报底表!$D:$D,'SOW-ERP导入表'!E109,注册申报底表!$AD:$AD)</f>
        <v>0</v>
      </c>
    </row>
    <row r="110" spans="2:13">
      <c r="B110" s="173"/>
      <c r="D110" s="173"/>
      <c r="E110" s="187" t="s">
        <v>2462</v>
      </c>
      <c r="F110" s="173" t="str">
        <f t="shared" si="7"/>
        <v>请填写</v>
      </c>
      <c r="G110" s="173" t="str">
        <f>INDEX(服务费底表!$K:$K,MATCH('SOW-ERP导入表'!$E110,服务费底表!$D:$D,0))</f>
        <v>A030</v>
      </c>
      <c r="H110" s="183" t="str">
        <f>INDEX(服务费底表!L:L,MATCH('SOW-ERP导入表'!$E110,服务费底表!$D:$D,0))</f>
        <v>召开研究总结会</v>
      </c>
      <c r="I110" s="173" t="str">
        <f>INDEX(服务费底表!$T:$T,MATCH('SOW-ERP导入表'!$E110,服务费底表!$D:$D,0))</f>
        <v>CTA</v>
      </c>
      <c r="J110" s="184">
        <f>SUMIF(服务费底表!$D:$D,E110,服务费底表!$AC:$AC)+SUMIF(注册申报底表!$D:$D,'SOW-ERP导入表'!E110,注册申报底表!$Z:$Z)</f>
        <v>0</v>
      </c>
      <c r="K110" s="173">
        <f>IFERROR(INDEX(服务费底表!$C:$C,MATCH('SOW-ERP导入表'!$E110,服务费底表!$D:$D,0)),0)+IFERROR(INDEX(注册申报底表!$C:$C,MATCH('SOW-ERP导入表'!$E110,注册申报底表!$D:$D,0)),0)</f>
        <v>0</v>
      </c>
      <c r="L110" s="185">
        <f t="shared" si="6"/>
        <v>0</v>
      </c>
      <c r="M110" s="184">
        <f>SUMIF(服务费底表!$D:$D,E110,服务费底表!$AG:$AG)+SUMIF(注册申报底表!$D:$D,'SOW-ERP导入表'!E110,注册申报底表!$AD:$AD)</f>
        <v>0</v>
      </c>
    </row>
    <row r="111" spans="2:13">
      <c r="B111" s="173"/>
      <c r="D111" s="173"/>
      <c r="E111" s="187" t="s">
        <v>2463</v>
      </c>
      <c r="F111" s="173" t="str">
        <f t="shared" si="7"/>
        <v>请填写</v>
      </c>
      <c r="G111" s="173" t="str">
        <f>INDEX(服务费底表!$K:$K,MATCH('SOW-ERP导入表'!$E111,服务费底表!$D:$D,0))</f>
        <v>A030</v>
      </c>
      <c r="H111" s="183" t="str">
        <f>INDEX(服务费底表!L:L,MATCH('SOW-ERP导入表'!$E111,服务费底表!$D:$D,0))</f>
        <v>召开研究总结会</v>
      </c>
      <c r="I111" s="173" t="str">
        <f>INDEX(服务费底表!$T:$T,MATCH('SOW-ERP导入表'!$E111,服务费底表!$D:$D,0))</f>
        <v>MM</v>
      </c>
      <c r="J111" s="184">
        <f>SUMIF(服务费底表!$D:$D,E111,服务费底表!$AC:$AC)+SUMIF(注册申报底表!$D:$D,'SOW-ERP导入表'!E111,注册申报底表!$Z:$Z)</f>
        <v>0</v>
      </c>
      <c r="K111" s="173">
        <f>IFERROR(INDEX(服务费底表!$C:$C,MATCH('SOW-ERP导入表'!$E111,服务费底表!$D:$D,0)),0)+IFERROR(INDEX(注册申报底表!$C:$C,MATCH('SOW-ERP导入表'!$E111,注册申报底表!$D:$D,0)),0)</f>
        <v>0</v>
      </c>
      <c r="L111" s="185">
        <f t="shared" si="6"/>
        <v>0</v>
      </c>
      <c r="M111" s="184">
        <f>SUMIF(服务费底表!$D:$D,E111,服务费底表!$AG:$AG)+SUMIF(注册申报底表!$D:$D,'SOW-ERP导入表'!E111,注册申报底表!$AD:$AD)</f>
        <v>0</v>
      </c>
    </row>
    <row r="112" spans="2:13">
      <c r="B112" s="173"/>
      <c r="D112" s="173"/>
      <c r="E112" s="187" t="s">
        <v>2464</v>
      </c>
      <c r="F112" s="173" t="str">
        <f t="shared" si="7"/>
        <v>请填写</v>
      </c>
      <c r="G112" s="173" t="str">
        <f>INDEX(服务费底表!$K:$K,MATCH('SOW-ERP导入表'!$E112,服务费底表!$D:$D,0))</f>
        <v>A030</v>
      </c>
      <c r="H112" s="183" t="str">
        <f>INDEX(服务费底表!L:L,MATCH('SOW-ERP导入表'!$E112,服务费底表!$D:$D,0))</f>
        <v>召开研究总结会</v>
      </c>
      <c r="I112" s="173" t="str">
        <f>INDEX(服务费底表!$T:$T,MATCH('SOW-ERP导入表'!$E112,服务费底表!$D:$D,0))</f>
        <v>MD</v>
      </c>
      <c r="J112" s="184">
        <f>SUMIF(服务费底表!$D:$D,E112,服务费底表!$AC:$AC)+SUMIF(注册申报底表!$D:$D,'SOW-ERP导入表'!E112,注册申报底表!$Z:$Z)</f>
        <v>0</v>
      </c>
      <c r="K112" s="173">
        <f>IFERROR(INDEX(服务费底表!$C:$C,MATCH('SOW-ERP导入表'!$E112,服务费底表!$D:$D,0)),0)+IFERROR(INDEX(注册申报底表!$C:$C,MATCH('SOW-ERP导入表'!$E112,注册申报底表!$D:$D,0)),0)</f>
        <v>0</v>
      </c>
      <c r="L112" s="185">
        <f t="shared" si="6"/>
        <v>0</v>
      </c>
      <c r="M112" s="184">
        <f>SUMIF(服务费底表!$D:$D,E112,服务费底表!$AG:$AG)+SUMIF(注册申报底表!$D:$D,'SOW-ERP导入表'!E112,注册申报底表!$AD:$AD)</f>
        <v>0</v>
      </c>
    </row>
    <row r="113" spans="2:13">
      <c r="B113" s="173"/>
      <c r="D113" s="173"/>
      <c r="E113" s="187" t="s">
        <v>2465</v>
      </c>
      <c r="F113" s="173" t="str">
        <f t="shared" si="7"/>
        <v>请填写</v>
      </c>
      <c r="G113" s="173" t="str">
        <f>INDEX(服务费底表!$K:$K,MATCH('SOW-ERP导入表'!$E113,服务费底表!$D:$D,0))</f>
        <v>A031</v>
      </c>
      <c r="H113" s="183" t="str">
        <f>INDEX(服务费底表!L:L,MATCH('SOW-ERP导入表'!$E113,服务费底表!$D:$D,0))</f>
        <v>准备或签署研究中心合同</v>
      </c>
      <c r="I113" s="173" t="str">
        <f>INDEX(服务费底表!$T:$T,MATCH('SOW-ERP导入表'!$E113,服务费底表!$D:$D,0))</f>
        <v>PM</v>
      </c>
      <c r="J113" s="184">
        <f>SUMIF(服务费底表!$D:$D,E113,服务费底表!$AC:$AC)+SUMIF(注册申报底表!$D:$D,'SOW-ERP导入表'!E113,注册申报底表!$Z:$Z)</f>
        <v>8</v>
      </c>
      <c r="K113" s="173">
        <f>IFERROR(INDEX(服务费底表!$C:$C,MATCH('SOW-ERP导入表'!$E113,服务费底表!$D:$D,0)),0)+IFERROR(INDEX(注册申报底表!$C:$C,MATCH('SOW-ERP导入表'!$E113,注册申报底表!$D:$D,0)),0)</f>
        <v>4</v>
      </c>
      <c r="L113" s="185">
        <f t="shared" si="6"/>
        <v>1300</v>
      </c>
      <c r="M113" s="184">
        <f>SUMIF(服务费底表!$D:$D,E113,服务费底表!$AG:$AG)+SUMIF(注册申报底表!$D:$D,'SOW-ERP导入表'!E113,注册申报底表!$AD:$AD)</f>
        <v>5200</v>
      </c>
    </row>
    <row r="114" spans="2:13">
      <c r="B114" s="173"/>
      <c r="D114" s="173"/>
      <c r="E114" s="187" t="s">
        <v>2466</v>
      </c>
      <c r="F114" s="173" t="str">
        <f t="shared" si="7"/>
        <v>请填写</v>
      </c>
      <c r="G114" s="173" t="str">
        <f>INDEX(服务费底表!$K:$K,MATCH('SOW-ERP导入表'!$E114,服务费底表!$D:$D,0))</f>
        <v>A031</v>
      </c>
      <c r="H114" s="183" t="str">
        <f>INDEX(服务费底表!L:L,MATCH('SOW-ERP导入表'!$E114,服务费底表!$D:$D,0))</f>
        <v>准备或签署研究中心合同</v>
      </c>
      <c r="I114" s="173" t="str">
        <f>INDEX(服务费底表!$T:$T,MATCH('SOW-ERP导入表'!$E114,服务费底表!$D:$D,0))</f>
        <v>CRA</v>
      </c>
      <c r="J114" s="184">
        <f>SUMIF(服务费底表!$D:$D,E114,服务费底表!$AC:$AC)+SUMIF(注册申报底表!$D:$D,'SOW-ERP导入表'!E114,注册申报底表!$Z:$Z)</f>
        <v>128</v>
      </c>
      <c r="K114" s="173">
        <f>IFERROR(INDEX(服务费底表!$C:$C,MATCH('SOW-ERP导入表'!$E114,服务费底表!$D:$D,0)),0)+IFERROR(INDEX(注册申报底表!$C:$C,MATCH('SOW-ERP导入表'!$E114,注册申报底表!$D:$D,0)),0)</f>
        <v>4</v>
      </c>
      <c r="L114" s="185">
        <f t="shared" si="6"/>
        <v>10880</v>
      </c>
      <c r="M114" s="184">
        <f>SUMIF(服务费底表!$D:$D,E114,服务费底表!$AG:$AG)+SUMIF(注册申报底表!$D:$D,'SOW-ERP导入表'!E114,注册申报底表!$AD:$AD)</f>
        <v>43520</v>
      </c>
    </row>
    <row r="115" spans="2:13">
      <c r="B115" s="173"/>
      <c r="D115" s="173"/>
      <c r="E115" s="187" t="s">
        <v>2467</v>
      </c>
      <c r="F115" s="173" t="str">
        <f t="shared" si="7"/>
        <v>请填写</v>
      </c>
      <c r="G115" s="173" t="str">
        <f>INDEX(服务费底表!$K:$K,MATCH('SOW-ERP导入表'!$E115,服务费底表!$D:$D,0))</f>
        <v>A032</v>
      </c>
      <c r="H115" s="183" t="str">
        <f>INDEX(服务费底表!L:L,MATCH('SOW-ERP导入表'!$E115,服务费底表!$D:$D,0))</f>
        <v>启动访视</v>
      </c>
      <c r="I115" s="173" t="str">
        <f>INDEX(服务费底表!$T:$T,MATCH('SOW-ERP导入表'!$E115,服务费底表!$D:$D,0))</f>
        <v>CRA</v>
      </c>
      <c r="J115" s="184">
        <f>SUMIF(服务费底表!$D:$D,E115,服务费底表!$AC:$AC)+SUMIF(注册申报底表!$D:$D,'SOW-ERP导入表'!E115,注册申报底表!$Z:$Z)</f>
        <v>68</v>
      </c>
      <c r="K115" s="173">
        <f>IFERROR(INDEX(服务费底表!$C:$C,MATCH('SOW-ERP导入表'!$E115,服务费底表!$D:$D,0)),0)+IFERROR(INDEX(注册申报底表!$C:$C,MATCH('SOW-ERP导入表'!$E115,注册申报底表!$D:$D,0)),0)</f>
        <v>4</v>
      </c>
      <c r="L115" s="185">
        <f t="shared" si="6"/>
        <v>5780</v>
      </c>
      <c r="M115" s="184">
        <f>SUMIF(服务费底表!$D:$D,E115,服务费底表!$AG:$AG)+SUMIF(注册申报底表!$D:$D,'SOW-ERP导入表'!E115,注册申报底表!$AD:$AD)</f>
        <v>23120</v>
      </c>
    </row>
    <row r="116" spans="2:13">
      <c r="B116" s="173"/>
      <c r="D116" s="173"/>
      <c r="E116" s="187" t="s">
        <v>2468</v>
      </c>
      <c r="F116" s="173" t="str">
        <f t="shared" si="7"/>
        <v>请填写</v>
      </c>
      <c r="G116" s="173" t="str">
        <f>INDEX(服务费底表!$K:$K,MATCH('SOW-ERP导入表'!$E116,服务费底表!$D:$D,0))</f>
        <v>A032</v>
      </c>
      <c r="H116" s="183" t="str">
        <f>INDEX(服务费底表!L:L,MATCH('SOW-ERP导入表'!$E116,服务费底表!$D:$D,0))</f>
        <v>启动访视</v>
      </c>
      <c r="I116" s="173" t="str">
        <f>INDEX(服务费底表!$T:$T,MATCH('SOW-ERP导入表'!$E116,服务费底表!$D:$D,0))</f>
        <v>PM</v>
      </c>
      <c r="J116" s="184">
        <f>SUMIF(服务费底表!$D:$D,E116,服务费底表!$AC:$AC)+SUMIF(注册申报底表!$D:$D,'SOW-ERP导入表'!E116,注册申报底表!$Z:$Z)</f>
        <v>8</v>
      </c>
      <c r="K116" s="173">
        <f>IFERROR(INDEX(服务费底表!$C:$C,MATCH('SOW-ERP导入表'!$E116,服务费底表!$D:$D,0)),0)+IFERROR(INDEX(注册申报底表!$C:$C,MATCH('SOW-ERP导入表'!$E116,注册申报底表!$D:$D,0)),0)</f>
        <v>4</v>
      </c>
      <c r="L116" s="185">
        <f t="shared" si="6"/>
        <v>1300</v>
      </c>
      <c r="M116" s="184">
        <f>SUMIF(服务费底表!$D:$D,E116,服务费底表!$AG:$AG)+SUMIF(注册申报底表!$D:$D,'SOW-ERP导入表'!E116,注册申报底表!$AD:$AD)</f>
        <v>5200</v>
      </c>
    </row>
    <row r="117" spans="2:13">
      <c r="B117" s="173"/>
      <c r="D117" s="173"/>
      <c r="E117" s="187" t="s">
        <v>2469</v>
      </c>
      <c r="F117" s="173" t="str">
        <f t="shared" si="7"/>
        <v>请填写</v>
      </c>
      <c r="G117" s="173" t="str">
        <f>INDEX(服务费底表!$K:$K,MATCH('SOW-ERP导入表'!$E117,服务费底表!$D:$D,0))</f>
        <v>A033</v>
      </c>
      <c r="H117" s="183" t="str">
        <f>INDEX(服务费底表!L:L,MATCH('SOW-ERP导入表'!$E117,服务费底表!$D:$D,0))</f>
        <v>启动访视_启动会的医学远程支持</v>
      </c>
      <c r="I117" s="173" t="str">
        <f>INDEX(服务费底表!$T:$T,MATCH('SOW-ERP导入表'!$E117,服务费底表!$D:$D,0))</f>
        <v>MM</v>
      </c>
      <c r="J117" s="184">
        <f>SUMIF(服务费底表!$D:$D,E117,服务费底表!$AC:$AC)+SUMIF(注册申报底表!$D:$D,'SOW-ERP导入表'!E117,注册申报底表!$Z:$Z)</f>
        <v>12</v>
      </c>
      <c r="K117" s="173">
        <f>IFERROR(INDEX(服务费底表!$C:$C,MATCH('SOW-ERP导入表'!$E117,服务费底表!$D:$D,0)),0)+IFERROR(INDEX(注册申报底表!$C:$C,MATCH('SOW-ERP导入表'!$E117,注册申报底表!$D:$D,0)),0)</f>
        <v>4</v>
      </c>
      <c r="L117" s="185">
        <f t="shared" si="6"/>
        <v>1950</v>
      </c>
      <c r="M117" s="184">
        <f>SUMIF(服务费底表!$D:$D,E117,服务费底表!$AG:$AG)+SUMIF(注册申报底表!$D:$D,'SOW-ERP导入表'!E117,注册申报底表!$AD:$AD)</f>
        <v>7800</v>
      </c>
    </row>
    <row r="118" spans="2:13">
      <c r="B118" s="173"/>
      <c r="D118" s="173"/>
      <c r="E118" s="187" t="s">
        <v>2470</v>
      </c>
      <c r="F118" s="173" t="str">
        <f t="shared" si="7"/>
        <v>请填写</v>
      </c>
      <c r="G118" s="173" t="e">
        <f>INDEX(服务费底表!$K:$K,MATCH('SOW-ERP导入表'!$E118,服务费底表!$D:$D,0))</f>
        <v>#N/A</v>
      </c>
      <c r="H118" s="183" t="e">
        <f>INDEX(服务费底表!L:L,MATCH('SOW-ERP导入表'!$E118,服务费底表!$D:$D,0))</f>
        <v>#N/A</v>
      </c>
      <c r="I118" s="173" t="e">
        <f>INDEX(服务费底表!$T:$T,MATCH('SOW-ERP导入表'!$E118,服务费底表!$D:$D,0))</f>
        <v>#N/A</v>
      </c>
      <c r="J118" s="184">
        <f>SUMIF(服务费底表!$D:$D,E118,服务费底表!$AC:$AC)+SUMIF(注册申报底表!$D:$D,'SOW-ERP导入表'!E118,注册申报底表!$Z:$Z)</f>
        <v>0</v>
      </c>
      <c r="K118" s="173">
        <f>IFERROR(INDEX(服务费底表!$C:$C,MATCH('SOW-ERP导入表'!$E118,服务费底表!$D:$D,0)),0)+IFERROR(INDEX(注册申报底表!$C:$C,MATCH('SOW-ERP导入表'!$E118,注册申报底表!$D:$D,0)),0)</f>
        <v>0</v>
      </c>
      <c r="L118" s="185">
        <f t="shared" si="6"/>
        <v>0</v>
      </c>
      <c r="M118" s="184">
        <f>SUMIF(服务费底表!$D:$D,E118,服务费底表!$AG:$AG)+SUMIF(注册申报底表!$D:$D,'SOW-ERP导入表'!E118,注册申报底表!$AD:$AD)</f>
        <v>0</v>
      </c>
    </row>
    <row r="119" spans="2:13">
      <c r="B119" s="173"/>
      <c r="D119" s="173"/>
      <c r="E119" s="187" t="s">
        <v>2471</v>
      </c>
      <c r="F119" s="173" t="str">
        <f t="shared" si="7"/>
        <v>请填写</v>
      </c>
      <c r="G119" s="173" t="str">
        <f>INDEX(服务费底表!$K:$K,MATCH('SOW-ERP导入表'!$E119,服务费底表!$D:$D,0))</f>
        <v>A034</v>
      </c>
      <c r="H119" s="183" t="str">
        <f>INDEX(服务费底表!L:L,MATCH('SOW-ERP导入表'!$E119,服务费底表!$D:$D,0))</f>
        <v>常规监查访视</v>
      </c>
      <c r="I119" s="173" t="str">
        <f>INDEX(服务费底表!$T:$T,MATCH('SOW-ERP导入表'!$E119,服务费底表!$D:$D,0))</f>
        <v>CRA</v>
      </c>
      <c r="J119" s="184">
        <f>SUMIF(服务费底表!$D:$D,E119,服务费底表!$AC:$AC)+SUMIF(注册申报底表!$D:$D,'SOW-ERP导入表'!E119,注册申报底表!$Z:$Z)</f>
        <v>988</v>
      </c>
      <c r="K119" s="173">
        <f>IFERROR(INDEX(服务费底表!$C:$C,MATCH('SOW-ERP导入表'!$E119,服务费底表!$D:$D,0)),0)+IFERROR(INDEX(注册申报底表!$C:$C,MATCH('SOW-ERP导入表'!$E119,注册申报底表!$D:$D,0)),0)</f>
        <v>52</v>
      </c>
      <c r="L119" s="185">
        <f t="shared" si="6"/>
        <v>6460</v>
      </c>
      <c r="M119" s="184">
        <f>SUMIF(服务费底表!$D:$D,E119,服务费底表!$AG:$AG)+SUMIF(注册申报底表!$D:$D,'SOW-ERP导入表'!E119,注册申报底表!$AD:$AD)</f>
        <v>335920</v>
      </c>
    </row>
    <row r="120" spans="2:13">
      <c r="B120" s="173"/>
      <c r="D120" s="173"/>
      <c r="E120" s="187" t="s">
        <v>2472</v>
      </c>
      <c r="F120" s="173" t="str">
        <f t="shared" si="7"/>
        <v>请填写</v>
      </c>
      <c r="G120" s="173" t="str">
        <f>INDEX(服务费底表!$K:$K,MATCH('SOW-ERP导入表'!$E120,服务费底表!$D:$D,0))</f>
        <v>A034</v>
      </c>
      <c r="H120" s="183" t="str">
        <f>INDEX(服务费底表!L:L,MATCH('SOW-ERP导入表'!$E120,服务费底表!$D:$D,0))</f>
        <v>常规监查访视</v>
      </c>
      <c r="I120" s="173" t="str">
        <f>INDEX(服务费底表!$T:$T,MATCH('SOW-ERP导入表'!$E120,服务费底表!$D:$D,0))</f>
        <v>PM</v>
      </c>
      <c r="J120" s="184">
        <f>SUMIF(服务费底表!$D:$D,E120,服务费底表!$AC:$AC)+SUMIF(注册申报底表!$D:$D,'SOW-ERP导入表'!E120,注册申报底表!$Z:$Z)</f>
        <v>104</v>
      </c>
      <c r="K120" s="173">
        <f>IFERROR(INDEX(服务费底表!$C:$C,MATCH('SOW-ERP导入表'!$E120,服务费底表!$D:$D,0)),0)+IFERROR(INDEX(注册申报底表!$C:$C,MATCH('SOW-ERP导入表'!$E120,注册申报底表!$D:$D,0)),0)</f>
        <v>52</v>
      </c>
      <c r="L120" s="185">
        <f t="shared" si="6"/>
        <v>1300</v>
      </c>
      <c r="M120" s="184">
        <f>SUMIF(服务费底表!$D:$D,E120,服务费底表!$AG:$AG)+SUMIF(注册申报底表!$D:$D,'SOW-ERP导入表'!E120,注册申报底表!$AD:$AD)</f>
        <v>67600</v>
      </c>
    </row>
    <row r="121" spans="2:13">
      <c r="B121" s="173"/>
      <c r="D121" s="173"/>
      <c r="E121" s="187" t="s">
        <v>2473</v>
      </c>
      <c r="F121" s="173" t="str">
        <f t="shared" si="7"/>
        <v>请填写</v>
      </c>
      <c r="G121" s="173" t="str">
        <f>INDEX(服务费底表!$K:$K,MATCH('SOW-ERP导入表'!$E121,服务费底表!$D:$D,0))</f>
        <v>A035</v>
      </c>
      <c r="H121" s="183" t="str">
        <f>INDEX(服务费底表!L:L,MATCH('SOW-ERP导入表'!$E121,服务费底表!$D:$D,0))</f>
        <v>计划外访视</v>
      </c>
      <c r="I121" s="173" t="str">
        <f>INDEX(服务费底表!$T:$T,MATCH('SOW-ERP导入表'!$E121,服务费底表!$D:$D,0))</f>
        <v>CRA</v>
      </c>
      <c r="J121" s="184">
        <f>SUMIF(服务费底表!$D:$D,E121,服务费底表!$AC:$AC)+SUMIF(注册申报底表!$D:$D,'SOW-ERP导入表'!E121,注册申报底表!$Z:$Z)</f>
        <v>60</v>
      </c>
      <c r="K121" s="173">
        <f>IFERROR(INDEX(服务费底表!$C:$C,MATCH('SOW-ERP导入表'!$E121,服务费底表!$D:$D,0)),0)+IFERROR(INDEX(注册申报底表!$C:$C,MATCH('SOW-ERP导入表'!$E121,注册申报底表!$D:$D,0)),0)</f>
        <v>4</v>
      </c>
      <c r="L121" s="185">
        <f t="shared" si="6"/>
        <v>5100</v>
      </c>
      <c r="M121" s="184">
        <f>SUMIF(服务费底表!$D:$D,E121,服务费底表!$AG:$AG)+SUMIF(注册申报底表!$D:$D,'SOW-ERP导入表'!E121,注册申报底表!$AD:$AD)</f>
        <v>20400</v>
      </c>
    </row>
    <row r="122" spans="2:13">
      <c r="B122" s="173"/>
      <c r="D122" s="173"/>
      <c r="E122" s="187" t="s">
        <v>2474</v>
      </c>
      <c r="F122" s="173" t="str">
        <f t="shared" si="7"/>
        <v>请填写</v>
      </c>
      <c r="G122" s="173" t="str">
        <f>INDEX(服务费底表!$K:$K,MATCH('SOW-ERP导入表'!$E122,服务费底表!$D:$D,0))</f>
        <v>A035</v>
      </c>
      <c r="H122" s="183" t="str">
        <f>INDEX(服务费底表!L:L,MATCH('SOW-ERP导入表'!$E122,服务费底表!$D:$D,0))</f>
        <v>计划外访视</v>
      </c>
      <c r="I122" s="173" t="str">
        <f>INDEX(服务费底表!$T:$T,MATCH('SOW-ERP导入表'!$E122,服务费底表!$D:$D,0))</f>
        <v>PM</v>
      </c>
      <c r="J122" s="184">
        <f>SUMIF(服务费底表!$D:$D,E122,服务费底表!$AC:$AC)+SUMIF(注册申报底表!$D:$D,'SOW-ERP导入表'!E122,注册申报底表!$Z:$Z)</f>
        <v>8</v>
      </c>
      <c r="K122" s="173">
        <f>IFERROR(INDEX(服务费底表!$C:$C,MATCH('SOW-ERP导入表'!$E122,服务费底表!$D:$D,0)),0)+IFERROR(INDEX(注册申报底表!$C:$C,MATCH('SOW-ERP导入表'!$E122,注册申报底表!$D:$D,0)),0)</f>
        <v>4</v>
      </c>
      <c r="L122" s="185">
        <f t="shared" si="6"/>
        <v>1300</v>
      </c>
      <c r="M122" s="184">
        <f>SUMIF(服务费底表!$D:$D,E122,服务费底表!$AG:$AG)+SUMIF(注册申报底表!$D:$D,'SOW-ERP导入表'!E122,注册申报底表!$AD:$AD)</f>
        <v>5200</v>
      </c>
    </row>
    <row r="123" spans="2:13">
      <c r="B123" s="173"/>
      <c r="D123" s="173"/>
      <c r="E123" s="187" t="s">
        <v>2475</v>
      </c>
      <c r="F123" s="173" t="str">
        <f t="shared" si="7"/>
        <v>请填写</v>
      </c>
      <c r="G123" s="173" t="str">
        <f>INDEX(服务费底表!$K:$K,MATCH('SOW-ERP导入表'!$E123,服务费底表!$D:$D,0))</f>
        <v>A036</v>
      </c>
      <c r="H123" s="183" t="str">
        <f>INDEX(服务费底表!L:L,MATCH('SOW-ERP导入表'!$E123,服务费底表!$D:$D,0))</f>
        <v>协同访视</v>
      </c>
      <c r="I123" s="173" t="str">
        <f>INDEX(服务费底表!$T:$T,MATCH('SOW-ERP导入表'!$E123,服务费底表!$D:$D,0))</f>
        <v>PM</v>
      </c>
      <c r="J123" s="184">
        <f>SUMIF(服务费底表!$D:$D,E123,服务费底表!$AC:$AC)+SUMIF(注册申报底表!$D:$D,'SOW-ERP导入表'!E123,注册申报底表!$Z:$Z)</f>
        <v>30</v>
      </c>
      <c r="K123" s="173">
        <f>IFERROR(INDEX(服务费底表!$C:$C,MATCH('SOW-ERP导入表'!$E123,服务费底表!$D:$D,0)),0)+IFERROR(INDEX(注册申报底表!$C:$C,MATCH('SOW-ERP导入表'!$E123,注册申报底表!$D:$D,0)),0)</f>
        <v>2</v>
      </c>
      <c r="L123" s="185">
        <f t="shared" si="6"/>
        <v>9750</v>
      </c>
      <c r="M123" s="184">
        <f>SUMIF(服务费底表!$D:$D,E123,服务费底表!$AG:$AG)+SUMIF(注册申报底表!$D:$D,'SOW-ERP导入表'!E123,注册申报底表!$AD:$AD)</f>
        <v>19500</v>
      </c>
    </row>
    <row r="124" spans="2:13">
      <c r="B124" s="173"/>
      <c r="D124" s="173"/>
      <c r="E124" s="187" t="s">
        <v>2476</v>
      </c>
      <c r="F124" s="173" t="str">
        <f t="shared" si="7"/>
        <v>请填写</v>
      </c>
      <c r="G124" s="173" t="str">
        <f>INDEX(服务费底表!$K:$K,MATCH('SOW-ERP导入表'!$E124,服务费底表!$D:$D,0))</f>
        <v>A036</v>
      </c>
      <c r="H124" s="183" t="str">
        <f>INDEX(服务费底表!L:L,MATCH('SOW-ERP导入表'!$E124,服务费底表!$D:$D,0))</f>
        <v>协同访视</v>
      </c>
      <c r="I124" s="173" t="str">
        <f>INDEX(服务费底表!$T:$T,MATCH('SOW-ERP导入表'!$E124,服务费底表!$D:$D,0))</f>
        <v>PMD</v>
      </c>
      <c r="J124" s="184">
        <f>SUMIF(服务费底表!$D:$D,E124,服务费底表!$AC:$AC)+SUMIF(注册申报底表!$D:$D,'SOW-ERP导入表'!E124,注册申报底表!$Z:$Z)</f>
        <v>4</v>
      </c>
      <c r="K124" s="173">
        <f>IFERROR(INDEX(服务费底表!$C:$C,MATCH('SOW-ERP导入表'!$E124,服务费底表!$D:$D,0)),0)+IFERROR(INDEX(注册申报底表!$C:$C,MATCH('SOW-ERP导入表'!$E124,注册申报底表!$D:$D,0)),0)</f>
        <v>2</v>
      </c>
      <c r="L124" s="185">
        <f t="shared" si="6"/>
        <v>1600</v>
      </c>
      <c r="M124" s="184">
        <f>SUMIF(服务费底表!$D:$D,E124,服务费底表!$AG:$AG)+SUMIF(注册申报底表!$D:$D,'SOW-ERP导入表'!E124,注册申报底表!$AD:$AD)</f>
        <v>3200</v>
      </c>
    </row>
    <row r="125" spans="2:13">
      <c r="B125" s="173"/>
      <c r="D125" s="173"/>
      <c r="E125" s="187" t="s">
        <v>2477</v>
      </c>
      <c r="F125" s="173" t="str">
        <f t="shared" si="7"/>
        <v>请填写</v>
      </c>
      <c r="G125" s="173" t="str">
        <f>INDEX(服务费底表!$K:$K,MATCH('SOW-ERP导入表'!$E125,服务费底表!$D:$D,0))</f>
        <v>A037</v>
      </c>
      <c r="H125" s="183" t="str">
        <f>INDEX(服务费底表!L:L,MATCH('SOW-ERP导入表'!$E125,服务费底表!$D:$D,0))</f>
        <v>远程访视/电话访视</v>
      </c>
      <c r="I125" s="173" t="str">
        <f>INDEX(服务费底表!$T:$T,MATCH('SOW-ERP导入表'!$E125,服务费底表!$D:$D,0))</f>
        <v>CRA</v>
      </c>
      <c r="J125" s="184">
        <f>SUMIF(服务费底表!$D:$D,E125,服务费底表!$AC:$AC)+SUMIF(注册申报底表!$D:$D,'SOW-ERP导入表'!E125,注册申报底表!$Z:$Z)</f>
        <v>0</v>
      </c>
      <c r="K125" s="173">
        <f>IFERROR(INDEX(服务费底表!$C:$C,MATCH('SOW-ERP导入表'!$E125,服务费底表!$D:$D,0)),0)+IFERROR(INDEX(注册申报底表!$C:$C,MATCH('SOW-ERP导入表'!$E125,注册申报底表!$D:$D,0)),0)</f>
        <v>0</v>
      </c>
      <c r="L125" s="185">
        <f t="shared" si="6"/>
        <v>0</v>
      </c>
      <c r="M125" s="184">
        <f>SUMIF(服务费底表!$D:$D,E125,服务费底表!$AG:$AG)+SUMIF(注册申报底表!$D:$D,'SOW-ERP导入表'!E125,注册申报底表!$AD:$AD)</f>
        <v>0</v>
      </c>
    </row>
    <row r="126" spans="2:13">
      <c r="B126" s="173"/>
      <c r="D126" s="173"/>
      <c r="E126" s="187" t="s">
        <v>2478</v>
      </c>
      <c r="F126" s="173" t="str">
        <f t="shared" si="7"/>
        <v>请填写</v>
      </c>
      <c r="G126" s="173" t="str">
        <f>INDEX(服务费底表!$K:$K,MATCH('SOW-ERP导入表'!$E126,服务费底表!$D:$D,0))</f>
        <v>A037</v>
      </c>
      <c r="H126" s="183" t="str">
        <f>INDEX(服务费底表!L:L,MATCH('SOW-ERP导入表'!$E126,服务费底表!$D:$D,0))</f>
        <v>远程访视/电话访视</v>
      </c>
      <c r="I126" s="173" t="str">
        <f>INDEX(服务费底表!$T:$T,MATCH('SOW-ERP导入表'!$E126,服务费底表!$D:$D,0))</f>
        <v>PM</v>
      </c>
      <c r="J126" s="184">
        <f>SUMIF(服务费底表!$D:$D,E126,服务费底表!$AC:$AC)+SUMIF(注册申报底表!$D:$D,'SOW-ERP导入表'!E126,注册申报底表!$Z:$Z)</f>
        <v>0</v>
      </c>
      <c r="K126" s="173">
        <f>IFERROR(INDEX(服务费底表!$C:$C,MATCH('SOW-ERP导入表'!$E126,服务费底表!$D:$D,0)),0)+IFERROR(INDEX(注册申报底表!$C:$C,MATCH('SOW-ERP导入表'!$E126,注册申报底表!$D:$D,0)),0)</f>
        <v>0</v>
      </c>
      <c r="L126" s="185">
        <f t="shared" si="6"/>
        <v>0</v>
      </c>
      <c r="M126" s="184">
        <f>SUMIF(服务费底表!$D:$D,E126,服务费底表!$AG:$AG)+SUMIF(注册申报底表!$D:$D,'SOW-ERP导入表'!E126,注册申报底表!$AD:$AD)</f>
        <v>0</v>
      </c>
    </row>
    <row r="127" spans="2:13">
      <c r="B127" s="173"/>
      <c r="D127" s="173"/>
      <c r="E127" s="187" t="s">
        <v>2479</v>
      </c>
      <c r="F127" s="173" t="str">
        <f t="shared" si="7"/>
        <v>请填写</v>
      </c>
      <c r="G127" s="173" t="str">
        <f>INDEX(服务费底表!$K:$K,MATCH('SOW-ERP导入表'!$E127,服务费底表!$D:$D,0))</f>
        <v>A038</v>
      </c>
      <c r="H127" s="183" t="str">
        <f>INDEX(服务费底表!L:L,MATCH('SOW-ERP导入表'!$E127,服务费底表!$D:$D,0))</f>
        <v>质控访视</v>
      </c>
      <c r="I127" s="173" t="str">
        <f>INDEX(服务费底表!$T:$T,MATCH('SOW-ERP导入表'!$E127,服务费底表!$D:$D,0))</f>
        <v>QCM</v>
      </c>
      <c r="J127" s="184">
        <f>SUMIF(服务费底表!$D:$D,E127,服务费底表!$AC:$AC)+SUMIF(注册申报底表!$D:$D,'SOW-ERP导入表'!E127,注册申报底表!$Z:$Z)</f>
        <v>46</v>
      </c>
      <c r="K127" s="173">
        <f>IFERROR(INDEX(服务费底表!$C:$C,MATCH('SOW-ERP导入表'!$E127,服务费底表!$D:$D,0)),0)+IFERROR(INDEX(注册申报底表!$C:$C,MATCH('SOW-ERP导入表'!$E127,注册申报底表!$D:$D,0)),0)</f>
        <v>2</v>
      </c>
      <c r="L127" s="185">
        <f t="shared" si="6"/>
        <v>13800</v>
      </c>
      <c r="M127" s="184">
        <f>SUMIF(服务费底表!$D:$D,E127,服务费底表!$AG:$AG)+SUMIF(注册申报底表!$D:$D,'SOW-ERP导入表'!E127,注册申报底表!$AD:$AD)</f>
        <v>27600</v>
      </c>
    </row>
    <row r="128" spans="2:13">
      <c r="B128" s="173"/>
      <c r="D128" s="173"/>
      <c r="E128" s="187" t="s">
        <v>2480</v>
      </c>
      <c r="F128" s="173" t="str">
        <f t="shared" si="7"/>
        <v>请填写</v>
      </c>
      <c r="G128" s="173" t="str">
        <f>INDEX(服务费底表!$K:$K,MATCH('SOW-ERP导入表'!$E128,服务费底表!$D:$D,0))</f>
        <v>A038</v>
      </c>
      <c r="H128" s="183" t="str">
        <f>INDEX(服务费底表!L:L,MATCH('SOW-ERP导入表'!$E128,服务费底表!$D:$D,0))</f>
        <v>质控访视</v>
      </c>
      <c r="I128" s="173" t="str">
        <f>INDEX(服务费底表!$T:$T,MATCH('SOW-ERP导入表'!$E128,服务费底表!$D:$D,0))</f>
        <v>PMD</v>
      </c>
      <c r="J128" s="184">
        <f>SUMIF(服务费底表!$D:$D,E128,服务费底表!$AC:$AC)+SUMIF(注册申报底表!$D:$D,'SOW-ERP导入表'!E128,注册申报底表!$Z:$Z)</f>
        <v>4</v>
      </c>
      <c r="K128" s="173">
        <f>IFERROR(INDEX(服务费底表!$C:$C,MATCH('SOW-ERP导入表'!$E128,服务费底表!$D:$D,0)),0)+IFERROR(INDEX(注册申报底表!$C:$C,MATCH('SOW-ERP导入表'!$E128,注册申报底表!$D:$D,0)),0)</f>
        <v>2</v>
      </c>
      <c r="L128" s="185">
        <f t="shared" si="6"/>
        <v>1600</v>
      </c>
      <c r="M128" s="184">
        <f>SUMIF(服务费底表!$D:$D,E128,服务费底表!$AG:$AG)+SUMIF(注册申报底表!$D:$D,'SOW-ERP导入表'!E128,注册申报底表!$AD:$AD)</f>
        <v>3200</v>
      </c>
    </row>
    <row r="129" spans="2:13">
      <c r="B129" s="173"/>
      <c r="D129" s="173"/>
      <c r="E129" s="187" t="s">
        <v>2481</v>
      </c>
      <c r="F129" s="173" t="str">
        <f t="shared" si="7"/>
        <v>请填写</v>
      </c>
      <c r="G129" s="173" t="str">
        <f>INDEX(服务费底表!$K:$K,MATCH('SOW-ERP导入表'!$E129,服务费底表!$D:$D,0))</f>
        <v>A039</v>
      </c>
      <c r="H129" s="183" t="str">
        <f>INDEX(服务费底表!L:L,MATCH('SOW-ERP导入表'!$E129,服务费底表!$D:$D,0))</f>
        <v>稽查陪同</v>
      </c>
      <c r="I129" s="173" t="str">
        <f>INDEX(服务费底表!$T:$T,MATCH('SOW-ERP导入表'!$E129,服务费底表!$D:$D,0))</f>
        <v>CRA</v>
      </c>
      <c r="J129" s="184">
        <f>SUMIF(服务费底表!$D:$D,E129,服务费底表!$AC:$AC)+SUMIF(注册申报底表!$D:$D,'SOW-ERP导入表'!E129,注册申报底表!$Z:$Z)</f>
        <v>0</v>
      </c>
      <c r="K129" s="173">
        <f>IFERROR(INDEX(服务费底表!$C:$C,MATCH('SOW-ERP导入表'!$E129,服务费底表!$D:$D,0)),0)+IFERROR(INDEX(注册申报底表!$C:$C,MATCH('SOW-ERP导入表'!$E129,注册申报底表!$D:$D,0)),0)</f>
        <v>0</v>
      </c>
      <c r="L129" s="185">
        <f t="shared" si="6"/>
        <v>0</v>
      </c>
      <c r="M129" s="184">
        <f>SUMIF(服务费底表!$D:$D,E129,服务费底表!$AG:$AG)+SUMIF(注册申报底表!$D:$D,'SOW-ERP导入表'!E129,注册申报底表!$AD:$AD)</f>
        <v>0</v>
      </c>
    </row>
    <row r="130" spans="2:13">
      <c r="B130" s="173"/>
      <c r="D130" s="173"/>
      <c r="E130" s="187" t="s">
        <v>2482</v>
      </c>
      <c r="F130" s="173" t="str">
        <f t="shared" si="7"/>
        <v>请填写</v>
      </c>
      <c r="G130" s="173" t="str">
        <f>INDEX(服务费底表!$K:$K,MATCH('SOW-ERP导入表'!$E130,服务费底表!$D:$D,0))</f>
        <v>A039</v>
      </c>
      <c r="H130" s="183" t="str">
        <f>INDEX(服务费底表!L:L,MATCH('SOW-ERP导入表'!$E130,服务费底表!$D:$D,0))</f>
        <v>稽查陪同</v>
      </c>
      <c r="I130" s="173" t="str">
        <f>INDEX(服务费底表!$T:$T,MATCH('SOW-ERP导入表'!$E130,服务费底表!$D:$D,0))</f>
        <v>PM</v>
      </c>
      <c r="J130" s="184">
        <f>SUMIF(服务费底表!$D:$D,E130,服务费底表!$AC:$AC)+SUMIF(注册申报底表!$D:$D,'SOW-ERP导入表'!E130,注册申报底表!$Z:$Z)</f>
        <v>0</v>
      </c>
      <c r="K130" s="173">
        <f>IFERROR(INDEX(服务费底表!$C:$C,MATCH('SOW-ERP导入表'!$E130,服务费底表!$D:$D,0)),0)+IFERROR(INDEX(注册申报底表!$C:$C,MATCH('SOW-ERP导入表'!$E130,注册申报底表!$D:$D,0)),0)</f>
        <v>0</v>
      </c>
      <c r="L130" s="185">
        <f t="shared" si="6"/>
        <v>0</v>
      </c>
      <c r="M130" s="184">
        <f>SUMIF(服务费底表!$D:$D,E130,服务费底表!$AG:$AG)+SUMIF(注册申报底表!$D:$D,'SOW-ERP导入表'!E130,注册申报底表!$AD:$AD)</f>
        <v>0</v>
      </c>
    </row>
    <row r="131" spans="2:13">
      <c r="B131" s="173"/>
      <c r="D131" s="173"/>
      <c r="E131" s="187" t="s">
        <v>2483</v>
      </c>
      <c r="F131" s="173" t="str">
        <f t="shared" si="7"/>
        <v>请填写</v>
      </c>
      <c r="G131" s="173" t="str">
        <f>INDEX(服务费底表!$K:$K,MATCH('SOW-ERP导入表'!$E131,服务费底表!$D:$D,0))</f>
        <v>A040</v>
      </c>
      <c r="H131" s="183" t="str">
        <f>INDEX(服务费底表!L:L,MATCH('SOW-ERP导入表'!$E131,服务费底表!$D:$D,0))</f>
        <v>中心安全性报告管理</v>
      </c>
      <c r="I131" s="173" t="str">
        <f>INDEX(服务费底表!$T:$T,MATCH('SOW-ERP导入表'!$E131,服务费底表!$D:$D,0))</f>
        <v>CRA</v>
      </c>
      <c r="J131" s="184">
        <f>SUMIF(服务费底表!$D:$D,E131,服务费底表!$AC:$AC)+SUMIF(注册申报底表!$D:$D,'SOW-ERP导入表'!E131,注册申报底表!$Z:$Z)</f>
        <v>36</v>
      </c>
      <c r="K131" s="173">
        <f>IFERROR(INDEX(服务费底表!$C:$C,MATCH('SOW-ERP导入表'!$E131,服务费底表!$D:$D,0)),0)+IFERROR(INDEX(注册申报底表!$C:$C,MATCH('SOW-ERP导入表'!$E131,注册申报底表!$D:$D,0)),0)</f>
        <v>9</v>
      </c>
      <c r="L131" s="185">
        <f t="shared" si="6"/>
        <v>1360</v>
      </c>
      <c r="M131" s="184">
        <f>SUMIF(服务费底表!$D:$D,E131,服务费底表!$AG:$AG)+SUMIF(注册申报底表!$D:$D,'SOW-ERP导入表'!E131,注册申报底表!$AD:$AD)</f>
        <v>12240</v>
      </c>
    </row>
    <row r="132" spans="2:13">
      <c r="B132" s="173"/>
      <c r="D132" s="173"/>
      <c r="E132" s="187" t="s">
        <v>2484</v>
      </c>
      <c r="F132" s="173" t="str">
        <f t="shared" si="7"/>
        <v>请填写</v>
      </c>
      <c r="G132" s="173" t="str">
        <f>INDEX(服务费底表!$K:$K,MATCH('SOW-ERP导入表'!$E132,服务费底表!$D:$D,0))</f>
        <v>A040</v>
      </c>
      <c r="H132" s="183" t="str">
        <f>INDEX(服务费底表!L:L,MATCH('SOW-ERP导入表'!$E132,服务费底表!$D:$D,0))</f>
        <v>中心安全性报告管理</v>
      </c>
      <c r="I132" s="173" t="str">
        <f>INDEX(服务费底表!$T:$T,MATCH('SOW-ERP导入表'!$E132,服务费底表!$D:$D,0))</f>
        <v>PM</v>
      </c>
      <c r="J132" s="184">
        <f>SUMIF(服务费底表!$D:$D,E132,服务费底表!$AC:$AC)+SUMIF(注册申报底表!$D:$D,'SOW-ERP导入表'!E132,注册申报底表!$Z:$Z)</f>
        <v>9</v>
      </c>
      <c r="K132" s="173">
        <f>IFERROR(INDEX(服务费底表!$C:$C,MATCH('SOW-ERP导入表'!$E132,服务费底表!$D:$D,0)),0)+IFERROR(INDEX(注册申报底表!$C:$C,MATCH('SOW-ERP导入表'!$E132,注册申报底表!$D:$D,0)),0)</f>
        <v>9</v>
      </c>
      <c r="L132" s="185">
        <f t="shared" si="6"/>
        <v>650</v>
      </c>
      <c r="M132" s="184">
        <f>SUMIF(服务费底表!$D:$D,E132,服务费底表!$AG:$AG)+SUMIF(注册申报底表!$D:$D,'SOW-ERP导入表'!E132,注册申报底表!$AD:$AD)</f>
        <v>5850</v>
      </c>
    </row>
    <row r="133" spans="2:13">
      <c r="B133" s="173"/>
      <c r="D133" s="173"/>
      <c r="E133" s="187" t="s">
        <v>2485</v>
      </c>
      <c r="F133" s="173" t="str">
        <f t="shared" si="7"/>
        <v>请填写</v>
      </c>
      <c r="G133" s="173" t="str">
        <f>INDEX(服务费底表!$K:$K,MATCH('SOW-ERP导入表'!$E133,服务费底表!$D:$D,0))</f>
        <v>A041</v>
      </c>
      <c r="H133" s="183" t="str">
        <f>INDEX(服务费底表!L:L,MATCH('SOW-ERP导入表'!$E133,服务费底表!$D:$D,0))</f>
        <v>中心费用支付支持</v>
      </c>
      <c r="I133" s="173" t="str">
        <f>INDEX(服务费底表!$T:$T,MATCH('SOW-ERP导入表'!$E133,服务费底表!$D:$D,0))</f>
        <v>CRA</v>
      </c>
      <c r="J133" s="184">
        <f>SUMIF(服务费底表!$D:$D,E133,服务费底表!$AC:$AC)+SUMIF(注册申报底表!$D:$D,'SOW-ERP导入表'!E133,注册申报底表!$Z:$Z)</f>
        <v>32</v>
      </c>
      <c r="K133" s="173">
        <f>IFERROR(INDEX(服务费底表!$C:$C,MATCH('SOW-ERP导入表'!$E133,服务费底表!$D:$D,0)),0)+IFERROR(INDEX(注册申报底表!$C:$C,MATCH('SOW-ERP导入表'!$E133,注册申报底表!$D:$D,0)),0)</f>
        <v>16</v>
      </c>
      <c r="L133" s="185">
        <f t="shared" si="6"/>
        <v>680</v>
      </c>
      <c r="M133" s="184">
        <f>SUMIF(服务费底表!$D:$D,E133,服务费底表!$AG:$AG)+SUMIF(注册申报底表!$D:$D,'SOW-ERP导入表'!E133,注册申报底表!$AD:$AD)</f>
        <v>10880</v>
      </c>
    </row>
    <row r="134" spans="2:13">
      <c r="B134" s="173"/>
      <c r="D134" s="173"/>
      <c r="E134" s="187" t="s">
        <v>2486</v>
      </c>
      <c r="F134" s="173" t="str">
        <f t="shared" si="7"/>
        <v>请填写</v>
      </c>
      <c r="G134" s="173" t="str">
        <f>INDEX(服务费底表!$K:$K,MATCH('SOW-ERP导入表'!$E134,服务费底表!$D:$D,0))</f>
        <v>A041</v>
      </c>
      <c r="H134" s="183" t="str">
        <f>INDEX(服务费底表!L:L,MATCH('SOW-ERP导入表'!$E134,服务费底表!$D:$D,0))</f>
        <v>中心费用支付支持</v>
      </c>
      <c r="I134" s="173" t="str">
        <f>INDEX(服务费底表!$T:$T,MATCH('SOW-ERP导入表'!$E134,服务费底表!$D:$D,0))</f>
        <v>PM</v>
      </c>
      <c r="J134" s="184">
        <f>SUMIF(服务费底表!$D:$D,E134,服务费底表!$AC:$AC)+SUMIF(注册申报底表!$D:$D,'SOW-ERP导入表'!E134,注册申报底表!$Z:$Z)</f>
        <v>16</v>
      </c>
      <c r="K134" s="173">
        <f>IFERROR(INDEX(服务费底表!$C:$C,MATCH('SOW-ERP导入表'!$E134,服务费底表!$D:$D,0)),0)+IFERROR(INDEX(注册申报底表!$C:$C,MATCH('SOW-ERP导入表'!$E134,注册申报底表!$D:$D,0)),0)</f>
        <v>16</v>
      </c>
      <c r="L134" s="185">
        <f t="shared" si="6"/>
        <v>650</v>
      </c>
      <c r="M134" s="184">
        <f>SUMIF(服务费底表!$D:$D,E134,服务费底表!$AG:$AG)+SUMIF(注册申报底表!$D:$D,'SOW-ERP导入表'!E134,注册申报底表!$AD:$AD)</f>
        <v>10400</v>
      </c>
    </row>
    <row r="135" spans="2:13">
      <c r="B135" s="173"/>
      <c r="D135" s="173"/>
      <c r="E135" s="187" t="s">
        <v>2487</v>
      </c>
      <c r="F135" s="173" t="str">
        <f t="shared" si="7"/>
        <v>请填写</v>
      </c>
      <c r="G135" s="173" t="str">
        <f>INDEX(服务费底表!$K:$K,MATCH('SOW-ERP导入表'!$E135,服务费底表!$D:$D,0))</f>
        <v>A041</v>
      </c>
      <c r="H135" s="183" t="str">
        <f>INDEX(服务费底表!L:L,MATCH('SOW-ERP导入表'!$E135,服务费底表!$D:$D,0))</f>
        <v>中心费用支付支持</v>
      </c>
      <c r="I135" s="173" t="str">
        <f>INDEX(服务费底表!$T:$T,MATCH('SOW-ERP导入表'!$E135,服务费底表!$D:$D,0))</f>
        <v>CTA</v>
      </c>
      <c r="J135" s="184">
        <f>SUMIF(服务费底表!$D:$D,E135,服务费底表!$AC:$AC)+SUMIF(注册申报底表!$D:$D,'SOW-ERP导入表'!E135,注册申报底表!$Z:$Z)</f>
        <v>32</v>
      </c>
      <c r="K135" s="173">
        <f>IFERROR(INDEX(服务费底表!$C:$C,MATCH('SOW-ERP导入表'!$E135,服务费底表!$D:$D,0)),0)+IFERROR(INDEX(注册申报底表!$C:$C,MATCH('SOW-ERP导入表'!$E135,注册申报底表!$D:$D,0)),0)</f>
        <v>16</v>
      </c>
      <c r="L135" s="185">
        <f t="shared" ref="L135:L198" si="9">IFERROR(M135/K135,0)</f>
        <v>440</v>
      </c>
      <c r="M135" s="184">
        <f>SUMIF(服务费底表!$D:$D,E135,服务费底表!$AG:$AG)+SUMIF(注册申报底表!$D:$D,'SOW-ERP导入表'!E135,注册申报底表!$AD:$AD)</f>
        <v>7040</v>
      </c>
    </row>
    <row r="136" spans="2:13">
      <c r="B136" s="173"/>
      <c r="D136" s="173"/>
      <c r="E136" s="187" t="s">
        <v>2488</v>
      </c>
      <c r="F136" s="173" t="str">
        <f t="shared" si="7"/>
        <v>请填写</v>
      </c>
      <c r="G136" s="173" t="str">
        <f>INDEX(服务费底表!$K:$K,MATCH('SOW-ERP导入表'!$E136,服务费底表!$D:$D,0))</f>
        <v>A042</v>
      </c>
      <c r="H136" s="183" t="str">
        <f>INDEX(服务费底表!L:L,MATCH('SOW-ERP导入表'!$E136,服务费底表!$D:$D,0))</f>
        <v>研究简报撰写</v>
      </c>
      <c r="I136" s="173" t="str">
        <f>INDEX(服务费底表!$T:$T,MATCH('SOW-ERP导入表'!$E136,服务费底表!$D:$D,0))</f>
        <v>CRA</v>
      </c>
      <c r="J136" s="184">
        <f>SUMIF(服务费底表!$D:$D,E136,服务费底表!$AC:$AC)+SUMIF(注册申报底表!$D:$D,'SOW-ERP导入表'!E136,注册申报底表!$Z:$Z)</f>
        <v>20</v>
      </c>
      <c r="K136" s="173">
        <f>IFERROR(INDEX(服务费底表!$C:$C,MATCH('SOW-ERP导入表'!$E136,服务费底表!$D:$D,0)),0)+IFERROR(INDEX(注册申报底表!$C:$C,MATCH('SOW-ERP导入表'!$E136,注册申报底表!$D:$D,0)),0)</f>
        <v>10</v>
      </c>
      <c r="L136" s="185">
        <f t="shared" si="9"/>
        <v>680</v>
      </c>
      <c r="M136" s="184">
        <f>SUMIF(服务费底表!$D:$D,E136,服务费底表!$AG:$AG)+SUMIF(注册申报底表!$D:$D,'SOW-ERP导入表'!E136,注册申报底表!$AD:$AD)</f>
        <v>6800</v>
      </c>
    </row>
    <row r="137" spans="2:13">
      <c r="B137" s="173"/>
      <c r="D137" s="173"/>
      <c r="E137" s="187" t="s">
        <v>2489</v>
      </c>
      <c r="F137" s="173" t="str">
        <f t="shared" si="7"/>
        <v>请填写</v>
      </c>
      <c r="G137" s="173" t="str">
        <f>INDEX(服务费底表!$K:$K,MATCH('SOW-ERP导入表'!$E137,服务费底表!$D:$D,0))</f>
        <v>A042</v>
      </c>
      <c r="H137" s="183" t="str">
        <f>INDEX(服务费底表!L:L,MATCH('SOW-ERP导入表'!$E137,服务费底表!$D:$D,0))</f>
        <v>研究简报撰写</v>
      </c>
      <c r="I137" s="173" t="str">
        <f>INDEX(服务费底表!$T:$T,MATCH('SOW-ERP导入表'!$E137,服务费底表!$D:$D,0))</f>
        <v>PM</v>
      </c>
      <c r="J137" s="184">
        <f>SUMIF(服务费底表!$D:$D,E137,服务费底表!$AC:$AC)+SUMIF(注册申报底表!$D:$D,'SOW-ERP导入表'!E137,注册申报底表!$Z:$Z)</f>
        <v>40</v>
      </c>
      <c r="K137" s="173">
        <f>IFERROR(INDEX(服务费底表!$C:$C,MATCH('SOW-ERP导入表'!$E137,服务费底表!$D:$D,0)),0)+IFERROR(INDEX(注册申报底表!$C:$C,MATCH('SOW-ERP导入表'!$E137,注册申报底表!$D:$D,0)),0)</f>
        <v>10</v>
      </c>
      <c r="L137" s="185">
        <f t="shared" si="9"/>
        <v>2600</v>
      </c>
      <c r="M137" s="184">
        <f>SUMIF(服务费底表!$D:$D,E137,服务费底表!$AG:$AG)+SUMIF(注册申报底表!$D:$D,'SOW-ERP导入表'!E137,注册申报底表!$AD:$AD)</f>
        <v>26000</v>
      </c>
    </row>
    <row r="138" spans="2:13">
      <c r="B138" s="173"/>
      <c r="D138" s="173"/>
      <c r="E138" s="187" t="s">
        <v>2490</v>
      </c>
      <c r="F138" s="173" t="str">
        <f t="shared" si="7"/>
        <v>请填写</v>
      </c>
      <c r="G138" s="173" t="str">
        <f>INDEX(服务费底表!$K:$K,MATCH('SOW-ERP导入表'!$E138,服务费底表!$D:$D,0))</f>
        <v>A043</v>
      </c>
      <c r="H138" s="183" t="str">
        <f>INDEX(服务费底表!L:L,MATCH('SOW-ERP导入表'!$E138,服务费底表!$D:$D,0))</f>
        <v>研究药品申请管理</v>
      </c>
      <c r="I138" s="173" t="str">
        <f>INDEX(服务费底表!$T:$T,MATCH('SOW-ERP导入表'!$E138,服务费底表!$D:$D,0))</f>
        <v>CRA</v>
      </c>
      <c r="J138" s="184">
        <f>SUMIF(服务费底表!$D:$D,E138,服务费底表!$AC:$AC)+SUMIF(注册申报底表!$D:$D,'SOW-ERP导入表'!E138,注册申报底表!$Z:$Z)</f>
        <v>28</v>
      </c>
      <c r="K138" s="173">
        <f>IFERROR(INDEX(服务费底表!$C:$C,MATCH('SOW-ERP导入表'!$E138,服务费底表!$D:$D,0)),0)+IFERROR(INDEX(注册申报底表!$C:$C,MATCH('SOW-ERP导入表'!$E138,注册申报底表!$D:$D,0)),0)</f>
        <v>28</v>
      </c>
      <c r="L138" s="185">
        <f t="shared" si="9"/>
        <v>340</v>
      </c>
      <c r="M138" s="184">
        <f>SUMIF(服务费底表!$D:$D,E138,服务费底表!$AG:$AG)+SUMIF(注册申报底表!$D:$D,'SOW-ERP导入表'!E138,注册申报底表!$AD:$AD)</f>
        <v>9520</v>
      </c>
    </row>
    <row r="139" spans="2:13">
      <c r="B139" s="173"/>
      <c r="D139" s="173"/>
      <c r="E139" s="187" t="s">
        <v>2491</v>
      </c>
      <c r="F139" s="173" t="str">
        <f t="shared" si="7"/>
        <v>请填写</v>
      </c>
      <c r="G139" s="173" t="str">
        <f>INDEX(服务费底表!$K:$K,MATCH('SOW-ERP导入表'!$E139,服务费底表!$D:$D,0))</f>
        <v>A043</v>
      </c>
      <c r="H139" s="183" t="str">
        <f>INDEX(服务费底表!L:L,MATCH('SOW-ERP导入表'!$E139,服务费底表!$D:$D,0))</f>
        <v>研究药品申请管理</v>
      </c>
      <c r="I139" s="173" t="str">
        <f>INDEX(服务费底表!$T:$T,MATCH('SOW-ERP导入表'!$E139,服务费底表!$D:$D,0))</f>
        <v>PM</v>
      </c>
      <c r="J139" s="184">
        <f>SUMIF(服务费底表!$D:$D,E139,服务费底表!$AC:$AC)+SUMIF(注册申报底表!$D:$D,'SOW-ERP导入表'!E139,注册申报底表!$Z:$Z)</f>
        <v>14</v>
      </c>
      <c r="K139" s="173">
        <f>IFERROR(INDEX(服务费底表!$C:$C,MATCH('SOW-ERP导入表'!$E139,服务费底表!$D:$D,0)),0)+IFERROR(INDEX(注册申报底表!$C:$C,MATCH('SOW-ERP导入表'!$E139,注册申报底表!$D:$D,0)),0)</f>
        <v>28</v>
      </c>
      <c r="L139" s="185">
        <f t="shared" si="9"/>
        <v>325</v>
      </c>
      <c r="M139" s="184">
        <f>SUMIF(服务费底表!$D:$D,E139,服务费底表!$AG:$AG)+SUMIF(注册申报底表!$D:$D,'SOW-ERP导入表'!E139,注册申报底表!$AD:$AD)</f>
        <v>9100</v>
      </c>
    </row>
    <row r="140" spans="2:13">
      <c r="B140" s="173"/>
      <c r="D140" s="173"/>
      <c r="E140" s="187" t="s">
        <v>2492</v>
      </c>
      <c r="F140" s="173" t="str">
        <f t="shared" ref="F140:F203" si="10">$F$2</f>
        <v>请填写</v>
      </c>
      <c r="G140" s="173" t="str">
        <f>INDEX(服务费底表!$K:$K,MATCH('SOW-ERP导入表'!$E140,服务费底表!$D:$D,0))</f>
        <v>A044</v>
      </c>
      <c r="H140" s="183" t="str">
        <f>INDEX(服务费底表!L:L,MATCH('SOW-ERP导入表'!$E140,服务费底表!$D:$D,0))</f>
        <v>研究物资申请和采购管理</v>
      </c>
      <c r="I140" s="173" t="str">
        <f>INDEX(服务费底表!$T:$T,MATCH('SOW-ERP导入表'!$E140,服务费底表!$D:$D,0))</f>
        <v>CRA</v>
      </c>
      <c r="J140" s="184">
        <f>SUMIF(服务费底表!$D:$D,E140,服务费底表!$AC:$AC)+SUMIF(注册申报底表!$D:$D,'SOW-ERP导入表'!E140,注册申报底表!$Z:$Z)</f>
        <v>9</v>
      </c>
      <c r="K140" s="173">
        <f>IFERROR(INDEX(服务费底表!$C:$C,MATCH('SOW-ERP导入表'!$E140,服务费底表!$D:$D,0)),0)+IFERROR(INDEX(注册申报底表!$C:$C,MATCH('SOW-ERP导入表'!$E140,注册申报底表!$D:$D,0)),0)</f>
        <v>9</v>
      </c>
      <c r="L140" s="185">
        <f t="shared" si="9"/>
        <v>340</v>
      </c>
      <c r="M140" s="184">
        <f>SUMIF(服务费底表!$D:$D,E140,服务费底表!$AG:$AG)+SUMIF(注册申报底表!$D:$D,'SOW-ERP导入表'!E140,注册申报底表!$AD:$AD)</f>
        <v>3060</v>
      </c>
    </row>
    <row r="141" spans="2:13">
      <c r="B141" s="173"/>
      <c r="D141" s="173"/>
      <c r="E141" s="187" t="s">
        <v>2493</v>
      </c>
      <c r="F141" s="173" t="str">
        <f t="shared" si="10"/>
        <v>请填写</v>
      </c>
      <c r="G141" s="173" t="str">
        <f>INDEX(服务费底表!$K:$K,MATCH('SOW-ERP导入表'!$E141,服务费底表!$D:$D,0))</f>
        <v>A044</v>
      </c>
      <c r="H141" s="183" t="str">
        <f>INDEX(服务费底表!L:L,MATCH('SOW-ERP导入表'!$E141,服务费底表!$D:$D,0))</f>
        <v>研究物资申请和采购管理</v>
      </c>
      <c r="I141" s="173" t="str">
        <f>INDEX(服务费底表!$T:$T,MATCH('SOW-ERP导入表'!$E141,服务费底表!$D:$D,0))</f>
        <v>PM</v>
      </c>
      <c r="J141" s="184">
        <f>SUMIF(服务费底表!$D:$D,E141,服务费底表!$AC:$AC)+SUMIF(注册申报底表!$D:$D,'SOW-ERP导入表'!E141,注册申报底表!$Z:$Z)</f>
        <v>4.5</v>
      </c>
      <c r="K141" s="173">
        <f>IFERROR(INDEX(服务费底表!$C:$C,MATCH('SOW-ERP导入表'!$E141,服务费底表!$D:$D,0)),0)+IFERROR(INDEX(注册申报底表!$C:$C,MATCH('SOW-ERP导入表'!$E141,注册申报底表!$D:$D,0)),0)</f>
        <v>9</v>
      </c>
      <c r="L141" s="185">
        <f t="shared" si="9"/>
        <v>325</v>
      </c>
      <c r="M141" s="184">
        <f>SUMIF(服务费底表!$D:$D,E141,服务费底表!$AG:$AG)+SUMIF(注册申报底表!$D:$D,'SOW-ERP导入表'!E141,注册申报底表!$AD:$AD)</f>
        <v>2925</v>
      </c>
    </row>
    <row r="142" spans="2:13">
      <c r="B142" s="173"/>
      <c r="D142" s="173"/>
      <c r="E142" s="187" t="s">
        <v>2494</v>
      </c>
      <c r="F142" s="173" t="str">
        <f t="shared" si="10"/>
        <v>请填写</v>
      </c>
      <c r="G142" s="173" t="str">
        <f>INDEX(服务费底表!$K:$K,MATCH('SOW-ERP导入表'!$E142,服务费底表!$D:$D,0))</f>
        <v>A045</v>
      </c>
      <c r="H142" s="183" t="str">
        <f>INDEX(服务费底表!L:L,MATCH('SOW-ERP导入表'!$E142,服务费底表!$D:$D,0))</f>
        <v>后续伦理文件准备和递交</v>
      </c>
      <c r="I142" s="173" t="str">
        <f>INDEX(服务费底表!$T:$T,MATCH('SOW-ERP导入表'!$E142,服务费底表!$D:$D,0))</f>
        <v>CRA</v>
      </c>
      <c r="J142" s="184">
        <f>SUMIF(服务费底表!$D:$D,E142,服务费底表!$AC:$AC)+SUMIF(注册申报底表!$D:$D,'SOW-ERP导入表'!E142,注册申报底表!$Z:$Z)</f>
        <v>0</v>
      </c>
      <c r="K142" s="173">
        <f>IFERROR(INDEX(服务费底表!$C:$C,MATCH('SOW-ERP导入表'!$E142,服务费底表!$D:$D,0)),0)+IFERROR(INDEX(注册申报底表!$C:$C,MATCH('SOW-ERP导入表'!$E142,注册申报底表!$D:$D,0)),0)</f>
        <v>0</v>
      </c>
      <c r="L142" s="185">
        <f t="shared" si="9"/>
        <v>0</v>
      </c>
      <c r="M142" s="184">
        <f>SUMIF(服务费底表!$D:$D,E142,服务费底表!$AG:$AG)+SUMIF(注册申报底表!$D:$D,'SOW-ERP导入表'!E142,注册申报底表!$AD:$AD)</f>
        <v>0</v>
      </c>
    </row>
    <row r="143" spans="2:13">
      <c r="B143" s="173"/>
      <c r="D143" s="173"/>
      <c r="E143" s="187" t="s">
        <v>2495</v>
      </c>
      <c r="F143" s="173" t="str">
        <f t="shared" si="10"/>
        <v>请填写</v>
      </c>
      <c r="G143" s="173" t="str">
        <f>INDEX(服务费底表!$K:$K,MATCH('SOW-ERP导入表'!$E143,服务费底表!$D:$D,0))</f>
        <v>A045</v>
      </c>
      <c r="H143" s="183" t="str">
        <f>INDEX(服务费底表!L:L,MATCH('SOW-ERP导入表'!$E143,服务费底表!$D:$D,0))</f>
        <v>后续伦理文件准备和递交</v>
      </c>
      <c r="I143" s="173" t="str">
        <f>INDEX(服务费底表!$T:$T,MATCH('SOW-ERP导入表'!$E143,服务费底表!$D:$D,0))</f>
        <v>CTA</v>
      </c>
      <c r="J143" s="184">
        <f>SUMIF(服务费底表!$D:$D,E143,服务费底表!$AC:$AC)+SUMIF(注册申报底表!$D:$D,'SOW-ERP导入表'!E143,注册申报底表!$Z:$Z)</f>
        <v>0</v>
      </c>
      <c r="K143" s="173">
        <f>IFERROR(INDEX(服务费底表!$C:$C,MATCH('SOW-ERP导入表'!$E143,服务费底表!$D:$D,0)),0)+IFERROR(INDEX(注册申报底表!$C:$C,MATCH('SOW-ERP导入表'!$E143,注册申报底表!$D:$D,0)),0)</f>
        <v>0</v>
      </c>
      <c r="L143" s="185">
        <f t="shared" si="9"/>
        <v>0</v>
      </c>
      <c r="M143" s="184">
        <f>SUMIF(服务费底表!$D:$D,E143,服务费底表!$AG:$AG)+SUMIF(注册申报底表!$D:$D,'SOW-ERP导入表'!E143,注册申报底表!$AD:$AD)</f>
        <v>0</v>
      </c>
    </row>
    <row r="144" spans="2:13">
      <c r="B144" s="173"/>
      <c r="D144" s="173"/>
      <c r="E144" s="187" t="s">
        <v>2496</v>
      </c>
      <c r="F144" s="173" t="str">
        <f t="shared" si="10"/>
        <v>请填写</v>
      </c>
      <c r="G144" s="173" t="str">
        <f>INDEX(服务费底表!$K:$K,MATCH('SOW-ERP导入表'!$E144,服务费底表!$D:$D,0))</f>
        <v>A045</v>
      </c>
      <c r="H144" s="183" t="str">
        <f>INDEX(服务费底表!L:L,MATCH('SOW-ERP导入表'!$E144,服务费底表!$D:$D,0))</f>
        <v>后续伦理文件准备和递交</v>
      </c>
      <c r="I144" s="173" t="str">
        <f>INDEX(服务费底表!$T:$T,MATCH('SOW-ERP导入表'!$E144,服务费底表!$D:$D,0))</f>
        <v>PM</v>
      </c>
      <c r="J144" s="184">
        <f>SUMIF(服务费底表!$D:$D,E144,服务费底表!$AC:$AC)+SUMIF(注册申报底表!$D:$D,'SOW-ERP导入表'!E144,注册申报底表!$Z:$Z)</f>
        <v>0</v>
      </c>
      <c r="K144" s="173">
        <f>IFERROR(INDEX(服务费底表!$C:$C,MATCH('SOW-ERP导入表'!$E144,服务费底表!$D:$D,0)),0)+IFERROR(INDEX(注册申报底表!$C:$C,MATCH('SOW-ERP导入表'!$E144,注册申报底表!$D:$D,0)),0)</f>
        <v>0</v>
      </c>
      <c r="L144" s="185">
        <f t="shared" si="9"/>
        <v>0</v>
      </c>
      <c r="M144" s="184">
        <f>SUMIF(服务费底表!$D:$D,E144,服务费底表!$AG:$AG)+SUMIF(注册申报底表!$D:$D,'SOW-ERP导入表'!E144,注册申报底表!$AD:$AD)</f>
        <v>0</v>
      </c>
    </row>
    <row r="145" spans="2:13">
      <c r="B145" s="173"/>
      <c r="D145" s="173"/>
      <c r="E145" s="187" t="s">
        <v>2497</v>
      </c>
      <c r="F145" s="173" t="str">
        <f t="shared" si="10"/>
        <v>请填写</v>
      </c>
      <c r="G145" s="173" t="str">
        <f>INDEX(服务费底表!$K:$K,MATCH('SOW-ERP导入表'!$E145,服务费底表!$D:$D,0))</f>
        <v>A046</v>
      </c>
      <c r="H145" s="183" t="str">
        <f>INDEX(服务费底表!L:L,MATCH('SOW-ERP导入表'!$E145,服务费底表!$D:$D,0))</f>
        <v>伦理年度报告准备和递交</v>
      </c>
      <c r="I145" s="173" t="str">
        <f>INDEX(服务费底表!$T:$T,MATCH('SOW-ERP导入表'!$E145,服务费底表!$D:$D,0))</f>
        <v>CRA</v>
      </c>
      <c r="J145" s="184">
        <f>SUMIF(服务费底表!$D:$D,E145,服务费底表!$AC:$AC)+SUMIF(注册申报底表!$D:$D,'SOW-ERP导入表'!E145,注册申报底表!$Z:$Z)</f>
        <v>8</v>
      </c>
      <c r="K145" s="173">
        <f>IFERROR(INDEX(服务费底表!$C:$C,MATCH('SOW-ERP导入表'!$E145,服务费底表!$D:$D,0)),0)+IFERROR(INDEX(注册申报底表!$C:$C,MATCH('SOW-ERP导入表'!$E145,注册申报底表!$D:$D,0)),0)</f>
        <v>4</v>
      </c>
      <c r="L145" s="185">
        <f t="shared" si="9"/>
        <v>680</v>
      </c>
      <c r="M145" s="184">
        <f>SUMIF(服务费底表!$D:$D,E145,服务费底表!$AG:$AG)+SUMIF(注册申报底表!$D:$D,'SOW-ERP导入表'!E145,注册申报底表!$AD:$AD)</f>
        <v>2720</v>
      </c>
    </row>
    <row r="146" spans="2:13">
      <c r="B146" s="173"/>
      <c r="D146" s="173"/>
      <c r="E146" s="187" t="s">
        <v>2498</v>
      </c>
      <c r="F146" s="173" t="str">
        <f t="shared" si="10"/>
        <v>请填写</v>
      </c>
      <c r="G146" s="173" t="str">
        <f>INDEX(服务费底表!$K:$K,MATCH('SOW-ERP导入表'!$E146,服务费底表!$D:$D,0))</f>
        <v>A046</v>
      </c>
      <c r="H146" s="183" t="str">
        <f>INDEX(服务费底表!L:L,MATCH('SOW-ERP导入表'!$E146,服务费底表!$D:$D,0))</f>
        <v>伦理年度报告准备和递交</v>
      </c>
      <c r="I146" s="173" t="str">
        <f>INDEX(服务费底表!$T:$T,MATCH('SOW-ERP导入表'!$E146,服务费底表!$D:$D,0))</f>
        <v>PM</v>
      </c>
      <c r="J146" s="184">
        <f>SUMIF(服务费底表!$D:$D,E146,服务费底表!$AC:$AC)+SUMIF(注册申报底表!$D:$D,'SOW-ERP导入表'!E146,注册申报底表!$Z:$Z)</f>
        <v>2</v>
      </c>
      <c r="K146" s="173">
        <f>IFERROR(INDEX(服务费底表!$C:$C,MATCH('SOW-ERP导入表'!$E146,服务费底表!$D:$D,0)),0)+IFERROR(INDEX(注册申报底表!$C:$C,MATCH('SOW-ERP导入表'!$E146,注册申报底表!$D:$D,0)),0)</f>
        <v>4</v>
      </c>
      <c r="L146" s="185">
        <f t="shared" si="9"/>
        <v>325</v>
      </c>
      <c r="M146" s="184">
        <f>SUMIF(服务费底表!$D:$D,E146,服务费底表!$AG:$AG)+SUMIF(注册申报底表!$D:$D,'SOW-ERP导入表'!E146,注册申报底表!$AD:$AD)</f>
        <v>1300</v>
      </c>
    </row>
    <row r="147" spans="2:13">
      <c r="B147" s="173"/>
      <c r="D147" s="173"/>
      <c r="E147" s="187" t="s">
        <v>2499</v>
      </c>
      <c r="F147" s="173" t="str">
        <f t="shared" si="10"/>
        <v>请填写</v>
      </c>
      <c r="G147" s="173" t="str">
        <f>INDEX(服务费底表!$K:$K,MATCH('SOW-ERP导入表'!$E147,服务费底表!$D:$D,0))</f>
        <v>A047</v>
      </c>
      <c r="H147" s="183" t="str">
        <f>INDEX(服务费底表!L:L,MATCH('SOW-ERP导入表'!$E147,服务费底表!$D:$D,0))</f>
        <v>中心日常支持和管理</v>
      </c>
      <c r="I147" s="173" t="str">
        <f>INDEX(服务费底表!$T:$T,MATCH('SOW-ERP导入表'!$E147,服务费底表!$D:$D,0))</f>
        <v>CRA</v>
      </c>
      <c r="J147" s="184">
        <f>SUMIF(服务费底表!$D:$D,E147,服务费底表!$AC:$AC)+SUMIF(注册申报底表!$D:$D,'SOW-ERP导入表'!E147,注册申报底表!$Z:$Z)</f>
        <v>504</v>
      </c>
      <c r="K147" s="173">
        <f>IFERROR(INDEX(服务费底表!$C:$C,MATCH('SOW-ERP导入表'!$E147,服务费底表!$D:$D,0)),0)+IFERROR(INDEX(注册申报底表!$C:$C,MATCH('SOW-ERP导入表'!$E147,注册申报底表!$D:$D,0)),0)</f>
        <v>56</v>
      </c>
      <c r="L147" s="185">
        <f t="shared" si="9"/>
        <v>3060</v>
      </c>
      <c r="M147" s="184">
        <f>SUMIF(服务费底表!$D:$D,E147,服务费底表!$AG:$AG)+SUMIF(注册申报底表!$D:$D,'SOW-ERP导入表'!E147,注册申报底表!$AD:$AD)</f>
        <v>171360</v>
      </c>
    </row>
    <row r="148" spans="2:13">
      <c r="B148" s="173"/>
      <c r="D148" s="173"/>
      <c r="E148" s="187" t="s">
        <v>2500</v>
      </c>
      <c r="F148" s="173" t="str">
        <f t="shared" si="10"/>
        <v>请填写</v>
      </c>
      <c r="G148" s="173" t="e">
        <f>INDEX(服务费底表!$K:$K,MATCH('SOW-ERP导入表'!$E148,服务费底表!$D:$D,0))</f>
        <v>#N/A</v>
      </c>
      <c r="H148" s="183" t="e">
        <f>INDEX(服务费底表!L:L,MATCH('SOW-ERP导入表'!$E148,服务费底表!$D:$D,0))</f>
        <v>#N/A</v>
      </c>
      <c r="I148" s="173" t="e">
        <f>INDEX(服务费底表!$T:$T,MATCH('SOW-ERP导入表'!$E148,服务费底表!$D:$D,0))</f>
        <v>#N/A</v>
      </c>
      <c r="J148" s="184">
        <f>SUMIF(服务费底表!$D:$D,E148,服务费底表!$AC:$AC)+SUMIF(注册申报底表!$D:$D,'SOW-ERP导入表'!E148,注册申报底表!$Z:$Z)</f>
        <v>0</v>
      </c>
      <c r="K148" s="173">
        <f>IFERROR(INDEX(服务费底表!$C:$C,MATCH('SOW-ERP导入表'!$E148,服务费底表!$D:$D,0)),0)+IFERROR(INDEX(注册申报底表!$C:$C,MATCH('SOW-ERP导入表'!$E148,注册申报底表!$D:$D,0)),0)</f>
        <v>0</v>
      </c>
      <c r="L148" s="185">
        <f t="shared" si="9"/>
        <v>0</v>
      </c>
      <c r="M148" s="184">
        <f>SUMIF(服务费底表!$D:$D,E148,服务费底表!$AG:$AG)+SUMIF(注册申报底表!$D:$D,'SOW-ERP导入表'!E148,注册申报底表!$AD:$AD)</f>
        <v>0</v>
      </c>
    </row>
    <row r="149" spans="2:13">
      <c r="B149" s="173"/>
      <c r="D149" s="173"/>
      <c r="E149" s="187" t="s">
        <v>2501</v>
      </c>
      <c r="F149" s="173" t="str">
        <f t="shared" si="10"/>
        <v>请填写</v>
      </c>
      <c r="G149" s="173" t="str">
        <f>INDEX(服务费底表!$K:$K,MATCH('SOW-ERP导入表'!$E149,服务费底表!$D:$D,0))</f>
        <v>A048</v>
      </c>
      <c r="H149" s="183" t="str">
        <f>INDEX(服务费底表!L:L,MATCH('SOW-ERP导入表'!$E149,服务费底表!$D:$D,0))</f>
        <v>自查访视</v>
      </c>
      <c r="I149" s="173" t="str">
        <f>INDEX(服务费底表!$T:$T,MATCH('SOW-ERP导入表'!$E149,服务费底表!$D:$D,0))</f>
        <v>CRA</v>
      </c>
      <c r="J149" s="184">
        <f>SUMIF(服务费底表!$D:$D,E149,服务费底表!$AC:$AC)+SUMIF(注册申报底表!$D:$D,'SOW-ERP导入表'!E149,注册申报底表!$Z:$Z)</f>
        <v>92</v>
      </c>
      <c r="K149" s="173">
        <f>IFERROR(INDEX(服务费底表!$C:$C,MATCH('SOW-ERP导入表'!$E149,服务费底表!$D:$D,0)),0)+IFERROR(INDEX(注册申报底表!$C:$C,MATCH('SOW-ERP导入表'!$E149,注册申报底表!$D:$D,0)),0)</f>
        <v>4</v>
      </c>
      <c r="L149" s="185">
        <f t="shared" si="9"/>
        <v>7820</v>
      </c>
      <c r="M149" s="184">
        <f>SUMIF(服务费底表!$D:$D,E149,服务费底表!$AG:$AG)+SUMIF(注册申报底表!$D:$D,'SOW-ERP导入表'!E149,注册申报底表!$AD:$AD)</f>
        <v>31280</v>
      </c>
    </row>
    <row r="150" spans="2:13">
      <c r="B150" s="173"/>
      <c r="D150" s="173"/>
      <c r="E150" s="187" t="s">
        <v>2502</v>
      </c>
      <c r="F150" s="173" t="str">
        <f t="shared" si="10"/>
        <v>请填写</v>
      </c>
      <c r="G150" s="173" t="str">
        <f>INDEX(服务费底表!$K:$K,MATCH('SOW-ERP导入表'!$E150,服务费底表!$D:$D,0))</f>
        <v>A048</v>
      </c>
      <c r="H150" s="183" t="str">
        <f>INDEX(服务费底表!L:L,MATCH('SOW-ERP导入表'!$E150,服务费底表!$D:$D,0))</f>
        <v>自查访视</v>
      </c>
      <c r="I150" s="173" t="str">
        <f>INDEX(服务费底表!$T:$T,MATCH('SOW-ERP导入表'!$E150,服务费底表!$D:$D,0))</f>
        <v>PM</v>
      </c>
      <c r="J150" s="184">
        <f>SUMIF(服务费底表!$D:$D,E150,服务费底表!$AC:$AC)+SUMIF(注册申报底表!$D:$D,'SOW-ERP导入表'!E150,注册申报底表!$Z:$Z)</f>
        <v>8</v>
      </c>
      <c r="K150" s="173">
        <f>IFERROR(INDEX(服务费底表!$C:$C,MATCH('SOW-ERP导入表'!$E150,服务费底表!$D:$D,0)),0)+IFERROR(INDEX(注册申报底表!$C:$C,MATCH('SOW-ERP导入表'!$E150,注册申报底表!$D:$D,0)),0)</f>
        <v>4</v>
      </c>
      <c r="L150" s="185">
        <f t="shared" si="9"/>
        <v>1300</v>
      </c>
      <c r="M150" s="184">
        <f>SUMIF(服务费底表!$D:$D,E150,服务费底表!$AG:$AG)+SUMIF(注册申报底表!$D:$D,'SOW-ERP导入表'!E150,注册申报底表!$AD:$AD)</f>
        <v>5200</v>
      </c>
    </row>
    <row r="151" spans="2:13">
      <c r="B151" s="173"/>
      <c r="D151" s="173"/>
      <c r="E151" s="187" t="s">
        <v>2503</v>
      </c>
      <c r="F151" s="173" t="str">
        <f t="shared" si="10"/>
        <v>请填写</v>
      </c>
      <c r="G151" s="173" t="str">
        <f>INDEX(服务费底表!$K:$K,MATCH('SOW-ERP导入表'!$E151,服务费底表!$D:$D,0))</f>
        <v>A049</v>
      </c>
      <c r="H151" s="183" t="str">
        <f>INDEX(服务费底表!L:L,MATCH('SOW-ERP导入表'!$E151,服务费底表!$D:$D,0))</f>
        <v>数据清理访视</v>
      </c>
      <c r="I151" s="173" t="str">
        <f>INDEX(服务费底表!$T:$T,MATCH('SOW-ERP导入表'!$E151,服务费底表!$D:$D,0))</f>
        <v>CRA</v>
      </c>
      <c r="J151" s="184">
        <f>SUMIF(服务费底表!$D:$D,E151,服务费底表!$AC:$AC)+SUMIF(注册申报底表!$D:$D,'SOW-ERP导入表'!E151,注册申报底表!$Z:$Z)</f>
        <v>76</v>
      </c>
      <c r="K151" s="173">
        <f>IFERROR(INDEX(服务费底表!$C:$C,MATCH('SOW-ERP导入表'!$E151,服务费底表!$D:$D,0)),0)+IFERROR(INDEX(注册申报底表!$C:$C,MATCH('SOW-ERP导入表'!$E151,注册申报底表!$D:$D,0)),0)</f>
        <v>4</v>
      </c>
      <c r="L151" s="185">
        <f t="shared" si="9"/>
        <v>6460</v>
      </c>
      <c r="M151" s="184">
        <f>SUMIF(服务费底表!$D:$D,E151,服务费底表!$AG:$AG)+SUMIF(注册申报底表!$D:$D,'SOW-ERP导入表'!E151,注册申报底表!$AD:$AD)</f>
        <v>25840</v>
      </c>
    </row>
    <row r="152" spans="2:13">
      <c r="B152" s="173"/>
      <c r="D152" s="173"/>
      <c r="E152" s="187" t="s">
        <v>2504</v>
      </c>
      <c r="F152" s="173" t="str">
        <f t="shared" si="10"/>
        <v>请填写</v>
      </c>
      <c r="G152" s="173" t="str">
        <f>INDEX(服务费底表!$K:$K,MATCH('SOW-ERP导入表'!$E152,服务费底表!$D:$D,0))</f>
        <v>A049</v>
      </c>
      <c r="H152" s="183" t="str">
        <f>INDEX(服务费底表!L:L,MATCH('SOW-ERP导入表'!$E152,服务费底表!$D:$D,0))</f>
        <v>数据清理访视</v>
      </c>
      <c r="I152" s="173" t="str">
        <f>INDEX(服务费底表!$T:$T,MATCH('SOW-ERP导入表'!$E152,服务费底表!$D:$D,0))</f>
        <v>PM</v>
      </c>
      <c r="J152" s="184">
        <f>SUMIF(服务费底表!$D:$D,E152,服务费底表!$AC:$AC)+SUMIF(注册申报底表!$D:$D,'SOW-ERP导入表'!E152,注册申报底表!$Z:$Z)</f>
        <v>8</v>
      </c>
      <c r="K152" s="173">
        <f>IFERROR(INDEX(服务费底表!$C:$C,MATCH('SOW-ERP导入表'!$E152,服务费底表!$D:$D,0)),0)+IFERROR(INDEX(注册申报底表!$C:$C,MATCH('SOW-ERP导入表'!$E152,注册申报底表!$D:$D,0)),0)</f>
        <v>4</v>
      </c>
      <c r="L152" s="185">
        <f t="shared" si="9"/>
        <v>1300</v>
      </c>
      <c r="M152" s="184">
        <f>SUMIF(服务费底表!$D:$D,E152,服务费底表!$AG:$AG)+SUMIF(注册申报底表!$D:$D,'SOW-ERP导入表'!E152,注册申报底表!$AD:$AD)</f>
        <v>5200</v>
      </c>
    </row>
    <row r="153" spans="2:13">
      <c r="B153" s="173"/>
      <c r="D153" s="173"/>
      <c r="E153" s="187" t="s">
        <v>2505</v>
      </c>
      <c r="F153" s="173" t="str">
        <f t="shared" si="10"/>
        <v>请填写</v>
      </c>
      <c r="G153" s="173" t="str">
        <f>INDEX(服务费底表!$K:$K,MATCH('SOW-ERP导入表'!$E153,服务费底表!$D:$D,0))</f>
        <v>A050</v>
      </c>
      <c r="H153" s="183" t="str">
        <f>INDEX(服务费底表!L:L,MATCH('SOW-ERP导入表'!$E153,服务费底表!$D:$D,0))</f>
        <v>总结报告CSR中心签字和盖章</v>
      </c>
      <c r="I153" s="173" t="str">
        <f>INDEX(服务费底表!$T:$T,MATCH('SOW-ERP导入表'!$E153,服务费底表!$D:$D,0))</f>
        <v>CRA</v>
      </c>
      <c r="J153" s="184">
        <f>SUMIF(服务费底表!$D:$D,E153,服务费底表!$AC:$AC)+SUMIF(注册申报底表!$D:$D,'SOW-ERP导入表'!E153,注册申报底表!$Z:$Z)</f>
        <v>8</v>
      </c>
      <c r="K153" s="173">
        <f>IFERROR(INDEX(服务费底表!$C:$C,MATCH('SOW-ERP导入表'!$E153,服务费底表!$D:$D,0)),0)+IFERROR(INDEX(注册申报底表!$C:$C,MATCH('SOW-ERP导入表'!$E153,注册申报底表!$D:$D,0)),0)</f>
        <v>1</v>
      </c>
      <c r="L153" s="185">
        <f t="shared" si="9"/>
        <v>2720</v>
      </c>
      <c r="M153" s="184">
        <f>SUMIF(服务费底表!$D:$D,E153,服务费底表!$AG:$AG)+SUMIF(注册申报底表!$D:$D,'SOW-ERP导入表'!E153,注册申报底表!$AD:$AD)</f>
        <v>2720</v>
      </c>
    </row>
    <row r="154" spans="2:13">
      <c r="B154" s="173"/>
      <c r="D154" s="173"/>
      <c r="E154" s="187" t="s">
        <v>2506</v>
      </c>
      <c r="F154" s="173" t="str">
        <f t="shared" si="10"/>
        <v>请填写</v>
      </c>
      <c r="G154" s="173" t="str">
        <f>INDEX(服务费底表!$K:$K,MATCH('SOW-ERP导入表'!$E154,服务费底表!$D:$D,0))</f>
        <v>A051</v>
      </c>
      <c r="H154" s="183" t="str">
        <f>INDEX(服务费底表!L:L,MATCH('SOW-ERP导入表'!$E154,服务费底表!$D:$D,0))</f>
        <v>关闭访视</v>
      </c>
      <c r="I154" s="173" t="str">
        <f>INDEX(服务费底表!$T:$T,MATCH('SOW-ERP导入表'!$E154,服务费底表!$D:$D,0))</f>
        <v>CRA</v>
      </c>
      <c r="J154" s="184">
        <f>SUMIF(服务费底表!$D:$D,E154,服务费底表!$AC:$AC)+SUMIF(注册申报底表!$D:$D,'SOW-ERP导入表'!E154,注册申报底表!$Z:$Z)</f>
        <v>144</v>
      </c>
      <c r="K154" s="173">
        <f>IFERROR(INDEX(服务费底表!$C:$C,MATCH('SOW-ERP导入表'!$E154,服务费底表!$D:$D,0)),0)+IFERROR(INDEX(注册申报底表!$C:$C,MATCH('SOW-ERP导入表'!$E154,注册申报底表!$D:$D,0)),0)</f>
        <v>4</v>
      </c>
      <c r="L154" s="185">
        <f t="shared" si="9"/>
        <v>12240</v>
      </c>
      <c r="M154" s="184">
        <f>SUMIF(服务费底表!$D:$D,E154,服务费底表!$AG:$AG)+SUMIF(注册申报底表!$D:$D,'SOW-ERP导入表'!E154,注册申报底表!$AD:$AD)</f>
        <v>48960</v>
      </c>
    </row>
    <row r="155" spans="2:13">
      <c r="B155" s="173"/>
      <c r="D155" s="173"/>
      <c r="E155" s="187" t="s">
        <v>2507</v>
      </c>
      <c r="F155" s="173" t="str">
        <f t="shared" si="10"/>
        <v>请填写</v>
      </c>
      <c r="G155" s="173" t="str">
        <f>INDEX(服务费底表!$K:$K,MATCH('SOW-ERP导入表'!$E155,服务费底表!$D:$D,0))</f>
        <v>A051</v>
      </c>
      <c r="H155" s="183" t="str">
        <f>INDEX(服务费底表!L:L,MATCH('SOW-ERP导入表'!$E155,服务费底表!$D:$D,0))</f>
        <v>关闭访视</v>
      </c>
      <c r="I155" s="173" t="str">
        <f>INDEX(服务费底表!$T:$T,MATCH('SOW-ERP导入表'!$E155,服务费底表!$D:$D,0))</f>
        <v>PM</v>
      </c>
      <c r="J155" s="184">
        <f>SUMIF(服务费底表!$D:$D,E155,服务费底表!$AC:$AC)+SUMIF(注册申报底表!$D:$D,'SOW-ERP导入表'!E155,注册申报底表!$Z:$Z)</f>
        <v>8</v>
      </c>
      <c r="K155" s="173">
        <f>IFERROR(INDEX(服务费底表!$C:$C,MATCH('SOW-ERP导入表'!$E155,服务费底表!$D:$D,0)),0)+IFERROR(INDEX(注册申报底表!$C:$C,MATCH('SOW-ERP导入表'!$E155,注册申报底表!$D:$D,0)),0)</f>
        <v>4</v>
      </c>
      <c r="L155" s="185">
        <f t="shared" si="9"/>
        <v>1300</v>
      </c>
      <c r="M155" s="184">
        <f>SUMIF(服务费底表!$D:$D,E155,服务费底表!$AG:$AG)+SUMIF(注册申报底表!$D:$D,'SOW-ERP导入表'!E155,注册申报底表!$AD:$AD)</f>
        <v>5200</v>
      </c>
    </row>
    <row r="156" spans="2:13">
      <c r="B156" s="173"/>
      <c r="D156" s="173"/>
      <c r="E156" s="187" t="s">
        <v>2508</v>
      </c>
      <c r="F156" s="173" t="str">
        <f t="shared" si="10"/>
        <v>请填写</v>
      </c>
      <c r="G156" s="173" t="str">
        <f>INDEX(服务费底表!$K:$K,MATCH('SOW-ERP导入表'!$E156,服务费底表!$D:$D,0))</f>
        <v>A052</v>
      </c>
      <c r="H156" s="183" t="str">
        <f>INDEX(服务费底表!L:L,MATCH('SOW-ERP导入表'!$E156,服务费底表!$D:$D,0))</f>
        <v>项目管理计划PMP撰写</v>
      </c>
      <c r="I156" s="173" t="str">
        <f>INDEX(服务费底表!$T:$T,MATCH('SOW-ERP导入表'!$E156,服务费底表!$D:$D,0))</f>
        <v>PM</v>
      </c>
      <c r="J156" s="184">
        <f>SUMIF(服务费底表!$D:$D,E156,服务费底表!$AC:$AC)+SUMIF(注册申报底表!$D:$D,'SOW-ERP导入表'!E156,注册申报底表!$Z:$Z)</f>
        <v>36</v>
      </c>
      <c r="K156" s="173">
        <f>IFERROR(INDEX(服务费底表!$C:$C,MATCH('SOW-ERP导入表'!$E156,服务费底表!$D:$D,0)),0)+IFERROR(INDEX(注册申报底表!$C:$C,MATCH('SOW-ERP导入表'!$E156,注册申报底表!$D:$D,0)),0)</f>
        <v>1</v>
      </c>
      <c r="L156" s="185">
        <f t="shared" si="9"/>
        <v>23400</v>
      </c>
      <c r="M156" s="184">
        <f>SUMIF(服务费底表!$D:$D,E156,服务费底表!$AG:$AG)+SUMIF(注册申报底表!$D:$D,'SOW-ERP导入表'!E156,注册申报底表!$AD:$AD)</f>
        <v>23400</v>
      </c>
    </row>
    <row r="157" spans="2:13">
      <c r="B157" s="173"/>
      <c r="D157" s="173"/>
      <c r="E157" s="187" t="s">
        <v>2509</v>
      </c>
      <c r="F157" s="173" t="str">
        <f t="shared" si="10"/>
        <v>请填写</v>
      </c>
      <c r="G157" s="173" t="str">
        <f>INDEX(服务费底表!$K:$K,MATCH('SOW-ERP导入表'!$E157,服务费底表!$D:$D,0))</f>
        <v>A052</v>
      </c>
      <c r="H157" s="183" t="str">
        <f>INDEX(服务费底表!L:L,MATCH('SOW-ERP导入表'!$E157,服务费底表!$D:$D,0))</f>
        <v>项目管理计划PMP撰写</v>
      </c>
      <c r="I157" s="173" t="str">
        <f>INDEX(服务费底表!$T:$T,MATCH('SOW-ERP导入表'!$E157,服务费底表!$D:$D,0))</f>
        <v>PMD</v>
      </c>
      <c r="J157" s="184">
        <f>SUMIF(服务费底表!$D:$D,E157,服务费底表!$AC:$AC)+SUMIF(注册申报底表!$D:$D,'SOW-ERP导入表'!E157,注册申报底表!$Z:$Z)</f>
        <v>10</v>
      </c>
      <c r="K157" s="173">
        <f>IFERROR(INDEX(服务费底表!$C:$C,MATCH('SOW-ERP导入表'!$E157,服务费底表!$D:$D,0)),0)+IFERROR(INDEX(注册申报底表!$C:$C,MATCH('SOW-ERP导入表'!$E157,注册申报底表!$D:$D,0)),0)</f>
        <v>1</v>
      </c>
      <c r="L157" s="185">
        <f t="shared" si="9"/>
        <v>8000</v>
      </c>
      <c r="M157" s="184">
        <f>SUMIF(服务费底表!$D:$D,E157,服务费底表!$AG:$AG)+SUMIF(注册申报底表!$D:$D,'SOW-ERP导入表'!E157,注册申报底表!$AD:$AD)</f>
        <v>8000</v>
      </c>
    </row>
    <row r="158" spans="2:13">
      <c r="B158" s="173"/>
      <c r="D158" s="173"/>
      <c r="E158" s="187" t="s">
        <v>2510</v>
      </c>
      <c r="F158" s="173" t="str">
        <f t="shared" si="10"/>
        <v>请填写</v>
      </c>
      <c r="G158" s="173" t="str">
        <f>INDEX(服务费底表!$K:$K,MATCH('SOW-ERP导入表'!$E158,服务费底表!$D:$D,0))</f>
        <v>A053</v>
      </c>
      <c r="H158" s="183" t="str">
        <f>INDEX(服务费底表!L:L,MATCH('SOW-ERP导入表'!$E158,服务费底表!$D:$D,0))</f>
        <v>研究中心监查和管理计划CMP撰写</v>
      </c>
      <c r="I158" s="173" t="str">
        <f>INDEX(服务费底表!$T:$T,MATCH('SOW-ERP导入表'!$E158,服务费底表!$D:$D,0))</f>
        <v>PM</v>
      </c>
      <c r="J158" s="184">
        <f>SUMIF(服务费底表!$D:$D,E158,服务费底表!$AC:$AC)+SUMIF(注册申报底表!$D:$D,'SOW-ERP导入表'!E158,注册申报底表!$Z:$Z)</f>
        <v>8</v>
      </c>
      <c r="K158" s="173">
        <f>IFERROR(INDEX(服务费底表!$C:$C,MATCH('SOW-ERP导入表'!$E158,服务费底表!$D:$D,0)),0)+IFERROR(INDEX(注册申报底表!$C:$C,MATCH('SOW-ERP导入表'!$E158,注册申报底表!$D:$D,0)),0)</f>
        <v>1</v>
      </c>
      <c r="L158" s="185">
        <f t="shared" si="9"/>
        <v>5200</v>
      </c>
      <c r="M158" s="184">
        <f>SUMIF(服务费底表!$D:$D,E158,服务费底表!$AG:$AG)+SUMIF(注册申报底表!$D:$D,'SOW-ERP导入表'!E158,注册申报底表!$AD:$AD)</f>
        <v>5200</v>
      </c>
    </row>
    <row r="159" spans="2:13">
      <c r="B159" s="173"/>
      <c r="D159" s="173"/>
      <c r="E159" s="187" t="s">
        <v>2511</v>
      </c>
      <c r="F159" s="173" t="str">
        <f t="shared" si="10"/>
        <v>请填写</v>
      </c>
      <c r="G159" s="173" t="str">
        <f>INDEX(服务费底表!$K:$K,MATCH('SOW-ERP导入表'!$E159,服务费底表!$D:$D,0))</f>
        <v>A053</v>
      </c>
      <c r="H159" s="183" t="str">
        <f>INDEX(服务费底表!L:L,MATCH('SOW-ERP导入表'!$E159,服务费底表!$D:$D,0))</f>
        <v>研究中心监查和管理计划CMP撰写</v>
      </c>
      <c r="I159" s="173" t="str">
        <f>INDEX(服务费底表!$T:$T,MATCH('SOW-ERP导入表'!$E159,服务费底表!$D:$D,0))</f>
        <v>PMD</v>
      </c>
      <c r="J159" s="184">
        <f>SUMIF(服务费底表!$D:$D,E159,服务费底表!$AC:$AC)+SUMIF(注册申报底表!$D:$D,'SOW-ERP导入表'!E159,注册申报底表!$Z:$Z)</f>
        <v>2</v>
      </c>
      <c r="K159" s="173">
        <f>IFERROR(INDEX(服务费底表!$C:$C,MATCH('SOW-ERP导入表'!$E159,服务费底表!$D:$D,0)),0)+IFERROR(INDEX(注册申报底表!$C:$C,MATCH('SOW-ERP导入表'!$E159,注册申报底表!$D:$D,0)),0)</f>
        <v>1</v>
      </c>
      <c r="L159" s="185">
        <f t="shared" si="9"/>
        <v>1600</v>
      </c>
      <c r="M159" s="184">
        <f>SUMIF(服务费底表!$D:$D,E159,服务费底表!$AG:$AG)+SUMIF(注册申报底表!$D:$D,'SOW-ERP导入表'!E159,注册申报底表!$AD:$AD)</f>
        <v>1600</v>
      </c>
    </row>
    <row r="160" spans="2:13">
      <c r="B160" s="173"/>
      <c r="D160" s="173"/>
      <c r="E160" s="187" t="s">
        <v>2512</v>
      </c>
      <c r="F160" s="173" t="str">
        <f t="shared" si="10"/>
        <v>请填写</v>
      </c>
      <c r="G160" s="173" t="str">
        <f>INDEX(服务费底表!$K:$K,MATCH('SOW-ERP导入表'!$E160,服务费底表!$D:$D,0))</f>
        <v>A054</v>
      </c>
      <c r="H160" s="183" t="str">
        <f>INDEX(服务费底表!L:L,MATCH('SOW-ERP导入表'!$E160,服务费底表!$D:$D,0))</f>
        <v>中心实验室操作手册审核</v>
      </c>
      <c r="I160" s="173" t="str">
        <f>INDEX(服务费底表!$T:$T,MATCH('SOW-ERP导入表'!$E160,服务费底表!$D:$D,0))</f>
        <v>PM</v>
      </c>
      <c r="J160" s="184">
        <f>SUMIF(服务费底表!$D:$D,E160,服务费底表!$AC:$AC)+SUMIF(注册申报底表!$D:$D,'SOW-ERP导入表'!E160,注册申报底表!$Z:$Z)</f>
        <v>4</v>
      </c>
      <c r="K160" s="173">
        <f>IFERROR(INDEX(服务费底表!$C:$C,MATCH('SOW-ERP导入表'!$E160,服务费底表!$D:$D,0)),0)+IFERROR(INDEX(注册申报底表!$C:$C,MATCH('SOW-ERP导入表'!$E160,注册申报底表!$D:$D,0)),0)</f>
        <v>1</v>
      </c>
      <c r="L160" s="185">
        <f t="shared" si="9"/>
        <v>2600</v>
      </c>
      <c r="M160" s="184">
        <f>SUMIF(服务费底表!$D:$D,E160,服务费底表!$AG:$AG)+SUMIF(注册申报底表!$D:$D,'SOW-ERP导入表'!E160,注册申报底表!$AD:$AD)</f>
        <v>2600</v>
      </c>
    </row>
    <row r="161" spans="2:13">
      <c r="B161" s="173"/>
      <c r="D161" s="173"/>
      <c r="E161" s="187" t="s">
        <v>2513</v>
      </c>
      <c r="F161" s="173" t="str">
        <f t="shared" si="10"/>
        <v>请填写</v>
      </c>
      <c r="G161" s="173" t="str">
        <f>INDEX(服务费底表!$K:$K,MATCH('SOW-ERP导入表'!$E161,服务费底表!$D:$D,0))</f>
        <v>A055</v>
      </c>
      <c r="H161" s="183" t="str">
        <f>INDEX(服务费底表!L:L,MATCH('SOW-ERP导入表'!$E161,服务费底表!$D:$D,0))</f>
        <v>药物管理手册IPMP审核</v>
      </c>
      <c r="I161" s="173" t="str">
        <f>INDEX(服务费底表!$T:$T,MATCH('SOW-ERP导入表'!$E161,服务费底表!$D:$D,0))</f>
        <v>PM</v>
      </c>
      <c r="J161" s="184">
        <f>SUMIF(服务费底表!$D:$D,E161,服务费底表!$AC:$AC)+SUMIF(注册申报底表!$D:$D,'SOW-ERP导入表'!E161,注册申报底表!$Z:$Z)</f>
        <v>4</v>
      </c>
      <c r="K161" s="173">
        <f>IFERROR(INDEX(服务费底表!$C:$C,MATCH('SOW-ERP导入表'!$E161,服务费底表!$D:$D,0)),0)+IFERROR(INDEX(注册申报底表!$C:$C,MATCH('SOW-ERP导入表'!$E161,注册申报底表!$D:$D,0)),0)</f>
        <v>1</v>
      </c>
      <c r="L161" s="185">
        <f t="shared" si="9"/>
        <v>2600</v>
      </c>
      <c r="M161" s="184">
        <f>SUMIF(服务费底表!$D:$D,E161,服务费底表!$AG:$AG)+SUMIF(注册申报底表!$D:$D,'SOW-ERP导入表'!E161,注册申报底表!$AD:$AD)</f>
        <v>2600</v>
      </c>
    </row>
    <row r="162" spans="2:13">
      <c r="B162" s="173"/>
      <c r="D162" s="173"/>
      <c r="E162" s="187" t="s">
        <v>2514</v>
      </c>
      <c r="F162" s="173" t="str">
        <f t="shared" si="10"/>
        <v>请填写</v>
      </c>
      <c r="G162" s="173" t="str">
        <f>INDEX(服务费底表!$K:$K,MATCH('SOW-ERP导入表'!$E162,服务费底表!$D:$D,0))</f>
        <v>A056</v>
      </c>
      <c r="H162" s="183" t="str">
        <f>INDEX(服务费底表!L:L,MATCH('SOW-ERP导入表'!$E162,服务费底表!$D:$D,0))</f>
        <v>文件创建和维护</v>
      </c>
      <c r="I162" s="173" t="str">
        <f>INDEX(服务费底表!$T:$T,MATCH('SOW-ERP导入表'!$E162,服务费底表!$D:$D,0))</f>
        <v>PM</v>
      </c>
      <c r="J162" s="184">
        <f>SUMIF(服务费底表!$D:$D,E162,服务费底表!$AC:$AC)+SUMIF(注册申报底表!$D:$D,'SOW-ERP导入表'!E162,注册申报底表!$Z:$Z)</f>
        <v>102</v>
      </c>
      <c r="K162" s="173">
        <f>IFERROR(INDEX(服务费底表!$C:$C,MATCH('SOW-ERP导入表'!$E162,服务费底表!$D:$D,0)),0)+IFERROR(INDEX(注册申报底表!$C:$C,MATCH('SOW-ERP导入表'!$E162,注册申报底表!$D:$D,0)),0)</f>
        <v>17</v>
      </c>
      <c r="L162" s="185">
        <f t="shared" si="9"/>
        <v>3900</v>
      </c>
      <c r="M162" s="184">
        <f>SUMIF(服务费底表!$D:$D,E162,服务费底表!$AG:$AG)+SUMIF(注册申报底表!$D:$D,'SOW-ERP导入表'!E162,注册申报底表!$AD:$AD)</f>
        <v>66300</v>
      </c>
    </row>
    <row r="163" spans="2:13">
      <c r="B163" s="173"/>
      <c r="D163" s="173"/>
      <c r="E163" s="187" t="s">
        <v>2515</v>
      </c>
      <c r="F163" s="173" t="str">
        <f t="shared" si="10"/>
        <v>请填写</v>
      </c>
      <c r="G163" s="173" t="str">
        <f>INDEX(服务费底表!$K:$K,MATCH('SOW-ERP导入表'!$E163,服务费底表!$D:$D,0))</f>
        <v>A056</v>
      </c>
      <c r="H163" s="183" t="str">
        <f>INDEX(服务费底表!L:L,MATCH('SOW-ERP导入表'!$E163,服务费底表!$D:$D,0))</f>
        <v>文件创建和维护</v>
      </c>
      <c r="I163" s="173" t="str">
        <f>INDEX(服务费底表!$T:$T,MATCH('SOW-ERP导入表'!$E163,服务费底表!$D:$D,0))</f>
        <v>CRA</v>
      </c>
      <c r="J163" s="184">
        <f>SUMIF(服务费底表!$D:$D,E163,服务费底表!$AC:$AC)+SUMIF(注册申报底表!$D:$D,'SOW-ERP导入表'!E163,注册申报底表!$Z:$Z)</f>
        <v>110.5</v>
      </c>
      <c r="K163" s="173">
        <f>IFERROR(INDEX(服务费底表!$C:$C,MATCH('SOW-ERP导入表'!$E163,服务费底表!$D:$D,0)),0)+IFERROR(INDEX(注册申报底表!$C:$C,MATCH('SOW-ERP导入表'!$E163,注册申报底表!$D:$D,0)),0)</f>
        <v>17</v>
      </c>
      <c r="L163" s="185">
        <f t="shared" si="9"/>
        <v>2210</v>
      </c>
      <c r="M163" s="184">
        <f>SUMIF(服务费底表!$D:$D,E163,服务费底表!$AG:$AG)+SUMIF(注册申报底表!$D:$D,'SOW-ERP导入表'!E163,注册申报底表!$AD:$AD)</f>
        <v>37570</v>
      </c>
    </row>
    <row r="164" spans="2:13">
      <c r="B164" s="173"/>
      <c r="D164" s="173"/>
      <c r="E164" s="187" t="s">
        <v>2516</v>
      </c>
      <c r="F164" s="173" t="str">
        <f t="shared" si="10"/>
        <v>请填写</v>
      </c>
      <c r="G164" s="173" t="str">
        <f>INDEX(服务费底表!$K:$K,MATCH('SOW-ERP导入表'!$E164,服务费底表!$D:$D,0))</f>
        <v>A056</v>
      </c>
      <c r="H164" s="183" t="str">
        <f>INDEX(服务费底表!L:L,MATCH('SOW-ERP导入表'!$E164,服务费底表!$D:$D,0))</f>
        <v>文件创建和维护</v>
      </c>
      <c r="I164" s="173" t="str">
        <f>INDEX(服务费底表!$T:$T,MATCH('SOW-ERP导入表'!$E164,服务费底表!$D:$D,0))</f>
        <v>CTA</v>
      </c>
      <c r="J164" s="184">
        <f>SUMIF(服务费底表!$D:$D,E164,服务费底表!$AC:$AC)+SUMIF(注册申报底表!$D:$D,'SOW-ERP导入表'!E164,注册申报底表!$Z:$Z)</f>
        <v>102</v>
      </c>
      <c r="K164" s="173">
        <f>IFERROR(INDEX(服务费底表!$C:$C,MATCH('SOW-ERP导入表'!$E164,服务费底表!$D:$D,0)),0)+IFERROR(INDEX(注册申报底表!$C:$C,MATCH('SOW-ERP导入表'!$E164,注册申报底表!$D:$D,0)),0)</f>
        <v>17</v>
      </c>
      <c r="L164" s="185">
        <f t="shared" si="9"/>
        <v>1320</v>
      </c>
      <c r="M164" s="184">
        <f>SUMIF(服务费底表!$D:$D,E164,服务费底表!$AG:$AG)+SUMIF(注册申报底表!$D:$D,'SOW-ERP导入表'!E164,注册申报底表!$AD:$AD)</f>
        <v>22440</v>
      </c>
    </row>
    <row r="165" spans="2:13">
      <c r="B165" s="173"/>
      <c r="D165" s="173"/>
      <c r="E165" s="187" t="s">
        <v>2517</v>
      </c>
      <c r="F165" s="173" t="str">
        <f t="shared" si="10"/>
        <v>请填写</v>
      </c>
      <c r="G165" s="173" t="str">
        <f>INDEX(服务费底表!$K:$K,MATCH('SOW-ERP导入表'!$E165,服务费底表!$D:$D,0))</f>
        <v>A056</v>
      </c>
      <c r="H165" s="183" t="str">
        <f>INDEX(服务费底表!L:L,MATCH('SOW-ERP导入表'!$E165,服务费底表!$D:$D,0))</f>
        <v>文件创建和维护</v>
      </c>
      <c r="I165" s="173" t="str">
        <f>INDEX(服务费底表!$T:$T,MATCH('SOW-ERP导入表'!$E165,服务费底表!$D:$D,0))</f>
        <v>QCM</v>
      </c>
      <c r="J165" s="184">
        <f>SUMIF(服务费底表!$D:$D,E165,服务费底表!$AC:$AC)+SUMIF(注册申报底表!$D:$D,'SOW-ERP导入表'!E165,注册申报底表!$Z:$Z)</f>
        <v>51</v>
      </c>
      <c r="K165" s="173">
        <f>IFERROR(INDEX(服务费底表!$C:$C,MATCH('SOW-ERP导入表'!$E165,服务费底表!$D:$D,0)),0)+IFERROR(INDEX(注册申报底表!$C:$C,MATCH('SOW-ERP导入表'!$E165,注册申报底表!$D:$D,0)),0)</f>
        <v>17</v>
      </c>
      <c r="L165" s="185">
        <f t="shared" si="9"/>
        <v>1800</v>
      </c>
      <c r="M165" s="184">
        <f>SUMIF(服务费底表!$D:$D,E165,服务费底表!$AG:$AG)+SUMIF(注册申报底表!$D:$D,'SOW-ERP导入表'!E165,注册申报底表!$AD:$AD)</f>
        <v>30600</v>
      </c>
    </row>
    <row r="166" spans="2:13">
      <c r="B166" s="173"/>
      <c r="D166" s="173"/>
      <c r="E166" s="187" t="s">
        <v>2518</v>
      </c>
      <c r="F166" s="173" t="str">
        <f t="shared" si="10"/>
        <v>请填写</v>
      </c>
      <c r="G166" s="173" t="str">
        <f>INDEX(服务费底表!$K:$K,MATCH('SOW-ERP导入表'!$E166,服务费底表!$D:$D,0))</f>
        <v>A057</v>
      </c>
      <c r="H166" s="183" t="str">
        <f>INDEX(服务费底表!L:L,MATCH('SOW-ERP导入表'!$E166,服务费底表!$D:$D,0))</f>
        <v>供应商筛选和合同建立</v>
      </c>
      <c r="I166" s="173" t="str">
        <f>INDEX(服务费底表!$T:$T,MATCH('SOW-ERP导入表'!$E166,服务费底表!$D:$D,0))</f>
        <v>PM</v>
      </c>
      <c r="J166" s="184">
        <f>SUMIF(服务费底表!$D:$D,E166,服务费底表!$AC:$AC)+SUMIF(注册申报底表!$D:$D,'SOW-ERP导入表'!E166,注册申报底表!$Z:$Z)</f>
        <v>40</v>
      </c>
      <c r="K166" s="173">
        <f>IFERROR(INDEX(服务费底表!$C:$C,MATCH('SOW-ERP导入表'!$E166,服务费底表!$D:$D,0)),0)+IFERROR(INDEX(注册申报底表!$C:$C,MATCH('SOW-ERP导入表'!$E166,注册申报底表!$D:$D,0)),0)</f>
        <v>5</v>
      </c>
      <c r="L166" s="185">
        <f t="shared" si="9"/>
        <v>5200</v>
      </c>
      <c r="M166" s="184">
        <f>SUMIF(服务费底表!$D:$D,E166,服务费底表!$AG:$AG)+SUMIF(注册申报底表!$D:$D,'SOW-ERP导入表'!E166,注册申报底表!$AD:$AD)</f>
        <v>26000</v>
      </c>
    </row>
    <row r="167" spans="2:13">
      <c r="B167" s="173"/>
      <c r="D167" s="173"/>
      <c r="E167" s="187" t="s">
        <v>2519</v>
      </c>
      <c r="F167" s="173" t="str">
        <f t="shared" si="10"/>
        <v>请填写</v>
      </c>
      <c r="G167" s="173" t="str">
        <f>INDEX(服务费底表!$K:$K,MATCH('SOW-ERP导入表'!$E167,服务费底表!$D:$D,0))</f>
        <v>A058</v>
      </c>
      <c r="H167" s="183" t="str">
        <f>INDEX(服务费底表!L:L,MATCH('SOW-ERP导入表'!$E167,服务费底表!$D:$D,0))</f>
        <v>SMO日常沟通</v>
      </c>
      <c r="I167" s="173" t="str">
        <f>INDEX(服务费底表!$T:$T,MATCH('SOW-ERP导入表'!$E167,服务费底表!$D:$D,0))</f>
        <v>PM</v>
      </c>
      <c r="J167" s="184">
        <f>SUMIF(服务费底表!$D:$D,E167,服务费底表!$AC:$AC)+SUMIF(注册申报底表!$D:$D,'SOW-ERP导入表'!E167,注册申报底表!$Z:$Z)</f>
        <v>34</v>
      </c>
      <c r="K167" s="173">
        <f>IFERROR(INDEX(服务费底表!$C:$C,MATCH('SOW-ERP导入表'!$E167,服务费底表!$D:$D,0)),0)+IFERROR(INDEX(注册申报底表!$C:$C,MATCH('SOW-ERP导入表'!$E167,注册申报底表!$D:$D,0)),0)</f>
        <v>17</v>
      </c>
      <c r="L167" s="185">
        <f t="shared" si="9"/>
        <v>1300</v>
      </c>
      <c r="M167" s="184">
        <f>SUMIF(服务费底表!$D:$D,E167,服务费底表!$AG:$AG)+SUMIF(注册申报底表!$D:$D,'SOW-ERP导入表'!E167,注册申报底表!$AD:$AD)</f>
        <v>22100</v>
      </c>
    </row>
    <row r="168" spans="2:13">
      <c r="B168" s="173"/>
      <c r="D168" s="173"/>
      <c r="E168" s="187" t="s">
        <v>2520</v>
      </c>
      <c r="F168" s="173" t="str">
        <f t="shared" si="10"/>
        <v>请填写</v>
      </c>
      <c r="G168" s="173" t="str">
        <f>INDEX(服务费底表!$K:$K,MATCH('SOW-ERP导入表'!$E168,服务费底表!$D:$D,0))</f>
        <v>A059</v>
      </c>
      <c r="H168" s="183" t="str">
        <f>INDEX(服务费底表!L:L,MATCH('SOW-ERP导入表'!$E168,服务费底表!$D:$D,0))</f>
        <v>招募日常沟通</v>
      </c>
      <c r="I168" s="173" t="str">
        <f>INDEX(服务费底表!$T:$T,MATCH('SOW-ERP导入表'!$E168,服务费底表!$D:$D,0))</f>
        <v>PM</v>
      </c>
      <c r="J168" s="184">
        <f>SUMIF(服务费底表!$D:$D,E168,服务费底表!$AC:$AC)+SUMIF(注册申报底表!$D:$D,'SOW-ERP导入表'!E168,注册申报底表!$Z:$Z)</f>
        <v>12</v>
      </c>
      <c r="K168" s="173">
        <f>IFERROR(INDEX(服务费底表!$C:$C,MATCH('SOW-ERP导入表'!$E168,服务费底表!$D:$D,0)),0)+IFERROR(INDEX(注册申报底表!$C:$C,MATCH('SOW-ERP导入表'!$E168,注册申报底表!$D:$D,0)),0)</f>
        <v>6</v>
      </c>
      <c r="L168" s="185">
        <f t="shared" si="9"/>
        <v>1300</v>
      </c>
      <c r="M168" s="184">
        <f>SUMIF(服务费底表!$D:$D,E168,服务费底表!$AG:$AG)+SUMIF(注册申报底表!$D:$D,'SOW-ERP导入表'!E168,注册申报底表!$AD:$AD)</f>
        <v>7800</v>
      </c>
    </row>
    <row r="169" spans="2:13">
      <c r="B169" s="173"/>
      <c r="D169" s="173"/>
      <c r="E169" s="187" t="s">
        <v>2521</v>
      </c>
      <c r="F169" s="173" t="str">
        <f t="shared" si="10"/>
        <v>请填写</v>
      </c>
      <c r="G169" s="173" t="str">
        <f>INDEX(服务费底表!$K:$K,MATCH('SOW-ERP导入表'!$E169,服务费底表!$D:$D,0))</f>
        <v>A060</v>
      </c>
      <c r="H169" s="183" t="str">
        <f>INDEX(服务费底表!L:L,MATCH('SOW-ERP导入表'!$E169,服务费底表!$D:$D,0))</f>
        <v>生物分析实验室日常沟通</v>
      </c>
      <c r="I169" s="173" t="str">
        <f>INDEX(服务费底表!$T:$T,MATCH('SOW-ERP导入表'!$E169,服务费底表!$D:$D,0))</f>
        <v>PM</v>
      </c>
      <c r="J169" s="184">
        <f>SUMIF(服务费底表!$D:$D,E169,服务费底表!$AC:$AC)+SUMIF(注册申报底表!$D:$D,'SOW-ERP导入表'!E169,注册申报底表!$Z:$Z)</f>
        <v>26</v>
      </c>
      <c r="K169" s="173">
        <f>IFERROR(INDEX(服务费底表!$C:$C,MATCH('SOW-ERP导入表'!$E169,服务费底表!$D:$D,0)),0)+IFERROR(INDEX(注册申报底表!$C:$C,MATCH('SOW-ERP导入表'!$E169,注册申报底表!$D:$D,0)),0)</f>
        <v>13</v>
      </c>
      <c r="L169" s="185">
        <f t="shared" si="9"/>
        <v>1300</v>
      </c>
      <c r="M169" s="184">
        <f>SUMIF(服务费底表!$D:$D,E169,服务费底表!$AG:$AG)+SUMIF(注册申报底表!$D:$D,'SOW-ERP导入表'!E169,注册申报底表!$AD:$AD)</f>
        <v>16900</v>
      </c>
    </row>
    <row r="170" spans="2:13">
      <c r="B170" s="173"/>
      <c r="D170" s="173"/>
      <c r="E170" s="187" t="s">
        <v>2522</v>
      </c>
      <c r="F170" s="173" t="str">
        <f t="shared" si="10"/>
        <v>请填写</v>
      </c>
      <c r="G170" s="173" t="str">
        <f>INDEX(服务费底表!$K:$K,MATCH('SOW-ERP导入表'!$E170,服务费底表!$D:$D,0))</f>
        <v>A061</v>
      </c>
      <c r="H170" s="183" t="str">
        <f>INDEX(服务费底表!L:L,MATCH('SOW-ERP导入表'!$E170,服务费底表!$D:$D,0))</f>
        <v>物流日常沟通</v>
      </c>
      <c r="I170" s="173" t="str">
        <f>INDEX(服务费底表!$T:$T,MATCH('SOW-ERP导入表'!$E170,服务费底表!$D:$D,0))</f>
        <v>PM</v>
      </c>
      <c r="J170" s="184">
        <f>SUMIF(服务费底表!$D:$D,E170,服务费底表!$AC:$AC)+SUMIF(注册申报底表!$D:$D,'SOW-ERP导入表'!E170,注册申报底表!$Z:$Z)</f>
        <v>13</v>
      </c>
      <c r="K170" s="173">
        <f>IFERROR(INDEX(服务费底表!$C:$C,MATCH('SOW-ERP导入表'!$E170,服务费底表!$D:$D,0)),0)+IFERROR(INDEX(注册申报底表!$C:$C,MATCH('SOW-ERP导入表'!$E170,注册申报底表!$D:$D,0)),0)</f>
        <v>13</v>
      </c>
      <c r="L170" s="185">
        <f t="shared" si="9"/>
        <v>650</v>
      </c>
      <c r="M170" s="184">
        <f>SUMIF(服务费底表!$D:$D,E170,服务费底表!$AG:$AG)+SUMIF(注册申报底表!$D:$D,'SOW-ERP导入表'!E170,注册申报底表!$AD:$AD)</f>
        <v>8450</v>
      </c>
    </row>
    <row r="171" spans="2:13">
      <c r="B171" s="173"/>
      <c r="D171" s="173"/>
      <c r="E171" s="187" t="s">
        <v>2523</v>
      </c>
      <c r="F171" s="173" t="str">
        <f t="shared" si="10"/>
        <v>请填写</v>
      </c>
      <c r="G171" s="173" t="str">
        <f>INDEX(服务费底表!$K:$K,MATCH('SOW-ERP导入表'!$E171,服务费底表!$D:$D,0))</f>
        <v>A062</v>
      </c>
      <c r="H171" s="183" t="str">
        <f>INDEX(服务费底表!L:L,MATCH('SOW-ERP导入表'!$E171,服务费底表!$D:$D,0))</f>
        <v>IRC日常沟通</v>
      </c>
      <c r="I171" s="173" t="str">
        <f>INDEX(服务费底表!$T:$T,MATCH('SOW-ERP导入表'!$E171,服务费底表!$D:$D,0))</f>
        <v>PM</v>
      </c>
      <c r="J171" s="184">
        <f>SUMIF(服务费底表!$D:$D,E171,服务费底表!$AC:$AC)+SUMIF(注册申报底表!$D:$D,'SOW-ERP导入表'!E171,注册申报底表!$Z:$Z)</f>
        <v>0</v>
      </c>
      <c r="K171" s="173">
        <f>IFERROR(INDEX(服务费底表!$C:$C,MATCH('SOW-ERP导入表'!$E171,服务费底表!$D:$D,0)),0)+IFERROR(INDEX(注册申报底表!$C:$C,MATCH('SOW-ERP导入表'!$E171,注册申报底表!$D:$D,0)),0)</f>
        <v>0</v>
      </c>
      <c r="L171" s="185">
        <f t="shared" si="9"/>
        <v>0</v>
      </c>
      <c r="M171" s="184">
        <f>SUMIF(服务费底表!$D:$D,E171,服务费底表!$AG:$AG)+SUMIF(注册申报底表!$D:$D,'SOW-ERP导入表'!E171,注册申报底表!$AD:$AD)</f>
        <v>0</v>
      </c>
    </row>
    <row r="172" spans="2:13">
      <c r="B172" s="173"/>
      <c r="D172" s="173"/>
      <c r="E172" s="187" t="s">
        <v>2524</v>
      </c>
      <c r="F172" s="173" t="str">
        <f t="shared" si="10"/>
        <v>请填写</v>
      </c>
      <c r="G172" s="173" t="str">
        <f>INDEX(服务费底表!$K:$K,MATCH('SOW-ERP导入表'!$E172,服务费底表!$D:$D,0))</f>
        <v>A063</v>
      </c>
      <c r="H172" s="183" t="str">
        <f>INDEX(服务费底表!L:L,MATCH('SOW-ERP导入表'!$E172,服务费底表!$D:$D,0))</f>
        <v>保险日常沟通</v>
      </c>
      <c r="I172" s="173" t="str">
        <f>INDEX(服务费底表!$T:$T,MATCH('SOW-ERP导入表'!$E172,服务费底表!$D:$D,0))</f>
        <v>PM</v>
      </c>
      <c r="J172" s="184">
        <f>SUMIF(服务费底表!$D:$D,E172,服务费底表!$AC:$AC)+SUMIF(注册申报底表!$D:$D,'SOW-ERP导入表'!E172,注册申报底表!$Z:$Z)</f>
        <v>9</v>
      </c>
      <c r="K172" s="173">
        <f>IFERROR(INDEX(服务费底表!$C:$C,MATCH('SOW-ERP导入表'!$E172,服务费底表!$D:$D,0)),0)+IFERROR(INDEX(注册申报底表!$C:$C,MATCH('SOW-ERP导入表'!$E172,注册申报底表!$D:$D,0)),0)</f>
        <v>9</v>
      </c>
      <c r="L172" s="185">
        <f t="shared" si="9"/>
        <v>650</v>
      </c>
      <c r="M172" s="184">
        <f>SUMIF(服务费底表!$D:$D,E172,服务费底表!$AG:$AG)+SUMIF(注册申报底表!$D:$D,'SOW-ERP导入表'!E172,注册申报底表!$AD:$AD)</f>
        <v>5850</v>
      </c>
    </row>
    <row r="173" spans="2:13">
      <c r="B173" s="173"/>
      <c r="D173" s="173"/>
      <c r="E173" s="187" t="s">
        <v>2525</v>
      </c>
      <c r="F173" s="173" t="str">
        <f t="shared" si="10"/>
        <v>请填写</v>
      </c>
      <c r="G173" s="173" t="str">
        <f>INDEX(服务费底表!$K:$K,MATCH('SOW-ERP导入表'!$E173,服务费底表!$D:$D,0))</f>
        <v>A064</v>
      </c>
      <c r="H173" s="183" t="str">
        <f>INDEX(服务费底表!L:L,MATCH('SOW-ERP导入表'!$E173,服务费底表!$D:$D,0))</f>
        <v>中心实验室日常沟通</v>
      </c>
      <c r="I173" s="173" t="str">
        <f>INDEX(服务费底表!$T:$T,MATCH('SOW-ERP导入表'!$E173,服务费底表!$D:$D,0))</f>
        <v>PM</v>
      </c>
      <c r="J173" s="184">
        <f>SUMIF(服务费底表!$D:$D,E173,服务费底表!$AC:$AC)+SUMIF(注册申报底表!$D:$D,'SOW-ERP导入表'!E173,注册申报底表!$Z:$Z)</f>
        <v>0</v>
      </c>
      <c r="K173" s="173">
        <f>IFERROR(INDEX(服务费底表!$C:$C,MATCH('SOW-ERP导入表'!$E173,服务费底表!$D:$D,0)),0)+IFERROR(INDEX(注册申报底表!$C:$C,MATCH('SOW-ERP导入表'!$E173,注册申报底表!$D:$D,0)),0)</f>
        <v>0</v>
      </c>
      <c r="L173" s="185">
        <f t="shared" si="9"/>
        <v>0</v>
      </c>
      <c r="M173" s="184">
        <f>SUMIF(服务费底表!$D:$D,E173,服务费底表!$AG:$AG)+SUMIF(注册申报底表!$D:$D,'SOW-ERP导入表'!E173,注册申报底表!$AD:$AD)</f>
        <v>0</v>
      </c>
    </row>
    <row r="174" spans="2:13">
      <c r="B174" s="173"/>
      <c r="D174" s="173"/>
      <c r="E174" s="187" t="s">
        <v>2526</v>
      </c>
      <c r="F174" s="173" t="str">
        <f t="shared" si="10"/>
        <v>请填写</v>
      </c>
      <c r="G174" s="173" t="str">
        <f>INDEX(服务费底表!$K:$K,MATCH('SOW-ERP导入表'!$E174,服务费底表!$D:$D,0))</f>
        <v>A065</v>
      </c>
      <c r="H174" s="183" t="str">
        <f>INDEX(服务费底表!L:L,MATCH('SOW-ERP导入表'!$E174,服务费底表!$D:$D,0))</f>
        <v>其他供应商日常沟通</v>
      </c>
      <c r="I174" s="173" t="str">
        <f>INDEX(服务费底表!$T:$T,MATCH('SOW-ERP导入表'!$E174,服务费底表!$D:$D,0))</f>
        <v>PM</v>
      </c>
      <c r="J174" s="184">
        <f>SUMIF(服务费底表!$D:$D,E174,服务费底表!$AC:$AC)+SUMIF(注册申报底表!$D:$D,'SOW-ERP导入表'!E174,注册申报底表!$Z:$Z)</f>
        <v>0</v>
      </c>
      <c r="K174" s="173">
        <f>IFERROR(INDEX(服务费底表!$C:$C,MATCH('SOW-ERP导入表'!$E174,服务费底表!$D:$D,0)),0)+IFERROR(INDEX(注册申报底表!$C:$C,MATCH('SOW-ERP导入表'!$E174,注册申报底表!$D:$D,0)),0)</f>
        <v>0</v>
      </c>
      <c r="L174" s="185">
        <f t="shared" si="9"/>
        <v>0</v>
      </c>
      <c r="M174" s="184">
        <f>SUMIF(服务费底表!$D:$D,E174,服务费底表!$AG:$AG)+SUMIF(注册申报底表!$D:$D,'SOW-ERP导入表'!E174,注册申报底表!$AD:$AD)</f>
        <v>0</v>
      </c>
    </row>
    <row r="175" spans="2:13">
      <c r="B175" s="173"/>
      <c r="D175" s="173"/>
      <c r="E175" s="187" t="s">
        <v>2527</v>
      </c>
      <c r="F175" s="173" t="str">
        <f t="shared" si="10"/>
        <v>请填写</v>
      </c>
      <c r="G175" s="173" t="str">
        <f>INDEX(服务费底表!$K:$K,MATCH('SOW-ERP导入表'!$E175,服务费底表!$D:$D,0))</f>
        <v>A066</v>
      </c>
      <c r="H175" s="183" t="str">
        <f>INDEX(服务费底表!L:L,MATCH('SOW-ERP导入表'!$E175,服务费底表!$D:$D,0))</f>
        <v>召开客户电话会</v>
      </c>
      <c r="I175" s="173" t="str">
        <f>INDEX(服务费底表!$T:$T,MATCH('SOW-ERP导入表'!$E175,服务费底表!$D:$D,0))</f>
        <v>PM</v>
      </c>
      <c r="J175" s="184">
        <f>SUMIF(服务费底表!$D:$D,E175,服务费底表!$AC:$AC)+SUMIF(注册申报底表!$D:$D,'SOW-ERP导入表'!E175,注册申报底表!$Z:$Z)</f>
        <v>46</v>
      </c>
      <c r="K175" s="173">
        <f>IFERROR(INDEX(服务费底表!$C:$C,MATCH('SOW-ERP导入表'!$E175,服务费底表!$D:$D,0)),0)+IFERROR(INDEX(注册申报底表!$C:$C,MATCH('SOW-ERP导入表'!$E175,注册申报底表!$D:$D,0)),0)</f>
        <v>23</v>
      </c>
      <c r="L175" s="185">
        <f t="shared" si="9"/>
        <v>1300</v>
      </c>
      <c r="M175" s="184">
        <f>SUMIF(服务费底表!$D:$D,E175,服务费底表!$AG:$AG)+SUMIF(注册申报底表!$D:$D,'SOW-ERP导入表'!E175,注册申报底表!$AD:$AD)</f>
        <v>29900</v>
      </c>
    </row>
    <row r="176" spans="2:13">
      <c r="B176" s="173"/>
      <c r="D176" s="173"/>
      <c r="E176" s="187" t="s">
        <v>2528</v>
      </c>
      <c r="F176" s="173" t="str">
        <f t="shared" si="10"/>
        <v>请填写</v>
      </c>
      <c r="G176" s="173" t="str">
        <f>INDEX(服务费底表!$K:$K,MATCH('SOW-ERP导入表'!$E176,服务费底表!$D:$D,0))</f>
        <v>A066</v>
      </c>
      <c r="H176" s="183" t="str">
        <f>INDEX(服务费底表!L:L,MATCH('SOW-ERP导入表'!$E176,服务费底表!$D:$D,0))</f>
        <v>召开客户电话会</v>
      </c>
      <c r="I176" s="173" t="str">
        <f>INDEX(服务费底表!$T:$T,MATCH('SOW-ERP导入表'!$E176,服务费底表!$D:$D,0))</f>
        <v>CTA</v>
      </c>
      <c r="J176" s="184">
        <f>SUMIF(服务费底表!$D:$D,E176,服务费底表!$AC:$AC)+SUMIF(注册申报底表!$D:$D,'SOW-ERP导入表'!E176,注册申报底表!$Z:$Z)</f>
        <v>23</v>
      </c>
      <c r="K176" s="173">
        <f>IFERROR(INDEX(服务费底表!$C:$C,MATCH('SOW-ERP导入表'!$E176,服务费底表!$D:$D,0)),0)+IFERROR(INDEX(注册申报底表!$C:$C,MATCH('SOW-ERP导入表'!$E176,注册申报底表!$D:$D,0)),0)</f>
        <v>23</v>
      </c>
      <c r="L176" s="185">
        <f t="shared" si="9"/>
        <v>220</v>
      </c>
      <c r="M176" s="184">
        <f>SUMIF(服务费底表!$D:$D,E176,服务费底表!$AG:$AG)+SUMIF(注册申报底表!$D:$D,'SOW-ERP导入表'!E176,注册申报底表!$AD:$AD)</f>
        <v>5060</v>
      </c>
    </row>
    <row r="177" spans="2:13">
      <c r="B177" s="173"/>
      <c r="D177" s="173"/>
      <c r="E177" s="187" t="s">
        <v>2529</v>
      </c>
      <c r="F177" s="173" t="str">
        <f t="shared" si="10"/>
        <v>请填写</v>
      </c>
      <c r="G177" s="173" t="str">
        <f>INDEX(服务费底表!$K:$K,MATCH('SOW-ERP导入表'!$E177,服务费底表!$D:$D,0))</f>
        <v>A066</v>
      </c>
      <c r="H177" s="183" t="str">
        <f>INDEX(服务费底表!L:L,MATCH('SOW-ERP导入表'!$E177,服务费底表!$D:$D,0))</f>
        <v>召开客户电话会</v>
      </c>
      <c r="I177" s="173" t="str">
        <f>INDEX(服务费底表!$T:$T,MATCH('SOW-ERP导入表'!$E177,服务费底表!$D:$D,0))</f>
        <v>PMD</v>
      </c>
      <c r="J177" s="184">
        <f>SUMIF(服务费底表!$D:$D,E177,服务费底表!$AC:$AC)+SUMIF(注册申报底表!$D:$D,'SOW-ERP导入表'!E177,注册申报底表!$Z:$Z)</f>
        <v>14</v>
      </c>
      <c r="K177" s="173">
        <f>IFERROR(INDEX(服务费底表!$C:$C,MATCH('SOW-ERP导入表'!$E177,服务费底表!$D:$D,0)),0)+IFERROR(INDEX(注册申报底表!$C:$C,MATCH('SOW-ERP导入表'!$E177,注册申报底表!$D:$D,0)),0)</f>
        <v>23</v>
      </c>
      <c r="L177" s="185">
        <f t="shared" si="9"/>
        <v>486.95652173913</v>
      </c>
      <c r="M177" s="184">
        <f>SUMIF(服务费底表!$D:$D,E177,服务费底表!$AG:$AG)+SUMIF(注册申报底表!$D:$D,'SOW-ERP导入表'!E177,注册申报底表!$AD:$AD)</f>
        <v>11200</v>
      </c>
    </row>
    <row r="178" spans="2:13">
      <c r="B178" s="173"/>
      <c r="D178" s="173"/>
      <c r="E178" s="187" t="s">
        <v>2530</v>
      </c>
      <c r="F178" s="173" t="str">
        <f t="shared" si="10"/>
        <v>请填写</v>
      </c>
      <c r="G178" s="173" t="str">
        <f>INDEX(服务费底表!$K:$K,MATCH('SOW-ERP导入表'!$E178,服务费底表!$D:$D,0))</f>
        <v>A066</v>
      </c>
      <c r="H178" s="183" t="str">
        <f>INDEX(服务费底表!L:L,MATCH('SOW-ERP导入表'!$E178,服务费底表!$D:$D,0))</f>
        <v>召开客户电话会</v>
      </c>
      <c r="I178" s="173" t="str">
        <f>INDEX(服务费底表!$T:$T,MATCH('SOW-ERP导入表'!$E178,服务费底表!$D:$D,0))</f>
        <v>MM</v>
      </c>
      <c r="J178" s="184">
        <f>SUMIF(服务费底表!$D:$D,E178,服务费底表!$AC:$AC)+SUMIF(注册申报底表!$D:$D,'SOW-ERP导入表'!E178,注册申报底表!$Z:$Z)</f>
        <v>14</v>
      </c>
      <c r="K178" s="173">
        <f>IFERROR(INDEX(服务费底表!$C:$C,MATCH('SOW-ERP导入表'!$E178,服务费底表!$D:$D,0)),0)+IFERROR(INDEX(注册申报底表!$C:$C,MATCH('SOW-ERP导入表'!$E178,注册申报底表!$D:$D,0)),0)</f>
        <v>23</v>
      </c>
      <c r="L178" s="185">
        <f t="shared" si="9"/>
        <v>395.652173913043</v>
      </c>
      <c r="M178" s="184">
        <f>SUMIF(服务费底表!$D:$D,E178,服务费底表!$AG:$AG)+SUMIF(注册申报底表!$D:$D,'SOW-ERP导入表'!E178,注册申报底表!$AD:$AD)</f>
        <v>9100</v>
      </c>
    </row>
    <row r="179" spans="2:13">
      <c r="B179" s="173"/>
      <c r="D179" s="173"/>
      <c r="E179" s="187" t="s">
        <v>2531</v>
      </c>
      <c r="F179" s="173" t="str">
        <f t="shared" si="10"/>
        <v>请填写</v>
      </c>
      <c r="G179" s="173" t="str">
        <f>INDEX(服务费底表!$K:$K,MATCH('SOW-ERP导入表'!$E179,服务费底表!$D:$D,0))</f>
        <v>A066</v>
      </c>
      <c r="H179" s="183" t="str">
        <f>INDEX(服务费底表!L:L,MATCH('SOW-ERP导入表'!$E179,服务费底表!$D:$D,0))</f>
        <v>召开客户电话会</v>
      </c>
      <c r="I179" s="173" t="str">
        <f>INDEX(服务费底表!$T:$T,MATCH('SOW-ERP导入表'!$E179,服务费底表!$D:$D,0))</f>
        <v>LDM</v>
      </c>
      <c r="J179" s="184">
        <f>SUMIF(服务费底表!$D:$D,E179,服务费底表!$AC:$AC)+SUMIF(注册申报底表!$D:$D,'SOW-ERP导入表'!E179,注册申报底表!$Z:$Z)</f>
        <v>0</v>
      </c>
      <c r="K179" s="173">
        <f>IFERROR(INDEX(服务费底表!$C:$C,MATCH('SOW-ERP导入表'!$E179,服务费底表!$D:$D,0)),0)+IFERROR(INDEX(注册申报底表!$C:$C,MATCH('SOW-ERP导入表'!$E179,注册申报底表!$D:$D,0)),0)</f>
        <v>23</v>
      </c>
      <c r="L179" s="185">
        <f t="shared" si="9"/>
        <v>0</v>
      </c>
      <c r="M179" s="184">
        <f>SUMIF(服务费底表!$D:$D,E179,服务费底表!$AG:$AG)+SUMIF(注册申报底表!$D:$D,'SOW-ERP导入表'!E179,注册申报底表!$AD:$AD)</f>
        <v>0</v>
      </c>
    </row>
    <row r="180" spans="2:13">
      <c r="B180" s="173"/>
      <c r="D180" s="173"/>
      <c r="E180" s="187" t="s">
        <v>2532</v>
      </c>
      <c r="F180" s="173" t="str">
        <f t="shared" si="10"/>
        <v>请填写</v>
      </c>
      <c r="G180" s="173" t="str">
        <f>INDEX(服务费底表!$K:$K,MATCH('SOW-ERP导入表'!$E180,服务费底表!$D:$D,0))</f>
        <v>A066</v>
      </c>
      <c r="H180" s="183" t="str">
        <f>INDEX(服务费底表!L:L,MATCH('SOW-ERP导入表'!$E180,服务费底表!$D:$D,0))</f>
        <v>召开客户电话会</v>
      </c>
      <c r="I180" s="173" t="str">
        <f>INDEX(服务费底表!$T:$T,MATCH('SOW-ERP导入表'!$E180,服务费底表!$D:$D,0))</f>
        <v>ST</v>
      </c>
      <c r="J180" s="184">
        <f>SUMIF(服务费底表!$D:$D,E180,服务费底表!$AC:$AC)+SUMIF(注册申报底表!$D:$D,'SOW-ERP导入表'!E180,注册申报底表!$Z:$Z)</f>
        <v>0</v>
      </c>
      <c r="K180" s="173">
        <f>IFERROR(INDEX(服务费底表!$C:$C,MATCH('SOW-ERP导入表'!$E180,服务费底表!$D:$D,0)),0)+IFERROR(INDEX(注册申报底表!$C:$C,MATCH('SOW-ERP导入表'!$E180,注册申报底表!$D:$D,0)),0)</f>
        <v>23</v>
      </c>
      <c r="L180" s="185">
        <f t="shared" si="9"/>
        <v>0</v>
      </c>
      <c r="M180" s="184">
        <f>SUMIF(服务费底表!$D:$D,E180,服务费底表!$AG:$AG)+SUMIF(注册申报底表!$D:$D,'SOW-ERP导入表'!E180,注册申报底表!$AD:$AD)</f>
        <v>0</v>
      </c>
    </row>
    <row r="181" spans="2:13">
      <c r="B181" s="173"/>
      <c r="D181" s="173"/>
      <c r="E181" s="187" t="s">
        <v>2533</v>
      </c>
      <c r="F181" s="173" t="str">
        <f t="shared" si="10"/>
        <v>请填写</v>
      </c>
      <c r="G181" s="173" t="str">
        <f>INDEX(服务费底表!$K:$K,MATCH('SOW-ERP导入表'!$E181,服务费底表!$D:$D,0))</f>
        <v>A066</v>
      </c>
      <c r="H181" s="183" t="str">
        <f>INDEX(服务费底表!L:L,MATCH('SOW-ERP导入表'!$E181,服务费底表!$D:$D,0))</f>
        <v>召开客户电话会</v>
      </c>
      <c r="I181" s="173" t="str">
        <f>INDEX(服务费底表!$T:$T,MATCH('SOW-ERP导入表'!$E181,服务费底表!$D:$D,0))</f>
        <v>PVM</v>
      </c>
      <c r="J181" s="184">
        <f>SUMIF(服务费底表!$D:$D,E181,服务费底表!$AC:$AC)+SUMIF(注册申报底表!$D:$D,'SOW-ERP导入表'!E181,注册申报底表!$Z:$Z)</f>
        <v>0</v>
      </c>
      <c r="K181" s="173">
        <f>IFERROR(INDEX(服务费底表!$C:$C,MATCH('SOW-ERP导入表'!$E181,服务费底表!$D:$D,0)),0)+IFERROR(INDEX(注册申报底表!$C:$C,MATCH('SOW-ERP导入表'!$E181,注册申报底表!$D:$D,0)),0)</f>
        <v>23</v>
      </c>
      <c r="L181" s="185">
        <f t="shared" si="9"/>
        <v>0</v>
      </c>
      <c r="M181" s="184">
        <f>SUMIF(服务费底表!$D:$D,E181,服务费底表!$AG:$AG)+SUMIF(注册申报底表!$D:$D,'SOW-ERP导入表'!E181,注册申报底表!$AD:$AD)</f>
        <v>0</v>
      </c>
    </row>
    <row r="182" spans="2:13">
      <c r="B182" s="173"/>
      <c r="D182" s="173"/>
      <c r="E182" s="187" t="s">
        <v>2534</v>
      </c>
      <c r="F182" s="173" t="str">
        <f t="shared" si="10"/>
        <v>请填写</v>
      </c>
      <c r="G182" s="173" t="str">
        <f>INDEX(服务费底表!$K:$K,MATCH('SOW-ERP导入表'!$E182,服务费底表!$D:$D,0))</f>
        <v>A066</v>
      </c>
      <c r="H182" s="183" t="str">
        <f>INDEX(服务费底表!L:L,MATCH('SOW-ERP导入表'!$E182,服务费底表!$D:$D,0))</f>
        <v>召开客户电话会</v>
      </c>
      <c r="I182" s="173" t="str">
        <f>INDEX(服务费底表!$T:$T,MATCH('SOW-ERP导入表'!$E182,服务费底表!$D:$D,0))</f>
        <v>CPSS</v>
      </c>
      <c r="J182" s="184">
        <f>SUMIF(服务费底表!$D:$D,E182,服务费底表!$AC:$AC)+SUMIF(注册申报底表!$D:$D,'SOW-ERP导入表'!E182,注册申报底表!$Z:$Z)</f>
        <v>0</v>
      </c>
      <c r="K182" s="173">
        <f>IFERROR(INDEX(服务费底表!$C:$C,MATCH('SOW-ERP导入表'!$E182,服务费底表!$D:$D,0)),0)+IFERROR(INDEX(注册申报底表!$C:$C,MATCH('SOW-ERP导入表'!$E182,注册申报底表!$D:$D,0)),0)</f>
        <v>23</v>
      </c>
      <c r="L182" s="185">
        <f t="shared" si="9"/>
        <v>0</v>
      </c>
      <c r="M182" s="184">
        <f>SUMIF(服务费底表!$D:$D,E182,服务费底表!$AG:$AG)+SUMIF(注册申报底表!$D:$D,'SOW-ERP导入表'!E182,注册申报底表!$AD:$AD)</f>
        <v>0</v>
      </c>
    </row>
    <row r="183" spans="2:13">
      <c r="B183" s="173"/>
      <c r="D183" s="173"/>
      <c r="E183" s="187" t="s">
        <v>2535</v>
      </c>
      <c r="F183" s="173" t="str">
        <f t="shared" si="10"/>
        <v>请填写</v>
      </c>
      <c r="G183" s="173" t="str">
        <f>INDEX(服务费底表!$K:$K,MATCH('SOW-ERP导入表'!$E183,服务费底表!$D:$D,0))</f>
        <v>A067</v>
      </c>
      <c r="H183" s="183" t="str">
        <f>INDEX(服务费底表!L:L,MATCH('SOW-ERP导入表'!$E183,服务费底表!$D:$D,0))</f>
        <v>致客户项目进展报告撰写</v>
      </c>
      <c r="I183" s="173" t="str">
        <f>INDEX(服务费底表!$T:$T,MATCH('SOW-ERP导入表'!$E183,服务费底表!$D:$D,0))</f>
        <v>PM</v>
      </c>
      <c r="J183" s="184">
        <f>SUMIF(服务费底表!$D:$D,E183,服务费底表!$AC:$AC)+SUMIF(注册申报底表!$D:$D,'SOW-ERP导入表'!E183,注册申报底表!$Z:$Z)</f>
        <v>46</v>
      </c>
      <c r="K183" s="173">
        <f>IFERROR(INDEX(服务费底表!$C:$C,MATCH('SOW-ERP导入表'!$E183,服务费底表!$D:$D,0)),0)+IFERROR(INDEX(注册申报底表!$C:$C,MATCH('SOW-ERP导入表'!$E183,注册申报底表!$D:$D,0)),0)</f>
        <v>23</v>
      </c>
      <c r="L183" s="185">
        <f t="shared" si="9"/>
        <v>1300</v>
      </c>
      <c r="M183" s="184">
        <f>SUMIF(服务费底表!$D:$D,E183,服务费底表!$AG:$AG)+SUMIF(注册申报底表!$D:$D,'SOW-ERP导入表'!E183,注册申报底表!$AD:$AD)</f>
        <v>29900</v>
      </c>
    </row>
    <row r="184" spans="2:13">
      <c r="B184" s="173"/>
      <c r="D184" s="173"/>
      <c r="E184" s="187" t="s">
        <v>2536</v>
      </c>
      <c r="F184" s="173" t="str">
        <f t="shared" si="10"/>
        <v>请填写</v>
      </c>
      <c r="G184" s="173" t="str">
        <f>INDEX(服务费底表!$K:$K,MATCH('SOW-ERP导入表'!$E184,服务费底表!$D:$D,0))</f>
        <v>A068</v>
      </c>
      <c r="H184" s="183" t="str">
        <f>INDEX(服务费底表!L:L,MATCH('SOW-ERP导入表'!$E184,服务费底表!$D:$D,0))</f>
        <v>召开客户面对面会</v>
      </c>
      <c r="I184" s="173" t="str">
        <f>INDEX(服务费底表!$T:$T,MATCH('SOW-ERP导入表'!$E184,服务费底表!$D:$D,0))</f>
        <v>PM</v>
      </c>
      <c r="J184" s="184">
        <f>SUMIF(服务费底表!$D:$D,E184,服务费底表!$AC:$AC)+SUMIF(注册申报底表!$D:$D,'SOW-ERP导入表'!E184,注册申报底表!$Z:$Z)</f>
        <v>0</v>
      </c>
      <c r="K184" s="173">
        <f>IFERROR(INDEX(服务费底表!$C:$C,MATCH('SOW-ERP导入表'!$E184,服务费底表!$D:$D,0)),0)+IFERROR(INDEX(注册申报底表!$C:$C,MATCH('SOW-ERP导入表'!$E184,注册申报底表!$D:$D,0)),0)</f>
        <v>0</v>
      </c>
      <c r="L184" s="185">
        <f t="shared" si="9"/>
        <v>0</v>
      </c>
      <c r="M184" s="184">
        <f>SUMIF(服务费底表!$D:$D,E184,服务费底表!$AG:$AG)+SUMIF(注册申报底表!$D:$D,'SOW-ERP导入表'!E184,注册申报底表!$AD:$AD)</f>
        <v>0</v>
      </c>
    </row>
    <row r="185" spans="2:13">
      <c r="B185" s="173"/>
      <c r="D185" s="173"/>
      <c r="E185" s="187" t="s">
        <v>2537</v>
      </c>
      <c r="F185" s="173" t="str">
        <f t="shared" si="10"/>
        <v>请填写</v>
      </c>
      <c r="G185" s="173" t="str">
        <f>INDEX(服务费底表!$K:$K,MATCH('SOW-ERP导入表'!$E185,服务费底表!$D:$D,0))</f>
        <v>A068</v>
      </c>
      <c r="H185" s="183" t="str">
        <f>INDEX(服务费底表!L:L,MATCH('SOW-ERP导入表'!$E185,服务费底表!$D:$D,0))</f>
        <v>召开客户面对面会</v>
      </c>
      <c r="I185" s="173" t="str">
        <f>INDEX(服务费底表!$T:$T,MATCH('SOW-ERP导入表'!$E185,服务费底表!$D:$D,0))</f>
        <v>PMD</v>
      </c>
      <c r="J185" s="184">
        <f>SUMIF(服务费底表!$D:$D,E185,服务费底表!$AC:$AC)+SUMIF(注册申报底表!$D:$D,'SOW-ERP导入表'!E185,注册申报底表!$Z:$Z)</f>
        <v>0</v>
      </c>
      <c r="K185" s="173">
        <f>IFERROR(INDEX(服务费底表!$C:$C,MATCH('SOW-ERP导入表'!$E185,服务费底表!$D:$D,0)),0)+IFERROR(INDEX(注册申报底表!$C:$C,MATCH('SOW-ERP导入表'!$E185,注册申报底表!$D:$D,0)),0)</f>
        <v>0</v>
      </c>
      <c r="L185" s="185">
        <f t="shared" si="9"/>
        <v>0</v>
      </c>
      <c r="M185" s="184">
        <f>SUMIF(服务费底表!$D:$D,E185,服务费底表!$AG:$AG)+SUMIF(注册申报底表!$D:$D,'SOW-ERP导入表'!E185,注册申报底表!$AD:$AD)</f>
        <v>0</v>
      </c>
    </row>
    <row r="186" spans="2:13">
      <c r="B186" s="173"/>
      <c r="D186" s="173"/>
      <c r="E186" s="187" t="s">
        <v>2538</v>
      </c>
      <c r="F186" s="173" t="str">
        <f t="shared" si="10"/>
        <v>请填写</v>
      </c>
      <c r="G186" s="173" t="str">
        <f>INDEX(服务费底表!$K:$K,MATCH('SOW-ERP导入表'!$E186,服务费底表!$D:$D,0))</f>
        <v>A068</v>
      </c>
      <c r="H186" s="183" t="str">
        <f>INDEX(服务费底表!L:L,MATCH('SOW-ERP导入表'!$E186,服务费底表!$D:$D,0))</f>
        <v>召开客户面对面会</v>
      </c>
      <c r="I186" s="173" t="str">
        <f>INDEX(服务费底表!$T:$T,MATCH('SOW-ERP导入表'!$E186,服务费底表!$D:$D,0))</f>
        <v>MM</v>
      </c>
      <c r="J186" s="184">
        <f>SUMIF(服务费底表!$D:$D,E186,服务费底表!$AC:$AC)+SUMIF(注册申报底表!$D:$D,'SOW-ERP导入表'!E186,注册申报底表!$Z:$Z)</f>
        <v>0</v>
      </c>
      <c r="K186" s="173">
        <f>IFERROR(INDEX(服务费底表!$C:$C,MATCH('SOW-ERP导入表'!$E186,服务费底表!$D:$D,0)),0)+IFERROR(INDEX(注册申报底表!$C:$C,MATCH('SOW-ERP导入表'!$E186,注册申报底表!$D:$D,0)),0)</f>
        <v>0</v>
      </c>
      <c r="L186" s="185">
        <f t="shared" si="9"/>
        <v>0</v>
      </c>
      <c r="M186" s="184">
        <f>SUMIF(服务费底表!$D:$D,E186,服务费底表!$AG:$AG)+SUMIF(注册申报底表!$D:$D,'SOW-ERP导入表'!E186,注册申报底表!$AD:$AD)</f>
        <v>0</v>
      </c>
    </row>
    <row r="187" spans="2:13">
      <c r="B187" s="173"/>
      <c r="D187" s="173"/>
      <c r="E187" s="187" t="s">
        <v>2539</v>
      </c>
      <c r="F187" s="173" t="str">
        <f t="shared" si="10"/>
        <v>请填写</v>
      </c>
      <c r="G187" s="173" t="str">
        <f>INDEX(服务费底表!$K:$K,MATCH('SOW-ERP导入表'!$E187,服务费底表!$D:$D,0))</f>
        <v>A068</v>
      </c>
      <c r="H187" s="183" t="str">
        <f>INDEX(服务费底表!L:L,MATCH('SOW-ERP导入表'!$E187,服务费底表!$D:$D,0))</f>
        <v>召开客户面对面会</v>
      </c>
      <c r="I187" s="173" t="str">
        <f>INDEX(服务费底表!$T:$T,MATCH('SOW-ERP导入表'!$E187,服务费底表!$D:$D,0))</f>
        <v>MD</v>
      </c>
      <c r="J187" s="184">
        <f>SUMIF(服务费底表!$D:$D,E187,服务费底表!$AC:$AC)+SUMIF(注册申报底表!$D:$D,'SOW-ERP导入表'!E187,注册申报底表!$Z:$Z)</f>
        <v>0</v>
      </c>
      <c r="K187" s="173">
        <f>IFERROR(INDEX(服务费底表!$C:$C,MATCH('SOW-ERP导入表'!$E187,服务费底表!$D:$D,0)),0)+IFERROR(INDEX(注册申报底表!$C:$C,MATCH('SOW-ERP导入表'!$E187,注册申报底表!$D:$D,0)),0)</f>
        <v>0</v>
      </c>
      <c r="L187" s="185">
        <f t="shared" si="9"/>
        <v>0</v>
      </c>
      <c r="M187" s="184">
        <f>SUMIF(服务费底表!$D:$D,E187,服务费底表!$AG:$AG)+SUMIF(注册申报底表!$D:$D,'SOW-ERP导入表'!E187,注册申报底表!$AD:$AD)</f>
        <v>0</v>
      </c>
    </row>
    <row r="188" spans="2:13">
      <c r="B188" s="173"/>
      <c r="D188" s="173"/>
      <c r="E188" s="187" t="s">
        <v>2540</v>
      </c>
      <c r="F188" s="173" t="str">
        <f t="shared" si="10"/>
        <v>请填写</v>
      </c>
      <c r="G188" s="173" t="str">
        <f>INDEX(服务费底表!$K:$K,MATCH('SOW-ERP导入表'!$E188,服务费底表!$D:$D,0))</f>
        <v>A069</v>
      </c>
      <c r="H188" s="183" t="str">
        <f>INDEX(服务费底表!L:L,MATCH('SOW-ERP导入表'!$E188,服务费底表!$D:$D,0))</f>
        <v>召开项目电话会</v>
      </c>
      <c r="I188" s="173" t="str">
        <f>INDEX(服务费底表!$T:$T,MATCH('SOW-ERP导入表'!$E188,服务费底表!$D:$D,0))</f>
        <v>PM</v>
      </c>
      <c r="J188" s="184">
        <f>SUMIF(服务费底表!$D:$D,E188,服务费底表!$AC:$AC)+SUMIF(注册申报底表!$D:$D,'SOW-ERP导入表'!E188,注册申报底表!$Z:$Z)</f>
        <v>66</v>
      </c>
      <c r="K188" s="173">
        <f>IFERROR(INDEX(服务费底表!$C:$C,MATCH('SOW-ERP导入表'!$E188,服务费底表!$D:$D,0)),0)+IFERROR(INDEX(注册申报底表!$C:$C,MATCH('SOW-ERP导入表'!$E188,注册申报底表!$D:$D,0)),0)</f>
        <v>33</v>
      </c>
      <c r="L188" s="185">
        <f t="shared" si="9"/>
        <v>1300</v>
      </c>
      <c r="M188" s="184">
        <f>SUMIF(服务费底表!$D:$D,E188,服务费底表!$AG:$AG)+SUMIF(注册申报底表!$D:$D,'SOW-ERP导入表'!E188,注册申报底表!$AD:$AD)</f>
        <v>42900</v>
      </c>
    </row>
    <row r="189" spans="2:13">
      <c r="B189" s="173"/>
      <c r="D189" s="173"/>
      <c r="E189" s="187" t="s">
        <v>2541</v>
      </c>
      <c r="F189" s="173" t="str">
        <f t="shared" si="10"/>
        <v>请填写</v>
      </c>
      <c r="G189" s="173" t="str">
        <f>INDEX(服务费底表!$K:$K,MATCH('SOW-ERP导入表'!$E189,服务费底表!$D:$D,0))</f>
        <v>A069</v>
      </c>
      <c r="H189" s="183" t="str">
        <f>INDEX(服务费底表!L:L,MATCH('SOW-ERP导入表'!$E189,服务费底表!$D:$D,0))</f>
        <v>召开项目电话会</v>
      </c>
      <c r="I189" s="173" t="str">
        <f>INDEX(服务费底表!$T:$T,MATCH('SOW-ERP导入表'!$E189,服务费底表!$D:$D,0))</f>
        <v>MM</v>
      </c>
      <c r="J189" s="184">
        <f>SUMIF(服务费底表!$D:$D,E189,服务费底表!$AC:$AC)+SUMIF(注册申报底表!$D:$D,'SOW-ERP导入表'!E189,注册申报底表!$Z:$Z)</f>
        <v>8.25</v>
      </c>
      <c r="K189" s="173">
        <f>IFERROR(INDEX(服务费底表!$C:$C,MATCH('SOW-ERP导入表'!$E189,服务费底表!$D:$D,0)),0)+IFERROR(INDEX(注册申报底表!$C:$C,MATCH('SOW-ERP导入表'!$E189,注册申报底表!$D:$D,0)),0)</f>
        <v>33</v>
      </c>
      <c r="L189" s="185">
        <f t="shared" si="9"/>
        <v>162.5</v>
      </c>
      <c r="M189" s="184">
        <f>SUMIF(服务费底表!$D:$D,E189,服务费底表!$AG:$AG)+SUMIF(注册申报底表!$D:$D,'SOW-ERP导入表'!E189,注册申报底表!$AD:$AD)</f>
        <v>5362.5</v>
      </c>
    </row>
    <row r="190" spans="2:13">
      <c r="B190" s="173"/>
      <c r="D190" s="173"/>
      <c r="E190" s="187" t="s">
        <v>2542</v>
      </c>
      <c r="F190" s="173" t="str">
        <f t="shared" si="10"/>
        <v>请填写</v>
      </c>
      <c r="G190" s="173" t="str">
        <f>INDEX(服务费底表!$K:$K,MATCH('SOW-ERP导入表'!$E190,服务费底表!$D:$D,0))</f>
        <v>A069</v>
      </c>
      <c r="H190" s="183" t="str">
        <f>INDEX(服务费底表!L:L,MATCH('SOW-ERP导入表'!$E190,服务费底表!$D:$D,0))</f>
        <v>召开项目电话会</v>
      </c>
      <c r="I190" s="173" t="str">
        <f>INDEX(服务费底表!$T:$T,MATCH('SOW-ERP导入表'!$E190,服务费底表!$D:$D,0))</f>
        <v>CRA</v>
      </c>
      <c r="J190" s="184">
        <f>SUMIF(服务费底表!$D:$D,E190,服务费底表!$AC:$AC)+SUMIF(注册申报底表!$D:$D,'SOW-ERP导入表'!E190,注册申报底表!$Z:$Z)</f>
        <v>33</v>
      </c>
      <c r="K190" s="173">
        <f>IFERROR(INDEX(服务费底表!$C:$C,MATCH('SOW-ERP导入表'!$E190,服务费底表!$D:$D,0)),0)+IFERROR(INDEX(注册申报底表!$C:$C,MATCH('SOW-ERP导入表'!$E190,注册申报底表!$D:$D,0)),0)</f>
        <v>33</v>
      </c>
      <c r="L190" s="185">
        <f t="shared" si="9"/>
        <v>340</v>
      </c>
      <c r="M190" s="184">
        <f>SUMIF(服务费底表!$D:$D,E190,服务费底表!$AG:$AG)+SUMIF(注册申报底表!$D:$D,'SOW-ERP导入表'!E190,注册申报底表!$AD:$AD)</f>
        <v>11220</v>
      </c>
    </row>
    <row r="191" spans="2:13">
      <c r="B191" s="173"/>
      <c r="D191" s="173"/>
      <c r="E191" s="187" t="s">
        <v>2543</v>
      </c>
      <c r="F191" s="173" t="str">
        <f t="shared" si="10"/>
        <v>请填写</v>
      </c>
      <c r="G191" s="173" t="str">
        <f>INDEX(服务费底表!$K:$K,MATCH('SOW-ERP导入表'!$E191,服务费底表!$D:$D,0))</f>
        <v>A069</v>
      </c>
      <c r="H191" s="183" t="str">
        <f>INDEX(服务费底表!L:L,MATCH('SOW-ERP导入表'!$E191,服务费底表!$D:$D,0))</f>
        <v>召开项目电话会</v>
      </c>
      <c r="I191" s="173" t="str">
        <f>INDEX(服务费底表!$T:$T,MATCH('SOW-ERP导入表'!$E191,服务费底表!$D:$D,0))</f>
        <v>CTA</v>
      </c>
      <c r="J191" s="184">
        <f>SUMIF(服务费底表!$D:$D,E191,服务费底表!$AC:$AC)+SUMIF(注册申报底表!$D:$D,'SOW-ERP导入表'!E191,注册申报底表!$Z:$Z)</f>
        <v>33</v>
      </c>
      <c r="K191" s="173">
        <f>IFERROR(INDEX(服务费底表!$C:$C,MATCH('SOW-ERP导入表'!$E191,服务费底表!$D:$D,0)),0)+IFERROR(INDEX(注册申报底表!$C:$C,MATCH('SOW-ERP导入表'!$E191,注册申报底表!$D:$D,0)),0)</f>
        <v>33</v>
      </c>
      <c r="L191" s="185">
        <f t="shared" si="9"/>
        <v>220</v>
      </c>
      <c r="M191" s="184">
        <f>SUMIF(服务费底表!$D:$D,E191,服务费底表!$AG:$AG)+SUMIF(注册申报底表!$D:$D,'SOW-ERP导入表'!E191,注册申报底表!$AD:$AD)</f>
        <v>7260</v>
      </c>
    </row>
    <row r="192" spans="2:13">
      <c r="B192" s="173"/>
      <c r="D192" s="173"/>
      <c r="E192" s="187" t="s">
        <v>2544</v>
      </c>
      <c r="F192" s="173" t="str">
        <f t="shared" si="10"/>
        <v>请填写</v>
      </c>
      <c r="G192" s="173" t="str">
        <f>INDEX(服务费底表!$K:$K,MATCH('SOW-ERP导入表'!$E192,服务费底表!$D:$D,0))</f>
        <v>A069</v>
      </c>
      <c r="H192" s="183" t="str">
        <f>INDEX(服务费底表!L:L,MATCH('SOW-ERP导入表'!$E192,服务费底表!$D:$D,0))</f>
        <v>召开项目电话会</v>
      </c>
      <c r="I192" s="173" t="str">
        <f>INDEX(服务费底表!$T:$T,MATCH('SOW-ERP导入表'!$E192,服务费底表!$D:$D,0))</f>
        <v>PMD</v>
      </c>
      <c r="J192" s="184">
        <f>SUMIF(服务费底表!$D:$D,E192,服务费底表!$AC:$AC)+SUMIF(注册申报底表!$D:$D,'SOW-ERP导入表'!E192,注册申报底表!$Z:$Z)</f>
        <v>8.25</v>
      </c>
      <c r="K192" s="173">
        <f>IFERROR(INDEX(服务费底表!$C:$C,MATCH('SOW-ERP导入表'!$E192,服务费底表!$D:$D,0)),0)+IFERROR(INDEX(注册申报底表!$C:$C,MATCH('SOW-ERP导入表'!$E192,注册申报底表!$D:$D,0)),0)</f>
        <v>33</v>
      </c>
      <c r="L192" s="185">
        <f t="shared" si="9"/>
        <v>200</v>
      </c>
      <c r="M192" s="184">
        <f>SUMIF(服务费底表!$D:$D,E192,服务费底表!$AG:$AG)+SUMIF(注册申报底表!$D:$D,'SOW-ERP导入表'!E192,注册申报底表!$AD:$AD)</f>
        <v>6600</v>
      </c>
    </row>
    <row r="193" spans="2:13">
      <c r="B193" s="173"/>
      <c r="D193" s="173"/>
      <c r="E193" s="187" t="s">
        <v>2545</v>
      </c>
      <c r="F193" s="173" t="str">
        <f t="shared" si="10"/>
        <v>请填写</v>
      </c>
      <c r="G193" s="173" t="str">
        <f>INDEX(服务费底表!$K:$K,MATCH('SOW-ERP导入表'!$E193,服务费底表!$D:$D,0))</f>
        <v>A069</v>
      </c>
      <c r="H193" s="183" t="str">
        <f>INDEX(服务费底表!L:L,MATCH('SOW-ERP导入表'!$E193,服务费底表!$D:$D,0))</f>
        <v>召开项目电话会</v>
      </c>
      <c r="I193" s="173" t="str">
        <f>INDEX(服务费底表!$T:$T,MATCH('SOW-ERP导入表'!$E193,服务费底表!$D:$D,0))</f>
        <v>LDM</v>
      </c>
      <c r="J193" s="184">
        <f>SUMIF(服务费底表!$D:$D,E193,服务费底表!$AC:$AC)+SUMIF(注册申报底表!$D:$D,'SOW-ERP导入表'!E193,注册申报底表!$Z:$Z)</f>
        <v>8.25</v>
      </c>
      <c r="K193" s="173">
        <f>IFERROR(INDEX(服务费底表!$C:$C,MATCH('SOW-ERP导入表'!$E193,服务费底表!$D:$D,0)),0)+IFERROR(INDEX(注册申报底表!$C:$C,MATCH('SOW-ERP导入表'!$E193,注册申报底表!$D:$D,0)),0)</f>
        <v>33</v>
      </c>
      <c r="L193" s="185">
        <f t="shared" si="9"/>
        <v>90</v>
      </c>
      <c r="M193" s="184">
        <f>SUMIF(服务费底表!$D:$D,E193,服务费底表!$AG:$AG)+SUMIF(注册申报底表!$D:$D,'SOW-ERP导入表'!E193,注册申报底表!$AD:$AD)</f>
        <v>2970</v>
      </c>
    </row>
    <row r="194" spans="2:13">
      <c r="B194" s="173"/>
      <c r="D194" s="173"/>
      <c r="E194" s="187" t="s">
        <v>2546</v>
      </c>
      <c r="F194" s="173" t="str">
        <f t="shared" si="10"/>
        <v>请填写</v>
      </c>
      <c r="G194" s="173" t="str">
        <f>INDEX(服务费底表!$K:$K,MATCH('SOW-ERP导入表'!$E194,服务费底表!$D:$D,0))</f>
        <v>A069</v>
      </c>
      <c r="H194" s="183" t="str">
        <f>INDEX(服务费底表!L:L,MATCH('SOW-ERP导入表'!$E194,服务费底表!$D:$D,0))</f>
        <v>召开项目电话会</v>
      </c>
      <c r="I194" s="173" t="str">
        <f>INDEX(服务费底表!$T:$T,MATCH('SOW-ERP导入表'!$E194,服务费底表!$D:$D,0))</f>
        <v>ST</v>
      </c>
      <c r="J194" s="184">
        <f>SUMIF(服务费底表!$D:$D,E194,服务费底表!$AC:$AC)+SUMIF(注册申报底表!$D:$D,'SOW-ERP导入表'!E194,注册申报底表!$Z:$Z)</f>
        <v>8.25</v>
      </c>
      <c r="K194" s="173">
        <f>IFERROR(INDEX(服务费底表!$C:$C,MATCH('SOW-ERP导入表'!$E194,服务费底表!$D:$D,0)),0)+IFERROR(INDEX(注册申报底表!$C:$C,MATCH('SOW-ERP导入表'!$E194,注册申报底表!$D:$D,0)),0)</f>
        <v>33</v>
      </c>
      <c r="L194" s="185">
        <f t="shared" si="9"/>
        <v>100</v>
      </c>
      <c r="M194" s="184">
        <f>SUMIF(服务费底表!$D:$D,E194,服务费底表!$AG:$AG)+SUMIF(注册申报底表!$D:$D,'SOW-ERP导入表'!E194,注册申报底表!$AD:$AD)</f>
        <v>3300</v>
      </c>
    </row>
    <row r="195" spans="2:13">
      <c r="B195" s="173"/>
      <c r="D195" s="173"/>
      <c r="E195" s="187" t="s">
        <v>2547</v>
      </c>
      <c r="F195" s="173" t="str">
        <f t="shared" si="10"/>
        <v>请填写</v>
      </c>
      <c r="G195" s="173" t="str">
        <f>INDEX(服务费底表!$K:$K,MATCH('SOW-ERP导入表'!$E195,服务费底表!$D:$D,0))</f>
        <v>A069</v>
      </c>
      <c r="H195" s="183" t="str">
        <f>INDEX(服务费底表!L:L,MATCH('SOW-ERP导入表'!$E195,服务费底表!$D:$D,0))</f>
        <v>召开项目电话会</v>
      </c>
      <c r="I195" s="173" t="str">
        <f>INDEX(服务费底表!$T:$T,MATCH('SOW-ERP导入表'!$E195,服务费底表!$D:$D,0))</f>
        <v>PVM</v>
      </c>
      <c r="J195" s="184">
        <f>SUMIF(服务费底表!$D:$D,E195,服务费底表!$AC:$AC)+SUMIF(注册申报底表!$D:$D,'SOW-ERP导入表'!E195,注册申报底表!$Z:$Z)</f>
        <v>8.25</v>
      </c>
      <c r="K195" s="173">
        <f>IFERROR(INDEX(服务费底表!$C:$C,MATCH('SOW-ERP导入表'!$E195,服务费底表!$D:$D,0)),0)+IFERROR(INDEX(注册申报底表!$C:$C,MATCH('SOW-ERP导入表'!$E195,注册申报底表!$D:$D,0)),0)</f>
        <v>33</v>
      </c>
      <c r="L195" s="185">
        <f t="shared" si="9"/>
        <v>125</v>
      </c>
      <c r="M195" s="184">
        <f>SUMIF(服务费底表!$D:$D,E195,服务费底表!$AG:$AG)+SUMIF(注册申报底表!$D:$D,'SOW-ERP导入表'!E195,注册申报底表!$AD:$AD)</f>
        <v>4125</v>
      </c>
    </row>
    <row r="196" spans="2:13">
      <c r="B196" s="173"/>
      <c r="D196" s="173"/>
      <c r="E196" s="187" t="s">
        <v>2548</v>
      </c>
      <c r="F196" s="173" t="str">
        <f t="shared" si="10"/>
        <v>请填写</v>
      </c>
      <c r="G196" s="173" t="str">
        <f>INDEX(服务费底表!$K:$K,MATCH('SOW-ERP导入表'!$E196,服务费底表!$D:$D,0))</f>
        <v>A069</v>
      </c>
      <c r="H196" s="183" t="str">
        <f>INDEX(服务费底表!L:L,MATCH('SOW-ERP导入表'!$E196,服务费底表!$D:$D,0))</f>
        <v>召开项目电话会</v>
      </c>
      <c r="I196" s="173" t="str">
        <f>INDEX(服务费底表!$T:$T,MATCH('SOW-ERP导入表'!$E196,服务费底表!$D:$D,0))</f>
        <v>CPSS</v>
      </c>
      <c r="J196" s="184">
        <f>SUMIF(服务费底表!$D:$D,E196,服务费底表!$AC:$AC)+SUMIF(注册申报底表!$D:$D,'SOW-ERP导入表'!E196,注册申报底表!$Z:$Z)</f>
        <v>8.25</v>
      </c>
      <c r="K196" s="173">
        <f>IFERROR(INDEX(服务费底表!$C:$C,MATCH('SOW-ERP导入表'!$E196,服务费底表!$D:$D,0)),0)+IFERROR(INDEX(注册申报底表!$C:$C,MATCH('SOW-ERP导入表'!$E196,注册申报底表!$D:$D,0)),0)</f>
        <v>33</v>
      </c>
      <c r="L196" s="185">
        <f t="shared" si="9"/>
        <v>175</v>
      </c>
      <c r="M196" s="184">
        <f>SUMIF(服务费底表!$D:$D,E196,服务费底表!$AG:$AG)+SUMIF(注册申报底表!$D:$D,'SOW-ERP导入表'!E196,注册申报底表!$AD:$AD)</f>
        <v>5775</v>
      </c>
    </row>
    <row r="197" spans="2:13">
      <c r="B197" s="173"/>
      <c r="D197" s="173"/>
      <c r="E197" s="187" t="s">
        <v>2549</v>
      </c>
      <c r="F197" s="173" t="str">
        <f t="shared" si="10"/>
        <v>请填写</v>
      </c>
      <c r="G197" s="173" t="str">
        <f>INDEX(服务费底表!$K:$K,MATCH('SOW-ERP导入表'!$E197,服务费底表!$D:$D,0))</f>
        <v>A070</v>
      </c>
      <c r="H197" s="183" t="str">
        <f>INDEX(服务费底表!L:L,MATCH('SOW-ERP导入表'!$E197,服务费底表!$D:$D,0))</f>
        <v>召开监查员会</v>
      </c>
      <c r="I197" s="173" t="str">
        <f>INDEX(服务费底表!$T:$T,MATCH('SOW-ERP导入表'!$E197,服务费底表!$D:$D,0))</f>
        <v>CRA</v>
      </c>
      <c r="J197" s="184">
        <f>SUMIF(服务费底表!$D:$D,E197,服务费底表!$AC:$AC)+SUMIF(注册申报底表!$D:$D,'SOW-ERP导入表'!E197,注册申报底表!$Z:$Z)</f>
        <v>0</v>
      </c>
      <c r="K197" s="173">
        <f>IFERROR(INDEX(服务费底表!$C:$C,MATCH('SOW-ERP导入表'!$E197,服务费底表!$D:$D,0)),0)+IFERROR(INDEX(注册申报底表!$C:$C,MATCH('SOW-ERP导入表'!$E197,注册申报底表!$D:$D,0)),0)</f>
        <v>0</v>
      </c>
      <c r="L197" s="185">
        <f t="shared" si="9"/>
        <v>0</v>
      </c>
      <c r="M197" s="184">
        <f>SUMIF(服务费底表!$D:$D,E197,服务费底表!$AG:$AG)+SUMIF(注册申报底表!$D:$D,'SOW-ERP导入表'!E197,注册申报底表!$AD:$AD)</f>
        <v>0</v>
      </c>
    </row>
    <row r="198" spans="2:13">
      <c r="B198" s="173"/>
      <c r="D198" s="173"/>
      <c r="E198" s="187" t="s">
        <v>2550</v>
      </c>
      <c r="F198" s="173" t="str">
        <f t="shared" si="10"/>
        <v>请填写</v>
      </c>
      <c r="G198" s="173" t="str">
        <f>INDEX(服务费底表!$K:$K,MATCH('SOW-ERP导入表'!$E198,服务费底表!$D:$D,0))</f>
        <v>A070</v>
      </c>
      <c r="H198" s="183" t="str">
        <f>INDEX(服务费底表!L:L,MATCH('SOW-ERP导入表'!$E198,服务费底表!$D:$D,0))</f>
        <v>召开监查员会</v>
      </c>
      <c r="I198" s="173" t="str">
        <f>INDEX(服务费底表!$T:$T,MATCH('SOW-ERP导入表'!$E198,服务费底表!$D:$D,0))</f>
        <v>CTA</v>
      </c>
      <c r="J198" s="184">
        <f>SUMIF(服务费底表!$D:$D,E198,服务费底表!$AC:$AC)+SUMIF(注册申报底表!$D:$D,'SOW-ERP导入表'!E198,注册申报底表!$Z:$Z)</f>
        <v>0</v>
      </c>
      <c r="K198" s="173">
        <f>IFERROR(INDEX(服务费底表!$C:$C,MATCH('SOW-ERP导入表'!$E198,服务费底表!$D:$D,0)),0)+IFERROR(INDEX(注册申报底表!$C:$C,MATCH('SOW-ERP导入表'!$E198,注册申报底表!$D:$D,0)),0)</f>
        <v>0</v>
      </c>
      <c r="L198" s="185">
        <f t="shared" si="9"/>
        <v>0</v>
      </c>
      <c r="M198" s="184">
        <f>SUMIF(服务费底表!$D:$D,E198,服务费底表!$AG:$AG)+SUMIF(注册申报底表!$D:$D,'SOW-ERP导入表'!E198,注册申报底表!$AD:$AD)</f>
        <v>0</v>
      </c>
    </row>
    <row r="199" spans="2:13">
      <c r="B199" s="173"/>
      <c r="D199" s="173"/>
      <c r="E199" s="187" t="s">
        <v>2551</v>
      </c>
      <c r="F199" s="173" t="str">
        <f t="shared" si="10"/>
        <v>请填写</v>
      </c>
      <c r="G199" s="173" t="str">
        <f>INDEX(服务费底表!$K:$K,MATCH('SOW-ERP导入表'!$E199,服务费底表!$D:$D,0))</f>
        <v>A070</v>
      </c>
      <c r="H199" s="183" t="str">
        <f>INDEX(服务费底表!L:L,MATCH('SOW-ERP导入表'!$E199,服务费底表!$D:$D,0))</f>
        <v>召开监查员会</v>
      </c>
      <c r="I199" s="173" t="str">
        <f>INDEX(服务费底表!$T:$T,MATCH('SOW-ERP导入表'!$E199,服务费底表!$D:$D,0))</f>
        <v>PM</v>
      </c>
      <c r="J199" s="184">
        <f>SUMIF(服务费底表!$D:$D,E199,服务费底表!$AC:$AC)+SUMIF(注册申报底表!$D:$D,'SOW-ERP导入表'!E199,注册申报底表!$Z:$Z)</f>
        <v>0</v>
      </c>
      <c r="K199" s="173">
        <f>IFERROR(INDEX(服务费底表!$C:$C,MATCH('SOW-ERP导入表'!$E199,服务费底表!$D:$D,0)),0)+IFERROR(INDEX(注册申报底表!$C:$C,MATCH('SOW-ERP导入表'!$E199,注册申报底表!$D:$D,0)),0)</f>
        <v>0</v>
      </c>
      <c r="L199" s="185">
        <f t="shared" ref="L199:L262" si="11">IFERROR(M199/K199,0)</f>
        <v>0</v>
      </c>
      <c r="M199" s="184">
        <f>SUMIF(服务费底表!$D:$D,E199,服务费底表!$AG:$AG)+SUMIF(注册申报底表!$D:$D,'SOW-ERP导入表'!E199,注册申报底表!$AD:$AD)</f>
        <v>0</v>
      </c>
    </row>
    <row r="200" spans="2:13">
      <c r="B200" s="173"/>
      <c r="D200" s="173"/>
      <c r="E200" s="187" t="s">
        <v>2552</v>
      </c>
      <c r="F200" s="173" t="str">
        <f t="shared" si="10"/>
        <v>请填写</v>
      </c>
      <c r="G200" s="173" t="str">
        <f>INDEX(服务费底表!$K:$K,MATCH('SOW-ERP导入表'!$E200,服务费底表!$D:$D,0))</f>
        <v>A071</v>
      </c>
      <c r="H200" s="183" t="str">
        <f>INDEX(服务费底表!L:L,MATCH('SOW-ERP导入表'!$E200,服务费底表!$D:$D,0))</f>
        <v>文件移交至客户</v>
      </c>
      <c r="I200" s="173" t="str">
        <f>INDEX(服务费底表!$T:$T,MATCH('SOW-ERP导入表'!$E200,服务费底表!$D:$D,0))</f>
        <v>CRA</v>
      </c>
      <c r="J200" s="184">
        <f>SUMIF(服务费底表!$D:$D,E200,服务费底表!$AC:$AC)+SUMIF(注册申报底表!$D:$D,'SOW-ERP导入表'!E200,注册申报底表!$Z:$Z)</f>
        <v>16</v>
      </c>
      <c r="K200" s="173">
        <f>IFERROR(INDEX(服务费底表!$C:$C,MATCH('SOW-ERP导入表'!$E200,服务费底表!$D:$D,0)),0)+IFERROR(INDEX(注册申报底表!$C:$C,MATCH('SOW-ERP导入表'!$E200,注册申报底表!$D:$D,0)),0)</f>
        <v>1</v>
      </c>
      <c r="L200" s="185">
        <f t="shared" si="11"/>
        <v>5440</v>
      </c>
      <c r="M200" s="184">
        <f>SUMIF(服务费底表!$D:$D,E200,服务费底表!$AG:$AG)+SUMIF(注册申报底表!$D:$D,'SOW-ERP导入表'!E200,注册申报底表!$AD:$AD)</f>
        <v>5440</v>
      </c>
    </row>
    <row r="201" spans="2:13">
      <c r="B201" s="173"/>
      <c r="D201" s="173"/>
      <c r="E201" s="187" t="s">
        <v>2553</v>
      </c>
      <c r="F201" s="173" t="str">
        <f t="shared" si="10"/>
        <v>请填写</v>
      </c>
      <c r="G201" s="173" t="str">
        <f>INDEX(服务费底表!$K:$K,MATCH('SOW-ERP导入表'!$E201,服务费底表!$D:$D,0))</f>
        <v>A071</v>
      </c>
      <c r="H201" s="183" t="str">
        <f>INDEX(服务费底表!L:L,MATCH('SOW-ERP导入表'!$E201,服务费底表!$D:$D,0))</f>
        <v>文件移交至客户</v>
      </c>
      <c r="I201" s="173" t="str">
        <f>INDEX(服务费底表!$T:$T,MATCH('SOW-ERP导入表'!$E201,服务费底表!$D:$D,0))</f>
        <v>CTA</v>
      </c>
      <c r="J201" s="184">
        <f>SUMIF(服务费底表!$D:$D,E201,服务费底表!$AC:$AC)+SUMIF(注册申报底表!$D:$D,'SOW-ERP导入表'!E201,注册申报底表!$Z:$Z)</f>
        <v>40</v>
      </c>
      <c r="K201" s="173">
        <f>IFERROR(INDEX(服务费底表!$C:$C,MATCH('SOW-ERP导入表'!$E201,服务费底表!$D:$D,0)),0)+IFERROR(INDEX(注册申报底表!$C:$C,MATCH('SOW-ERP导入表'!$E201,注册申报底表!$D:$D,0)),0)</f>
        <v>1</v>
      </c>
      <c r="L201" s="185">
        <f t="shared" si="11"/>
        <v>8800</v>
      </c>
      <c r="M201" s="184">
        <f>SUMIF(服务费底表!$D:$D,E201,服务费底表!$AG:$AG)+SUMIF(注册申报底表!$D:$D,'SOW-ERP导入表'!E201,注册申报底表!$AD:$AD)</f>
        <v>8800</v>
      </c>
    </row>
    <row r="202" spans="2:13">
      <c r="B202" s="173"/>
      <c r="D202" s="173"/>
      <c r="E202" s="187" t="s">
        <v>2554</v>
      </c>
      <c r="F202" s="173" t="str">
        <f t="shared" si="10"/>
        <v>请填写</v>
      </c>
      <c r="G202" s="173" t="str">
        <f>INDEX(服务费底表!$K:$K,MATCH('SOW-ERP导入表'!$E202,服务费底表!$D:$D,0))</f>
        <v>A071</v>
      </c>
      <c r="H202" s="183" t="str">
        <f>INDEX(服务费底表!L:L,MATCH('SOW-ERP导入表'!$E202,服务费底表!$D:$D,0))</f>
        <v>文件移交至客户</v>
      </c>
      <c r="I202" s="173" t="str">
        <f>INDEX(服务费底表!$T:$T,MATCH('SOW-ERP导入表'!$E202,服务费底表!$D:$D,0))</f>
        <v>PM</v>
      </c>
      <c r="J202" s="184">
        <f>SUMIF(服务费底表!$D:$D,E202,服务费底表!$AC:$AC)+SUMIF(注册申报底表!$D:$D,'SOW-ERP导入表'!E202,注册申报底表!$Z:$Z)</f>
        <v>24</v>
      </c>
      <c r="K202" s="173">
        <f>IFERROR(INDEX(服务费底表!$C:$C,MATCH('SOW-ERP导入表'!$E202,服务费底表!$D:$D,0)),0)+IFERROR(INDEX(注册申报底表!$C:$C,MATCH('SOW-ERP导入表'!$E202,注册申报底表!$D:$D,0)),0)</f>
        <v>1</v>
      </c>
      <c r="L202" s="185">
        <f t="shared" si="11"/>
        <v>15600</v>
      </c>
      <c r="M202" s="184">
        <f>SUMIF(服务费底表!$D:$D,E202,服务费底表!$AG:$AG)+SUMIF(注册申报底表!$D:$D,'SOW-ERP导入表'!E202,注册申报底表!$AD:$AD)</f>
        <v>15600</v>
      </c>
    </row>
    <row r="203" spans="2:13">
      <c r="B203" s="173"/>
      <c r="D203" s="173"/>
      <c r="E203" s="187" t="s">
        <v>2555</v>
      </c>
      <c r="F203" s="173" t="str">
        <f t="shared" si="10"/>
        <v>请填写</v>
      </c>
      <c r="G203" s="173" t="str">
        <f>INDEX(服务费底表!$K:$K,MATCH('SOW-ERP导入表'!$E203,服务费底表!$D:$D,0))</f>
        <v>A072</v>
      </c>
      <c r="H203" s="183" t="str">
        <f>INDEX(服务费底表!L:L,MATCH('SOW-ERP导入表'!$E203,服务费底表!$D:$D,0))</f>
        <v>医学监查计划MMP撰写</v>
      </c>
      <c r="I203" s="173" t="str">
        <f>INDEX(服务费底表!$T:$T,MATCH('SOW-ERP导入表'!$E203,服务费底表!$D:$D,0))</f>
        <v>MM</v>
      </c>
      <c r="J203" s="184">
        <f>SUMIF(服务费底表!$D:$D,E203,服务费底表!$AC:$AC)+SUMIF(注册申报底表!$D:$D,'SOW-ERP导入表'!E203,注册申报底表!$Z:$Z)</f>
        <v>8</v>
      </c>
      <c r="K203" s="173">
        <f>IFERROR(INDEX(服务费底表!$C:$C,MATCH('SOW-ERP导入表'!$E203,服务费底表!$D:$D,0)),0)+IFERROR(INDEX(注册申报底表!$C:$C,MATCH('SOW-ERP导入表'!$E203,注册申报底表!$D:$D,0)),0)</f>
        <v>1</v>
      </c>
      <c r="L203" s="185">
        <f t="shared" si="11"/>
        <v>5200</v>
      </c>
      <c r="M203" s="184">
        <f>SUMIF(服务费底表!$D:$D,E203,服务费底表!$AG:$AG)+SUMIF(注册申报底表!$D:$D,'SOW-ERP导入表'!E203,注册申报底表!$AD:$AD)</f>
        <v>5200</v>
      </c>
    </row>
    <row r="204" spans="2:13">
      <c r="B204" s="173"/>
      <c r="D204" s="173"/>
      <c r="E204" s="187" t="s">
        <v>2556</v>
      </c>
      <c r="F204" s="173" t="str">
        <f t="shared" ref="F204:F267" si="12">$F$2</f>
        <v>请填写</v>
      </c>
      <c r="G204" s="173" t="str">
        <f>INDEX(服务费底表!$K:$K,MATCH('SOW-ERP导入表'!$E204,服务费底表!$D:$D,0))</f>
        <v>A072</v>
      </c>
      <c r="H204" s="183" t="str">
        <f>INDEX(服务费底表!L:L,MATCH('SOW-ERP导入表'!$E204,服务费底表!$D:$D,0))</f>
        <v>医学监查计划MMP撰写</v>
      </c>
      <c r="I204" s="173" t="str">
        <f>INDEX(服务费底表!$T:$T,MATCH('SOW-ERP导入表'!$E204,服务费底表!$D:$D,0))</f>
        <v>MD</v>
      </c>
      <c r="J204" s="184">
        <f>SUMIF(服务费底表!$D:$D,E204,服务费底表!$AC:$AC)+SUMIF(注册申报底表!$D:$D,'SOW-ERP导入表'!E204,注册申报底表!$Z:$Z)</f>
        <v>1</v>
      </c>
      <c r="K204" s="173">
        <f>IFERROR(INDEX(服务费底表!$C:$C,MATCH('SOW-ERP导入表'!$E204,服务费底表!$D:$D,0)),0)+IFERROR(INDEX(注册申报底表!$C:$C,MATCH('SOW-ERP导入表'!$E204,注册申报底表!$D:$D,0)),0)</f>
        <v>1</v>
      </c>
      <c r="L204" s="185">
        <f t="shared" si="11"/>
        <v>990</v>
      </c>
      <c r="M204" s="184">
        <f>SUMIF(服务费底表!$D:$D,E204,服务费底表!$AG:$AG)+SUMIF(注册申报底表!$D:$D,'SOW-ERP导入表'!E204,注册申报底表!$AD:$AD)</f>
        <v>990</v>
      </c>
    </row>
    <row r="205" spans="2:13">
      <c r="B205" s="173"/>
      <c r="D205" s="173"/>
      <c r="E205" s="187" t="s">
        <v>2557</v>
      </c>
      <c r="F205" s="173" t="str">
        <f t="shared" si="12"/>
        <v>请填写</v>
      </c>
      <c r="G205" s="173" t="str">
        <f>INDEX(服务费底表!$K:$K,MATCH('SOW-ERP导入表'!$E205,服务费底表!$D:$D,0))</f>
        <v>A073</v>
      </c>
      <c r="H205" s="183" t="str">
        <f>INDEX(服务费底表!L:L,MATCH('SOW-ERP导入表'!$E205,服务费底表!$D:$D,0))</f>
        <v>医学监查培训</v>
      </c>
      <c r="I205" s="173" t="str">
        <f>INDEX(服务费底表!$T:$T,MATCH('SOW-ERP导入表'!$E205,服务费底表!$D:$D,0))</f>
        <v>MM</v>
      </c>
      <c r="J205" s="184">
        <f>SUMIF(服务费底表!$D:$D,E205,服务费底表!$AC:$AC)+SUMIF(注册申报底表!$D:$D,'SOW-ERP导入表'!E205,注册申报底表!$Z:$Z)</f>
        <v>8</v>
      </c>
      <c r="K205" s="173">
        <f>IFERROR(INDEX(服务费底表!$C:$C,MATCH('SOW-ERP导入表'!$E205,服务费底表!$D:$D,0)),0)+IFERROR(INDEX(注册申报底表!$C:$C,MATCH('SOW-ERP导入表'!$E205,注册申报底表!$D:$D,0)),0)</f>
        <v>1</v>
      </c>
      <c r="L205" s="185">
        <f t="shared" si="11"/>
        <v>5200</v>
      </c>
      <c r="M205" s="184">
        <f>SUMIF(服务费底表!$D:$D,E205,服务费底表!$AG:$AG)+SUMIF(注册申报底表!$D:$D,'SOW-ERP导入表'!E205,注册申报底表!$AD:$AD)</f>
        <v>5200</v>
      </c>
    </row>
    <row r="206" spans="2:13">
      <c r="B206" s="173"/>
      <c r="D206" s="173"/>
      <c r="E206" s="187" t="s">
        <v>2558</v>
      </c>
      <c r="F206" s="173" t="str">
        <f t="shared" si="12"/>
        <v>请填写</v>
      </c>
      <c r="G206" s="173" t="e">
        <f>INDEX(服务费底表!$K:$K,MATCH('SOW-ERP导入表'!$E206,服务费底表!$D:$D,0))</f>
        <v>#N/A</v>
      </c>
      <c r="H206" s="183" t="e">
        <f>INDEX(服务费底表!L:L,MATCH('SOW-ERP导入表'!$E206,服务费底表!$D:$D,0))</f>
        <v>#N/A</v>
      </c>
      <c r="I206" s="173" t="e">
        <f>INDEX(服务费底表!$T:$T,MATCH('SOW-ERP导入表'!$E206,服务费底表!$D:$D,0))</f>
        <v>#N/A</v>
      </c>
      <c r="J206" s="184">
        <f>SUMIF(服务费底表!$D:$D,E206,服务费底表!$AC:$AC)+SUMIF(注册申报底表!$D:$D,'SOW-ERP导入表'!E206,注册申报底表!$Z:$Z)</f>
        <v>0</v>
      </c>
      <c r="K206" s="173">
        <f>IFERROR(INDEX(服务费底表!$C:$C,MATCH('SOW-ERP导入表'!$E206,服务费底表!$D:$D,0)),0)+IFERROR(INDEX(注册申报底表!$C:$C,MATCH('SOW-ERP导入表'!$E206,注册申报底表!$D:$D,0)),0)</f>
        <v>0</v>
      </c>
      <c r="L206" s="185">
        <f t="shared" si="11"/>
        <v>0</v>
      </c>
      <c r="M206" s="184">
        <f>SUMIF(服务费底表!$D:$D,E206,服务费底表!$AG:$AG)+SUMIF(注册申报底表!$D:$D,'SOW-ERP导入表'!E206,注册申报底表!$AD:$AD)</f>
        <v>0</v>
      </c>
    </row>
    <row r="207" spans="2:13">
      <c r="B207" s="173"/>
      <c r="D207" s="173"/>
      <c r="E207" s="187" t="s">
        <v>2559</v>
      </c>
      <c r="F207" s="173" t="str">
        <f t="shared" si="12"/>
        <v>请填写</v>
      </c>
      <c r="G207" s="173" t="str">
        <f>INDEX(服务费底表!$K:$K,MATCH('SOW-ERP导入表'!$E207,服务费底表!$D:$D,0))</f>
        <v>A074</v>
      </c>
      <c r="H207" s="183" t="str">
        <f>INDEX(服务费底表!L:L,MATCH('SOW-ERP导入表'!$E207,服务费底表!$D:$D,0))</f>
        <v>CRA和中心的医学支持</v>
      </c>
      <c r="I207" s="173" t="str">
        <f>INDEX(服务费底表!$T:$T,MATCH('SOW-ERP导入表'!$E207,服务费底表!$D:$D,0))</f>
        <v>MM</v>
      </c>
      <c r="J207" s="184">
        <f>SUMIF(服务费底表!$D:$D,E207,服务费底表!$AC:$AC)+SUMIF(注册申报底表!$D:$D,'SOW-ERP导入表'!E207,注册申报底表!$Z:$Z)</f>
        <v>28</v>
      </c>
      <c r="K207" s="173">
        <f>IFERROR(INDEX(服务费底表!$C:$C,MATCH('SOW-ERP导入表'!$E207,服务费底表!$D:$D,0)),0)+IFERROR(INDEX(注册申报底表!$C:$C,MATCH('SOW-ERP导入表'!$E207,注册申报底表!$D:$D,0)),0)</f>
        <v>14</v>
      </c>
      <c r="L207" s="185">
        <f t="shared" si="11"/>
        <v>1300</v>
      </c>
      <c r="M207" s="184">
        <f>SUMIF(服务费底表!$D:$D,E207,服务费底表!$AG:$AG)+SUMIF(注册申报底表!$D:$D,'SOW-ERP导入表'!E207,注册申报底表!$AD:$AD)</f>
        <v>18200</v>
      </c>
    </row>
    <row r="208" spans="2:13">
      <c r="B208" s="173"/>
      <c r="D208" s="173"/>
      <c r="E208" s="187" t="s">
        <v>2560</v>
      </c>
      <c r="F208" s="173" t="str">
        <f t="shared" si="12"/>
        <v>请填写</v>
      </c>
      <c r="G208" s="173" t="str">
        <f>INDEX(服务费底表!$K:$K,MATCH('SOW-ERP导入表'!$E208,服务费底表!$D:$D,0))</f>
        <v>A074</v>
      </c>
      <c r="H208" s="183" t="str">
        <f>INDEX(服务费底表!L:L,MATCH('SOW-ERP导入表'!$E208,服务费底表!$D:$D,0))</f>
        <v>CRA和中心的医学支持</v>
      </c>
      <c r="I208" s="173" t="str">
        <f>INDEX(服务费底表!$T:$T,MATCH('SOW-ERP导入表'!$E208,服务费底表!$D:$D,0))</f>
        <v>MD</v>
      </c>
      <c r="J208" s="184">
        <f>SUMIF(服务费底表!$D:$D,E208,服务费底表!$AC:$AC)+SUMIF(注册申报底表!$D:$D,'SOW-ERP导入表'!E208,注册申报底表!$Z:$Z)</f>
        <v>7</v>
      </c>
      <c r="K208" s="173">
        <f>IFERROR(INDEX(服务费底表!$C:$C,MATCH('SOW-ERP导入表'!$E208,服务费底表!$D:$D,0)),0)+IFERROR(INDEX(注册申报底表!$C:$C,MATCH('SOW-ERP导入表'!$E208,注册申报底表!$D:$D,0)),0)</f>
        <v>14</v>
      </c>
      <c r="L208" s="185">
        <f t="shared" si="11"/>
        <v>495</v>
      </c>
      <c r="M208" s="184">
        <f>SUMIF(服务费底表!$D:$D,E208,服务费底表!$AG:$AG)+SUMIF(注册申报底表!$D:$D,'SOW-ERP导入表'!E208,注册申报底表!$AD:$AD)</f>
        <v>6930</v>
      </c>
    </row>
    <row r="209" spans="2:13">
      <c r="B209" s="173"/>
      <c r="D209" s="173"/>
      <c r="E209" s="187" t="s">
        <v>2561</v>
      </c>
      <c r="F209" s="173" t="str">
        <f t="shared" si="12"/>
        <v>请填写</v>
      </c>
      <c r="G209" s="173" t="str">
        <f>INDEX(服务费底表!$K:$K,MATCH('SOW-ERP导入表'!$E209,服务费底表!$D:$D,0))</f>
        <v>A075</v>
      </c>
      <c r="H209" s="183" t="str">
        <f>INDEX(服务费底表!L:L,MATCH('SOW-ERP导入表'!$E209,服务费底表!$D:$D,0))</f>
        <v>入组失败试验参与者的招募评估</v>
      </c>
      <c r="I209" s="173" t="str">
        <f>INDEX(服务费底表!$T:$T,MATCH('SOW-ERP导入表'!$E209,服务费底表!$D:$D,0))</f>
        <v>MM</v>
      </c>
      <c r="J209" s="184">
        <f>SUMIF(服务费底表!$D:$D,E209,服务费底表!$AC:$AC)+SUMIF(注册申报底表!$D:$D,'SOW-ERP导入表'!E209,注册申报底表!$Z:$Z)</f>
        <v>3</v>
      </c>
      <c r="K209" s="173">
        <f>IFERROR(INDEX(服务费底表!$C:$C,MATCH('SOW-ERP导入表'!$E209,服务费底表!$D:$D,0)),0)+IFERROR(INDEX(注册申报底表!$C:$C,MATCH('SOW-ERP导入表'!$E209,注册申报底表!$D:$D,0)),0)</f>
        <v>3</v>
      </c>
      <c r="L209" s="185">
        <f t="shared" si="11"/>
        <v>650</v>
      </c>
      <c r="M209" s="184">
        <f>SUMIF(服务费底表!$D:$D,E209,服务费底表!$AG:$AG)+SUMIF(注册申报底表!$D:$D,'SOW-ERP导入表'!E209,注册申报底表!$AD:$AD)</f>
        <v>1950</v>
      </c>
    </row>
    <row r="210" spans="2:13">
      <c r="B210" s="173"/>
      <c r="D210" s="173"/>
      <c r="E210" s="187" t="s">
        <v>2562</v>
      </c>
      <c r="F210" s="173" t="str">
        <f t="shared" si="12"/>
        <v>请填写</v>
      </c>
      <c r="G210" s="173" t="e">
        <f>INDEX(服务费底表!$K:$K,MATCH('SOW-ERP导入表'!$E210,服务费底表!$D:$D,0))</f>
        <v>#N/A</v>
      </c>
      <c r="H210" s="183" t="e">
        <f>INDEX(服务费底表!L:L,MATCH('SOW-ERP导入表'!$E210,服务费底表!$D:$D,0))</f>
        <v>#N/A</v>
      </c>
      <c r="I210" s="173" t="e">
        <f>INDEX(服务费底表!$T:$T,MATCH('SOW-ERP导入表'!$E210,服务费底表!$D:$D,0))</f>
        <v>#N/A</v>
      </c>
      <c r="J210" s="184">
        <f>SUMIF(服务费底表!$D:$D,E210,服务费底表!$AC:$AC)+SUMIF(注册申报底表!$D:$D,'SOW-ERP导入表'!E210,注册申报底表!$Z:$Z)</f>
        <v>0</v>
      </c>
      <c r="K210" s="173">
        <f>IFERROR(INDEX(服务费底表!$C:$C,MATCH('SOW-ERP导入表'!$E210,服务费底表!$D:$D,0)),0)+IFERROR(INDEX(注册申报底表!$C:$C,MATCH('SOW-ERP导入表'!$E210,注册申报底表!$D:$D,0)),0)</f>
        <v>0</v>
      </c>
      <c r="L210" s="185">
        <f t="shared" si="11"/>
        <v>0</v>
      </c>
      <c r="M210" s="184">
        <f>SUMIF(服务费底表!$D:$D,E210,服务费底表!$AG:$AG)+SUMIF(注册申报底表!$D:$D,'SOW-ERP导入表'!E210,注册申报底表!$AD:$AD)</f>
        <v>0</v>
      </c>
    </row>
    <row r="211" spans="2:13">
      <c r="B211" s="173"/>
      <c r="D211" s="173"/>
      <c r="E211" s="187" t="s">
        <v>2563</v>
      </c>
      <c r="F211" s="173" t="str">
        <f t="shared" si="12"/>
        <v>请填写</v>
      </c>
      <c r="G211" s="173" t="str">
        <f>INDEX(服务费底表!$K:$K,MATCH('SOW-ERP导入表'!$E211,服务费底表!$D:$D,0))</f>
        <v>A076</v>
      </c>
      <c r="H211" s="183" t="str">
        <f>INDEX(服务费底表!L:L,MATCH('SOW-ERP导入表'!$E211,服务费底表!$D:$D,0))</f>
        <v>试验参与者合格性审核</v>
      </c>
      <c r="I211" s="173" t="str">
        <f>INDEX(服务费底表!$T:$T,MATCH('SOW-ERP导入表'!$E211,服务费底表!$D:$D,0))</f>
        <v>MM</v>
      </c>
      <c r="J211" s="184">
        <f>SUMIF(服务费底表!$D:$D,E211,服务费底表!$AC:$AC)+SUMIF(注册申报底表!$D:$D,'SOW-ERP导入表'!E211,注册申报底表!$Z:$Z)</f>
        <v>45</v>
      </c>
      <c r="K211" s="173">
        <f>IFERROR(INDEX(服务费底表!$C:$C,MATCH('SOW-ERP导入表'!$E211,服务费底表!$D:$D,0)),0)+IFERROR(INDEX(注册申报底表!$C:$C,MATCH('SOW-ERP导入表'!$E211,注册申报底表!$D:$D,0)),0)</f>
        <v>30</v>
      </c>
      <c r="L211" s="185">
        <f t="shared" si="11"/>
        <v>975</v>
      </c>
      <c r="M211" s="184">
        <f>SUMIF(服务费底表!$D:$D,E211,服务费底表!$AG:$AG)+SUMIF(注册申报底表!$D:$D,'SOW-ERP导入表'!E211,注册申报底表!$AD:$AD)</f>
        <v>29250</v>
      </c>
    </row>
    <row r="212" spans="2:13">
      <c r="B212" s="173"/>
      <c r="D212" s="173"/>
      <c r="E212" s="187" t="s">
        <v>2564</v>
      </c>
      <c r="F212" s="173" t="str">
        <f t="shared" si="12"/>
        <v>请填写</v>
      </c>
      <c r="G212" s="173" t="str">
        <f>INDEX(服务费底表!$K:$K,MATCH('SOW-ERP导入表'!$E212,服务费底表!$D:$D,0))</f>
        <v>A076</v>
      </c>
      <c r="H212" s="183" t="str">
        <f>INDEX(服务费底表!L:L,MATCH('SOW-ERP导入表'!$E212,服务费底表!$D:$D,0))</f>
        <v>试验参与者合格性审核</v>
      </c>
      <c r="I212" s="173" t="str">
        <f>INDEX(服务费底表!$T:$T,MATCH('SOW-ERP导入表'!$E212,服务费底表!$D:$D,0))</f>
        <v>MD</v>
      </c>
      <c r="J212" s="184">
        <f>SUMIF(服务费底表!$D:$D,E212,服务费底表!$AC:$AC)+SUMIF(注册申报底表!$D:$D,'SOW-ERP导入表'!E212,注册申报底表!$Z:$Z)</f>
        <v>7.5</v>
      </c>
      <c r="K212" s="173">
        <f>IFERROR(INDEX(服务费底表!$C:$C,MATCH('SOW-ERP导入表'!$E212,服务费底表!$D:$D,0)),0)+IFERROR(INDEX(注册申报底表!$C:$C,MATCH('SOW-ERP导入表'!$E212,注册申报底表!$D:$D,0)),0)</f>
        <v>30</v>
      </c>
      <c r="L212" s="185">
        <f t="shared" si="11"/>
        <v>247.5</v>
      </c>
      <c r="M212" s="184">
        <f>SUMIF(服务费底表!$D:$D,E212,服务费底表!$AG:$AG)+SUMIF(注册申报底表!$D:$D,'SOW-ERP导入表'!E212,注册申报底表!$AD:$AD)</f>
        <v>7425</v>
      </c>
    </row>
    <row r="213" spans="2:13">
      <c r="B213" s="173"/>
      <c r="D213" s="173"/>
      <c r="E213" s="187" t="s">
        <v>2565</v>
      </c>
      <c r="F213" s="173" t="str">
        <f t="shared" si="12"/>
        <v>请填写</v>
      </c>
      <c r="G213" s="173" t="str">
        <f>INDEX(服务费底表!$K:$K,MATCH('SOW-ERP导入表'!$E213,服务费底表!$D:$D,0))</f>
        <v>A077</v>
      </c>
      <c r="H213" s="183" t="str">
        <f>INDEX(服务费底表!L:L,MATCH('SOW-ERP导入表'!$E213,服务费底表!$D:$D,0))</f>
        <v>方案偏离审核</v>
      </c>
      <c r="I213" s="173" t="str">
        <f>INDEX(服务费底表!$T:$T,MATCH('SOW-ERP导入表'!$E213,服务费底表!$D:$D,0))</f>
        <v>MM</v>
      </c>
      <c r="J213" s="184">
        <f>SUMIF(服务费底表!$D:$D,E213,服务费底表!$AC:$AC)+SUMIF(注册申报底表!$D:$D,'SOW-ERP导入表'!E213,注册申报底表!$Z:$Z)</f>
        <v>42</v>
      </c>
      <c r="K213" s="173">
        <f>IFERROR(INDEX(服务费底表!$C:$C,MATCH('SOW-ERP导入表'!$E213,服务费底表!$D:$D,0)),0)+IFERROR(INDEX(注册申报底表!$C:$C,MATCH('SOW-ERP导入表'!$E213,注册申报底表!$D:$D,0)),0)</f>
        <v>14</v>
      </c>
      <c r="L213" s="185">
        <f t="shared" si="11"/>
        <v>1950</v>
      </c>
      <c r="M213" s="184">
        <f>SUMIF(服务费底表!$D:$D,E213,服务费底表!$AG:$AG)+SUMIF(注册申报底表!$D:$D,'SOW-ERP导入表'!E213,注册申报底表!$AD:$AD)</f>
        <v>27300</v>
      </c>
    </row>
    <row r="214" spans="2:13">
      <c r="B214" s="173"/>
      <c r="D214" s="173"/>
      <c r="E214" s="187" t="s">
        <v>2566</v>
      </c>
      <c r="F214" s="173" t="str">
        <f t="shared" si="12"/>
        <v>请填写</v>
      </c>
      <c r="G214" s="173" t="str">
        <f>INDEX(服务费底表!$K:$K,MATCH('SOW-ERP导入表'!$E214,服务费底表!$D:$D,0))</f>
        <v>A077</v>
      </c>
      <c r="H214" s="183" t="str">
        <f>INDEX(服务费底表!L:L,MATCH('SOW-ERP导入表'!$E214,服务费底表!$D:$D,0))</f>
        <v>方案偏离审核</v>
      </c>
      <c r="I214" s="173" t="str">
        <f>INDEX(服务费底表!$T:$T,MATCH('SOW-ERP导入表'!$E214,服务费底表!$D:$D,0))</f>
        <v>MD</v>
      </c>
      <c r="J214" s="184">
        <f>SUMIF(服务费底表!$D:$D,E214,服务费底表!$AC:$AC)+SUMIF(注册申报底表!$D:$D,'SOW-ERP导入表'!E214,注册申报底表!$Z:$Z)</f>
        <v>7</v>
      </c>
      <c r="K214" s="173">
        <f>IFERROR(INDEX(服务费底表!$C:$C,MATCH('SOW-ERP导入表'!$E214,服务费底表!$D:$D,0)),0)+IFERROR(INDEX(注册申报底表!$C:$C,MATCH('SOW-ERP导入表'!$E214,注册申报底表!$D:$D,0)),0)</f>
        <v>14</v>
      </c>
      <c r="L214" s="185">
        <f t="shared" si="11"/>
        <v>495</v>
      </c>
      <c r="M214" s="184">
        <f>SUMIF(服务费底表!$D:$D,E214,服务费底表!$AG:$AG)+SUMIF(注册申报底表!$D:$D,'SOW-ERP导入表'!E214,注册申报底表!$AD:$AD)</f>
        <v>6930</v>
      </c>
    </row>
    <row r="215" spans="2:13">
      <c r="B215" s="173"/>
      <c r="D215" s="173"/>
      <c r="E215" s="187" t="s">
        <v>2567</v>
      </c>
      <c r="F215" s="173" t="str">
        <f t="shared" si="12"/>
        <v>请填写</v>
      </c>
      <c r="G215" s="173" t="str">
        <f>INDEX(服务费底表!$K:$K,MATCH('SOW-ERP导入表'!$E215,服务费底表!$D:$D,0))</f>
        <v>A078</v>
      </c>
      <c r="H215" s="183" t="str">
        <f>INDEX(服务费底表!L:L,MATCH('SOW-ERP导入表'!$E215,服务费底表!$D:$D,0))</f>
        <v>EDC数据列表审核</v>
      </c>
      <c r="I215" s="173" t="str">
        <f>INDEX(服务费底表!$T:$T,MATCH('SOW-ERP导入表'!$E215,服务费底表!$D:$D,0))</f>
        <v>MM</v>
      </c>
      <c r="J215" s="184">
        <f>SUMIF(服务费底表!$D:$D,E215,服务费底表!$AC:$AC)+SUMIF(注册申报底表!$D:$D,'SOW-ERP导入表'!E215,注册申报底表!$Z:$Z)</f>
        <v>77</v>
      </c>
      <c r="K215" s="173">
        <f>IFERROR(INDEX(服务费底表!$C:$C,MATCH('SOW-ERP导入表'!$E215,服务费底表!$D:$D,0)),0)+IFERROR(INDEX(注册申报底表!$C:$C,MATCH('SOW-ERP导入表'!$E215,注册申报底表!$D:$D,0)),0)</f>
        <v>14</v>
      </c>
      <c r="L215" s="185">
        <f t="shared" si="11"/>
        <v>3575</v>
      </c>
      <c r="M215" s="184">
        <f>SUMIF(服务费底表!$D:$D,E215,服务费底表!$AG:$AG)+SUMIF(注册申报底表!$D:$D,'SOW-ERP导入表'!E215,注册申报底表!$AD:$AD)</f>
        <v>50050</v>
      </c>
    </row>
    <row r="216" spans="2:13">
      <c r="B216" s="173"/>
      <c r="D216" s="173"/>
      <c r="E216" s="187" t="s">
        <v>2568</v>
      </c>
      <c r="F216" s="173" t="str">
        <f t="shared" si="12"/>
        <v>请填写</v>
      </c>
      <c r="G216" s="173" t="str">
        <f>INDEX(服务费底表!$K:$K,MATCH('SOW-ERP导入表'!$E216,服务费底表!$D:$D,0))</f>
        <v>A078</v>
      </c>
      <c r="H216" s="183" t="str">
        <f>INDEX(服务费底表!L:L,MATCH('SOW-ERP导入表'!$E216,服务费底表!$D:$D,0))</f>
        <v>EDC数据列表审核</v>
      </c>
      <c r="I216" s="173" t="str">
        <f>INDEX(服务费底表!$T:$T,MATCH('SOW-ERP导入表'!$E216,服务费底表!$D:$D,0))</f>
        <v>MD</v>
      </c>
      <c r="J216" s="184">
        <f>SUMIF(服务费底表!$D:$D,E216,服务费底表!$AC:$AC)+SUMIF(注册申报底表!$D:$D,'SOW-ERP导入表'!E216,注册申报底表!$Z:$Z)</f>
        <v>14</v>
      </c>
      <c r="K216" s="173">
        <f>IFERROR(INDEX(服务费底表!$C:$C,MATCH('SOW-ERP导入表'!$E216,服务费底表!$D:$D,0)),0)+IFERROR(INDEX(注册申报底表!$C:$C,MATCH('SOW-ERP导入表'!$E216,注册申报底表!$D:$D,0)),0)</f>
        <v>14</v>
      </c>
      <c r="L216" s="185">
        <f t="shared" si="11"/>
        <v>990</v>
      </c>
      <c r="M216" s="184">
        <f>SUMIF(服务费底表!$D:$D,E216,服务费底表!$AG:$AG)+SUMIF(注册申报底表!$D:$D,'SOW-ERP导入表'!E216,注册申报底表!$AD:$AD)</f>
        <v>13860</v>
      </c>
    </row>
    <row r="217" spans="2:13">
      <c r="B217" s="173"/>
      <c r="D217" s="173"/>
      <c r="E217" s="187" t="s">
        <v>2569</v>
      </c>
      <c r="F217" s="173" t="str">
        <f t="shared" si="12"/>
        <v>请填写</v>
      </c>
      <c r="G217" s="173" t="e">
        <f>INDEX(服务费底表!$K:$K,MATCH('SOW-ERP导入表'!$E217,服务费底表!$D:$D,0))</f>
        <v>#N/A</v>
      </c>
      <c r="H217" s="183" t="e">
        <f>INDEX(服务费底表!L:L,MATCH('SOW-ERP导入表'!$E217,服务费底表!$D:$D,0))</f>
        <v>#N/A</v>
      </c>
      <c r="I217" s="173" t="e">
        <f>INDEX(服务费底表!$T:$T,MATCH('SOW-ERP导入表'!$E217,服务费底表!$D:$D,0))</f>
        <v>#N/A</v>
      </c>
      <c r="J217" s="184">
        <f>SUMIF(服务费底表!$D:$D,E217,服务费底表!$AC:$AC)+SUMIF(注册申报底表!$D:$D,'SOW-ERP导入表'!E217,注册申报底表!$Z:$Z)</f>
        <v>0</v>
      </c>
      <c r="K217" s="173">
        <f>IFERROR(INDEX(服务费底表!$C:$C,MATCH('SOW-ERP导入表'!$E217,服务费底表!$D:$D,0)),0)+IFERROR(INDEX(注册申报底表!$C:$C,MATCH('SOW-ERP导入表'!$E217,注册申报底表!$D:$D,0)),0)</f>
        <v>0</v>
      </c>
      <c r="L217" s="185">
        <f t="shared" si="11"/>
        <v>0</v>
      </c>
      <c r="M217" s="184">
        <f>SUMIF(服务费底表!$D:$D,E217,服务费底表!$AG:$AG)+SUMIF(注册申报底表!$D:$D,'SOW-ERP导入表'!E217,注册申报底表!$AD:$AD)</f>
        <v>0</v>
      </c>
    </row>
    <row r="218" spans="2:13">
      <c r="B218" s="173"/>
      <c r="D218" s="173"/>
      <c r="E218" s="187" t="s">
        <v>2570</v>
      </c>
      <c r="F218" s="173" t="str">
        <f t="shared" si="12"/>
        <v>请填写</v>
      </c>
      <c r="G218" s="173" t="str">
        <f>INDEX(服务费底表!$K:$K,MATCH('SOW-ERP导入表'!$E218,服务费底表!$D:$D,0))</f>
        <v>A079</v>
      </c>
      <c r="H218" s="183" t="str">
        <f>INDEX(服务费底表!L:L,MATCH('SOW-ERP导入表'!$E218,服务费底表!$D:$D,0))</f>
        <v>医学编码审核</v>
      </c>
      <c r="I218" s="173" t="str">
        <f>INDEX(服务费底表!$T:$T,MATCH('SOW-ERP导入表'!$E218,服务费底表!$D:$D,0))</f>
        <v>MM</v>
      </c>
      <c r="J218" s="184">
        <f>SUMIF(服务费底表!$D:$D,E218,服务费底表!$AC:$AC)+SUMIF(注册申报底表!$D:$D,'SOW-ERP导入表'!E218,注册申报底表!$Z:$Z)</f>
        <v>14</v>
      </c>
      <c r="K218" s="173">
        <f>IFERROR(INDEX(服务费底表!$C:$C,MATCH('SOW-ERP导入表'!$E218,服务费底表!$D:$D,0)),0)+IFERROR(INDEX(注册申报底表!$C:$C,MATCH('SOW-ERP导入表'!$E218,注册申报底表!$D:$D,0)),0)</f>
        <v>14</v>
      </c>
      <c r="L218" s="185">
        <f t="shared" si="11"/>
        <v>650</v>
      </c>
      <c r="M218" s="184">
        <f>SUMIF(服务费底表!$D:$D,E218,服务费底表!$AG:$AG)+SUMIF(注册申报底表!$D:$D,'SOW-ERP导入表'!E218,注册申报底表!$AD:$AD)</f>
        <v>9100</v>
      </c>
    </row>
    <row r="219" spans="2:13">
      <c r="B219" s="173"/>
      <c r="D219" s="173"/>
      <c r="E219" s="187" t="s">
        <v>2571</v>
      </c>
      <c r="F219" s="173" t="str">
        <f t="shared" si="12"/>
        <v>请填写</v>
      </c>
      <c r="G219" s="173" t="str">
        <f>INDEX(服务费底表!$K:$K,MATCH('SOW-ERP导入表'!$E219,服务费底表!$D:$D,0))</f>
        <v>A079</v>
      </c>
      <c r="H219" s="183" t="str">
        <f>INDEX(服务费底表!L:L,MATCH('SOW-ERP导入表'!$E219,服务费底表!$D:$D,0))</f>
        <v>医学编码审核</v>
      </c>
      <c r="I219" s="173" t="str">
        <f>INDEX(服务费底表!$T:$T,MATCH('SOW-ERP导入表'!$E219,服务费底表!$D:$D,0))</f>
        <v>MD</v>
      </c>
      <c r="J219" s="184">
        <f>SUMIF(服务费底表!$D:$D,E219,服务费底表!$AC:$AC)+SUMIF(注册申报底表!$D:$D,'SOW-ERP导入表'!E219,注册申报底表!$Z:$Z)</f>
        <v>2.8</v>
      </c>
      <c r="K219" s="173">
        <f>IFERROR(INDEX(服务费底表!$C:$C,MATCH('SOW-ERP导入表'!$E219,服务费底表!$D:$D,0)),0)+IFERROR(INDEX(注册申报底表!$C:$C,MATCH('SOW-ERP导入表'!$E219,注册申报底表!$D:$D,0)),0)</f>
        <v>14</v>
      </c>
      <c r="L219" s="185">
        <f t="shared" si="11"/>
        <v>198</v>
      </c>
      <c r="M219" s="184">
        <f>SUMIF(服务费底表!$D:$D,E219,服务费底表!$AG:$AG)+SUMIF(注册申报底表!$D:$D,'SOW-ERP导入表'!E219,注册申报底表!$AD:$AD)</f>
        <v>2772</v>
      </c>
    </row>
    <row r="220" spans="2:13">
      <c r="B220" s="173"/>
      <c r="D220" s="173"/>
      <c r="E220" s="187" t="s">
        <v>2572</v>
      </c>
      <c r="F220" s="173" t="str">
        <f t="shared" si="12"/>
        <v>请填写</v>
      </c>
      <c r="G220" s="173" t="str">
        <f>INDEX(服务费底表!$K:$K,MATCH('SOW-ERP导入表'!$E220,服务费底表!$D:$D,0))</f>
        <v>A080</v>
      </c>
      <c r="H220" s="183" t="str">
        <f>INDEX(服务费底表!L:L,MATCH('SOW-ERP导入表'!$E220,服务费底表!$D:$D,0))</f>
        <v>药物或疾病编码审核</v>
      </c>
      <c r="I220" s="173" t="str">
        <f>INDEX(服务费底表!$T:$T,MATCH('SOW-ERP导入表'!$E220,服务费底表!$D:$D,0))</f>
        <v>MM</v>
      </c>
      <c r="J220" s="184">
        <f>SUMIF(服务费底表!$D:$D,E220,服务费底表!$AC:$AC)+SUMIF(注册申报底表!$D:$D,'SOW-ERP导入表'!E220,注册申报底表!$Z:$Z)</f>
        <v>14</v>
      </c>
      <c r="K220" s="173">
        <f>IFERROR(INDEX(服务费底表!$C:$C,MATCH('SOW-ERP导入表'!$E220,服务费底表!$D:$D,0)),0)+IFERROR(INDEX(注册申报底表!$C:$C,MATCH('SOW-ERP导入表'!$E220,注册申报底表!$D:$D,0)),0)</f>
        <v>14</v>
      </c>
      <c r="L220" s="185">
        <f t="shared" si="11"/>
        <v>650</v>
      </c>
      <c r="M220" s="184">
        <f>SUMIF(服务费底表!$D:$D,E220,服务费底表!$AG:$AG)+SUMIF(注册申报底表!$D:$D,'SOW-ERP导入表'!E220,注册申报底表!$AD:$AD)</f>
        <v>9100</v>
      </c>
    </row>
    <row r="221" spans="2:13">
      <c r="B221" s="173"/>
      <c r="D221" s="173"/>
      <c r="E221" s="187" t="s">
        <v>2573</v>
      </c>
      <c r="F221" s="173" t="str">
        <f t="shared" si="12"/>
        <v>请填写</v>
      </c>
      <c r="G221" s="173" t="str">
        <f>INDEX(服务费底表!$K:$K,MATCH('SOW-ERP导入表'!$E221,服务费底表!$D:$D,0))</f>
        <v>A080</v>
      </c>
      <c r="H221" s="183" t="str">
        <f>INDEX(服务费底表!L:L,MATCH('SOW-ERP导入表'!$E221,服务费底表!$D:$D,0))</f>
        <v>药物或疾病编码审核</v>
      </c>
      <c r="I221" s="173" t="str">
        <f>INDEX(服务费底表!$T:$T,MATCH('SOW-ERP导入表'!$E221,服务费底表!$D:$D,0))</f>
        <v>MD</v>
      </c>
      <c r="J221" s="184">
        <f>SUMIF(服务费底表!$D:$D,E221,服务费底表!$AC:$AC)+SUMIF(注册申报底表!$D:$D,'SOW-ERP导入表'!E221,注册申报底表!$Z:$Z)</f>
        <v>2.8</v>
      </c>
      <c r="K221" s="173">
        <f>IFERROR(INDEX(服务费底表!$C:$C,MATCH('SOW-ERP导入表'!$E221,服务费底表!$D:$D,0)),0)+IFERROR(INDEX(注册申报底表!$C:$C,MATCH('SOW-ERP导入表'!$E221,注册申报底表!$D:$D,0)),0)</f>
        <v>14</v>
      </c>
      <c r="L221" s="185">
        <f t="shared" si="11"/>
        <v>198</v>
      </c>
      <c r="M221" s="184">
        <f>SUMIF(服务费底表!$D:$D,E221,服务费底表!$AG:$AG)+SUMIF(注册申报底表!$D:$D,'SOW-ERP导入表'!E221,注册申报底表!$AD:$AD)</f>
        <v>2772</v>
      </c>
    </row>
    <row r="222" spans="2:13">
      <c r="B222" s="173"/>
      <c r="D222" s="173"/>
      <c r="E222" s="187" t="s">
        <v>2574</v>
      </c>
      <c r="F222" s="173" t="str">
        <f t="shared" si="12"/>
        <v>请填写</v>
      </c>
      <c r="G222" s="173" t="e">
        <f>INDEX(服务费底表!$K:$K,MATCH('SOW-ERP导入表'!$E222,服务费底表!$D:$D,0))</f>
        <v>#N/A</v>
      </c>
      <c r="H222" s="183" t="e">
        <f>INDEX(服务费底表!L:L,MATCH('SOW-ERP导入表'!$E222,服务费底表!$D:$D,0))</f>
        <v>#N/A</v>
      </c>
      <c r="I222" s="173" t="e">
        <f>INDEX(服务费底表!$T:$T,MATCH('SOW-ERP导入表'!$E222,服务费底表!$D:$D,0))</f>
        <v>#N/A</v>
      </c>
      <c r="J222" s="184">
        <f>SUMIF(服务费底表!$D:$D,E222,服务费底表!$AC:$AC)+SUMIF(注册申报底表!$D:$D,'SOW-ERP导入表'!E222,注册申报底表!$Z:$Z)</f>
        <v>0</v>
      </c>
      <c r="K222" s="173">
        <f>IFERROR(INDEX(服务费底表!$C:$C,MATCH('SOW-ERP导入表'!$E222,服务费底表!$D:$D,0)),0)+IFERROR(INDEX(注册申报底表!$C:$C,MATCH('SOW-ERP导入表'!$E222,注册申报底表!$D:$D,0)),0)</f>
        <v>0</v>
      </c>
      <c r="L222" s="185">
        <f t="shared" si="11"/>
        <v>0</v>
      </c>
      <c r="M222" s="184">
        <f>SUMIF(服务费底表!$D:$D,E222,服务费底表!$AG:$AG)+SUMIF(注册申报底表!$D:$D,'SOW-ERP导入表'!E222,注册申报底表!$AD:$AD)</f>
        <v>0</v>
      </c>
    </row>
    <row r="223" spans="2:13">
      <c r="B223" s="173"/>
      <c r="D223" s="173"/>
      <c r="E223" s="187" t="s">
        <v>2575</v>
      </c>
      <c r="F223" s="173" t="str">
        <f t="shared" si="12"/>
        <v>请填写</v>
      </c>
      <c r="G223" s="173" t="str">
        <f>INDEX(服务费底表!$K:$K,MATCH('SOW-ERP导入表'!$E223,服务费底表!$D:$D,0))</f>
        <v>A081</v>
      </c>
      <c r="H223" s="183" t="str">
        <f>INDEX(服务费底表!L:L,MATCH('SOW-ERP导入表'!$E223,服务费底表!$D:$D,0))</f>
        <v>医学监查报告撰写</v>
      </c>
      <c r="I223" s="173" t="str">
        <f>INDEX(服务费底表!$T:$T,MATCH('SOW-ERP导入表'!$E223,服务费底表!$D:$D,0))</f>
        <v>SAM</v>
      </c>
      <c r="J223" s="184">
        <f>SUMIF(服务费底表!$D:$D,E223,服务费底表!$AC:$AC)+SUMIF(注册申报底表!$D:$D,'SOW-ERP导入表'!E223,注册申报底表!$Z:$Z)</f>
        <v>0</v>
      </c>
      <c r="K223" s="173">
        <f>IFERROR(INDEX(服务费底表!$C:$C,MATCH('SOW-ERP导入表'!$E223,服务费底表!$D:$D,0)),0)+IFERROR(INDEX(注册申报底表!$C:$C,MATCH('SOW-ERP导入表'!$E223,注册申报底表!$D:$D,0)),0)</f>
        <v>4</v>
      </c>
      <c r="L223" s="185">
        <f t="shared" si="11"/>
        <v>0</v>
      </c>
      <c r="M223" s="184">
        <f>SUMIF(服务费底表!$D:$D,E223,服务费底表!$AG:$AG)+SUMIF(注册申报底表!$D:$D,'SOW-ERP导入表'!E223,注册申报底表!$AD:$AD)</f>
        <v>0</v>
      </c>
    </row>
    <row r="224" spans="2:13">
      <c r="B224" s="173"/>
      <c r="D224" s="173"/>
      <c r="E224" s="187" t="s">
        <v>2576</v>
      </c>
      <c r="F224" s="173" t="str">
        <f t="shared" si="12"/>
        <v>请填写</v>
      </c>
      <c r="G224" s="173" t="e">
        <f>INDEX(服务费底表!$K:$K,MATCH('SOW-ERP导入表'!$E224,服务费底表!$D:$D,0))</f>
        <v>#N/A</v>
      </c>
      <c r="H224" s="183" t="e">
        <f>INDEX(服务费底表!L:L,MATCH('SOW-ERP导入表'!$E224,服务费底表!$D:$D,0))</f>
        <v>#N/A</v>
      </c>
      <c r="I224" s="173" t="e">
        <f>INDEX(服务费底表!$T:$T,MATCH('SOW-ERP导入表'!$E224,服务费底表!$D:$D,0))</f>
        <v>#N/A</v>
      </c>
      <c r="J224" s="184">
        <f>SUMIF(服务费底表!$D:$D,E224,服务费底表!$AC:$AC)+SUMIF(注册申报底表!$D:$D,'SOW-ERP导入表'!E224,注册申报底表!$Z:$Z)</f>
        <v>0</v>
      </c>
      <c r="K224" s="173">
        <f>IFERROR(INDEX(服务费底表!$C:$C,MATCH('SOW-ERP导入表'!$E224,服务费底表!$D:$D,0)),0)+IFERROR(INDEX(注册申报底表!$C:$C,MATCH('SOW-ERP导入表'!$E224,注册申报底表!$D:$D,0)),0)</f>
        <v>0</v>
      </c>
      <c r="L224" s="185">
        <f t="shared" si="11"/>
        <v>0</v>
      </c>
      <c r="M224" s="184">
        <f>SUMIF(服务费底表!$D:$D,E224,服务费底表!$AG:$AG)+SUMIF(注册申报底表!$D:$D,'SOW-ERP导入表'!E224,注册申报底表!$AD:$AD)</f>
        <v>0</v>
      </c>
    </row>
    <row r="225" spans="2:13">
      <c r="B225" s="173"/>
      <c r="D225" s="173"/>
      <c r="E225" s="187" t="s">
        <v>2577</v>
      </c>
      <c r="F225" s="173" t="str">
        <f t="shared" si="12"/>
        <v>请填写</v>
      </c>
      <c r="G225" s="173" t="str">
        <f>INDEX(服务费底表!$K:$K,MATCH('SOW-ERP导入表'!$E225,服务费底表!$D:$D,0))</f>
        <v>A081</v>
      </c>
      <c r="H225" s="183" t="str">
        <f>INDEX(服务费底表!L:L,MATCH('SOW-ERP导入表'!$E225,服务费底表!$D:$D,0))</f>
        <v>医学监查报告撰写</v>
      </c>
      <c r="I225" s="173" t="str">
        <f>INDEX(服务费底表!$T:$T,MATCH('SOW-ERP导入表'!$E225,服务费底表!$D:$D,0))</f>
        <v>MM</v>
      </c>
      <c r="J225" s="184">
        <f>SUMIF(服务费底表!$D:$D,E225,服务费底表!$AC:$AC)+SUMIF(注册申报底表!$D:$D,'SOW-ERP导入表'!E225,注册申报底表!$Z:$Z)</f>
        <v>32</v>
      </c>
      <c r="K225" s="173">
        <f>IFERROR(INDEX(服务费底表!$C:$C,MATCH('SOW-ERP导入表'!$E225,服务费底表!$D:$D,0)),0)+IFERROR(INDEX(注册申报底表!$C:$C,MATCH('SOW-ERP导入表'!$E225,注册申报底表!$D:$D,0)),0)</f>
        <v>4</v>
      </c>
      <c r="L225" s="185">
        <f t="shared" si="11"/>
        <v>5200</v>
      </c>
      <c r="M225" s="184">
        <f>SUMIF(服务费底表!$D:$D,E225,服务费底表!$AG:$AG)+SUMIF(注册申报底表!$D:$D,'SOW-ERP导入表'!E225,注册申报底表!$AD:$AD)</f>
        <v>20800</v>
      </c>
    </row>
    <row r="226" spans="2:13">
      <c r="B226" s="173"/>
      <c r="D226" s="173"/>
      <c r="E226" s="187" t="s">
        <v>2578</v>
      </c>
      <c r="F226" s="173" t="str">
        <f t="shared" si="12"/>
        <v>请填写</v>
      </c>
      <c r="G226" s="173" t="str">
        <f>INDEX(服务费底表!$K:$K,MATCH('SOW-ERP导入表'!$E226,服务费底表!$D:$D,0))</f>
        <v>A081</v>
      </c>
      <c r="H226" s="183" t="str">
        <f>INDEX(服务费底表!L:L,MATCH('SOW-ERP导入表'!$E226,服务费底表!$D:$D,0))</f>
        <v>医学监查报告撰写</v>
      </c>
      <c r="I226" s="173" t="str">
        <f>INDEX(服务费底表!$T:$T,MATCH('SOW-ERP导入表'!$E226,服务费底表!$D:$D,0))</f>
        <v>MD</v>
      </c>
      <c r="J226" s="184">
        <f>SUMIF(服务费底表!$D:$D,E226,服务费底表!$AC:$AC)+SUMIF(注册申报底表!$D:$D,'SOW-ERP导入表'!E226,注册申报底表!$Z:$Z)</f>
        <v>8</v>
      </c>
      <c r="K226" s="173">
        <f>IFERROR(INDEX(服务费底表!$C:$C,MATCH('SOW-ERP导入表'!$E226,服务费底表!$D:$D,0)),0)+IFERROR(INDEX(注册申报底表!$C:$C,MATCH('SOW-ERP导入表'!$E226,注册申报底表!$D:$D,0)),0)</f>
        <v>4</v>
      </c>
      <c r="L226" s="185">
        <f t="shared" si="11"/>
        <v>1980</v>
      </c>
      <c r="M226" s="184">
        <f>SUMIF(服务费底表!$D:$D,E226,服务费底表!$AG:$AG)+SUMIF(注册申报底表!$D:$D,'SOW-ERP导入表'!E226,注册申报底表!$AD:$AD)</f>
        <v>7920</v>
      </c>
    </row>
    <row r="227" spans="2:13">
      <c r="B227" s="173"/>
      <c r="D227" s="173"/>
      <c r="E227" s="187" t="s">
        <v>2579</v>
      </c>
      <c r="F227" s="173" t="str">
        <f t="shared" si="12"/>
        <v>请填写</v>
      </c>
      <c r="G227" s="173" t="str">
        <f>INDEX(服务费底表!$K:$K,MATCH('SOW-ERP导入表'!$E227,服务费底表!$D:$D,0))</f>
        <v>A082</v>
      </c>
      <c r="H227" s="183" t="str">
        <f>INDEX(服务费底表!L:L,MATCH('SOW-ERP导入表'!$E227,服务费底表!$D:$D,0))</f>
        <v>SAE报告医学审核</v>
      </c>
      <c r="I227" s="173" t="str">
        <f>INDEX(服务费底表!$T:$T,MATCH('SOW-ERP导入表'!$E227,服务费底表!$D:$D,0))</f>
        <v>MM</v>
      </c>
      <c r="J227" s="184">
        <f>SUMIF(服务费底表!$D:$D,E227,服务费底表!$AC:$AC)+SUMIF(注册申报底表!$D:$D,'SOW-ERP导入表'!E227,注册申报底表!$Z:$Z)</f>
        <v>0</v>
      </c>
      <c r="K227" s="173">
        <f>IFERROR(INDEX(服务费底表!$C:$C,MATCH('SOW-ERP导入表'!$E227,服务费底表!$D:$D,0)),0)+IFERROR(INDEX(注册申报底表!$C:$C,MATCH('SOW-ERP导入表'!$E227,注册申报底表!$D:$D,0)),0)</f>
        <v>0</v>
      </c>
      <c r="L227" s="185">
        <f t="shared" si="11"/>
        <v>0</v>
      </c>
      <c r="M227" s="184">
        <f>SUMIF(服务费底表!$D:$D,E227,服务费底表!$AG:$AG)+SUMIF(注册申报底表!$D:$D,'SOW-ERP导入表'!E227,注册申报底表!$AD:$AD)</f>
        <v>0</v>
      </c>
    </row>
    <row r="228" spans="2:13">
      <c r="B228" s="173"/>
      <c r="D228" s="173"/>
      <c r="E228" s="187" t="s">
        <v>2580</v>
      </c>
      <c r="F228" s="173" t="str">
        <f t="shared" si="12"/>
        <v>请填写</v>
      </c>
      <c r="G228" s="173" t="str">
        <f>INDEX(服务费底表!$K:$K,MATCH('SOW-ERP导入表'!$E228,服务费底表!$D:$D,0))</f>
        <v>A083</v>
      </c>
      <c r="H228" s="183" t="str">
        <f>INDEX(服务费底表!L:L,MATCH('SOW-ERP导入表'!$E228,服务费底表!$D:$D,0))</f>
        <v>DSUR医学审核</v>
      </c>
      <c r="I228" s="173" t="str">
        <f>INDEX(服务费底表!$T:$T,MATCH('SOW-ERP导入表'!$E228,服务费底表!$D:$D,0))</f>
        <v>MM</v>
      </c>
      <c r="J228" s="184">
        <f>SUMIF(服务费底表!$D:$D,E228,服务费底表!$AC:$AC)+SUMIF(注册申报底表!$D:$D,'SOW-ERP导入表'!E228,注册申报底表!$Z:$Z)</f>
        <v>0</v>
      </c>
      <c r="K228" s="173">
        <f>IFERROR(INDEX(服务费底表!$C:$C,MATCH('SOW-ERP导入表'!$E228,服务费底表!$D:$D,0)),0)+IFERROR(INDEX(注册申报底表!$C:$C,MATCH('SOW-ERP导入表'!$E228,注册申报底表!$D:$D,0)),0)</f>
        <v>0</v>
      </c>
      <c r="L228" s="185">
        <f t="shared" si="11"/>
        <v>0</v>
      </c>
      <c r="M228" s="184">
        <f>SUMIF(服务费底表!$D:$D,E228,服务费底表!$AG:$AG)+SUMIF(注册申报底表!$D:$D,'SOW-ERP导入表'!E228,注册申报底表!$AD:$AD)</f>
        <v>0</v>
      </c>
    </row>
    <row r="229" spans="2:13">
      <c r="B229" s="173"/>
      <c r="D229" s="173"/>
      <c r="E229" s="187" t="s">
        <v>2581</v>
      </c>
      <c r="F229" s="173" t="str">
        <f t="shared" si="12"/>
        <v>请填写</v>
      </c>
      <c r="G229" s="173" t="str">
        <f>INDEX(服务费底表!$K:$K,MATCH('SOW-ERP导入表'!$E229,服务费底表!$D:$D,0))</f>
        <v>A084</v>
      </c>
      <c r="H229" s="183" t="str">
        <f>INDEX(服务费底表!L:L,MATCH('SOW-ERP导入表'!$E229,服务费底表!$D:$D,0))</f>
        <v>医学项目管理</v>
      </c>
      <c r="I229" s="173" t="str">
        <f>INDEX(服务费底表!$T:$T,MATCH('SOW-ERP导入表'!$E229,服务费底表!$D:$D,0))</f>
        <v>MM</v>
      </c>
      <c r="J229" s="184">
        <f>SUMIF(服务费底表!$D:$D,E229,服务费底表!$AC:$AC)+SUMIF(注册申报底表!$D:$D,'SOW-ERP导入表'!E229,注册申报底表!$Z:$Z)</f>
        <v>21</v>
      </c>
      <c r="K229" s="173">
        <f>IFERROR(INDEX(服务费底表!$C:$C,MATCH('SOW-ERP导入表'!$E229,服务费底表!$D:$D,0)),0)+IFERROR(INDEX(注册申报底表!$C:$C,MATCH('SOW-ERP导入表'!$E229,注册申报底表!$D:$D,0)),0)</f>
        <v>14</v>
      </c>
      <c r="L229" s="185">
        <f t="shared" si="11"/>
        <v>975</v>
      </c>
      <c r="M229" s="184">
        <f>SUMIF(服务费底表!$D:$D,E229,服务费底表!$AG:$AG)+SUMIF(注册申报底表!$D:$D,'SOW-ERP导入表'!E229,注册申报底表!$AD:$AD)</f>
        <v>13650</v>
      </c>
    </row>
    <row r="230" spans="2:13">
      <c r="B230" s="173"/>
      <c r="D230" s="173"/>
      <c r="E230" s="187" t="s">
        <v>2582</v>
      </c>
      <c r="F230" s="173" t="str">
        <f t="shared" si="12"/>
        <v>请填写</v>
      </c>
      <c r="G230" s="173" t="e">
        <f>INDEX(服务费底表!$K:$K,MATCH('SOW-ERP导入表'!$E230,服务费底表!$D:$D,0))</f>
        <v>#N/A</v>
      </c>
      <c r="H230" s="183" t="e">
        <f>INDEX(服务费底表!L:L,MATCH('SOW-ERP导入表'!$E230,服务费底表!$D:$D,0))</f>
        <v>#N/A</v>
      </c>
      <c r="I230" s="173" t="e">
        <f>INDEX(服务费底表!$T:$T,MATCH('SOW-ERP导入表'!$E230,服务费底表!$D:$D,0))</f>
        <v>#N/A</v>
      </c>
      <c r="J230" s="184">
        <f>SUMIF(服务费底表!$D:$D,E230,服务费底表!$AC:$AC)+SUMIF(注册申报底表!$D:$D,'SOW-ERP导入表'!E230,注册申报底表!$Z:$Z)</f>
        <v>0</v>
      </c>
      <c r="K230" s="173">
        <f>IFERROR(INDEX(服务费底表!$C:$C,MATCH('SOW-ERP导入表'!$E230,服务费底表!$D:$D,0)),0)+IFERROR(INDEX(注册申报底表!$C:$C,MATCH('SOW-ERP导入表'!$E230,注册申报底表!$D:$D,0)),0)</f>
        <v>0</v>
      </c>
      <c r="L230" s="185">
        <f t="shared" si="11"/>
        <v>0</v>
      </c>
      <c r="M230" s="184">
        <f>SUMIF(服务费底表!$D:$D,E230,服务费底表!$AG:$AG)+SUMIF(注册申报底表!$D:$D,'SOW-ERP导入表'!E230,注册申报底表!$AD:$AD)</f>
        <v>0</v>
      </c>
    </row>
    <row r="231" spans="2:13">
      <c r="B231" s="173"/>
      <c r="D231" s="173"/>
      <c r="E231" s="187" t="s">
        <v>2583</v>
      </c>
      <c r="F231" s="173" t="str">
        <f t="shared" si="12"/>
        <v>请填写</v>
      </c>
      <c r="G231" s="173" t="e">
        <f>INDEX(服务费底表!$K:$K,MATCH('SOW-ERP导入表'!$E231,服务费底表!$D:$D,0))</f>
        <v>#N/A</v>
      </c>
      <c r="H231" s="183" t="e">
        <f>INDEX(服务费底表!L:L,MATCH('SOW-ERP导入表'!$E231,服务费底表!$D:$D,0))</f>
        <v>#N/A</v>
      </c>
      <c r="I231" s="173" t="e">
        <f>INDEX(服务费底表!$T:$T,MATCH('SOW-ERP导入表'!$E231,服务费底表!$D:$D,0))</f>
        <v>#N/A</v>
      </c>
      <c r="J231" s="184">
        <f>SUMIF(服务费底表!$D:$D,E231,服务费底表!$AC:$AC)+SUMIF(注册申报底表!$D:$D,'SOW-ERP导入表'!E231,注册申报底表!$Z:$Z)</f>
        <v>0</v>
      </c>
      <c r="K231" s="173">
        <f>IFERROR(INDEX(服务费底表!$C:$C,MATCH('SOW-ERP导入表'!$E231,服务费底表!$D:$D,0)),0)+IFERROR(INDEX(注册申报底表!$C:$C,MATCH('SOW-ERP导入表'!$E231,注册申报底表!$D:$D,0)),0)</f>
        <v>0</v>
      </c>
      <c r="L231" s="185">
        <f t="shared" si="11"/>
        <v>0</v>
      </c>
      <c r="M231" s="184">
        <f>SUMIF(服务费底表!$D:$D,E231,服务费底表!$AG:$AG)+SUMIF(注册申报底表!$D:$D,'SOW-ERP导入表'!E231,注册申报底表!$AD:$AD)</f>
        <v>0</v>
      </c>
    </row>
    <row r="232" spans="2:13">
      <c r="B232" s="173"/>
      <c r="D232" s="173"/>
      <c r="E232" s="187" t="s">
        <v>2584</v>
      </c>
      <c r="F232" s="173" t="str">
        <f t="shared" si="12"/>
        <v>请填写</v>
      </c>
      <c r="G232" s="173" t="e">
        <f>INDEX(服务费底表!$K:$K,MATCH('SOW-ERP导入表'!$E232,服务费底表!$D:$D,0))</f>
        <v>#N/A</v>
      </c>
      <c r="H232" s="183" t="e">
        <f>INDEX(服务费底表!L:L,MATCH('SOW-ERP导入表'!$E232,服务费底表!$D:$D,0))</f>
        <v>#N/A</v>
      </c>
      <c r="I232" s="173" t="e">
        <f>INDEX(服务费底表!$T:$T,MATCH('SOW-ERP导入表'!$E232,服务费底表!$D:$D,0))</f>
        <v>#N/A</v>
      </c>
      <c r="J232" s="184">
        <f>SUMIF(服务费底表!$D:$D,E232,服务费底表!$AC:$AC)+SUMIF(注册申报底表!$D:$D,'SOW-ERP导入表'!E232,注册申报底表!$Z:$Z)</f>
        <v>0</v>
      </c>
      <c r="K232" s="173">
        <f>IFERROR(INDEX(服务费底表!$C:$C,MATCH('SOW-ERP导入表'!$E232,服务费底表!$D:$D,0)),0)+IFERROR(INDEX(注册申报底表!$C:$C,MATCH('SOW-ERP导入表'!$E232,注册申报底表!$D:$D,0)),0)</f>
        <v>0</v>
      </c>
      <c r="L232" s="185">
        <f t="shared" si="11"/>
        <v>0</v>
      </c>
      <c r="M232" s="184">
        <f>SUMIF(服务费底表!$D:$D,E232,服务费底表!$AG:$AG)+SUMIF(注册申报底表!$D:$D,'SOW-ERP导入表'!E232,注册申报底表!$AD:$AD)</f>
        <v>0</v>
      </c>
    </row>
    <row r="233" spans="2:13">
      <c r="B233" s="173"/>
      <c r="D233" s="173"/>
      <c r="E233" s="187" t="s">
        <v>2585</v>
      </c>
      <c r="F233" s="173" t="str">
        <f t="shared" si="12"/>
        <v>请填写</v>
      </c>
      <c r="G233" s="173" t="e">
        <f>INDEX(服务费底表!$K:$K,MATCH('SOW-ERP导入表'!$E233,服务费底表!$D:$D,0))</f>
        <v>#N/A</v>
      </c>
      <c r="H233" s="183" t="e">
        <f>INDEX(服务费底表!L:L,MATCH('SOW-ERP导入表'!$E233,服务费底表!$D:$D,0))</f>
        <v>#N/A</v>
      </c>
      <c r="I233" s="173" t="e">
        <f>INDEX(服务费底表!$T:$T,MATCH('SOW-ERP导入表'!$E233,服务费底表!$D:$D,0))</f>
        <v>#N/A</v>
      </c>
      <c r="J233" s="184">
        <f>SUMIF(服务费底表!$D:$D,E233,服务费底表!$AC:$AC)+SUMIF(注册申报底表!$D:$D,'SOW-ERP导入表'!E233,注册申报底表!$Z:$Z)</f>
        <v>0</v>
      </c>
      <c r="K233" s="173">
        <f>IFERROR(INDEX(服务费底表!$C:$C,MATCH('SOW-ERP导入表'!$E233,服务费底表!$D:$D,0)),0)+IFERROR(INDEX(注册申报底表!$C:$C,MATCH('SOW-ERP导入表'!$E233,注册申报底表!$D:$D,0)),0)</f>
        <v>0</v>
      </c>
      <c r="L233" s="185">
        <f t="shared" si="11"/>
        <v>0</v>
      </c>
      <c r="M233" s="184">
        <f>SUMIF(服务费底表!$D:$D,E233,服务费底表!$AG:$AG)+SUMIF(注册申报底表!$D:$D,'SOW-ERP导入表'!E233,注册申报底表!$AD:$AD)</f>
        <v>0</v>
      </c>
    </row>
    <row r="234" spans="2:13">
      <c r="B234" s="173"/>
      <c r="D234" s="173"/>
      <c r="E234" s="187" t="s">
        <v>2586</v>
      </c>
      <c r="F234" s="173" t="str">
        <f t="shared" si="12"/>
        <v>请填写</v>
      </c>
      <c r="G234" s="173" t="e">
        <f>INDEX(服务费底表!$K:$K,MATCH('SOW-ERP导入表'!$E234,服务费底表!$D:$D,0))</f>
        <v>#N/A</v>
      </c>
      <c r="H234" s="183" t="e">
        <f>INDEX(服务费底表!L:L,MATCH('SOW-ERP导入表'!$E234,服务费底表!$D:$D,0))</f>
        <v>#N/A</v>
      </c>
      <c r="I234" s="173" t="e">
        <f>INDEX(服务费底表!$T:$T,MATCH('SOW-ERP导入表'!$E234,服务费底表!$D:$D,0))</f>
        <v>#N/A</v>
      </c>
      <c r="J234" s="184">
        <f>SUMIF(服务费底表!$D:$D,E234,服务费底表!$AC:$AC)+SUMIF(注册申报底表!$D:$D,'SOW-ERP导入表'!E234,注册申报底表!$Z:$Z)</f>
        <v>0</v>
      </c>
      <c r="K234" s="173">
        <f>IFERROR(INDEX(服务费底表!$C:$C,MATCH('SOW-ERP导入表'!$E234,服务费底表!$D:$D,0)),0)+IFERROR(INDEX(注册申报底表!$C:$C,MATCH('SOW-ERP导入表'!$E234,注册申报底表!$D:$D,0)),0)</f>
        <v>0</v>
      </c>
      <c r="L234" s="185">
        <f t="shared" si="11"/>
        <v>0</v>
      </c>
      <c r="M234" s="184">
        <f>SUMIF(服务费底表!$D:$D,E234,服务费底表!$AG:$AG)+SUMIF(注册申报底表!$D:$D,'SOW-ERP导入表'!E234,注册申报底表!$AD:$AD)</f>
        <v>0</v>
      </c>
    </row>
    <row r="235" spans="2:13">
      <c r="B235" s="173"/>
      <c r="D235" s="173"/>
      <c r="E235" s="187" t="s">
        <v>2587</v>
      </c>
      <c r="F235" s="173" t="str">
        <f t="shared" si="12"/>
        <v>请填写</v>
      </c>
      <c r="G235" s="173" t="e">
        <f>INDEX(服务费底表!$K:$K,MATCH('SOW-ERP导入表'!$E235,服务费底表!$D:$D,0))</f>
        <v>#N/A</v>
      </c>
      <c r="H235" s="183" t="e">
        <f>INDEX(服务费底表!L:L,MATCH('SOW-ERP导入表'!$E235,服务费底表!$D:$D,0))</f>
        <v>#N/A</v>
      </c>
      <c r="I235" s="173" t="e">
        <f>INDEX(服务费底表!$T:$T,MATCH('SOW-ERP导入表'!$E235,服务费底表!$D:$D,0))</f>
        <v>#N/A</v>
      </c>
      <c r="J235" s="184">
        <f>SUMIF(服务费底表!$D:$D,E235,服务费底表!$AC:$AC)+SUMIF(注册申报底表!$D:$D,'SOW-ERP导入表'!E235,注册申报底表!$Z:$Z)</f>
        <v>0</v>
      </c>
      <c r="K235" s="173">
        <f>IFERROR(INDEX(服务费底表!$C:$C,MATCH('SOW-ERP导入表'!$E235,服务费底表!$D:$D,0)),0)+IFERROR(INDEX(注册申报底表!$C:$C,MATCH('SOW-ERP导入表'!$E235,注册申报底表!$D:$D,0)),0)</f>
        <v>0</v>
      </c>
      <c r="L235" s="185">
        <f t="shared" si="11"/>
        <v>0</v>
      </c>
      <c r="M235" s="184">
        <f>SUMIF(服务费底表!$D:$D,E235,服务费底表!$AG:$AG)+SUMIF(注册申报底表!$D:$D,'SOW-ERP导入表'!E235,注册申报底表!$AD:$AD)</f>
        <v>0</v>
      </c>
    </row>
    <row r="236" spans="2:13">
      <c r="B236" s="173"/>
      <c r="D236" s="173"/>
      <c r="E236" s="187" t="s">
        <v>2588</v>
      </c>
      <c r="F236" s="173" t="str">
        <f t="shared" si="12"/>
        <v>请填写</v>
      </c>
      <c r="G236" s="173" t="e">
        <f>INDEX(服务费底表!$K:$K,MATCH('SOW-ERP导入表'!$E236,服务费底表!$D:$D,0))</f>
        <v>#N/A</v>
      </c>
      <c r="H236" s="183" t="e">
        <f>INDEX(服务费底表!L:L,MATCH('SOW-ERP导入表'!$E236,服务费底表!$D:$D,0))</f>
        <v>#N/A</v>
      </c>
      <c r="I236" s="173" t="e">
        <f>INDEX(服务费底表!$T:$T,MATCH('SOW-ERP导入表'!$E236,服务费底表!$D:$D,0))</f>
        <v>#N/A</v>
      </c>
      <c r="J236" s="184">
        <f>SUMIF(服务费底表!$D:$D,E236,服务费底表!$AC:$AC)+SUMIF(注册申报底表!$D:$D,'SOW-ERP导入表'!E236,注册申报底表!$Z:$Z)</f>
        <v>0</v>
      </c>
      <c r="K236" s="173">
        <f>IFERROR(INDEX(服务费底表!$C:$C,MATCH('SOW-ERP导入表'!$E236,服务费底表!$D:$D,0)),0)+IFERROR(INDEX(注册申报底表!$C:$C,MATCH('SOW-ERP导入表'!$E236,注册申报底表!$D:$D,0)),0)</f>
        <v>0</v>
      </c>
      <c r="L236" s="185">
        <f t="shared" si="11"/>
        <v>0</v>
      </c>
      <c r="M236" s="184">
        <f>SUMIF(服务费底表!$D:$D,E236,服务费底表!$AG:$AG)+SUMIF(注册申报底表!$D:$D,'SOW-ERP导入表'!E236,注册申报底表!$AD:$AD)</f>
        <v>0</v>
      </c>
    </row>
    <row r="237" spans="2:13">
      <c r="B237" s="173"/>
      <c r="D237" s="173"/>
      <c r="E237" s="187" t="s">
        <v>2589</v>
      </c>
      <c r="F237" s="173" t="str">
        <f t="shared" si="12"/>
        <v>请填写</v>
      </c>
      <c r="G237" s="173" t="e">
        <f>INDEX(服务费底表!$K:$K,MATCH('SOW-ERP导入表'!$E237,服务费底表!$D:$D,0))</f>
        <v>#N/A</v>
      </c>
      <c r="H237" s="183" t="e">
        <f>INDEX(服务费底表!L:L,MATCH('SOW-ERP导入表'!$E237,服务费底表!$D:$D,0))</f>
        <v>#N/A</v>
      </c>
      <c r="I237" s="173" t="e">
        <f>INDEX(服务费底表!$T:$T,MATCH('SOW-ERP导入表'!$E237,服务费底表!$D:$D,0))</f>
        <v>#N/A</v>
      </c>
      <c r="J237" s="184">
        <f>SUMIF(服务费底表!$D:$D,E237,服务费底表!$AC:$AC)+SUMIF(注册申报底表!$D:$D,'SOW-ERP导入表'!E237,注册申报底表!$Z:$Z)</f>
        <v>0</v>
      </c>
      <c r="K237" s="173">
        <f>IFERROR(INDEX(服务费底表!$C:$C,MATCH('SOW-ERP导入表'!$E237,服务费底表!$D:$D,0)),0)+IFERROR(INDEX(注册申报底表!$C:$C,MATCH('SOW-ERP导入表'!$E237,注册申报底表!$D:$D,0)),0)</f>
        <v>0</v>
      </c>
      <c r="L237" s="185">
        <f t="shared" si="11"/>
        <v>0</v>
      </c>
      <c r="M237" s="184">
        <f>SUMIF(服务费底表!$D:$D,E237,服务费底表!$AG:$AG)+SUMIF(注册申报底表!$D:$D,'SOW-ERP导入表'!E237,注册申报底表!$AD:$AD)</f>
        <v>0</v>
      </c>
    </row>
    <row r="238" spans="2:13">
      <c r="B238" s="173"/>
      <c r="D238" s="173"/>
      <c r="E238" s="187" t="s">
        <v>2590</v>
      </c>
      <c r="F238" s="173" t="str">
        <f t="shared" si="12"/>
        <v>请填写</v>
      </c>
      <c r="G238" s="173" t="str">
        <f>INDEX(服务费底表!$K:$K,MATCH('SOW-ERP导入表'!$E238,服务费底表!$D:$D,0))</f>
        <v>A086</v>
      </c>
      <c r="H238" s="183" t="str">
        <f>INDEX(服务费底表!L:L,MATCH('SOW-ERP导入表'!$E238,服务费底表!$D:$D,0))</f>
        <v>搭建数据库界面</v>
      </c>
      <c r="I238" s="173" t="str">
        <f>INDEX(服务费底表!$T:$T,MATCH('SOW-ERP导入表'!$E238,服务费底表!$D:$D,0))</f>
        <v>DBP</v>
      </c>
      <c r="J238" s="184">
        <f>SUMIF(服务费底表!$D:$D,E238,服务费底表!$AC:$AC)+SUMIF(注册申报底表!$D:$D,'SOW-ERP导入表'!E238,注册申报底表!$Z:$Z)</f>
        <v>56.9</v>
      </c>
      <c r="K238" s="173">
        <f>IFERROR(INDEX(服务费底表!$C:$C,MATCH('SOW-ERP导入表'!$E238,服务费底表!$D:$D,0)),0)+IFERROR(INDEX(注册申报底表!$C:$C,MATCH('SOW-ERP导入表'!$E238,注册申报底表!$D:$D,0)),0)</f>
        <v>1</v>
      </c>
      <c r="L238" s="185">
        <f t="shared" si="11"/>
        <v>17070</v>
      </c>
      <c r="M238" s="184">
        <f>SUMIF(服务费底表!$D:$D,E238,服务费底表!$AG:$AG)+SUMIF(注册申报底表!$D:$D,'SOW-ERP导入表'!E238,注册申报底表!$AD:$AD)</f>
        <v>17070</v>
      </c>
    </row>
    <row r="239" spans="2:13">
      <c r="B239" s="173"/>
      <c r="D239" s="173"/>
      <c r="E239" s="187" t="s">
        <v>2591</v>
      </c>
      <c r="F239" s="173" t="str">
        <f t="shared" si="12"/>
        <v>请填写</v>
      </c>
      <c r="G239" s="173" t="str">
        <f>INDEX(服务费底表!$K:$K,MATCH('SOW-ERP导入表'!$E239,服务费底表!$D:$D,0))</f>
        <v>A086</v>
      </c>
      <c r="H239" s="183" t="str">
        <f>INDEX(服务费底表!L:L,MATCH('SOW-ERP导入表'!$E239,服务费底表!$D:$D,0))</f>
        <v>搭建数据库界面</v>
      </c>
      <c r="I239" s="173" t="str">
        <f>INDEX(服务费底表!$T:$T,MATCH('SOW-ERP导入表'!$E239,服务费底表!$D:$D,0))</f>
        <v>DM</v>
      </c>
      <c r="J239" s="184">
        <f>SUMIF(服务费底表!$D:$D,E239,服务费底表!$AC:$AC)+SUMIF(注册申报底表!$D:$D,'SOW-ERP导入表'!E239,注册申报底表!$Z:$Z)</f>
        <v>29.5</v>
      </c>
      <c r="K239" s="173">
        <f>IFERROR(INDEX(服务费底表!$C:$C,MATCH('SOW-ERP导入表'!$E239,服务费底表!$D:$D,0)),0)+IFERROR(INDEX(注册申报底表!$C:$C,MATCH('SOW-ERP导入表'!$E239,注册申报底表!$D:$D,0)),0)</f>
        <v>1</v>
      </c>
      <c r="L239" s="185">
        <f t="shared" si="11"/>
        <v>5900</v>
      </c>
      <c r="M239" s="184">
        <f>SUMIF(服务费底表!$D:$D,E239,服务费底表!$AG:$AG)+SUMIF(注册申报底表!$D:$D,'SOW-ERP导入表'!E239,注册申报底表!$AD:$AD)</f>
        <v>5900</v>
      </c>
    </row>
    <row r="240" spans="2:13">
      <c r="B240" s="173"/>
      <c r="D240" s="173"/>
      <c r="E240" s="187" t="s">
        <v>2592</v>
      </c>
      <c r="F240" s="173" t="str">
        <f t="shared" si="12"/>
        <v>请填写</v>
      </c>
      <c r="G240" s="173" t="str">
        <f>INDEX(服务费底表!$K:$K,MATCH('SOW-ERP导入表'!$E240,服务费底表!$D:$D,0))</f>
        <v>A086</v>
      </c>
      <c r="H240" s="183" t="str">
        <f>INDEX(服务费底表!L:L,MATCH('SOW-ERP导入表'!$E240,服务费底表!$D:$D,0))</f>
        <v>搭建数据库界面</v>
      </c>
      <c r="I240" s="173" t="str">
        <f>INDEX(服务费底表!$T:$T,MATCH('SOW-ERP导入表'!$E240,服务费底表!$D:$D,0))</f>
        <v>LDM</v>
      </c>
      <c r="J240" s="184">
        <f>SUMIF(服务费底表!$D:$D,E240,服务费底表!$AC:$AC)+SUMIF(注册申报底表!$D:$D,'SOW-ERP导入表'!E240,注册申报底表!$Z:$Z)</f>
        <v>1</v>
      </c>
      <c r="K240" s="173">
        <f>IFERROR(INDEX(服务费底表!$C:$C,MATCH('SOW-ERP导入表'!$E240,服务费底表!$D:$D,0)),0)+IFERROR(INDEX(注册申报底表!$C:$C,MATCH('SOW-ERP导入表'!$E240,注册申报底表!$D:$D,0)),0)</f>
        <v>1</v>
      </c>
      <c r="L240" s="185">
        <f t="shared" si="11"/>
        <v>360</v>
      </c>
      <c r="M240" s="184">
        <f>SUMIF(服务费底表!$D:$D,E240,服务费底表!$AG:$AG)+SUMIF(注册申报底表!$D:$D,'SOW-ERP导入表'!E240,注册申报底表!$AD:$AD)</f>
        <v>360</v>
      </c>
    </row>
    <row r="241" spans="2:13">
      <c r="B241" s="173"/>
      <c r="D241" s="173"/>
      <c r="E241" s="187" t="s">
        <v>2593</v>
      </c>
      <c r="F241" s="173" t="str">
        <f t="shared" si="12"/>
        <v>请填写</v>
      </c>
      <c r="G241" s="173" t="e">
        <f>INDEX(服务费底表!$K:$K,MATCH('SOW-ERP导入表'!$E241,服务费底表!$D:$D,0))</f>
        <v>#N/A</v>
      </c>
      <c r="H241" s="183" t="e">
        <f>INDEX(服务费底表!L:L,MATCH('SOW-ERP导入表'!$E241,服务费底表!$D:$D,0))</f>
        <v>#N/A</v>
      </c>
      <c r="I241" s="173" t="e">
        <f>INDEX(服务费底表!$T:$T,MATCH('SOW-ERP导入表'!$E241,服务费底表!$D:$D,0))</f>
        <v>#N/A</v>
      </c>
      <c r="J241" s="184">
        <f>SUMIF(服务费底表!$D:$D,E241,服务费底表!$AC:$AC)+SUMIF(注册申报底表!$D:$D,'SOW-ERP导入表'!E241,注册申报底表!$Z:$Z)</f>
        <v>0</v>
      </c>
      <c r="K241" s="173">
        <f>IFERROR(INDEX(服务费底表!$C:$C,MATCH('SOW-ERP导入表'!$E241,服务费底表!$D:$D,0)),0)+IFERROR(INDEX(注册申报底表!$C:$C,MATCH('SOW-ERP导入表'!$E241,注册申报底表!$D:$D,0)),0)</f>
        <v>0</v>
      </c>
      <c r="L241" s="185">
        <f t="shared" si="11"/>
        <v>0</v>
      </c>
      <c r="M241" s="184">
        <f>SUMIF(服务费底表!$D:$D,E241,服务费底表!$AG:$AG)+SUMIF(注册申报底表!$D:$D,'SOW-ERP导入表'!E241,注册申报底表!$AD:$AD)</f>
        <v>0</v>
      </c>
    </row>
    <row r="242" spans="2:13">
      <c r="B242" s="173"/>
      <c r="D242" s="173"/>
      <c r="E242" s="187" t="s">
        <v>2594</v>
      </c>
      <c r="F242" s="173" t="str">
        <f t="shared" si="12"/>
        <v>请填写</v>
      </c>
      <c r="G242" s="173" t="str">
        <f>INDEX(服务费底表!$K:$K,MATCH('SOW-ERP导入表'!$E242,服务费底表!$D:$D,0))</f>
        <v>A087</v>
      </c>
      <c r="H242" s="183" t="str">
        <f>INDEX(服务费底表!L:L,MATCH('SOW-ERP导入表'!$E242,服务费底表!$D:$D,0))</f>
        <v>设置数据核查程序</v>
      </c>
      <c r="I242" s="173" t="str">
        <f>INDEX(服务费底表!$T:$T,MATCH('SOW-ERP导入表'!$E242,服务费底表!$D:$D,0))</f>
        <v>DBP</v>
      </c>
      <c r="J242" s="184">
        <f>SUMIF(服务费底表!$D:$D,E242,服务费底表!$AC:$AC)+SUMIF(注册申报底表!$D:$D,'SOW-ERP导入表'!E242,注册申报底表!$Z:$Z)</f>
        <v>34.65</v>
      </c>
      <c r="K242" s="173">
        <f>IFERROR(INDEX(服务费底表!$C:$C,MATCH('SOW-ERP导入表'!$E242,服务费底表!$D:$D,0)),0)+IFERROR(INDEX(注册申报底表!$C:$C,MATCH('SOW-ERP导入表'!$E242,注册申报底表!$D:$D,0)),0)</f>
        <v>630</v>
      </c>
      <c r="L242" s="185">
        <f t="shared" si="11"/>
        <v>16.5</v>
      </c>
      <c r="M242" s="184">
        <f>SUMIF(服务费底表!$D:$D,E242,服务费底表!$AG:$AG)+SUMIF(注册申报底表!$D:$D,'SOW-ERP导入表'!E242,注册申报底表!$AD:$AD)</f>
        <v>10395</v>
      </c>
    </row>
    <row r="243" spans="2:13">
      <c r="B243" s="173"/>
      <c r="D243" s="173"/>
      <c r="E243" s="187" t="s">
        <v>2595</v>
      </c>
      <c r="F243" s="173" t="str">
        <f t="shared" si="12"/>
        <v>请填写</v>
      </c>
      <c r="G243" s="173" t="str">
        <f>INDEX(服务费底表!$K:$K,MATCH('SOW-ERP导入表'!$E243,服务费底表!$D:$D,0))</f>
        <v>A087</v>
      </c>
      <c r="H243" s="183" t="str">
        <f>INDEX(服务费底表!L:L,MATCH('SOW-ERP导入表'!$E243,服务费底表!$D:$D,0))</f>
        <v>设置数据核查程序</v>
      </c>
      <c r="I243" s="173" t="str">
        <f>INDEX(服务费底表!$T:$T,MATCH('SOW-ERP导入表'!$E243,服务费底表!$D:$D,0))</f>
        <v>DM</v>
      </c>
      <c r="J243" s="184">
        <f>SUMIF(服务费底表!$D:$D,E243,服务费底表!$AC:$AC)+SUMIF(注册申报底表!$D:$D,'SOW-ERP导入表'!E243,注册申报底表!$Z:$Z)</f>
        <v>63</v>
      </c>
      <c r="K243" s="173">
        <f>IFERROR(INDEX(服务费底表!$C:$C,MATCH('SOW-ERP导入表'!$E243,服务费底表!$D:$D,0)),0)+IFERROR(INDEX(注册申报底表!$C:$C,MATCH('SOW-ERP导入表'!$E243,注册申报底表!$D:$D,0)),0)</f>
        <v>630</v>
      </c>
      <c r="L243" s="185">
        <f t="shared" si="11"/>
        <v>20</v>
      </c>
      <c r="M243" s="184">
        <f>SUMIF(服务费底表!$D:$D,E243,服务费底表!$AG:$AG)+SUMIF(注册申报底表!$D:$D,'SOW-ERP导入表'!E243,注册申报底表!$AD:$AD)</f>
        <v>12600</v>
      </c>
    </row>
    <row r="244" spans="2:13">
      <c r="B244" s="173"/>
      <c r="D244" s="173"/>
      <c r="E244" s="187" t="s">
        <v>2596</v>
      </c>
      <c r="F244" s="173" t="str">
        <f t="shared" si="12"/>
        <v>请填写</v>
      </c>
      <c r="G244" s="173" t="str">
        <f>INDEX(服务费底表!$K:$K,MATCH('SOW-ERP导入表'!$E244,服务费底表!$D:$D,0))</f>
        <v>A088</v>
      </c>
      <c r="H244" s="183" t="str">
        <f>INDEX(服务费底表!L:L,MATCH('SOW-ERP导入表'!$E244,服务费底表!$D:$D,0))</f>
        <v>用户接受性测试(UAT)</v>
      </c>
      <c r="I244" s="173" t="str">
        <f>INDEX(服务费底表!$T:$T,MATCH('SOW-ERP导入表'!$E244,服务费底表!$D:$D,0))</f>
        <v>LDM</v>
      </c>
      <c r="J244" s="184">
        <f>SUMIF(服务费底表!$D:$D,E244,服务费底表!$AC:$AC)+SUMIF(注册申报底表!$D:$D,'SOW-ERP导入表'!E244,注册申报底表!$Z:$Z)</f>
        <v>2</v>
      </c>
      <c r="K244" s="173">
        <f>IFERROR(INDEX(服务费底表!$C:$C,MATCH('SOW-ERP导入表'!$E244,服务费底表!$D:$D,0)),0)+IFERROR(INDEX(注册申报底表!$C:$C,MATCH('SOW-ERP导入表'!$E244,注册申报底表!$D:$D,0)),0)</f>
        <v>1</v>
      </c>
      <c r="L244" s="185">
        <f t="shared" si="11"/>
        <v>720</v>
      </c>
      <c r="M244" s="184">
        <f>SUMIF(服务费底表!$D:$D,E244,服务费底表!$AG:$AG)+SUMIF(注册申报底表!$D:$D,'SOW-ERP导入表'!E244,注册申报底表!$AD:$AD)</f>
        <v>720</v>
      </c>
    </row>
    <row r="245" spans="2:13">
      <c r="B245" s="173"/>
      <c r="D245" s="173"/>
      <c r="E245" s="187" t="s">
        <v>2597</v>
      </c>
      <c r="F245" s="173" t="str">
        <f t="shared" si="12"/>
        <v>请填写</v>
      </c>
      <c r="G245" s="173" t="str">
        <f>INDEX(服务费底表!$K:$K,MATCH('SOW-ERP导入表'!$E245,服务费底表!$D:$D,0))</f>
        <v>A088</v>
      </c>
      <c r="H245" s="183" t="str">
        <f>INDEX(服务费底表!L:L,MATCH('SOW-ERP导入表'!$E245,服务费底表!$D:$D,0))</f>
        <v>用户接受性测试(UAT)</v>
      </c>
      <c r="I245" s="173" t="str">
        <f>INDEX(服务费底表!$T:$T,MATCH('SOW-ERP导入表'!$E245,服务费底表!$D:$D,0))</f>
        <v>DBP</v>
      </c>
      <c r="J245" s="184">
        <f>SUMIF(服务费底表!$D:$D,E245,服务费底表!$AC:$AC)+SUMIF(注册申报底表!$D:$D,'SOW-ERP导入表'!E245,注册申报底表!$Z:$Z)</f>
        <v>2</v>
      </c>
      <c r="K245" s="173">
        <f>IFERROR(INDEX(服务费底表!$C:$C,MATCH('SOW-ERP导入表'!$E245,服务费底表!$D:$D,0)),0)+IFERROR(INDEX(注册申报底表!$C:$C,MATCH('SOW-ERP导入表'!$E245,注册申报底表!$D:$D,0)),0)</f>
        <v>1</v>
      </c>
      <c r="L245" s="185">
        <f t="shared" si="11"/>
        <v>600</v>
      </c>
      <c r="M245" s="184">
        <f>SUMIF(服务费底表!$D:$D,E245,服务费底表!$AG:$AG)+SUMIF(注册申报底表!$D:$D,'SOW-ERP导入表'!E245,注册申报底表!$AD:$AD)</f>
        <v>600</v>
      </c>
    </row>
    <row r="246" spans="2:13">
      <c r="B246" s="173"/>
      <c r="D246" s="173"/>
      <c r="E246" s="187" t="s">
        <v>2598</v>
      </c>
      <c r="F246" s="173" t="str">
        <f t="shared" si="12"/>
        <v>请填写</v>
      </c>
      <c r="G246" s="173" t="str">
        <f>INDEX(服务费底表!$K:$K,MATCH('SOW-ERP导入表'!$E246,服务费底表!$D:$D,0))</f>
        <v>A088</v>
      </c>
      <c r="H246" s="183" t="str">
        <f>INDEX(服务费底表!L:L,MATCH('SOW-ERP导入表'!$E246,服务费底表!$D:$D,0))</f>
        <v>用户接受性测试(UAT)</v>
      </c>
      <c r="I246" s="173" t="str">
        <f>INDEX(服务费底表!$T:$T,MATCH('SOW-ERP导入表'!$E246,服务费底表!$D:$D,0))</f>
        <v>DM</v>
      </c>
      <c r="J246" s="184">
        <f>SUMIF(服务费底表!$D:$D,E246,服务费底表!$AC:$AC)+SUMIF(注册申报底表!$D:$D,'SOW-ERP导入表'!E246,注册申报底表!$Z:$Z)</f>
        <v>2</v>
      </c>
      <c r="K246" s="173">
        <f>IFERROR(INDEX(服务费底表!$C:$C,MATCH('SOW-ERP导入表'!$E246,服务费底表!$D:$D,0)),0)+IFERROR(INDEX(注册申报底表!$C:$C,MATCH('SOW-ERP导入表'!$E246,注册申报底表!$D:$D,0)),0)</f>
        <v>1</v>
      </c>
      <c r="L246" s="185">
        <f t="shared" si="11"/>
        <v>400</v>
      </c>
      <c r="M246" s="184">
        <f>SUMIF(服务费底表!$D:$D,E246,服务费底表!$AG:$AG)+SUMIF(注册申报底表!$D:$D,'SOW-ERP导入表'!E246,注册申报底表!$AD:$AD)</f>
        <v>400</v>
      </c>
    </row>
    <row r="247" spans="2:13">
      <c r="B247" s="173"/>
      <c r="D247" s="173"/>
      <c r="E247" s="187" t="s">
        <v>2599</v>
      </c>
      <c r="F247" s="173" t="str">
        <f t="shared" si="12"/>
        <v>请填写</v>
      </c>
      <c r="G247" s="173" t="str">
        <f>INDEX(服务费底表!$K:$K,MATCH('SOW-ERP导入表'!$E247,服务费底表!$D:$D,0))</f>
        <v>A089</v>
      </c>
      <c r="H247" s="183" t="str">
        <f>INDEX(服务费底表!L:L,MATCH('SOW-ERP导入表'!$E247,服务费底表!$D:$D,0))</f>
        <v>搭建随机发药系统</v>
      </c>
      <c r="I247" s="173" t="str">
        <f>INDEX(服务费底表!$T:$T,MATCH('SOW-ERP导入表'!$E247,服务费底表!$D:$D,0))</f>
        <v>DBP</v>
      </c>
      <c r="J247" s="184">
        <f>SUMIF(服务费底表!$D:$D,E247,服务费底表!$AC:$AC)+SUMIF(注册申报底表!$D:$D,'SOW-ERP导入表'!E247,注册申报底表!$Z:$Z)</f>
        <v>0</v>
      </c>
      <c r="K247" s="173">
        <f>IFERROR(INDEX(服务费底表!$C:$C,MATCH('SOW-ERP导入表'!$E247,服务费底表!$D:$D,0)),0)+IFERROR(INDEX(注册申报底表!$C:$C,MATCH('SOW-ERP导入表'!$E247,注册申报底表!$D:$D,0)),0)</f>
        <v>0</v>
      </c>
      <c r="L247" s="185">
        <f t="shared" si="11"/>
        <v>0</v>
      </c>
      <c r="M247" s="184">
        <f>SUMIF(服务费底表!$D:$D,E247,服务费底表!$AG:$AG)+SUMIF(注册申报底表!$D:$D,'SOW-ERP导入表'!E247,注册申报底表!$AD:$AD)</f>
        <v>0</v>
      </c>
    </row>
    <row r="248" spans="2:13">
      <c r="B248" s="173"/>
      <c r="D248" s="173"/>
      <c r="E248" s="187" t="s">
        <v>2600</v>
      </c>
      <c r="F248" s="173" t="str">
        <f t="shared" si="12"/>
        <v>请填写</v>
      </c>
      <c r="G248" s="173" t="str">
        <f>INDEX(服务费底表!$K:$K,MATCH('SOW-ERP导入表'!$E248,服务费底表!$D:$D,0))</f>
        <v>A089</v>
      </c>
      <c r="H248" s="183" t="str">
        <f>INDEX(服务费底表!L:L,MATCH('SOW-ERP导入表'!$E248,服务费底表!$D:$D,0))</f>
        <v>搭建随机发药系统</v>
      </c>
      <c r="I248" s="173" t="str">
        <f>INDEX(服务费底表!$T:$T,MATCH('SOW-ERP导入表'!$E248,服务费底表!$D:$D,0))</f>
        <v>LDM</v>
      </c>
      <c r="J248" s="184">
        <f>SUMIF(服务费底表!$D:$D,E248,服务费底表!$AC:$AC)+SUMIF(注册申报底表!$D:$D,'SOW-ERP导入表'!E248,注册申报底表!$Z:$Z)</f>
        <v>0</v>
      </c>
      <c r="K248" s="173">
        <f>IFERROR(INDEX(服务费底表!$C:$C,MATCH('SOW-ERP导入表'!$E248,服务费底表!$D:$D,0)),0)+IFERROR(INDEX(注册申报底表!$C:$C,MATCH('SOW-ERP导入表'!$E248,注册申报底表!$D:$D,0)),0)</f>
        <v>0</v>
      </c>
      <c r="L248" s="185">
        <f t="shared" si="11"/>
        <v>0</v>
      </c>
      <c r="M248" s="184">
        <f>SUMIF(服务费底表!$D:$D,E248,服务费底表!$AG:$AG)+SUMIF(注册申报底表!$D:$D,'SOW-ERP导入表'!E248,注册申报底表!$AD:$AD)</f>
        <v>0</v>
      </c>
    </row>
    <row r="249" spans="2:13">
      <c r="B249" s="173"/>
      <c r="D249" s="173"/>
      <c r="E249" s="187" t="s">
        <v>2601</v>
      </c>
      <c r="F249" s="173" t="str">
        <f t="shared" si="12"/>
        <v>请填写</v>
      </c>
      <c r="G249" s="173" t="str">
        <f>INDEX(服务费底表!$K:$K,MATCH('SOW-ERP导入表'!$E249,服务费底表!$D:$D,0))</f>
        <v>A089</v>
      </c>
      <c r="H249" s="183" t="str">
        <f>INDEX(服务费底表!L:L,MATCH('SOW-ERP导入表'!$E249,服务费底表!$D:$D,0))</f>
        <v>搭建随机发药系统</v>
      </c>
      <c r="I249" s="173" t="str">
        <f>INDEX(服务费底表!$T:$T,MATCH('SOW-ERP导入表'!$E249,服务费底表!$D:$D,0))</f>
        <v>ST</v>
      </c>
      <c r="J249" s="184">
        <f>SUMIF(服务费底表!$D:$D,E249,服务费底表!$AC:$AC)+SUMIF(注册申报底表!$D:$D,'SOW-ERP导入表'!E249,注册申报底表!$Z:$Z)</f>
        <v>0</v>
      </c>
      <c r="K249" s="173">
        <f>IFERROR(INDEX(服务费底表!$C:$C,MATCH('SOW-ERP导入表'!$E249,服务费底表!$D:$D,0)),0)+IFERROR(INDEX(注册申报底表!$C:$C,MATCH('SOW-ERP导入表'!$E249,注册申报底表!$D:$D,0)),0)</f>
        <v>0</v>
      </c>
      <c r="L249" s="185">
        <f t="shared" si="11"/>
        <v>0</v>
      </c>
      <c r="M249" s="184">
        <f>SUMIF(服务费底表!$D:$D,E249,服务费底表!$AG:$AG)+SUMIF(注册申报底表!$D:$D,'SOW-ERP导入表'!E249,注册申报底表!$AD:$AD)</f>
        <v>0</v>
      </c>
    </row>
    <row r="250" spans="2:13">
      <c r="B250" s="173"/>
      <c r="D250" s="173"/>
      <c r="E250" s="187" t="s">
        <v>2602</v>
      </c>
      <c r="F250" s="173" t="str">
        <f t="shared" si="12"/>
        <v>请填写</v>
      </c>
      <c r="G250" s="173" t="e">
        <f>INDEX(服务费底表!$K:$K,MATCH('SOW-ERP导入表'!$E250,服务费底表!$D:$D,0))</f>
        <v>#N/A</v>
      </c>
      <c r="H250" s="183" t="e">
        <f>INDEX(服务费底表!L:L,MATCH('SOW-ERP导入表'!$E250,服务费底表!$D:$D,0))</f>
        <v>#N/A</v>
      </c>
      <c r="I250" s="173" t="e">
        <f>INDEX(服务费底表!$T:$T,MATCH('SOW-ERP导入表'!$E250,服务费底表!$D:$D,0))</f>
        <v>#N/A</v>
      </c>
      <c r="J250" s="184">
        <f>SUMIF(服务费底表!$D:$D,E250,服务费底表!$AC:$AC)+SUMIF(注册申报底表!$D:$D,'SOW-ERP导入表'!E250,注册申报底表!$Z:$Z)</f>
        <v>0</v>
      </c>
      <c r="K250" s="173">
        <f>IFERROR(INDEX(服务费底表!$C:$C,MATCH('SOW-ERP导入表'!$E250,服务费底表!$D:$D,0)),0)+IFERROR(INDEX(注册申报底表!$C:$C,MATCH('SOW-ERP导入表'!$E250,注册申报底表!$D:$D,0)),0)</f>
        <v>0</v>
      </c>
      <c r="L250" s="185">
        <f t="shared" si="11"/>
        <v>0</v>
      </c>
      <c r="M250" s="184">
        <f>SUMIF(服务费底表!$D:$D,E250,服务费底表!$AG:$AG)+SUMIF(注册申报底表!$D:$D,'SOW-ERP导入表'!E250,注册申报底表!$AD:$AD)</f>
        <v>0</v>
      </c>
    </row>
    <row r="251" spans="2:13">
      <c r="B251" s="173"/>
      <c r="D251" s="173"/>
      <c r="E251" s="187" t="s">
        <v>2603</v>
      </c>
      <c r="F251" s="173" t="str">
        <f t="shared" si="12"/>
        <v>请填写</v>
      </c>
      <c r="G251" s="173" t="str">
        <f>INDEX(服务费底表!$K:$K,MATCH('SOW-ERP导入表'!$E251,服务费底表!$D:$D,0))</f>
        <v>A090</v>
      </c>
      <c r="H251" s="183" t="str">
        <f>INDEX(服务费底表!L:L,MATCH('SOW-ERP导入表'!$E251,服务费底表!$D:$D,0))</f>
        <v>系统自动质疑管理</v>
      </c>
      <c r="I251" s="173" t="str">
        <f>INDEX(服务费底表!$T:$T,MATCH('SOW-ERP导入表'!$E251,服务费底表!$D:$D,0))</f>
        <v>DM</v>
      </c>
      <c r="J251" s="184">
        <f>SUMIF(服务费底表!$D:$D,E251,服务费底表!$AC:$AC)+SUMIF(注册申报底表!$D:$D,'SOW-ERP导入表'!E251,注册申报底表!$Z:$Z)</f>
        <v>45</v>
      </c>
      <c r="K251" s="173">
        <f>IFERROR(INDEX(服务费底表!$C:$C,MATCH('SOW-ERP导入表'!$E251,服务费底表!$D:$D,0)),0)+IFERROR(INDEX(注册申报底表!$C:$C,MATCH('SOW-ERP导入表'!$E251,注册申报底表!$D:$D,0)),0)</f>
        <v>900</v>
      </c>
      <c r="L251" s="185">
        <f t="shared" si="11"/>
        <v>10</v>
      </c>
      <c r="M251" s="184">
        <f>SUMIF(服务费底表!$D:$D,E251,服务费底表!$AG:$AG)+SUMIF(注册申报底表!$D:$D,'SOW-ERP导入表'!E251,注册申报底表!$AD:$AD)</f>
        <v>9000</v>
      </c>
    </row>
    <row r="252" spans="2:13">
      <c r="B252" s="173"/>
      <c r="D252" s="173"/>
      <c r="E252" s="187" t="s">
        <v>2604</v>
      </c>
      <c r="F252" s="173" t="str">
        <f t="shared" si="12"/>
        <v>请填写</v>
      </c>
      <c r="G252" s="173" t="e">
        <f>INDEX(服务费底表!$K:$K,MATCH('SOW-ERP导入表'!$E252,服务费底表!$D:$D,0))</f>
        <v>#N/A</v>
      </c>
      <c r="H252" s="183" t="e">
        <f>INDEX(服务费底表!L:L,MATCH('SOW-ERP导入表'!$E252,服务费底表!$D:$D,0))</f>
        <v>#N/A</v>
      </c>
      <c r="I252" s="173" t="e">
        <f>INDEX(服务费底表!$T:$T,MATCH('SOW-ERP导入表'!$E252,服务费底表!$D:$D,0))</f>
        <v>#N/A</v>
      </c>
      <c r="J252" s="184">
        <f>SUMIF(服务费底表!$D:$D,E252,服务费底表!$AC:$AC)+SUMIF(注册申报底表!$D:$D,'SOW-ERP导入表'!E252,注册申报底表!$Z:$Z)</f>
        <v>0</v>
      </c>
      <c r="K252" s="173">
        <f>IFERROR(INDEX(服务费底表!$C:$C,MATCH('SOW-ERP导入表'!$E252,服务费底表!$D:$D,0)),0)+IFERROR(INDEX(注册申报底表!$C:$C,MATCH('SOW-ERP导入表'!$E252,注册申报底表!$D:$D,0)),0)</f>
        <v>0</v>
      </c>
      <c r="L252" s="185">
        <f t="shared" si="11"/>
        <v>0</v>
      </c>
      <c r="M252" s="184">
        <f>SUMIF(服务费底表!$D:$D,E252,服务费底表!$AG:$AG)+SUMIF(注册申报底表!$D:$D,'SOW-ERP导入表'!E252,注册申报底表!$AD:$AD)</f>
        <v>0</v>
      </c>
    </row>
    <row r="253" spans="2:13">
      <c r="B253" s="173"/>
      <c r="D253" s="173"/>
      <c r="E253" s="187" t="s">
        <v>2605</v>
      </c>
      <c r="F253" s="173" t="str">
        <f t="shared" si="12"/>
        <v>请填写</v>
      </c>
      <c r="G253" s="173" t="e">
        <f>INDEX(服务费底表!$K:$K,MATCH('SOW-ERP导入表'!$E253,服务费底表!$D:$D,0))</f>
        <v>#N/A</v>
      </c>
      <c r="H253" s="183" t="e">
        <f>INDEX(服务费底表!L:L,MATCH('SOW-ERP导入表'!$E253,服务费底表!$D:$D,0))</f>
        <v>#N/A</v>
      </c>
      <c r="I253" s="173" t="e">
        <f>INDEX(服务费底表!$T:$T,MATCH('SOW-ERP导入表'!$E253,服务费底表!$D:$D,0))</f>
        <v>#N/A</v>
      </c>
      <c r="J253" s="184">
        <f>SUMIF(服务费底表!$D:$D,E253,服务费底表!$AC:$AC)+SUMIF(注册申报底表!$D:$D,'SOW-ERP导入表'!E253,注册申报底表!$Z:$Z)</f>
        <v>0</v>
      </c>
      <c r="K253" s="173">
        <f>IFERROR(INDEX(服务费底表!$C:$C,MATCH('SOW-ERP导入表'!$E253,服务费底表!$D:$D,0)),0)+IFERROR(INDEX(注册申报底表!$C:$C,MATCH('SOW-ERP导入表'!$E253,注册申报底表!$D:$D,0)),0)</f>
        <v>0</v>
      </c>
      <c r="L253" s="185">
        <f t="shared" si="11"/>
        <v>0</v>
      </c>
      <c r="M253" s="184">
        <f>SUMIF(服务费底表!$D:$D,E253,服务费底表!$AG:$AG)+SUMIF(注册申报底表!$D:$D,'SOW-ERP导入表'!E253,注册申报底表!$AD:$AD)</f>
        <v>0</v>
      </c>
    </row>
    <row r="254" spans="2:13">
      <c r="B254" s="173"/>
      <c r="D254" s="173"/>
      <c r="E254" s="187" t="s">
        <v>2606</v>
      </c>
      <c r="F254" s="173" t="str">
        <f t="shared" si="12"/>
        <v>请填写</v>
      </c>
      <c r="G254" s="173" t="e">
        <f>INDEX(服务费底表!$K:$K,MATCH('SOW-ERP导入表'!$E254,服务费底表!$D:$D,0))</f>
        <v>#N/A</v>
      </c>
      <c r="H254" s="183" t="e">
        <f>INDEX(服务费底表!L:L,MATCH('SOW-ERP导入表'!$E254,服务费底表!$D:$D,0))</f>
        <v>#N/A</v>
      </c>
      <c r="I254" s="173" t="e">
        <f>INDEX(服务费底表!$T:$T,MATCH('SOW-ERP导入表'!$E254,服务费底表!$D:$D,0))</f>
        <v>#N/A</v>
      </c>
      <c r="J254" s="184">
        <f>SUMIF(服务费底表!$D:$D,E254,服务费底表!$AC:$AC)+SUMIF(注册申报底表!$D:$D,'SOW-ERP导入表'!E254,注册申报底表!$Z:$Z)</f>
        <v>0</v>
      </c>
      <c r="K254" s="173">
        <f>IFERROR(INDEX(服务费底表!$C:$C,MATCH('SOW-ERP导入表'!$E254,服务费底表!$D:$D,0)),0)+IFERROR(INDEX(注册申报底表!$C:$C,MATCH('SOW-ERP导入表'!$E254,注册申报底表!$D:$D,0)),0)</f>
        <v>0</v>
      </c>
      <c r="L254" s="185">
        <f t="shared" si="11"/>
        <v>0</v>
      </c>
      <c r="M254" s="184">
        <f>SUMIF(服务费底表!$D:$D,E254,服务费底表!$AG:$AG)+SUMIF(注册申报底表!$D:$D,'SOW-ERP导入表'!E254,注册申报底表!$AD:$AD)</f>
        <v>0</v>
      </c>
    </row>
    <row r="255" spans="2:13">
      <c r="B255" s="173"/>
      <c r="D255" s="173"/>
      <c r="E255" s="187" t="s">
        <v>2607</v>
      </c>
      <c r="F255" s="173" t="str">
        <f t="shared" si="12"/>
        <v>请填写</v>
      </c>
      <c r="G255" s="173" t="e">
        <f>INDEX(服务费底表!$K:$K,MATCH('SOW-ERP导入表'!$E255,服务费底表!$D:$D,0))</f>
        <v>#N/A</v>
      </c>
      <c r="H255" s="183" t="e">
        <f>INDEX(服务费底表!L:L,MATCH('SOW-ERP导入表'!$E255,服务费底表!$D:$D,0))</f>
        <v>#N/A</v>
      </c>
      <c r="I255" s="173" t="e">
        <f>INDEX(服务费底表!$T:$T,MATCH('SOW-ERP导入表'!$E255,服务费底表!$D:$D,0))</f>
        <v>#N/A</v>
      </c>
      <c r="J255" s="184">
        <f>SUMIF(服务费底表!$D:$D,E255,服务费底表!$AC:$AC)+SUMIF(注册申报底表!$D:$D,'SOW-ERP导入表'!E255,注册申报底表!$Z:$Z)</f>
        <v>0</v>
      </c>
      <c r="K255" s="173">
        <f>IFERROR(INDEX(服务费底表!$C:$C,MATCH('SOW-ERP导入表'!$E255,服务费底表!$D:$D,0)),0)+IFERROR(INDEX(注册申报底表!$C:$C,MATCH('SOW-ERP导入表'!$E255,注册申报底表!$D:$D,0)),0)</f>
        <v>0</v>
      </c>
      <c r="L255" s="185">
        <f t="shared" si="11"/>
        <v>0</v>
      </c>
      <c r="M255" s="184">
        <f>SUMIF(服务费底表!$D:$D,E255,服务费底表!$AG:$AG)+SUMIF(注册申报底表!$D:$D,'SOW-ERP导入表'!E255,注册申报底表!$AD:$AD)</f>
        <v>0</v>
      </c>
    </row>
    <row r="256" spans="2:13">
      <c r="B256" s="173"/>
      <c r="D256" s="173"/>
      <c r="E256" s="187" t="s">
        <v>2608</v>
      </c>
      <c r="F256" s="173" t="str">
        <f t="shared" si="12"/>
        <v>请填写</v>
      </c>
      <c r="G256" s="173" t="e">
        <f>INDEX(服务费底表!$K:$K,MATCH('SOW-ERP导入表'!$E256,服务费底表!$D:$D,0))</f>
        <v>#N/A</v>
      </c>
      <c r="H256" s="183" t="e">
        <f>INDEX(服务费底表!L:L,MATCH('SOW-ERP导入表'!$E256,服务费底表!$D:$D,0))</f>
        <v>#N/A</v>
      </c>
      <c r="I256" s="173" t="e">
        <f>INDEX(服务费底表!$T:$T,MATCH('SOW-ERP导入表'!$E256,服务费底表!$D:$D,0))</f>
        <v>#N/A</v>
      </c>
      <c r="J256" s="184">
        <f>SUMIF(服务费底表!$D:$D,E256,服务费底表!$AC:$AC)+SUMIF(注册申报底表!$D:$D,'SOW-ERP导入表'!E256,注册申报底表!$Z:$Z)</f>
        <v>0</v>
      </c>
      <c r="K256" s="173">
        <f>IFERROR(INDEX(服务费底表!$C:$C,MATCH('SOW-ERP导入表'!$E256,服务费底表!$D:$D,0)),0)+IFERROR(INDEX(注册申报底表!$C:$C,MATCH('SOW-ERP导入表'!$E256,注册申报底表!$D:$D,0)),0)</f>
        <v>0</v>
      </c>
      <c r="L256" s="185">
        <f t="shared" si="11"/>
        <v>0</v>
      </c>
      <c r="M256" s="184">
        <f>SUMIF(服务费底表!$D:$D,E256,服务费底表!$AG:$AG)+SUMIF(注册申报底表!$D:$D,'SOW-ERP导入表'!E256,注册申报底表!$AD:$AD)</f>
        <v>0</v>
      </c>
    </row>
    <row r="257" spans="2:13">
      <c r="B257" s="173"/>
      <c r="D257" s="173"/>
      <c r="E257" s="187" t="s">
        <v>2609</v>
      </c>
      <c r="F257" s="173" t="str">
        <f t="shared" si="12"/>
        <v>请填写</v>
      </c>
      <c r="G257" s="173" t="e">
        <f>INDEX(服务费底表!$K:$K,MATCH('SOW-ERP导入表'!$E257,服务费底表!$D:$D,0))</f>
        <v>#N/A</v>
      </c>
      <c r="H257" s="183" t="e">
        <f>INDEX(服务费底表!L:L,MATCH('SOW-ERP导入表'!$E257,服务费底表!$D:$D,0))</f>
        <v>#N/A</v>
      </c>
      <c r="I257" s="173" t="e">
        <f>INDEX(服务费底表!$T:$T,MATCH('SOW-ERP导入表'!$E257,服务费底表!$D:$D,0))</f>
        <v>#N/A</v>
      </c>
      <c r="J257" s="184">
        <f>SUMIF(服务费底表!$D:$D,E257,服务费底表!$AC:$AC)+SUMIF(注册申报底表!$D:$D,'SOW-ERP导入表'!E257,注册申报底表!$Z:$Z)</f>
        <v>0</v>
      </c>
      <c r="K257" s="173">
        <f>IFERROR(INDEX(服务费底表!$C:$C,MATCH('SOW-ERP导入表'!$E257,服务费底表!$D:$D,0)),0)+IFERROR(INDEX(注册申报底表!$C:$C,MATCH('SOW-ERP导入表'!$E257,注册申报底表!$D:$D,0)),0)</f>
        <v>0</v>
      </c>
      <c r="L257" s="185">
        <f t="shared" si="11"/>
        <v>0</v>
      </c>
      <c r="M257" s="184">
        <f>SUMIF(服务费底表!$D:$D,E257,服务费底表!$AG:$AG)+SUMIF(注册申报底表!$D:$D,'SOW-ERP导入表'!E257,注册申报底表!$AD:$AD)</f>
        <v>0</v>
      </c>
    </row>
    <row r="258" spans="2:13">
      <c r="B258" s="173"/>
      <c r="D258" s="173"/>
      <c r="E258" s="187" t="s">
        <v>2610</v>
      </c>
      <c r="F258" s="173" t="str">
        <f t="shared" si="12"/>
        <v>请填写</v>
      </c>
      <c r="G258" s="173" t="str">
        <f>INDEX(服务费底表!$K:$K,MATCH('SOW-ERP导入表'!$E258,服务费底表!$D:$D,0))</f>
        <v>A092</v>
      </c>
      <c r="H258" s="183" t="str">
        <f>INDEX(服务费底表!L:L,MATCH('SOW-ERP导入表'!$E258,服务费底表!$D:$D,0))</f>
        <v>核查外部数据一致性</v>
      </c>
      <c r="I258" s="173" t="str">
        <f>INDEX(服务费底表!$T:$T,MATCH('SOW-ERP导入表'!$E258,服务费底表!$D:$D,0))</f>
        <v>DM</v>
      </c>
      <c r="J258" s="184">
        <f>SUMIF(服务费底表!$D:$D,E258,服务费底表!$AC:$AC)+SUMIF(注册申报底表!$D:$D,'SOW-ERP导入表'!E258,注册申报底表!$Z:$Z)</f>
        <v>10</v>
      </c>
      <c r="K258" s="173">
        <f>IFERROR(INDEX(服务费底表!$C:$C,MATCH('SOW-ERP导入表'!$E258,服务费底表!$D:$D,0)),0)+IFERROR(INDEX(注册申报底表!$C:$C,MATCH('SOW-ERP导入表'!$E258,注册申报底表!$D:$D,0)),0)</f>
        <v>10</v>
      </c>
      <c r="L258" s="185">
        <f t="shared" si="11"/>
        <v>200</v>
      </c>
      <c r="M258" s="184">
        <f>SUMIF(服务费底表!$D:$D,E258,服务费底表!$AG:$AG)+SUMIF(注册申报底表!$D:$D,'SOW-ERP导入表'!E258,注册申报底表!$AD:$AD)</f>
        <v>2000</v>
      </c>
    </row>
    <row r="259" spans="2:13">
      <c r="B259" s="173"/>
      <c r="D259" s="173"/>
      <c r="E259" s="187" t="s">
        <v>2611</v>
      </c>
      <c r="F259" s="173" t="str">
        <f t="shared" si="12"/>
        <v>请填写</v>
      </c>
      <c r="G259" s="173" t="e">
        <f>INDEX(服务费底表!$K:$K,MATCH('SOW-ERP导入表'!$E259,服务费底表!$D:$D,0))</f>
        <v>#N/A</v>
      </c>
      <c r="H259" s="183" t="e">
        <f>INDEX(服务费底表!L:L,MATCH('SOW-ERP导入表'!$E259,服务费底表!$D:$D,0))</f>
        <v>#N/A</v>
      </c>
      <c r="I259" s="173" t="e">
        <f>INDEX(服务费底表!$T:$T,MATCH('SOW-ERP导入表'!$E259,服务费底表!$D:$D,0))</f>
        <v>#N/A</v>
      </c>
      <c r="J259" s="184">
        <f>SUMIF(服务费底表!$D:$D,E259,服务费底表!$AC:$AC)+SUMIF(注册申报底表!$D:$D,'SOW-ERP导入表'!E259,注册申报底表!$Z:$Z)</f>
        <v>0</v>
      </c>
      <c r="K259" s="173">
        <f>IFERROR(INDEX(服务费底表!$C:$C,MATCH('SOW-ERP导入表'!$E259,服务费底表!$D:$D,0)),0)+IFERROR(INDEX(注册申报底表!$C:$C,MATCH('SOW-ERP导入表'!$E259,注册申报底表!$D:$D,0)),0)</f>
        <v>0</v>
      </c>
      <c r="L259" s="185">
        <f t="shared" si="11"/>
        <v>0</v>
      </c>
      <c r="M259" s="184">
        <f>SUMIF(服务费底表!$D:$D,E259,服务费底表!$AG:$AG)+SUMIF(注册申报底表!$D:$D,'SOW-ERP导入表'!E259,注册申报底表!$AD:$AD)</f>
        <v>0</v>
      </c>
    </row>
    <row r="260" spans="2:13">
      <c r="B260" s="173"/>
      <c r="D260" s="173"/>
      <c r="E260" s="187" t="s">
        <v>2612</v>
      </c>
      <c r="F260" s="173" t="str">
        <f t="shared" si="12"/>
        <v>请填写</v>
      </c>
      <c r="G260" s="173" t="str">
        <f>INDEX(服务费底表!$K:$K,MATCH('SOW-ERP导入表'!$E260,服务费底表!$D:$D,0))</f>
        <v>A094</v>
      </c>
      <c r="H260" s="183" t="str">
        <f>INDEX(服务费底表!L:L,MATCH('SOW-ERP导入表'!$E260,服务费底表!$D:$D,0))</f>
        <v>核查SAE一致性</v>
      </c>
      <c r="I260" s="173" t="str">
        <f>INDEX(服务费底表!$T:$T,MATCH('SOW-ERP导入表'!$E260,服务费底表!$D:$D,0))</f>
        <v>PVM</v>
      </c>
      <c r="J260" s="184">
        <f>SUMIF(服务费底表!$D:$D,E260,服务费底表!$AC:$AC)+SUMIF(注册申报底表!$D:$D,'SOW-ERP导入表'!E260,注册申报底表!$Z:$Z)</f>
        <v>5</v>
      </c>
      <c r="K260" s="173">
        <f>IFERROR(INDEX(服务费底表!$C:$C,MATCH('SOW-ERP导入表'!$E260,服务费底表!$D:$D,0)),0)+IFERROR(INDEX(注册申报底表!$C:$C,MATCH('SOW-ERP导入表'!$E260,注册申报底表!$D:$D,0)),0)</f>
        <v>5</v>
      </c>
      <c r="L260" s="185">
        <f t="shared" si="11"/>
        <v>500</v>
      </c>
      <c r="M260" s="184">
        <f>SUMIF(服务费底表!$D:$D,E260,服务费底表!$AG:$AG)+SUMIF(注册申报底表!$D:$D,'SOW-ERP导入表'!E260,注册申报底表!$AD:$AD)</f>
        <v>2500</v>
      </c>
    </row>
    <row r="261" spans="2:13">
      <c r="B261" s="173"/>
      <c r="D261" s="173"/>
      <c r="E261" s="187" t="s">
        <v>2613</v>
      </c>
      <c r="F261" s="173" t="str">
        <f t="shared" si="12"/>
        <v>请填写</v>
      </c>
      <c r="G261" s="173" t="e">
        <f>INDEX(服务费底表!$K:$K,MATCH('SOW-ERP导入表'!$E261,服务费底表!$D:$D,0))</f>
        <v>#N/A</v>
      </c>
      <c r="H261" s="183" t="e">
        <f>INDEX(服务费底表!L:L,MATCH('SOW-ERP导入表'!$E261,服务费底表!$D:$D,0))</f>
        <v>#N/A</v>
      </c>
      <c r="I261" s="173" t="e">
        <f>INDEX(服务费底表!$T:$T,MATCH('SOW-ERP导入表'!$E261,服务费底表!$D:$D,0))</f>
        <v>#N/A</v>
      </c>
      <c r="J261" s="184">
        <f>SUMIF(服务费底表!$D:$D,E261,服务费底表!$AC:$AC)+SUMIF(注册申报底表!$D:$D,'SOW-ERP导入表'!E261,注册申报底表!$Z:$Z)</f>
        <v>0</v>
      </c>
      <c r="K261" s="173">
        <f>IFERROR(INDEX(服务费底表!$C:$C,MATCH('SOW-ERP导入表'!$E261,服务费底表!$D:$D,0)),0)+IFERROR(INDEX(注册申报底表!$C:$C,MATCH('SOW-ERP导入表'!$E261,注册申报底表!$D:$D,0)),0)</f>
        <v>0</v>
      </c>
      <c r="L261" s="185">
        <f t="shared" si="11"/>
        <v>0</v>
      </c>
      <c r="M261" s="184">
        <f>SUMIF(服务费底表!$D:$D,E261,服务费底表!$AG:$AG)+SUMIF(注册申报底表!$D:$D,'SOW-ERP导入表'!E261,注册申报底表!$AD:$AD)</f>
        <v>0</v>
      </c>
    </row>
    <row r="262" spans="2:13">
      <c r="B262" s="173"/>
      <c r="D262" s="173"/>
      <c r="E262" s="187" t="s">
        <v>2614</v>
      </c>
      <c r="F262" s="173" t="str">
        <f t="shared" si="12"/>
        <v>请填写</v>
      </c>
      <c r="G262" s="173" t="str">
        <f>INDEX(服务费底表!$K:$K,MATCH('SOW-ERP导入表'!$E262,服务费底表!$D:$D,0))</f>
        <v>A094</v>
      </c>
      <c r="H262" s="183" t="str">
        <f>INDEX(服务费底表!L:L,MATCH('SOW-ERP导入表'!$E262,服务费底表!$D:$D,0))</f>
        <v>核查SAE一致性</v>
      </c>
      <c r="I262" s="173" t="str">
        <f>INDEX(服务费底表!$T:$T,MATCH('SOW-ERP导入表'!$E262,服务费底表!$D:$D,0))</f>
        <v>DM</v>
      </c>
      <c r="J262" s="184">
        <f>SUMIF(服务费底表!$D:$D,E262,服务费底表!$AC:$AC)+SUMIF(注册申报底表!$D:$D,'SOW-ERP导入表'!E262,注册申报底表!$Z:$Z)</f>
        <v>5</v>
      </c>
      <c r="K262" s="173">
        <f>IFERROR(INDEX(服务费底表!$C:$C,MATCH('SOW-ERP导入表'!$E262,服务费底表!$D:$D,0)),0)+IFERROR(INDEX(注册申报底表!$C:$C,MATCH('SOW-ERP导入表'!$E262,注册申报底表!$D:$D,0)),0)</f>
        <v>5</v>
      </c>
      <c r="L262" s="185">
        <f t="shared" si="11"/>
        <v>200</v>
      </c>
      <c r="M262" s="184">
        <f>SUMIF(服务费底表!$D:$D,E262,服务费底表!$AG:$AG)+SUMIF(注册申报底表!$D:$D,'SOW-ERP导入表'!E262,注册申报底表!$AD:$AD)</f>
        <v>1000</v>
      </c>
    </row>
    <row r="263" spans="2:13">
      <c r="B263" s="173"/>
      <c r="D263" s="173"/>
      <c r="E263" s="187" t="s">
        <v>2615</v>
      </c>
      <c r="F263" s="173" t="str">
        <f t="shared" si="12"/>
        <v>请填写</v>
      </c>
      <c r="G263" s="173" t="str">
        <f>INDEX(服务费底表!$K:$K,MATCH('SOW-ERP导入表'!$E263,服务费底表!$D:$D,0))</f>
        <v>A095</v>
      </c>
      <c r="H263" s="183" t="str">
        <f>INDEX(服务费底表!L:L,MATCH('SOW-ERP导入表'!$E263,服务费底表!$D:$D,0))</f>
        <v>递交常规进度报告</v>
      </c>
      <c r="I263" s="173" t="str">
        <f>INDEX(服务费底表!$T:$T,MATCH('SOW-ERP导入表'!$E263,服务费底表!$D:$D,0))</f>
        <v>DM</v>
      </c>
      <c r="J263" s="184">
        <f>SUMIF(服务费底表!$D:$D,E263,服务费底表!$AC:$AC)+SUMIF(注册申报底表!$D:$D,'SOW-ERP导入表'!E263,注册申报底表!$Z:$Z)</f>
        <v>14</v>
      </c>
      <c r="K263" s="173">
        <f>IFERROR(INDEX(服务费底表!$C:$C,MATCH('SOW-ERP导入表'!$E263,服务费底表!$D:$D,0)),0)+IFERROR(INDEX(注册申报底表!$C:$C,MATCH('SOW-ERP导入表'!$E263,注册申报底表!$D:$D,0)),0)</f>
        <v>14</v>
      </c>
      <c r="L263" s="185">
        <f t="shared" ref="L263:L326" si="13">IFERROR(M263/K263,0)</f>
        <v>200</v>
      </c>
      <c r="M263" s="184">
        <f>SUMIF(服务费底表!$D:$D,E263,服务费底表!$AG:$AG)+SUMIF(注册申报底表!$D:$D,'SOW-ERP导入表'!E263,注册申报底表!$AD:$AD)</f>
        <v>2800</v>
      </c>
    </row>
    <row r="264" spans="2:13">
      <c r="B264" s="173"/>
      <c r="D264" s="173"/>
      <c r="E264" s="187" t="s">
        <v>2616</v>
      </c>
      <c r="F264" s="173" t="str">
        <f t="shared" si="12"/>
        <v>请填写</v>
      </c>
      <c r="G264" s="173" t="str">
        <f>INDEX(服务费底表!$K:$K,MATCH('SOW-ERP导入表'!$E264,服务费底表!$D:$D,0))</f>
        <v>A095</v>
      </c>
      <c r="H264" s="183" t="str">
        <f>INDEX(服务费底表!L:L,MATCH('SOW-ERP导入表'!$E264,服务费底表!$D:$D,0))</f>
        <v>递交常规进度报告</v>
      </c>
      <c r="I264" s="173" t="str">
        <f>INDEX(服务费底表!$T:$T,MATCH('SOW-ERP导入表'!$E264,服务费底表!$D:$D,0))</f>
        <v>LDM</v>
      </c>
      <c r="J264" s="184">
        <f>SUMIF(服务费底表!$D:$D,E264,服务费底表!$AC:$AC)+SUMIF(注册申报底表!$D:$D,'SOW-ERP导入表'!E264,注册申报底表!$Z:$Z)</f>
        <v>1.4</v>
      </c>
      <c r="K264" s="173">
        <f>IFERROR(INDEX(服务费底表!$C:$C,MATCH('SOW-ERP导入表'!$E264,服务费底表!$D:$D,0)),0)+IFERROR(INDEX(注册申报底表!$C:$C,MATCH('SOW-ERP导入表'!$E264,注册申报底表!$D:$D,0)),0)</f>
        <v>14</v>
      </c>
      <c r="L264" s="185">
        <f t="shared" si="13"/>
        <v>36</v>
      </c>
      <c r="M264" s="184">
        <f>SUMIF(服务费底表!$D:$D,E264,服务费底表!$AG:$AG)+SUMIF(注册申报底表!$D:$D,'SOW-ERP导入表'!E264,注册申报底表!$AD:$AD)</f>
        <v>504</v>
      </c>
    </row>
    <row r="265" spans="2:13">
      <c r="B265" s="173"/>
      <c r="D265" s="173"/>
      <c r="E265" s="187" t="s">
        <v>2617</v>
      </c>
      <c r="F265" s="173" t="str">
        <f t="shared" si="12"/>
        <v>请填写</v>
      </c>
      <c r="G265" s="173" t="str">
        <f>INDEX(服务费底表!$K:$K,MATCH('SOW-ERP导入表'!$E265,服务费底表!$D:$D,0))</f>
        <v>A096</v>
      </c>
      <c r="H265" s="183" t="str">
        <f>INDEX(服务费底表!L:L,MATCH('SOW-ERP导入表'!$E265,服务费底表!$D:$D,0))</f>
        <v>递交项目定制报告</v>
      </c>
      <c r="I265" s="173" t="str">
        <f>INDEX(服务费底表!$T:$T,MATCH('SOW-ERP导入表'!$E265,服务费底表!$D:$D,0))</f>
        <v>DBP</v>
      </c>
      <c r="J265" s="184">
        <f>SUMIF(服务费底表!$D:$D,E265,服务费底表!$AC:$AC)+SUMIF(注册申报底表!$D:$D,'SOW-ERP导入表'!E265,注册申报底表!$Z:$Z)</f>
        <v>0</v>
      </c>
      <c r="K265" s="173">
        <f>IFERROR(INDEX(服务费底表!$C:$C,MATCH('SOW-ERP导入表'!$E265,服务费底表!$D:$D,0)),0)+IFERROR(INDEX(注册申报底表!$C:$C,MATCH('SOW-ERP导入表'!$E265,注册申报底表!$D:$D,0)),0)</f>
        <v>0</v>
      </c>
      <c r="L265" s="185">
        <f t="shared" si="13"/>
        <v>0</v>
      </c>
      <c r="M265" s="184">
        <f>SUMIF(服务费底表!$D:$D,E265,服务费底表!$AG:$AG)+SUMIF(注册申报底表!$D:$D,'SOW-ERP导入表'!E265,注册申报底表!$AD:$AD)</f>
        <v>0</v>
      </c>
    </row>
    <row r="266" spans="2:13">
      <c r="B266" s="173"/>
      <c r="D266" s="173"/>
      <c r="E266" s="187" t="s">
        <v>2618</v>
      </c>
      <c r="F266" s="173" t="str">
        <f t="shared" si="12"/>
        <v>请填写</v>
      </c>
      <c r="G266" s="173" t="str">
        <f>INDEX(服务费底表!$K:$K,MATCH('SOW-ERP导入表'!$E266,服务费底表!$D:$D,0))</f>
        <v>A096</v>
      </c>
      <c r="H266" s="183" t="str">
        <f>INDEX(服务费底表!L:L,MATCH('SOW-ERP导入表'!$E266,服务费底表!$D:$D,0))</f>
        <v>递交项目定制报告</v>
      </c>
      <c r="I266" s="173" t="str">
        <f>INDEX(服务费底表!$T:$T,MATCH('SOW-ERP导入表'!$E266,服务费底表!$D:$D,0))</f>
        <v>DM</v>
      </c>
      <c r="J266" s="184">
        <f>SUMIF(服务费底表!$D:$D,E266,服务费底表!$AC:$AC)+SUMIF(注册申报底表!$D:$D,'SOW-ERP导入表'!E266,注册申报底表!$Z:$Z)</f>
        <v>0</v>
      </c>
      <c r="K266" s="173">
        <f>IFERROR(INDEX(服务费底表!$C:$C,MATCH('SOW-ERP导入表'!$E266,服务费底表!$D:$D,0)),0)+IFERROR(INDEX(注册申报底表!$C:$C,MATCH('SOW-ERP导入表'!$E266,注册申报底表!$D:$D,0)),0)</f>
        <v>0</v>
      </c>
      <c r="L266" s="185">
        <f t="shared" si="13"/>
        <v>0</v>
      </c>
      <c r="M266" s="184">
        <f>SUMIF(服务费底表!$D:$D,E266,服务费底表!$AG:$AG)+SUMIF(注册申报底表!$D:$D,'SOW-ERP导入表'!E266,注册申报底表!$AD:$AD)</f>
        <v>0</v>
      </c>
    </row>
    <row r="267" spans="2:13">
      <c r="B267" s="173"/>
      <c r="D267" s="173"/>
      <c r="E267" s="187" t="s">
        <v>2619</v>
      </c>
      <c r="F267" s="173" t="str">
        <f t="shared" si="12"/>
        <v>请填写</v>
      </c>
      <c r="G267" s="173" t="str">
        <f>INDEX(服务费底表!$K:$K,MATCH('SOW-ERP导入表'!$E267,服务费底表!$D:$D,0))</f>
        <v>A096</v>
      </c>
      <c r="H267" s="183" t="str">
        <f>INDEX(服务费底表!L:L,MATCH('SOW-ERP导入表'!$E267,服务费底表!$D:$D,0))</f>
        <v>递交项目定制报告</v>
      </c>
      <c r="I267" s="173" t="str">
        <f>INDEX(服务费底表!$T:$T,MATCH('SOW-ERP导入表'!$E267,服务费底表!$D:$D,0))</f>
        <v>LDM</v>
      </c>
      <c r="J267" s="184">
        <f>SUMIF(服务费底表!$D:$D,E267,服务费底表!$AC:$AC)+SUMIF(注册申报底表!$D:$D,'SOW-ERP导入表'!E267,注册申报底表!$Z:$Z)</f>
        <v>0</v>
      </c>
      <c r="K267" s="173">
        <f>IFERROR(INDEX(服务费底表!$C:$C,MATCH('SOW-ERP导入表'!$E267,服务费底表!$D:$D,0)),0)+IFERROR(INDEX(注册申报底表!$C:$C,MATCH('SOW-ERP导入表'!$E267,注册申报底表!$D:$D,0)),0)</f>
        <v>0</v>
      </c>
      <c r="L267" s="185">
        <f t="shared" si="13"/>
        <v>0</v>
      </c>
      <c r="M267" s="184">
        <f>SUMIF(服务费底表!$D:$D,E267,服务费底表!$AG:$AG)+SUMIF(注册申报底表!$D:$D,'SOW-ERP导入表'!E267,注册申报底表!$AD:$AD)</f>
        <v>0</v>
      </c>
    </row>
    <row r="268" spans="2:13">
      <c r="B268" s="173"/>
      <c r="D268" s="173"/>
      <c r="E268" s="187" t="s">
        <v>2620</v>
      </c>
      <c r="F268" s="173" t="str">
        <f t="shared" ref="F268:F331" si="14">$F$2</f>
        <v>请填写</v>
      </c>
      <c r="G268" s="173" t="e">
        <f>INDEX(服务费底表!$K:$K,MATCH('SOW-ERP导入表'!$E268,服务费底表!$D:$D,0))</f>
        <v>#N/A</v>
      </c>
      <c r="H268" s="183" t="e">
        <f>INDEX(服务费底表!L:L,MATCH('SOW-ERP导入表'!$E268,服务费底表!$D:$D,0))</f>
        <v>#N/A</v>
      </c>
      <c r="I268" s="173" t="e">
        <f>INDEX(服务费底表!$T:$T,MATCH('SOW-ERP导入表'!$E268,服务费底表!$D:$D,0))</f>
        <v>#N/A</v>
      </c>
      <c r="J268" s="184">
        <f>SUMIF(服务费底表!$D:$D,E268,服务费底表!$AC:$AC)+SUMIF(注册申报底表!$D:$D,'SOW-ERP导入表'!E268,注册申报底表!$Z:$Z)</f>
        <v>0</v>
      </c>
      <c r="K268" s="173">
        <f>IFERROR(INDEX(服务费底表!$C:$C,MATCH('SOW-ERP导入表'!$E268,服务费底表!$D:$D,0)),0)+IFERROR(INDEX(注册申报底表!$C:$C,MATCH('SOW-ERP导入表'!$E268,注册申报底表!$D:$D,0)),0)</f>
        <v>0</v>
      </c>
      <c r="L268" s="185">
        <f t="shared" si="13"/>
        <v>0</v>
      </c>
      <c r="M268" s="184">
        <f>SUMIF(服务费底表!$D:$D,E268,服务费底表!$AG:$AG)+SUMIF(注册申报底表!$D:$D,'SOW-ERP导入表'!E268,注册申报底表!$AD:$AD)</f>
        <v>0</v>
      </c>
    </row>
    <row r="269" spans="2:13">
      <c r="B269" s="173"/>
      <c r="D269" s="173"/>
      <c r="E269" s="187" t="s">
        <v>2621</v>
      </c>
      <c r="F269" s="173" t="str">
        <f t="shared" si="14"/>
        <v>请填写</v>
      </c>
      <c r="G269" s="173" t="e">
        <f>INDEX(服务费底表!$K:$K,MATCH('SOW-ERP导入表'!$E269,服务费底表!$D:$D,0))</f>
        <v>#N/A</v>
      </c>
      <c r="H269" s="183" t="e">
        <f>INDEX(服务费底表!L:L,MATCH('SOW-ERP导入表'!$E269,服务费底表!$D:$D,0))</f>
        <v>#N/A</v>
      </c>
      <c r="I269" s="173" t="e">
        <f>INDEX(服务费底表!$T:$T,MATCH('SOW-ERP导入表'!$E269,服务费底表!$D:$D,0))</f>
        <v>#N/A</v>
      </c>
      <c r="J269" s="184">
        <f>SUMIF(服务费底表!$D:$D,E269,服务费底表!$AC:$AC)+SUMIF(注册申报底表!$D:$D,'SOW-ERP导入表'!E269,注册申报底表!$Z:$Z)</f>
        <v>0</v>
      </c>
      <c r="K269" s="173">
        <f>IFERROR(INDEX(服务费底表!$C:$C,MATCH('SOW-ERP导入表'!$E269,服务费底表!$D:$D,0)),0)+IFERROR(INDEX(注册申报底表!$C:$C,MATCH('SOW-ERP导入表'!$E269,注册申报底表!$D:$D,0)),0)</f>
        <v>0</v>
      </c>
      <c r="L269" s="185">
        <f t="shared" si="13"/>
        <v>0</v>
      </c>
      <c r="M269" s="184">
        <f>SUMIF(服务费底表!$D:$D,E269,服务费底表!$AG:$AG)+SUMIF(注册申报底表!$D:$D,'SOW-ERP导入表'!E269,注册申报底表!$AD:$AD)</f>
        <v>0</v>
      </c>
    </row>
    <row r="270" spans="2:13">
      <c r="B270" s="173"/>
      <c r="D270" s="173"/>
      <c r="E270" s="187" t="s">
        <v>2622</v>
      </c>
      <c r="F270" s="173" t="str">
        <f t="shared" si="14"/>
        <v>请填写</v>
      </c>
      <c r="G270" s="173" t="e">
        <f>INDEX(服务费底表!$K:$K,MATCH('SOW-ERP导入表'!$E270,服务费底表!$D:$D,0))</f>
        <v>#N/A</v>
      </c>
      <c r="H270" s="183" t="e">
        <f>INDEX(服务费底表!L:L,MATCH('SOW-ERP导入表'!$E270,服务费底表!$D:$D,0))</f>
        <v>#N/A</v>
      </c>
      <c r="I270" s="173" t="e">
        <f>INDEX(服务费底表!$T:$T,MATCH('SOW-ERP导入表'!$E270,服务费底表!$D:$D,0))</f>
        <v>#N/A</v>
      </c>
      <c r="J270" s="184">
        <f>SUMIF(服务费底表!$D:$D,E270,服务费底表!$AC:$AC)+SUMIF(注册申报底表!$D:$D,'SOW-ERP导入表'!E270,注册申报底表!$Z:$Z)</f>
        <v>0</v>
      </c>
      <c r="K270" s="173">
        <f>IFERROR(INDEX(服务费底表!$C:$C,MATCH('SOW-ERP导入表'!$E270,服务费底表!$D:$D,0)),0)+IFERROR(INDEX(注册申报底表!$C:$C,MATCH('SOW-ERP导入表'!$E270,注册申报底表!$D:$D,0)),0)</f>
        <v>0</v>
      </c>
      <c r="L270" s="185">
        <f t="shared" si="13"/>
        <v>0</v>
      </c>
      <c r="M270" s="184">
        <f>SUMIF(服务费底表!$D:$D,E270,服务费底表!$AG:$AG)+SUMIF(注册申报底表!$D:$D,'SOW-ERP导入表'!E270,注册申报底表!$AD:$AD)</f>
        <v>0</v>
      </c>
    </row>
    <row r="271" spans="2:13">
      <c r="B271" s="173"/>
      <c r="D271" s="173"/>
      <c r="E271" s="187" t="s">
        <v>2623</v>
      </c>
      <c r="F271" s="173" t="str">
        <f t="shared" si="14"/>
        <v>请填写</v>
      </c>
      <c r="G271" s="173" t="e">
        <f>INDEX(服务费底表!$K:$K,MATCH('SOW-ERP导入表'!$E271,服务费底表!$D:$D,0))</f>
        <v>#N/A</v>
      </c>
      <c r="H271" s="183" t="e">
        <f>INDEX(服务费底表!L:L,MATCH('SOW-ERP导入表'!$E271,服务费底表!$D:$D,0))</f>
        <v>#N/A</v>
      </c>
      <c r="I271" s="173" t="e">
        <f>INDEX(服务费底表!$T:$T,MATCH('SOW-ERP导入表'!$E271,服务费底表!$D:$D,0))</f>
        <v>#N/A</v>
      </c>
      <c r="J271" s="184">
        <f>SUMIF(服务费底表!$D:$D,E271,服务费底表!$AC:$AC)+SUMIF(注册申报底表!$D:$D,'SOW-ERP导入表'!E271,注册申报底表!$Z:$Z)</f>
        <v>0</v>
      </c>
      <c r="K271" s="173">
        <f>IFERROR(INDEX(服务费底表!$C:$C,MATCH('SOW-ERP导入表'!$E271,服务费底表!$D:$D,0)),0)+IFERROR(INDEX(注册申报底表!$C:$C,MATCH('SOW-ERP导入表'!$E271,注册申报底表!$D:$D,0)),0)</f>
        <v>0</v>
      </c>
      <c r="L271" s="185">
        <f t="shared" si="13"/>
        <v>0</v>
      </c>
      <c r="M271" s="184">
        <f>SUMIF(服务费底表!$D:$D,E271,服务费底表!$AG:$AG)+SUMIF(注册申报底表!$D:$D,'SOW-ERP导入表'!E271,注册申报底表!$AD:$AD)</f>
        <v>0</v>
      </c>
    </row>
    <row r="272" spans="2:13">
      <c r="B272" s="173"/>
      <c r="D272" s="173"/>
      <c r="E272" s="187" t="s">
        <v>2624</v>
      </c>
      <c r="F272" s="173" t="str">
        <f t="shared" si="14"/>
        <v>请填写</v>
      </c>
      <c r="G272" s="173" t="e">
        <f>INDEX(服务费底表!$K:$K,MATCH('SOW-ERP导入表'!$E272,服务费底表!$D:$D,0))</f>
        <v>#N/A</v>
      </c>
      <c r="H272" s="183" t="e">
        <f>INDEX(服务费底表!L:L,MATCH('SOW-ERP导入表'!$E272,服务费底表!$D:$D,0))</f>
        <v>#N/A</v>
      </c>
      <c r="I272" s="173" t="e">
        <f>INDEX(服务费底表!$T:$T,MATCH('SOW-ERP导入表'!$E272,服务费底表!$D:$D,0))</f>
        <v>#N/A</v>
      </c>
      <c r="J272" s="184">
        <f>SUMIF(服务费底表!$D:$D,E272,服务费底表!$AC:$AC)+SUMIF(注册申报底表!$D:$D,'SOW-ERP导入表'!E272,注册申报底表!$Z:$Z)</f>
        <v>0</v>
      </c>
      <c r="K272" s="173">
        <f>IFERROR(INDEX(服务费底表!$C:$C,MATCH('SOW-ERP导入表'!$E272,服务费底表!$D:$D,0)),0)+IFERROR(INDEX(注册申报底表!$C:$C,MATCH('SOW-ERP导入表'!$E272,注册申报底表!$D:$D,0)),0)</f>
        <v>0</v>
      </c>
      <c r="L272" s="185">
        <f t="shared" si="13"/>
        <v>0</v>
      </c>
      <c r="M272" s="184">
        <f>SUMIF(服务费底表!$D:$D,E272,服务费底表!$AG:$AG)+SUMIF(注册申报底表!$D:$D,'SOW-ERP导入表'!E272,注册申报底表!$AD:$AD)</f>
        <v>0</v>
      </c>
    </row>
    <row r="273" spans="2:13">
      <c r="B273" s="173"/>
      <c r="D273" s="173"/>
      <c r="E273" s="187" t="s">
        <v>2625</v>
      </c>
      <c r="F273" s="173" t="str">
        <f t="shared" si="14"/>
        <v>请填写</v>
      </c>
      <c r="G273" s="173" t="str">
        <f>INDEX(服务费底表!$K:$K,MATCH('SOW-ERP导入表'!$E273,服务费底表!$D:$D,0))</f>
        <v>A099</v>
      </c>
      <c r="H273" s="183" t="str">
        <f>INDEX(服务费底表!L:L,MATCH('SOW-ERP导入表'!$E273,服务费底表!$D:$D,0))</f>
        <v>召开数据审核会</v>
      </c>
      <c r="I273" s="173" t="str">
        <f>INDEX(服务费底表!$T:$T,MATCH('SOW-ERP导入表'!$E273,服务费底表!$D:$D,0))</f>
        <v>LDM</v>
      </c>
      <c r="J273" s="184">
        <f>SUMIF(服务费底表!$D:$D,E273,服务费底表!$AC:$AC)+SUMIF(注册申报底表!$D:$D,'SOW-ERP导入表'!E273,注册申报底表!$Z:$Z)</f>
        <v>13</v>
      </c>
      <c r="K273" s="173">
        <f>IFERROR(INDEX(服务费底表!$C:$C,MATCH('SOW-ERP导入表'!$E273,服务费底表!$D:$D,0)),0)+IFERROR(INDEX(注册申报底表!$C:$C,MATCH('SOW-ERP导入表'!$E273,注册申报底表!$D:$D,0)),0)</f>
        <v>1</v>
      </c>
      <c r="L273" s="185">
        <f t="shared" si="13"/>
        <v>4680</v>
      </c>
      <c r="M273" s="184">
        <f>SUMIF(服务费底表!$D:$D,E273,服务费底表!$AG:$AG)+SUMIF(注册申报底表!$D:$D,'SOW-ERP导入表'!E273,注册申报底表!$AD:$AD)</f>
        <v>4680</v>
      </c>
    </row>
    <row r="274" spans="2:13">
      <c r="B274" s="173"/>
      <c r="D274" s="173"/>
      <c r="E274" s="187" t="s">
        <v>2626</v>
      </c>
      <c r="F274" s="173" t="str">
        <f t="shared" si="14"/>
        <v>请填写</v>
      </c>
      <c r="G274" s="173" t="str">
        <f>INDEX(服务费底表!$K:$K,MATCH('SOW-ERP导入表'!$E274,服务费底表!$D:$D,0))</f>
        <v>A099</v>
      </c>
      <c r="H274" s="183" t="str">
        <f>INDEX(服务费底表!L:L,MATCH('SOW-ERP导入表'!$E274,服务费底表!$D:$D,0))</f>
        <v>召开数据审核会</v>
      </c>
      <c r="I274" s="173" t="str">
        <f>INDEX(服务费底表!$T:$T,MATCH('SOW-ERP导入表'!$E274,服务费底表!$D:$D,0))</f>
        <v>MM</v>
      </c>
      <c r="J274" s="184">
        <f>SUMIF(服务费底表!$D:$D,E274,服务费底表!$AC:$AC)+SUMIF(注册申报底表!$D:$D,'SOW-ERP导入表'!E274,注册申报底表!$Z:$Z)</f>
        <v>5</v>
      </c>
      <c r="K274" s="173">
        <f>IFERROR(INDEX(服务费底表!$C:$C,MATCH('SOW-ERP导入表'!$E274,服务费底表!$D:$D,0)),0)+IFERROR(INDEX(注册申报底表!$C:$C,MATCH('SOW-ERP导入表'!$E274,注册申报底表!$D:$D,0)),0)</f>
        <v>1</v>
      </c>
      <c r="L274" s="185">
        <f t="shared" si="13"/>
        <v>3250</v>
      </c>
      <c r="M274" s="184">
        <f>SUMIF(服务费底表!$D:$D,E274,服务费底表!$AG:$AG)+SUMIF(注册申报底表!$D:$D,'SOW-ERP导入表'!E274,注册申报底表!$AD:$AD)</f>
        <v>3250</v>
      </c>
    </row>
    <row r="275" spans="2:13">
      <c r="B275" s="173"/>
      <c r="D275" s="173"/>
      <c r="E275" s="187" t="s">
        <v>2627</v>
      </c>
      <c r="F275" s="173" t="str">
        <f t="shared" si="14"/>
        <v>请填写</v>
      </c>
      <c r="G275" s="173" t="str">
        <f>INDEX(服务费底表!$K:$K,MATCH('SOW-ERP导入表'!$E275,服务费底表!$D:$D,0))</f>
        <v>A099</v>
      </c>
      <c r="H275" s="183" t="str">
        <f>INDEX(服务费底表!L:L,MATCH('SOW-ERP导入表'!$E275,服务费底表!$D:$D,0))</f>
        <v>召开数据审核会</v>
      </c>
      <c r="I275" s="173" t="str">
        <f>INDEX(服务费底表!$T:$T,MATCH('SOW-ERP导入表'!$E275,服务费底表!$D:$D,0))</f>
        <v>ST</v>
      </c>
      <c r="J275" s="184">
        <f>SUMIF(服务费底表!$D:$D,E275,服务费底表!$AC:$AC)+SUMIF(注册申报底表!$D:$D,'SOW-ERP导入表'!E275,注册申报底表!$Z:$Z)</f>
        <v>11</v>
      </c>
      <c r="K275" s="173">
        <f>IFERROR(INDEX(服务费底表!$C:$C,MATCH('SOW-ERP导入表'!$E275,服务费底表!$D:$D,0)),0)+IFERROR(INDEX(注册申报底表!$C:$C,MATCH('SOW-ERP导入表'!$E275,注册申报底表!$D:$D,0)),0)</f>
        <v>1</v>
      </c>
      <c r="L275" s="185">
        <f t="shared" si="13"/>
        <v>4400</v>
      </c>
      <c r="M275" s="184">
        <f>SUMIF(服务费底表!$D:$D,E275,服务费底表!$AG:$AG)+SUMIF(注册申报底表!$D:$D,'SOW-ERP导入表'!E275,注册申报底表!$AD:$AD)</f>
        <v>4400</v>
      </c>
    </row>
    <row r="276" spans="2:13">
      <c r="B276" s="173"/>
      <c r="D276" s="173"/>
      <c r="E276" s="187" t="s">
        <v>2628</v>
      </c>
      <c r="F276" s="173" t="str">
        <f t="shared" si="14"/>
        <v>请填写</v>
      </c>
      <c r="G276" s="173" t="str">
        <f>INDEX(服务费底表!$K:$K,MATCH('SOW-ERP导入表'!$E276,服务费底表!$D:$D,0))</f>
        <v>A099</v>
      </c>
      <c r="H276" s="183" t="str">
        <f>INDEX(服务费底表!L:L,MATCH('SOW-ERP导入表'!$E276,服务费底表!$D:$D,0))</f>
        <v>召开数据审核会</v>
      </c>
      <c r="I276" s="173" t="str">
        <f>INDEX(服务费底表!$T:$T,MATCH('SOW-ERP导入表'!$E276,服务费底表!$D:$D,0))</f>
        <v>SA</v>
      </c>
      <c r="J276" s="184">
        <f>SUMIF(服务费底表!$D:$D,E276,服务费底表!$AC:$AC)+SUMIF(注册申报底表!$D:$D,'SOW-ERP导入表'!E276,注册申报底表!$Z:$Z)</f>
        <v>16</v>
      </c>
      <c r="K276" s="173">
        <f>IFERROR(INDEX(服务费底表!$C:$C,MATCH('SOW-ERP导入表'!$E276,服务费底表!$D:$D,0)),0)+IFERROR(INDEX(注册申报底表!$C:$C,MATCH('SOW-ERP导入表'!$E276,注册申报底表!$D:$D,0)),0)</f>
        <v>1</v>
      </c>
      <c r="L276" s="185">
        <f t="shared" si="13"/>
        <v>3600</v>
      </c>
      <c r="M276" s="184">
        <f>SUMIF(服务费底表!$D:$D,E276,服务费底表!$AG:$AG)+SUMIF(注册申报底表!$D:$D,'SOW-ERP导入表'!E276,注册申报底表!$AD:$AD)</f>
        <v>3600</v>
      </c>
    </row>
    <row r="277" spans="2:13">
      <c r="B277" s="173"/>
      <c r="D277" s="173"/>
      <c r="E277" s="187" t="s">
        <v>2629</v>
      </c>
      <c r="F277" s="173" t="str">
        <f t="shared" si="14"/>
        <v>请填写</v>
      </c>
      <c r="G277" s="173" t="str">
        <f>INDEX(服务费底表!$K:$K,MATCH('SOW-ERP导入表'!$E277,服务费底表!$D:$D,0))</f>
        <v>A099</v>
      </c>
      <c r="H277" s="183" t="str">
        <f>INDEX(服务费底表!L:L,MATCH('SOW-ERP导入表'!$E277,服务费底表!$D:$D,0))</f>
        <v>召开数据审核会</v>
      </c>
      <c r="I277" s="173" t="str">
        <f>INDEX(服务费底表!$T:$T,MATCH('SOW-ERP导入表'!$E277,服务费底表!$D:$D,0))</f>
        <v>PM</v>
      </c>
      <c r="J277" s="184">
        <f>SUMIF(服务费底表!$D:$D,E277,服务费底表!$AC:$AC)+SUMIF(注册申报底表!$D:$D,'SOW-ERP导入表'!E277,注册申报底表!$Z:$Z)</f>
        <v>1</v>
      </c>
      <c r="K277" s="173">
        <f>IFERROR(INDEX(服务费底表!$C:$C,MATCH('SOW-ERP导入表'!$E277,服务费底表!$D:$D,0)),0)+IFERROR(INDEX(注册申报底表!$C:$C,MATCH('SOW-ERP导入表'!$E277,注册申报底表!$D:$D,0)),0)</f>
        <v>1</v>
      </c>
      <c r="L277" s="185">
        <f t="shared" si="13"/>
        <v>650</v>
      </c>
      <c r="M277" s="184">
        <f>SUMIF(服务费底表!$D:$D,E277,服务费底表!$AG:$AG)+SUMIF(注册申报底表!$D:$D,'SOW-ERP导入表'!E277,注册申报底表!$AD:$AD)</f>
        <v>650</v>
      </c>
    </row>
    <row r="278" spans="2:13">
      <c r="B278" s="173"/>
      <c r="D278" s="173"/>
      <c r="E278" s="187" t="s">
        <v>2630</v>
      </c>
      <c r="F278" s="173" t="str">
        <f t="shared" si="14"/>
        <v>请填写</v>
      </c>
      <c r="G278" s="173" t="str">
        <f>INDEX(服务费底表!$K:$K,MATCH('SOW-ERP导入表'!$E278,服务费底表!$D:$D,0))</f>
        <v>A100</v>
      </c>
      <c r="H278" s="183" t="str">
        <f>INDEX(服务费底表!L:L,MATCH('SOW-ERP导入表'!$E278,服务费底表!$D:$D,0))</f>
        <v>数据库锁定</v>
      </c>
      <c r="I278" s="173" t="str">
        <f>INDEX(服务费底表!$T:$T,MATCH('SOW-ERP导入表'!$E278,服务费底表!$D:$D,0))</f>
        <v>DBP</v>
      </c>
      <c r="J278" s="184">
        <f>SUMIF(服务费底表!$D:$D,E278,服务费底表!$AC:$AC)+SUMIF(注册申报底表!$D:$D,'SOW-ERP导入表'!E278,注册申报底表!$Z:$Z)</f>
        <v>0.5</v>
      </c>
      <c r="K278" s="173">
        <f>IFERROR(INDEX(服务费底表!$C:$C,MATCH('SOW-ERP导入表'!$E278,服务费底表!$D:$D,0)),0)+IFERROR(INDEX(注册申报底表!$C:$C,MATCH('SOW-ERP导入表'!$E278,注册申报底表!$D:$D,0)),0)</f>
        <v>1</v>
      </c>
      <c r="L278" s="185">
        <f t="shared" si="13"/>
        <v>150</v>
      </c>
      <c r="M278" s="184">
        <f>SUMIF(服务费底表!$D:$D,E278,服务费底表!$AG:$AG)+SUMIF(注册申报底表!$D:$D,'SOW-ERP导入表'!E278,注册申报底表!$AD:$AD)</f>
        <v>150</v>
      </c>
    </row>
    <row r="279" spans="2:13">
      <c r="B279" s="173"/>
      <c r="D279" s="173"/>
      <c r="E279" s="187" t="s">
        <v>2631</v>
      </c>
      <c r="F279" s="173" t="str">
        <f t="shared" si="14"/>
        <v>请填写</v>
      </c>
      <c r="G279" s="173" t="str">
        <f>INDEX(服务费底表!$K:$K,MATCH('SOW-ERP导入表'!$E279,服务费底表!$D:$D,0))</f>
        <v>A100</v>
      </c>
      <c r="H279" s="183" t="str">
        <f>INDEX(服务费底表!L:L,MATCH('SOW-ERP导入表'!$E279,服务费底表!$D:$D,0))</f>
        <v>数据库锁定</v>
      </c>
      <c r="I279" s="173" t="str">
        <f>INDEX(服务费底表!$T:$T,MATCH('SOW-ERP导入表'!$E279,服务费底表!$D:$D,0))</f>
        <v>DM</v>
      </c>
      <c r="J279" s="184">
        <f>SUMIF(服务费底表!$D:$D,E279,服务费底表!$AC:$AC)+SUMIF(注册申报底表!$D:$D,'SOW-ERP导入表'!E279,注册申报底表!$Z:$Z)</f>
        <v>43</v>
      </c>
      <c r="K279" s="173">
        <f>IFERROR(INDEX(服务费底表!$C:$C,MATCH('SOW-ERP导入表'!$E279,服务费底表!$D:$D,0)),0)+IFERROR(INDEX(注册申报底表!$C:$C,MATCH('SOW-ERP导入表'!$E279,注册申报底表!$D:$D,0)),0)</f>
        <v>1</v>
      </c>
      <c r="L279" s="185">
        <f t="shared" si="13"/>
        <v>8600</v>
      </c>
      <c r="M279" s="184">
        <f>SUMIF(服务费底表!$D:$D,E279,服务费底表!$AG:$AG)+SUMIF(注册申报底表!$D:$D,'SOW-ERP导入表'!E279,注册申报底表!$AD:$AD)</f>
        <v>8600</v>
      </c>
    </row>
    <row r="280" spans="2:13">
      <c r="B280" s="173"/>
      <c r="D280" s="173"/>
      <c r="E280" s="187" t="s">
        <v>2632</v>
      </c>
      <c r="F280" s="173" t="str">
        <f t="shared" si="14"/>
        <v>请填写</v>
      </c>
      <c r="G280" s="173" t="str">
        <f>INDEX(服务费底表!$K:$K,MATCH('SOW-ERP导入表'!$E280,服务费底表!$D:$D,0))</f>
        <v>A100</v>
      </c>
      <c r="H280" s="183" t="str">
        <f>INDEX(服务费底表!L:L,MATCH('SOW-ERP导入表'!$E280,服务费底表!$D:$D,0))</f>
        <v>数据库锁定</v>
      </c>
      <c r="I280" s="173" t="str">
        <f>INDEX(服务费底表!$T:$T,MATCH('SOW-ERP导入表'!$E280,服务费底表!$D:$D,0))</f>
        <v>LDM</v>
      </c>
      <c r="J280" s="184">
        <f>SUMIF(服务费底表!$D:$D,E280,服务费底表!$AC:$AC)+SUMIF(注册申报底表!$D:$D,'SOW-ERP导入表'!E280,注册申报底表!$Z:$Z)</f>
        <v>14.5</v>
      </c>
      <c r="K280" s="173">
        <f>IFERROR(INDEX(服务费底表!$C:$C,MATCH('SOW-ERP导入表'!$E280,服务费底表!$D:$D,0)),0)+IFERROR(INDEX(注册申报底表!$C:$C,MATCH('SOW-ERP导入表'!$E280,注册申报底表!$D:$D,0)),0)</f>
        <v>1</v>
      </c>
      <c r="L280" s="185">
        <f t="shared" si="13"/>
        <v>5220</v>
      </c>
      <c r="M280" s="184">
        <f>SUMIF(服务费底表!$D:$D,E280,服务费底表!$AG:$AG)+SUMIF(注册申报底表!$D:$D,'SOW-ERP导入表'!E280,注册申报底表!$AD:$AD)</f>
        <v>5220</v>
      </c>
    </row>
    <row r="281" spans="2:13">
      <c r="B281" s="173"/>
      <c r="D281" s="173"/>
      <c r="E281" s="187" t="s">
        <v>2633</v>
      </c>
      <c r="F281" s="173" t="str">
        <f t="shared" si="14"/>
        <v>请填写</v>
      </c>
      <c r="G281" s="173" t="str">
        <f>INDEX(服务费底表!$K:$K,MATCH('SOW-ERP导入表'!$E281,服务费底表!$D:$D,0))</f>
        <v>A100</v>
      </c>
      <c r="H281" s="183" t="str">
        <f>INDEX(服务费底表!L:L,MATCH('SOW-ERP导入表'!$E281,服务费底表!$D:$D,0))</f>
        <v>数据库锁定</v>
      </c>
      <c r="I281" s="173" t="str">
        <f>INDEX(服务费底表!$T:$T,MATCH('SOW-ERP导入表'!$E281,服务费底表!$D:$D,0))</f>
        <v>ST</v>
      </c>
      <c r="J281" s="184">
        <f>SUMIF(服务费底表!$D:$D,E281,服务费底表!$AC:$AC)+SUMIF(注册申报底表!$D:$D,'SOW-ERP导入表'!E281,注册申报底表!$Z:$Z)</f>
        <v>0.5</v>
      </c>
      <c r="K281" s="173">
        <f>IFERROR(INDEX(服务费底表!$C:$C,MATCH('SOW-ERP导入表'!$E281,服务费底表!$D:$D,0)),0)+IFERROR(INDEX(注册申报底表!$C:$C,MATCH('SOW-ERP导入表'!$E281,注册申报底表!$D:$D,0)),0)</f>
        <v>1</v>
      </c>
      <c r="L281" s="185">
        <f t="shared" si="13"/>
        <v>200</v>
      </c>
      <c r="M281" s="184">
        <f>SUMIF(服务费底表!$D:$D,E281,服务费底表!$AG:$AG)+SUMIF(注册申报底表!$D:$D,'SOW-ERP导入表'!E281,注册申报底表!$AD:$AD)</f>
        <v>200</v>
      </c>
    </row>
    <row r="282" spans="2:13">
      <c r="B282" s="173"/>
      <c r="D282" s="173"/>
      <c r="E282" s="187" t="s">
        <v>2634</v>
      </c>
      <c r="F282" s="173" t="str">
        <f t="shared" si="14"/>
        <v>请填写</v>
      </c>
      <c r="G282" s="173" t="str">
        <f>INDEX(服务费底表!$K:$K,MATCH('SOW-ERP导入表'!$E282,服务费底表!$D:$D,0))</f>
        <v>A101</v>
      </c>
      <c r="H282" s="183" t="str">
        <f>INDEX(服务费底表!L:L,MATCH('SOW-ERP导入表'!$E282,服务费底表!$D:$D,0))</f>
        <v>撰写数据管理报告</v>
      </c>
      <c r="I282" s="173" t="str">
        <f>INDEX(服务费底表!$T:$T,MATCH('SOW-ERP导入表'!$E282,服务费底表!$D:$D,0))</f>
        <v>DM</v>
      </c>
      <c r="J282" s="184">
        <f>SUMIF(服务费底表!$D:$D,E282,服务费底表!$AC:$AC)+SUMIF(注册申报底表!$D:$D,'SOW-ERP导入表'!E282,注册申报底表!$Z:$Z)</f>
        <v>0</v>
      </c>
      <c r="K282" s="173">
        <f>IFERROR(INDEX(服务费底表!$C:$C,MATCH('SOW-ERP导入表'!$E282,服务费底表!$D:$D,0)),0)+IFERROR(INDEX(注册申报底表!$C:$C,MATCH('SOW-ERP导入表'!$E282,注册申报底表!$D:$D,0)),0)</f>
        <v>0</v>
      </c>
      <c r="L282" s="185">
        <f t="shared" si="13"/>
        <v>0</v>
      </c>
      <c r="M282" s="184">
        <f>SUMIF(服务费底表!$D:$D,E282,服务费底表!$AG:$AG)+SUMIF(注册申报底表!$D:$D,'SOW-ERP导入表'!E282,注册申报底表!$AD:$AD)</f>
        <v>0</v>
      </c>
    </row>
    <row r="283" spans="2:13">
      <c r="B283" s="173"/>
      <c r="D283" s="173"/>
      <c r="E283" s="187" t="s">
        <v>2635</v>
      </c>
      <c r="F283" s="173" t="str">
        <f t="shared" si="14"/>
        <v>请填写</v>
      </c>
      <c r="G283" s="173" t="str">
        <f>INDEX(服务费底表!$K:$K,MATCH('SOW-ERP导入表'!$E283,服务费底表!$D:$D,0))</f>
        <v>A101</v>
      </c>
      <c r="H283" s="183" t="str">
        <f>INDEX(服务费底表!L:L,MATCH('SOW-ERP导入表'!$E283,服务费底表!$D:$D,0))</f>
        <v>撰写数据管理报告</v>
      </c>
      <c r="I283" s="173" t="str">
        <f>INDEX(服务费底表!$T:$T,MATCH('SOW-ERP导入表'!$E283,服务费底表!$D:$D,0))</f>
        <v>LDM</v>
      </c>
      <c r="J283" s="184">
        <f>SUMIF(服务费底表!$D:$D,E283,服务费底表!$AC:$AC)+SUMIF(注册申报底表!$D:$D,'SOW-ERP导入表'!E283,注册申报底表!$Z:$Z)</f>
        <v>0</v>
      </c>
      <c r="K283" s="173">
        <f>IFERROR(INDEX(服务费底表!$C:$C,MATCH('SOW-ERP导入表'!$E283,服务费底表!$D:$D,0)),0)+IFERROR(INDEX(注册申报底表!$C:$C,MATCH('SOW-ERP导入表'!$E283,注册申报底表!$D:$D,0)),0)</f>
        <v>0</v>
      </c>
      <c r="L283" s="185">
        <f t="shared" si="13"/>
        <v>0</v>
      </c>
      <c r="M283" s="184">
        <f>SUMIF(服务费底表!$D:$D,E283,服务费底表!$AG:$AG)+SUMIF(注册申报底表!$D:$D,'SOW-ERP导入表'!E283,注册申报底表!$AD:$AD)</f>
        <v>0</v>
      </c>
    </row>
    <row r="284" spans="2:13">
      <c r="B284" s="173"/>
      <c r="D284" s="173"/>
      <c r="E284" s="187" t="s">
        <v>2636</v>
      </c>
      <c r="F284" s="173" t="str">
        <f t="shared" si="14"/>
        <v>请填写</v>
      </c>
      <c r="G284" s="173" t="str">
        <f>INDEX(服务费底表!$K:$K,MATCH('SOW-ERP导入表'!$E284,服务费底表!$D:$D,0))</f>
        <v>A102</v>
      </c>
      <c r="H284" s="183" t="str">
        <f>INDEX(服务费底表!L:L,MATCH('SOW-ERP导入表'!$E284,服务费底表!$D:$D,0))</f>
        <v>数据管理项目管理</v>
      </c>
      <c r="I284" s="173" t="str">
        <f>INDEX(服务费底表!$T:$T,MATCH('SOW-ERP导入表'!$E284,服务费底表!$D:$D,0))</f>
        <v>LDM</v>
      </c>
      <c r="J284" s="184">
        <f>SUMIF(服务费底表!$D:$D,E284,服务费底表!$AC:$AC)+SUMIF(注册申报底表!$D:$D,'SOW-ERP导入表'!E284,注册申报底表!$Z:$Z)</f>
        <v>96</v>
      </c>
      <c r="K284" s="173">
        <f>IFERROR(INDEX(服务费底表!$C:$C,MATCH('SOW-ERP导入表'!$E284,服务费底表!$D:$D,0)),0)+IFERROR(INDEX(注册申报底表!$C:$C,MATCH('SOW-ERP导入表'!$E284,注册申报底表!$D:$D,0)),0)</f>
        <v>16</v>
      </c>
      <c r="L284" s="185">
        <f t="shared" si="13"/>
        <v>2160</v>
      </c>
      <c r="M284" s="184">
        <f>SUMIF(服务费底表!$D:$D,E284,服务费底表!$AG:$AG)+SUMIF(注册申报底表!$D:$D,'SOW-ERP导入表'!E284,注册申报底表!$AD:$AD)</f>
        <v>34560</v>
      </c>
    </row>
    <row r="285" spans="2:13">
      <c r="B285" s="173"/>
      <c r="D285" s="173"/>
      <c r="E285" s="187" t="s">
        <v>2637</v>
      </c>
      <c r="F285" s="173" t="str">
        <f t="shared" si="14"/>
        <v>请填写</v>
      </c>
      <c r="G285" s="173" t="str">
        <f>INDEX(服务费底表!$K:$K,MATCH('SOW-ERP导入表'!$E285,服务费底表!$D:$D,0))</f>
        <v>A103</v>
      </c>
      <c r="H285" s="183" t="str">
        <f>INDEX(服务费底表!L:L,MATCH('SOW-ERP导入表'!$E285,服务费底表!$D:$D,0))</f>
        <v>数据库变更</v>
      </c>
      <c r="I285" s="173" t="str">
        <f>INDEX(服务费底表!$T:$T,MATCH('SOW-ERP导入表'!$E285,服务费底表!$D:$D,0))</f>
        <v>DM</v>
      </c>
      <c r="J285" s="184">
        <f>SUMIF(服务费底表!$D:$D,E285,服务费底表!$AC:$AC)+SUMIF(注册申报底表!$D:$D,'SOW-ERP导入表'!E285,注册申报底表!$Z:$Z)</f>
        <v>0</v>
      </c>
      <c r="K285" s="173">
        <f>IFERROR(INDEX(服务费底表!$C:$C,MATCH('SOW-ERP导入表'!$E285,服务费底表!$D:$D,0)),0)+IFERROR(INDEX(注册申报底表!$C:$C,MATCH('SOW-ERP导入表'!$E285,注册申报底表!$D:$D,0)),0)</f>
        <v>0</v>
      </c>
      <c r="L285" s="185">
        <f t="shared" si="13"/>
        <v>0</v>
      </c>
      <c r="M285" s="184">
        <f>SUMIF(服务费底表!$D:$D,E285,服务费底表!$AG:$AG)+SUMIF(注册申报底表!$D:$D,'SOW-ERP导入表'!E285,注册申报底表!$AD:$AD)</f>
        <v>0</v>
      </c>
    </row>
    <row r="286" spans="2:13">
      <c r="B286" s="173"/>
      <c r="D286" s="173"/>
      <c r="E286" s="187" t="s">
        <v>2638</v>
      </c>
      <c r="F286" s="173" t="str">
        <f t="shared" si="14"/>
        <v>请填写</v>
      </c>
      <c r="G286" s="173" t="str">
        <f>INDEX(服务费底表!$K:$K,MATCH('SOW-ERP导入表'!$E286,服务费底表!$D:$D,0))</f>
        <v>A103</v>
      </c>
      <c r="H286" s="183" t="str">
        <f>INDEX(服务费底表!L:L,MATCH('SOW-ERP导入表'!$E286,服务费底表!$D:$D,0))</f>
        <v>数据库变更</v>
      </c>
      <c r="I286" s="173" t="str">
        <f>INDEX(服务费底表!$T:$T,MATCH('SOW-ERP导入表'!$E286,服务费底表!$D:$D,0))</f>
        <v>LDM</v>
      </c>
      <c r="J286" s="184">
        <f>SUMIF(服务费底表!$D:$D,E286,服务费底表!$AC:$AC)+SUMIF(注册申报底表!$D:$D,'SOW-ERP导入表'!E286,注册申报底表!$Z:$Z)</f>
        <v>0</v>
      </c>
      <c r="K286" s="173">
        <f>IFERROR(INDEX(服务费底表!$C:$C,MATCH('SOW-ERP导入表'!$E286,服务费底表!$D:$D,0)),0)+IFERROR(INDEX(注册申报底表!$C:$C,MATCH('SOW-ERP导入表'!$E286,注册申报底表!$D:$D,0)),0)</f>
        <v>0</v>
      </c>
      <c r="L286" s="185">
        <f t="shared" si="13"/>
        <v>0</v>
      </c>
      <c r="M286" s="184">
        <f>SUMIF(服务费底表!$D:$D,E286,服务费底表!$AG:$AG)+SUMIF(注册申报底表!$D:$D,'SOW-ERP导入表'!E286,注册申报底表!$AD:$AD)</f>
        <v>0</v>
      </c>
    </row>
    <row r="287" spans="2:13">
      <c r="B287" s="173"/>
      <c r="D287" s="173"/>
      <c r="E287" s="187" t="s">
        <v>2639</v>
      </c>
      <c r="F287" s="173" t="str">
        <f t="shared" si="14"/>
        <v>请填写</v>
      </c>
      <c r="G287" s="173" t="str">
        <f>INDEX(服务费底表!$K:$K,MATCH('SOW-ERP导入表'!$E287,服务费底表!$D:$D,0))</f>
        <v>A103</v>
      </c>
      <c r="H287" s="183" t="str">
        <f>INDEX(服务费底表!L:L,MATCH('SOW-ERP导入表'!$E287,服务费底表!$D:$D,0))</f>
        <v>数据库变更</v>
      </c>
      <c r="I287" s="173" t="str">
        <f>INDEX(服务费底表!$T:$T,MATCH('SOW-ERP导入表'!$E287,服务费底表!$D:$D,0))</f>
        <v>DBP</v>
      </c>
      <c r="J287" s="184">
        <f>SUMIF(服务费底表!$D:$D,E287,服务费底表!$AC:$AC)+SUMIF(注册申报底表!$D:$D,'SOW-ERP导入表'!E287,注册申报底表!$Z:$Z)</f>
        <v>0</v>
      </c>
      <c r="K287" s="173">
        <f>IFERROR(INDEX(服务费底表!$C:$C,MATCH('SOW-ERP导入表'!$E287,服务费底表!$D:$D,0)),0)+IFERROR(INDEX(注册申报底表!$C:$C,MATCH('SOW-ERP导入表'!$E287,注册申报底表!$D:$D,0)),0)</f>
        <v>0</v>
      </c>
      <c r="L287" s="185">
        <f t="shared" si="13"/>
        <v>0</v>
      </c>
      <c r="M287" s="184">
        <f>SUMIF(服务费底表!$D:$D,E287,服务费底表!$AG:$AG)+SUMIF(注册申报底表!$D:$D,'SOW-ERP导入表'!E287,注册申报底表!$AD:$AD)</f>
        <v>0</v>
      </c>
    </row>
    <row r="288" spans="2:13">
      <c r="B288" s="173"/>
      <c r="D288" s="173"/>
      <c r="E288" s="187" t="s">
        <v>2640</v>
      </c>
      <c r="F288" s="173" t="str">
        <f t="shared" si="14"/>
        <v>请填写</v>
      </c>
      <c r="G288" s="173" t="str">
        <f>INDEX(服务费底表!$K:$K,MATCH('SOW-ERP导入表'!$E288,服务费底表!$D:$D,0))</f>
        <v>A104</v>
      </c>
      <c r="H288" s="183" t="str">
        <f>INDEX(服务费底表!L:L,MATCH('SOW-ERP导入表'!$E288,服务费底表!$D:$D,0))</f>
        <v>撰写统计分析计划SAP</v>
      </c>
      <c r="I288" s="173" t="str">
        <f>INDEX(服务费底表!$T:$T,MATCH('SOW-ERP导入表'!$E288,服务费底表!$D:$D,0))</f>
        <v>ST</v>
      </c>
      <c r="J288" s="184">
        <f>SUMIF(服务费底表!$D:$D,E288,服务费底表!$AC:$AC)+SUMIF(注册申报底表!$D:$D,'SOW-ERP导入表'!E288,注册申报底表!$Z:$Z)</f>
        <v>32</v>
      </c>
      <c r="K288" s="173">
        <f>IFERROR(INDEX(服务费底表!$C:$C,MATCH('SOW-ERP导入表'!$E288,服务费底表!$D:$D,0)),0)+IFERROR(INDEX(注册申报底表!$C:$C,MATCH('SOW-ERP导入表'!$E288,注册申报底表!$D:$D,0)),0)</f>
        <v>1</v>
      </c>
      <c r="L288" s="185">
        <f t="shared" si="13"/>
        <v>12800</v>
      </c>
      <c r="M288" s="184">
        <f>SUMIF(服务费底表!$D:$D,E288,服务费底表!$AG:$AG)+SUMIF(注册申报底表!$D:$D,'SOW-ERP导入表'!E288,注册申报底表!$AD:$AD)</f>
        <v>12800</v>
      </c>
    </row>
    <row r="289" spans="2:13">
      <c r="B289" s="173"/>
      <c r="D289" s="173"/>
      <c r="E289" s="187" t="s">
        <v>2641</v>
      </c>
      <c r="F289" s="173" t="str">
        <f t="shared" si="14"/>
        <v>请填写</v>
      </c>
      <c r="G289" s="173" t="e">
        <f>INDEX(服务费底表!$K:$K,MATCH('SOW-ERP导入表'!$E289,服务费底表!$D:$D,0))</f>
        <v>#N/A</v>
      </c>
      <c r="H289" s="183" t="e">
        <f>INDEX(服务费底表!L:L,MATCH('SOW-ERP导入表'!$E289,服务费底表!$D:$D,0))</f>
        <v>#N/A</v>
      </c>
      <c r="I289" s="173" t="e">
        <f>INDEX(服务费底表!$T:$T,MATCH('SOW-ERP导入表'!$E289,服务费底表!$D:$D,0))</f>
        <v>#N/A</v>
      </c>
      <c r="J289" s="184">
        <f>SUMIF(服务费底表!$D:$D,E289,服务费底表!$AC:$AC)+SUMIF(注册申报底表!$D:$D,'SOW-ERP导入表'!E289,注册申报底表!$Z:$Z)</f>
        <v>0</v>
      </c>
      <c r="K289" s="173">
        <f>IFERROR(INDEX(服务费底表!$C:$C,MATCH('SOW-ERP导入表'!$E289,服务费底表!$D:$D,0)),0)+IFERROR(INDEX(注册申报底表!$C:$C,MATCH('SOW-ERP导入表'!$E289,注册申报底表!$D:$D,0)),0)</f>
        <v>0</v>
      </c>
      <c r="L289" s="185">
        <f t="shared" si="13"/>
        <v>0</v>
      </c>
      <c r="M289" s="184">
        <f>SUMIF(服务费底表!$D:$D,E289,服务费底表!$AG:$AG)+SUMIF(注册申报底表!$D:$D,'SOW-ERP导入表'!E289,注册申报底表!$AD:$AD)</f>
        <v>0</v>
      </c>
    </row>
    <row r="290" spans="2:13">
      <c r="B290" s="173"/>
      <c r="D290" s="173"/>
      <c r="E290" s="187" t="s">
        <v>2642</v>
      </c>
      <c r="F290" s="173" t="str">
        <f t="shared" si="14"/>
        <v>请填写</v>
      </c>
      <c r="G290" s="173" t="str">
        <f>INDEX(服务费底表!$K:$K,MATCH('SOW-ERP导入表'!$E290,服务费底表!$D:$D,0))</f>
        <v>A104</v>
      </c>
      <c r="H290" s="183" t="str">
        <f>INDEX(服务费底表!L:L,MATCH('SOW-ERP导入表'!$E290,服务费底表!$D:$D,0))</f>
        <v>撰写统计分析计划SAP</v>
      </c>
      <c r="I290" s="173" t="str">
        <f>INDEX(服务费底表!$T:$T,MATCH('SOW-ERP导入表'!$E290,服务费底表!$D:$D,0))</f>
        <v>STM</v>
      </c>
      <c r="J290" s="184">
        <f>SUMIF(服务费底表!$D:$D,E290,服务费底表!$AC:$AC)+SUMIF(注册申报底表!$D:$D,'SOW-ERP导入表'!E290,注册申报底表!$Z:$Z)</f>
        <v>4</v>
      </c>
      <c r="K290" s="173">
        <f>IFERROR(INDEX(服务费底表!$C:$C,MATCH('SOW-ERP导入表'!$E290,服务费底表!$D:$D,0)),0)+IFERROR(INDEX(注册申报底表!$C:$C,MATCH('SOW-ERP导入表'!$E290,注册申报底表!$D:$D,0)),0)</f>
        <v>1</v>
      </c>
      <c r="L290" s="185">
        <f t="shared" si="13"/>
        <v>2800</v>
      </c>
      <c r="M290" s="184">
        <f>SUMIF(服务费底表!$D:$D,E290,服务费底表!$AG:$AG)+SUMIF(注册申报底表!$D:$D,'SOW-ERP导入表'!E290,注册申报底表!$AD:$AD)</f>
        <v>2800</v>
      </c>
    </row>
    <row r="291" spans="2:13">
      <c r="B291" s="173"/>
      <c r="D291" s="173"/>
      <c r="E291" s="187" t="s">
        <v>2643</v>
      </c>
      <c r="F291" s="173" t="str">
        <f t="shared" si="14"/>
        <v>请填写</v>
      </c>
      <c r="G291" s="173" t="str">
        <f>INDEX(服务费底表!$K:$K,MATCH('SOW-ERP导入表'!$E291,服务费底表!$D:$D,0))</f>
        <v>A104</v>
      </c>
      <c r="H291" s="183" t="str">
        <f>INDEX(服务费底表!L:L,MATCH('SOW-ERP导入表'!$E291,服务费底表!$D:$D,0))</f>
        <v>撰写统计分析计划SAP</v>
      </c>
      <c r="I291" s="173" t="str">
        <f>INDEX(服务费底表!$T:$T,MATCH('SOW-ERP导入表'!$E291,服务费底表!$D:$D,0))</f>
        <v>SAM</v>
      </c>
      <c r="J291" s="184">
        <f>SUMIF(服务费底表!$D:$D,E291,服务费底表!$AC:$AC)+SUMIF(注册申报底表!$D:$D,'SOW-ERP导入表'!E291,注册申报底表!$Z:$Z)</f>
        <v>1</v>
      </c>
      <c r="K291" s="173">
        <f>IFERROR(INDEX(服务费底表!$C:$C,MATCH('SOW-ERP导入表'!$E291,服务费底表!$D:$D,0)),0)+IFERROR(INDEX(注册申报底表!$C:$C,MATCH('SOW-ERP导入表'!$E291,注册申报底表!$D:$D,0)),0)</f>
        <v>1</v>
      </c>
      <c r="L291" s="185">
        <f t="shared" si="13"/>
        <v>450</v>
      </c>
      <c r="M291" s="184">
        <f>SUMIF(服务费底表!$D:$D,E291,服务费底表!$AG:$AG)+SUMIF(注册申报底表!$D:$D,'SOW-ERP导入表'!E291,注册申报底表!$AD:$AD)</f>
        <v>450</v>
      </c>
    </row>
    <row r="292" spans="2:13">
      <c r="B292" s="173"/>
      <c r="D292" s="173"/>
      <c r="E292" s="187" t="s">
        <v>2644</v>
      </c>
      <c r="F292" s="173" t="str">
        <f t="shared" si="14"/>
        <v>请填写</v>
      </c>
      <c r="G292" s="173" t="e">
        <f>INDEX(服务费底表!$K:$K,MATCH('SOW-ERP导入表'!$E292,服务费底表!$D:$D,0))</f>
        <v>#N/A</v>
      </c>
      <c r="H292" s="183" t="e">
        <f>INDEX(服务费底表!L:L,MATCH('SOW-ERP导入表'!$E292,服务费底表!$D:$D,0))</f>
        <v>#N/A</v>
      </c>
      <c r="I292" s="173" t="e">
        <f>INDEX(服务费底表!$T:$T,MATCH('SOW-ERP导入表'!$E292,服务费底表!$D:$D,0))</f>
        <v>#N/A</v>
      </c>
      <c r="J292" s="184">
        <f>SUMIF(服务费底表!$D:$D,E292,服务费底表!$AC:$AC)+SUMIF(注册申报底表!$D:$D,'SOW-ERP导入表'!E292,注册申报底表!$Z:$Z)</f>
        <v>0</v>
      </c>
      <c r="K292" s="173">
        <f>IFERROR(INDEX(服务费底表!$C:$C,MATCH('SOW-ERP导入表'!$E292,服务费底表!$D:$D,0)),0)+IFERROR(INDEX(注册申报底表!$C:$C,MATCH('SOW-ERP导入表'!$E292,注册申报底表!$D:$D,0)),0)</f>
        <v>0</v>
      </c>
      <c r="L292" s="185">
        <f t="shared" si="13"/>
        <v>0</v>
      </c>
      <c r="M292" s="184">
        <f>SUMIF(服务费底表!$D:$D,E292,服务费底表!$AG:$AG)+SUMIF(注册申报底表!$D:$D,'SOW-ERP导入表'!E292,注册申报底表!$AD:$AD)</f>
        <v>0</v>
      </c>
    </row>
    <row r="293" spans="2:13">
      <c r="B293" s="173"/>
      <c r="D293" s="173"/>
      <c r="E293" s="187" t="s">
        <v>2645</v>
      </c>
      <c r="F293" s="173" t="str">
        <f t="shared" si="14"/>
        <v>请填写</v>
      </c>
      <c r="G293" s="173" t="str">
        <f>INDEX(服务费底表!$K:$K,MATCH('SOW-ERP导入表'!$E293,服务费底表!$D:$D,0))</f>
        <v>A104</v>
      </c>
      <c r="H293" s="183" t="str">
        <f>INDEX(服务费底表!L:L,MATCH('SOW-ERP导入表'!$E293,服务费底表!$D:$D,0))</f>
        <v>撰写统计分析计划SAP</v>
      </c>
      <c r="I293" s="173" t="str">
        <f>INDEX(服务费底表!$T:$T,MATCH('SOW-ERP导入表'!$E293,服务费底表!$D:$D,0))</f>
        <v>MM</v>
      </c>
      <c r="J293" s="184">
        <f>SUMIF(服务费底表!$D:$D,E293,服务费底表!$AC:$AC)+SUMIF(注册申报底表!$D:$D,'SOW-ERP导入表'!E293,注册申报底表!$Z:$Z)</f>
        <v>4</v>
      </c>
      <c r="K293" s="173">
        <f>IFERROR(INDEX(服务费底表!$C:$C,MATCH('SOW-ERP导入表'!$E293,服务费底表!$D:$D,0)),0)+IFERROR(INDEX(注册申报底表!$C:$C,MATCH('SOW-ERP导入表'!$E293,注册申报底表!$D:$D,0)),0)</f>
        <v>1</v>
      </c>
      <c r="L293" s="185">
        <f t="shared" si="13"/>
        <v>2600</v>
      </c>
      <c r="M293" s="184">
        <f>SUMIF(服务费底表!$D:$D,E293,服务费底表!$AG:$AG)+SUMIF(注册申报底表!$D:$D,'SOW-ERP导入表'!E293,注册申报底表!$AD:$AD)</f>
        <v>2600</v>
      </c>
    </row>
    <row r="294" spans="2:13">
      <c r="B294" s="173"/>
      <c r="D294" s="173"/>
      <c r="E294" s="187" t="s">
        <v>2646</v>
      </c>
      <c r="F294" s="173" t="str">
        <f t="shared" si="14"/>
        <v>请填写</v>
      </c>
      <c r="G294" s="173" t="str">
        <f>INDEX(服务费底表!$K:$K,MATCH('SOW-ERP导入表'!$E294,服务费底表!$D:$D,0))</f>
        <v>A104</v>
      </c>
      <c r="H294" s="183" t="str">
        <f>INDEX(服务费底表!L:L,MATCH('SOW-ERP导入表'!$E294,服务费底表!$D:$D,0))</f>
        <v>撰写统计分析计划SAP</v>
      </c>
      <c r="I294" s="173" t="str">
        <f>INDEX(服务费底表!$T:$T,MATCH('SOW-ERP导入表'!$E294,服务费底表!$D:$D,0))</f>
        <v>PM</v>
      </c>
      <c r="J294" s="184">
        <f>SUMIF(服务费底表!$D:$D,E294,服务费底表!$AC:$AC)+SUMIF(注册申报底表!$D:$D,'SOW-ERP导入表'!E294,注册申报底表!$Z:$Z)</f>
        <v>1</v>
      </c>
      <c r="K294" s="173">
        <f>IFERROR(INDEX(服务费底表!$C:$C,MATCH('SOW-ERP导入表'!$E294,服务费底表!$D:$D,0)),0)+IFERROR(INDEX(注册申报底表!$C:$C,MATCH('SOW-ERP导入表'!$E294,注册申报底表!$D:$D,0)),0)</f>
        <v>1</v>
      </c>
      <c r="L294" s="185">
        <f t="shared" ref="L294" si="15">IFERROR(M294/K294,0)</f>
        <v>650</v>
      </c>
      <c r="M294" s="184">
        <f>SUMIF(服务费底表!$D:$D,E294,服务费底表!$AG:$AG)+SUMIF(注册申报底表!$D:$D,'SOW-ERP导入表'!E294,注册申报底表!$AD:$AD)</f>
        <v>650</v>
      </c>
    </row>
    <row r="295" spans="2:13">
      <c r="B295" s="173"/>
      <c r="D295" s="173"/>
      <c r="E295" s="187" t="s">
        <v>2647</v>
      </c>
      <c r="F295" s="173" t="str">
        <f t="shared" si="14"/>
        <v>请填写</v>
      </c>
      <c r="G295" s="173" t="str">
        <f>INDEX(服务费底表!$K:$K,MATCH('SOW-ERP导入表'!$E295,服务费底表!$D:$D,0))</f>
        <v>A105</v>
      </c>
      <c r="H295" s="183" t="str">
        <f>INDEX(服务费底表!L:L,MATCH('SOW-ERP导入表'!$E295,服务费底表!$D:$D,0))</f>
        <v>制定和实施随机化方案</v>
      </c>
      <c r="I295" s="173" t="str">
        <f>INDEX(服务费底表!$T:$T,MATCH('SOW-ERP导入表'!$E295,服务费底表!$D:$D,0))</f>
        <v>STM</v>
      </c>
      <c r="J295" s="184">
        <f>SUMIF(服务费底表!$D:$D,E295,服务费底表!$AC:$AC)+SUMIF(注册申报底表!$D:$D,'SOW-ERP导入表'!E295,注册申报底表!$Z:$Z)</f>
        <v>0</v>
      </c>
      <c r="K295" s="173">
        <f>IFERROR(INDEX(服务费底表!$C:$C,MATCH('SOW-ERP导入表'!$E295,服务费底表!$D:$D,0)),0)+IFERROR(INDEX(注册申报底表!$C:$C,MATCH('SOW-ERP导入表'!$E295,注册申报底表!$D:$D,0)),0)</f>
        <v>0</v>
      </c>
      <c r="L295" s="185">
        <f t="shared" si="13"/>
        <v>0</v>
      </c>
      <c r="M295" s="184">
        <f>SUMIF(服务费底表!$D:$D,E295,服务费底表!$AG:$AG)+SUMIF(注册申报底表!$D:$D,'SOW-ERP导入表'!E295,注册申报底表!$AD:$AD)</f>
        <v>0</v>
      </c>
    </row>
    <row r="296" spans="2:13">
      <c r="B296" s="173"/>
      <c r="D296" s="173"/>
      <c r="E296" s="187" t="s">
        <v>2648</v>
      </c>
      <c r="F296" s="173" t="str">
        <f t="shared" si="14"/>
        <v>请填写</v>
      </c>
      <c r="G296" s="173" t="str">
        <f>INDEX(服务费底表!$K:$K,MATCH('SOW-ERP导入表'!$E296,服务费底表!$D:$D,0))</f>
        <v>A106</v>
      </c>
      <c r="H296" s="183" t="str">
        <f>INDEX(服务费底表!L:L,MATCH('SOW-ERP导入表'!$E296,服务费底表!$D:$D,0))</f>
        <v>计划和实施药物编盲</v>
      </c>
      <c r="I296" s="173" t="str">
        <f>INDEX(服务费底表!$T:$T,MATCH('SOW-ERP导入表'!$E296,服务费底表!$D:$D,0))</f>
        <v>ST</v>
      </c>
      <c r="J296" s="184">
        <f>SUMIF(服务费底表!$D:$D,E296,服务费底表!$AC:$AC)+SUMIF(注册申报底表!$D:$D,'SOW-ERP导入表'!E296,注册申报底表!$Z:$Z)</f>
        <v>0</v>
      </c>
      <c r="K296" s="173">
        <f>IFERROR(INDEX(服务费底表!$C:$C,MATCH('SOW-ERP导入表'!$E296,服务费底表!$D:$D,0)),0)+IFERROR(INDEX(注册申报底表!$C:$C,MATCH('SOW-ERP导入表'!$E296,注册申报底表!$D:$D,0)),0)</f>
        <v>0</v>
      </c>
      <c r="L296" s="185">
        <f t="shared" si="13"/>
        <v>0</v>
      </c>
      <c r="M296" s="184">
        <f>SUMIF(服务费底表!$D:$D,E296,服务费底表!$AG:$AG)+SUMIF(注册申报底表!$D:$D,'SOW-ERP导入表'!E296,注册申报底表!$AD:$AD)</f>
        <v>0</v>
      </c>
    </row>
    <row r="297" spans="2:13">
      <c r="B297" s="173"/>
      <c r="D297" s="173"/>
      <c r="E297" s="187" t="s">
        <v>2649</v>
      </c>
      <c r="F297" s="173" t="str">
        <f t="shared" si="14"/>
        <v>请填写</v>
      </c>
      <c r="G297" s="173" t="str">
        <f>INDEX(服务费底表!$K:$K,MATCH('SOW-ERP导入表'!$E297,服务费底表!$D:$D,0))</f>
        <v>A106</v>
      </c>
      <c r="H297" s="183" t="str">
        <f>INDEX(服务费底表!L:L,MATCH('SOW-ERP导入表'!$E297,服务费底表!$D:$D,0))</f>
        <v>计划和实施药物编盲</v>
      </c>
      <c r="I297" s="173" t="str">
        <f>INDEX(服务费底表!$T:$T,MATCH('SOW-ERP导入表'!$E297,服务费底表!$D:$D,0))</f>
        <v>STM</v>
      </c>
      <c r="J297" s="184">
        <f>SUMIF(服务费底表!$D:$D,E297,服务费底表!$AC:$AC)+SUMIF(注册申报底表!$D:$D,'SOW-ERP导入表'!E297,注册申报底表!$Z:$Z)</f>
        <v>0</v>
      </c>
      <c r="K297" s="173">
        <f>IFERROR(INDEX(服务费底表!$C:$C,MATCH('SOW-ERP导入表'!$E297,服务费底表!$D:$D,0)),0)+IFERROR(INDEX(注册申报底表!$C:$C,MATCH('SOW-ERP导入表'!$E297,注册申报底表!$D:$D,0)),0)</f>
        <v>0</v>
      </c>
      <c r="L297" s="185">
        <f t="shared" si="13"/>
        <v>0</v>
      </c>
      <c r="M297" s="184">
        <f>SUMIF(服务费底表!$D:$D,E297,服务费底表!$AG:$AG)+SUMIF(注册申报底表!$D:$D,'SOW-ERP导入表'!E297,注册申报底表!$AD:$AD)</f>
        <v>0</v>
      </c>
    </row>
    <row r="298" spans="2:13">
      <c r="B298" s="173"/>
      <c r="D298" s="173"/>
      <c r="E298" s="187" t="s">
        <v>2650</v>
      </c>
      <c r="F298" s="173" t="str">
        <f t="shared" si="14"/>
        <v>请填写</v>
      </c>
      <c r="G298" s="173" t="str">
        <f>INDEX(服务费底表!$K:$K,MATCH('SOW-ERP导入表'!$E298,服务费底表!$D:$D,0))</f>
        <v>A107</v>
      </c>
      <c r="H298" s="183" t="str">
        <f>INDEX(服务费底表!L:L,MATCH('SOW-ERP导入表'!$E298,服务费底表!$D:$D,0))</f>
        <v>制定统计TFLs模板</v>
      </c>
      <c r="I298" s="173" t="str">
        <f>INDEX(服务费底表!$T:$T,MATCH('SOW-ERP导入表'!$E298,服务费底表!$D:$D,0))</f>
        <v>ST</v>
      </c>
      <c r="J298" s="184">
        <f>SUMIF(服务费底表!$D:$D,E298,服务费底表!$AC:$AC)+SUMIF(注册申报底表!$D:$D,'SOW-ERP导入表'!E298,注册申报底表!$Z:$Z)</f>
        <v>24</v>
      </c>
      <c r="K298" s="173">
        <f>IFERROR(INDEX(服务费底表!$C:$C,MATCH('SOW-ERP导入表'!$E298,服务费底表!$D:$D,0)),0)+IFERROR(INDEX(注册申报底表!$C:$C,MATCH('SOW-ERP导入表'!$E298,注册申报底表!$D:$D,0)),0)</f>
        <v>1</v>
      </c>
      <c r="L298" s="185">
        <f t="shared" si="13"/>
        <v>9600</v>
      </c>
      <c r="M298" s="184">
        <f>SUMIF(服务费底表!$D:$D,E298,服务费底表!$AG:$AG)+SUMIF(注册申报底表!$D:$D,'SOW-ERP导入表'!E298,注册申报底表!$AD:$AD)</f>
        <v>9600</v>
      </c>
    </row>
    <row r="299" spans="2:13">
      <c r="B299" s="173"/>
      <c r="D299" s="173"/>
      <c r="E299" s="187" t="s">
        <v>2651</v>
      </c>
      <c r="F299" s="173" t="str">
        <f t="shared" si="14"/>
        <v>请填写</v>
      </c>
      <c r="G299" s="173" t="str">
        <f>INDEX(服务费底表!$K:$K,MATCH('SOW-ERP导入表'!$E299,服务费底表!$D:$D,0))</f>
        <v>A107</v>
      </c>
      <c r="H299" s="183" t="str">
        <f>INDEX(服务费底表!L:L,MATCH('SOW-ERP导入表'!$E299,服务费底表!$D:$D,0))</f>
        <v>制定统计TFLs模板</v>
      </c>
      <c r="I299" s="173" t="str">
        <f>INDEX(服务费底表!$T:$T,MATCH('SOW-ERP导入表'!$E299,服务费底表!$D:$D,0))</f>
        <v>STM</v>
      </c>
      <c r="J299" s="184">
        <f>SUMIF(服务费底表!$D:$D,E299,服务费底表!$AC:$AC)+SUMIF(注册申报底表!$D:$D,'SOW-ERP导入表'!E299,注册申报底表!$Z:$Z)</f>
        <v>2</v>
      </c>
      <c r="K299" s="173">
        <f>IFERROR(INDEX(服务费底表!$C:$C,MATCH('SOW-ERP导入表'!$E299,服务费底表!$D:$D,0)),0)+IFERROR(INDEX(注册申报底表!$C:$C,MATCH('SOW-ERP导入表'!$E299,注册申报底表!$D:$D,0)),0)</f>
        <v>1</v>
      </c>
      <c r="L299" s="185">
        <f t="shared" si="13"/>
        <v>1400</v>
      </c>
      <c r="M299" s="184">
        <f>SUMIF(服务费底表!$D:$D,E299,服务费底表!$AG:$AG)+SUMIF(注册申报底表!$D:$D,'SOW-ERP导入表'!E299,注册申报底表!$AD:$AD)</f>
        <v>1400</v>
      </c>
    </row>
    <row r="300" spans="2:13">
      <c r="B300" s="173"/>
      <c r="D300" s="173"/>
      <c r="E300" s="187" t="s">
        <v>2652</v>
      </c>
      <c r="F300" s="173" t="str">
        <f t="shared" si="14"/>
        <v>请填写</v>
      </c>
      <c r="G300" s="173" t="str">
        <f>INDEX(服务费底表!$K:$K,MATCH('SOW-ERP导入表'!$E300,服务费底表!$D:$D,0))</f>
        <v>A107</v>
      </c>
      <c r="H300" s="183" t="str">
        <f>INDEX(服务费底表!L:L,MATCH('SOW-ERP导入表'!$E300,服务费底表!$D:$D,0))</f>
        <v>制定统计TFLs模板</v>
      </c>
      <c r="I300" s="173" t="str">
        <f>INDEX(服务费底表!$T:$T,MATCH('SOW-ERP导入表'!$E300,服务费底表!$D:$D,0))</f>
        <v>SAM</v>
      </c>
      <c r="J300" s="184">
        <f>SUMIF(服务费底表!$D:$D,E300,服务费底表!$AC:$AC)+SUMIF(注册申报底表!$D:$D,'SOW-ERP导入表'!E300,注册申报底表!$Z:$Z)</f>
        <v>2</v>
      </c>
      <c r="K300" s="173">
        <f>IFERROR(INDEX(服务费底表!$C:$C,MATCH('SOW-ERP导入表'!$E300,服务费底表!$D:$D,0)),0)+IFERROR(INDEX(注册申报底表!$C:$C,MATCH('SOW-ERP导入表'!$E300,注册申报底表!$D:$D,0)),0)</f>
        <v>1</v>
      </c>
      <c r="L300" s="185">
        <f t="shared" si="13"/>
        <v>900</v>
      </c>
      <c r="M300" s="184">
        <f>SUMIF(服务费底表!$D:$D,E300,服务费底表!$AG:$AG)+SUMIF(注册申报底表!$D:$D,'SOW-ERP导入表'!E300,注册申报底表!$AD:$AD)</f>
        <v>900</v>
      </c>
    </row>
    <row r="301" spans="2:13">
      <c r="B301" s="173"/>
      <c r="D301" s="173"/>
      <c r="E301" s="187" t="s">
        <v>2653</v>
      </c>
      <c r="F301" s="173" t="str">
        <f t="shared" si="14"/>
        <v>请填写</v>
      </c>
      <c r="G301" s="173" t="str">
        <f>INDEX(服务费底表!$K:$K,MATCH('SOW-ERP导入表'!$E301,服务费底表!$D:$D,0))</f>
        <v>A107</v>
      </c>
      <c r="H301" s="183" t="str">
        <f>INDEX(服务费底表!L:L,MATCH('SOW-ERP导入表'!$E301,服务费底表!$D:$D,0))</f>
        <v>制定统计TFLs模板</v>
      </c>
      <c r="I301" s="173" t="str">
        <f>INDEX(服务费底表!$T:$T,MATCH('SOW-ERP导入表'!$E301,服务费底表!$D:$D,0))</f>
        <v>MM</v>
      </c>
      <c r="J301" s="184">
        <f>SUMIF(服务费底表!$D:$D,E301,服务费底表!$AC:$AC)+SUMIF(注册申报底表!$D:$D,'SOW-ERP导入表'!E301,注册申报底表!$Z:$Z)</f>
        <v>4</v>
      </c>
      <c r="K301" s="173">
        <f>IFERROR(INDEX(服务费底表!$C:$C,MATCH('SOW-ERP导入表'!$E301,服务费底表!$D:$D,0)),0)+IFERROR(INDEX(注册申报底表!$C:$C,MATCH('SOW-ERP导入表'!$E301,注册申报底表!$D:$D,0)),0)</f>
        <v>1</v>
      </c>
      <c r="L301" s="185">
        <f t="shared" si="13"/>
        <v>2600</v>
      </c>
      <c r="M301" s="184">
        <f>SUMIF(服务费底表!$D:$D,E301,服务费底表!$AG:$AG)+SUMIF(注册申报底表!$D:$D,'SOW-ERP导入表'!E301,注册申报底表!$AD:$AD)</f>
        <v>2600</v>
      </c>
    </row>
    <row r="302" spans="2:13">
      <c r="B302" s="173"/>
      <c r="D302" s="173"/>
      <c r="E302" s="187" t="s">
        <v>2654</v>
      </c>
      <c r="F302" s="173" t="str">
        <f t="shared" si="14"/>
        <v>请填写</v>
      </c>
      <c r="G302" s="173" t="str">
        <f>INDEX(服务费底表!$K:$K,MATCH('SOW-ERP导入表'!$E302,服务费底表!$D:$D,0))</f>
        <v>A108</v>
      </c>
      <c r="H302" s="183" t="str">
        <f>INDEX(服务费底表!L:L,MATCH('SOW-ERP导入表'!$E302,服务费底表!$D:$D,0))</f>
        <v>制作SDTM aCRF</v>
      </c>
      <c r="I302" s="173" t="str">
        <f>INDEX(服务费底表!$T:$T,MATCH('SOW-ERP导入表'!$E302,服务费底表!$D:$D,0))</f>
        <v>SA</v>
      </c>
      <c r="J302" s="184">
        <f>SUMIF(服务费底表!$D:$D,E302,服务费底表!$AC:$AC)+SUMIF(注册申报底表!$D:$D,'SOW-ERP导入表'!E302,注册申报底表!$Z:$Z)</f>
        <v>10</v>
      </c>
      <c r="K302" s="173">
        <f>IFERROR(INDEX(服务费底表!$C:$C,MATCH('SOW-ERP导入表'!$E302,服务费底表!$D:$D,0)),0)+IFERROR(INDEX(注册申报底表!$C:$C,MATCH('SOW-ERP导入表'!$E302,注册申报底表!$D:$D,0)),0)</f>
        <v>1</v>
      </c>
      <c r="L302" s="185">
        <f t="shared" si="13"/>
        <v>2250</v>
      </c>
      <c r="M302" s="184">
        <f>SUMIF(服务费底表!$D:$D,E302,服务费底表!$AG:$AG)+SUMIF(注册申报底表!$D:$D,'SOW-ERP导入表'!E302,注册申报底表!$AD:$AD)</f>
        <v>2250</v>
      </c>
    </row>
    <row r="303" spans="2:13">
      <c r="B303" s="173"/>
      <c r="D303" s="173"/>
      <c r="E303" s="187" t="s">
        <v>2655</v>
      </c>
      <c r="F303" s="173" t="str">
        <f t="shared" si="14"/>
        <v>请填写</v>
      </c>
      <c r="G303" s="173" t="str">
        <f>INDEX(服务费底表!$K:$K,MATCH('SOW-ERP导入表'!$E303,服务费底表!$D:$D,0))</f>
        <v>A108</v>
      </c>
      <c r="H303" s="183" t="str">
        <f>INDEX(服务费底表!L:L,MATCH('SOW-ERP导入表'!$E303,服务费底表!$D:$D,0))</f>
        <v>制作SDTM aCRF</v>
      </c>
      <c r="I303" s="173" t="str">
        <f>INDEX(服务费底表!$T:$T,MATCH('SOW-ERP导入表'!$E303,服务费底表!$D:$D,0))</f>
        <v>SAM</v>
      </c>
      <c r="J303" s="184">
        <f>SUMIF(服务费底表!$D:$D,E303,服务费底表!$AC:$AC)+SUMIF(注册申报底表!$D:$D,'SOW-ERP导入表'!E303,注册申报底表!$Z:$Z)</f>
        <v>6</v>
      </c>
      <c r="K303" s="173">
        <f>IFERROR(INDEX(服务费底表!$C:$C,MATCH('SOW-ERP导入表'!$E303,服务费底表!$D:$D,0)),0)+IFERROR(INDEX(注册申报底表!$C:$C,MATCH('SOW-ERP导入表'!$E303,注册申报底表!$D:$D,0)),0)</f>
        <v>1</v>
      </c>
      <c r="L303" s="185">
        <f t="shared" si="13"/>
        <v>2700</v>
      </c>
      <c r="M303" s="184">
        <f>SUMIF(服务费底表!$D:$D,E303,服务费底表!$AG:$AG)+SUMIF(注册申报底表!$D:$D,'SOW-ERP导入表'!E303,注册申报底表!$AD:$AD)</f>
        <v>2700</v>
      </c>
    </row>
    <row r="304" spans="2:13">
      <c r="B304" s="173"/>
      <c r="D304" s="173"/>
      <c r="E304" s="187" t="s">
        <v>2656</v>
      </c>
      <c r="F304" s="173" t="str">
        <f t="shared" si="14"/>
        <v>请填写</v>
      </c>
      <c r="G304" s="173" t="str">
        <f>INDEX(服务费底表!$K:$K,MATCH('SOW-ERP导入表'!$E304,服务费底表!$D:$D,0))</f>
        <v>A109</v>
      </c>
      <c r="H304" s="183" t="str">
        <f>INDEX(服务费底表!L:L,MATCH('SOW-ERP导入表'!$E304,服务费底表!$D:$D,0))</f>
        <v>生成SDTM数据集</v>
      </c>
      <c r="I304" s="173" t="str">
        <f>INDEX(服务费底表!$T:$T,MATCH('SOW-ERP导入表'!$E304,服务费底表!$D:$D,0))</f>
        <v>SA</v>
      </c>
      <c r="J304" s="184">
        <f>SUMIF(服务费底表!$D:$D,E304,服务费底表!$AC:$AC)+SUMIF(注册申报底表!$D:$D,'SOW-ERP导入表'!E304,注册申报底表!$Z:$Z)</f>
        <v>157.85</v>
      </c>
      <c r="K304" s="173">
        <f>IFERROR(INDEX(服务费底表!$C:$C,MATCH('SOW-ERP导入表'!$E304,服务费底表!$D:$D,0)),0)+IFERROR(INDEX(注册申报底表!$C:$C,MATCH('SOW-ERP导入表'!$E304,注册申报底表!$D:$D,0)),0)</f>
        <v>35</v>
      </c>
      <c r="L304" s="185">
        <f t="shared" si="13"/>
        <v>1014.75</v>
      </c>
      <c r="M304" s="184">
        <f>SUMIF(服务费底表!$D:$D,E304,服务费底表!$AG:$AG)+SUMIF(注册申报底表!$D:$D,'SOW-ERP导入表'!E304,注册申报底表!$AD:$AD)</f>
        <v>35516.25</v>
      </c>
    </row>
    <row r="305" spans="2:13">
      <c r="B305" s="173"/>
      <c r="D305" s="173"/>
      <c r="E305" s="187" t="s">
        <v>2657</v>
      </c>
      <c r="F305" s="173" t="str">
        <f t="shared" si="14"/>
        <v>请填写</v>
      </c>
      <c r="G305" s="173" t="e">
        <f>INDEX(服务费底表!$K:$K,MATCH('SOW-ERP导入表'!$E305,服务费底表!$D:$D,0))</f>
        <v>#N/A</v>
      </c>
      <c r="H305" s="183" t="e">
        <f>INDEX(服务费底表!L:L,MATCH('SOW-ERP导入表'!$E305,服务费底表!$D:$D,0))</f>
        <v>#N/A</v>
      </c>
      <c r="I305" s="173" t="e">
        <f>INDEX(服务费底表!$T:$T,MATCH('SOW-ERP导入表'!$E305,服务费底表!$D:$D,0))</f>
        <v>#N/A</v>
      </c>
      <c r="J305" s="184">
        <f>SUMIF(服务费底表!$D:$D,E305,服务费底表!$AC:$AC)+SUMIF(注册申报底表!$D:$D,'SOW-ERP导入表'!E305,注册申报底表!$Z:$Z)</f>
        <v>0</v>
      </c>
      <c r="K305" s="173">
        <f>IFERROR(INDEX(服务费底表!$C:$C,MATCH('SOW-ERP导入表'!$E305,服务费底表!$D:$D,0)),0)+IFERROR(INDEX(注册申报底表!$C:$C,MATCH('SOW-ERP导入表'!$E305,注册申报底表!$D:$D,0)),0)</f>
        <v>0</v>
      </c>
      <c r="L305" s="185">
        <f t="shared" si="13"/>
        <v>0</v>
      </c>
      <c r="M305" s="184">
        <f>SUMIF(服务费底表!$D:$D,E305,服务费底表!$AG:$AG)+SUMIF(注册申报底表!$D:$D,'SOW-ERP导入表'!E305,注册申报底表!$AD:$AD)</f>
        <v>0</v>
      </c>
    </row>
    <row r="306" spans="2:13">
      <c r="B306" s="173"/>
      <c r="D306" s="173"/>
      <c r="E306" s="187" t="s">
        <v>2658</v>
      </c>
      <c r="F306" s="173" t="str">
        <f t="shared" si="14"/>
        <v>请填写</v>
      </c>
      <c r="G306" s="173" t="e">
        <f>INDEX(服务费底表!$K:$K,MATCH('SOW-ERP导入表'!$E306,服务费底表!$D:$D,0))</f>
        <v>#N/A</v>
      </c>
      <c r="H306" s="183" t="e">
        <f>INDEX(服务费底表!L:L,MATCH('SOW-ERP导入表'!$E306,服务费底表!$D:$D,0))</f>
        <v>#N/A</v>
      </c>
      <c r="I306" s="173" t="e">
        <f>INDEX(服务费底表!$T:$T,MATCH('SOW-ERP导入表'!$E306,服务费底表!$D:$D,0))</f>
        <v>#N/A</v>
      </c>
      <c r="J306" s="184">
        <f>SUMIF(服务费底表!$D:$D,E306,服务费底表!$AC:$AC)+SUMIF(注册申报底表!$D:$D,'SOW-ERP导入表'!E306,注册申报底表!$Z:$Z)</f>
        <v>0</v>
      </c>
      <c r="K306" s="173">
        <f>IFERROR(INDEX(服务费底表!$C:$C,MATCH('SOW-ERP导入表'!$E306,服务费底表!$D:$D,0)),0)+IFERROR(INDEX(注册申报底表!$C:$C,MATCH('SOW-ERP导入表'!$E306,注册申报底表!$D:$D,0)),0)</f>
        <v>0</v>
      </c>
      <c r="L306" s="185">
        <f t="shared" si="13"/>
        <v>0</v>
      </c>
      <c r="M306" s="184">
        <f>SUMIF(服务费底表!$D:$D,E306,服务费底表!$AG:$AG)+SUMIF(注册申报底表!$D:$D,'SOW-ERP导入表'!E306,注册申报底表!$AD:$AD)</f>
        <v>0</v>
      </c>
    </row>
    <row r="307" spans="2:13">
      <c r="B307" s="173"/>
      <c r="D307" s="173"/>
      <c r="E307" s="187" t="s">
        <v>2659</v>
      </c>
      <c r="F307" s="173" t="str">
        <f t="shared" si="14"/>
        <v>请填写</v>
      </c>
      <c r="G307" s="173" t="str">
        <f>INDEX(服务费底表!$K:$K,MATCH('SOW-ERP导入表'!$E307,服务费底表!$D:$D,0))</f>
        <v>A110</v>
      </c>
      <c r="H307" s="183" t="str">
        <f>INDEX(服务费底表!L:L,MATCH('SOW-ERP导入表'!$E307,服务费底表!$D:$D,0))</f>
        <v>撰写分析数据集衍生规范</v>
      </c>
      <c r="I307" s="173" t="str">
        <f>INDEX(服务费底表!$T:$T,MATCH('SOW-ERP导入表'!$E307,服务费底表!$D:$D,0))</f>
        <v>SA</v>
      </c>
      <c r="J307" s="184">
        <f>SUMIF(服务费底表!$D:$D,E307,服务费底表!$AC:$AC)+SUMIF(注册申报底表!$D:$D,'SOW-ERP导入表'!E307,注册申报底表!$Z:$Z)</f>
        <v>30</v>
      </c>
      <c r="K307" s="173">
        <f>IFERROR(INDEX(服务费底表!$C:$C,MATCH('SOW-ERP导入表'!$E307,服务费底表!$D:$D,0)),0)+IFERROR(INDEX(注册申报底表!$C:$C,MATCH('SOW-ERP导入表'!$E307,注册申报底表!$D:$D,0)),0)</f>
        <v>15</v>
      </c>
      <c r="L307" s="185">
        <f t="shared" si="13"/>
        <v>450</v>
      </c>
      <c r="M307" s="184">
        <f>SUMIF(服务费底表!$D:$D,E307,服务费底表!$AG:$AG)+SUMIF(注册申报底表!$D:$D,'SOW-ERP导入表'!E307,注册申报底表!$AD:$AD)</f>
        <v>6750</v>
      </c>
    </row>
    <row r="308" spans="2:13">
      <c r="B308" s="173"/>
      <c r="D308" s="173"/>
      <c r="E308" s="187" t="s">
        <v>2660</v>
      </c>
      <c r="F308" s="173" t="str">
        <f t="shared" si="14"/>
        <v>请填写</v>
      </c>
      <c r="G308" s="173" t="str">
        <f>INDEX(服务费底表!$K:$K,MATCH('SOW-ERP导入表'!$E308,服务费底表!$D:$D,0))</f>
        <v>A110</v>
      </c>
      <c r="H308" s="183" t="str">
        <f>INDEX(服务费底表!L:L,MATCH('SOW-ERP导入表'!$E308,服务费底表!$D:$D,0))</f>
        <v>撰写分析数据集衍生规范</v>
      </c>
      <c r="I308" s="173" t="str">
        <f>INDEX(服务费底表!$T:$T,MATCH('SOW-ERP导入表'!$E308,服务费底表!$D:$D,0))</f>
        <v>SAM</v>
      </c>
      <c r="J308" s="184">
        <f>SUMIF(服务费底表!$D:$D,E308,服务费底表!$AC:$AC)+SUMIF(注册申报底表!$D:$D,'SOW-ERP导入表'!E308,注册申报底表!$Z:$Z)</f>
        <v>3</v>
      </c>
      <c r="K308" s="173">
        <f>IFERROR(INDEX(服务费底表!$C:$C,MATCH('SOW-ERP导入表'!$E308,服务费底表!$D:$D,0)),0)+IFERROR(INDEX(注册申报底表!$C:$C,MATCH('SOW-ERP导入表'!$E308,注册申报底表!$D:$D,0)),0)</f>
        <v>15</v>
      </c>
      <c r="L308" s="185">
        <f t="shared" si="13"/>
        <v>90</v>
      </c>
      <c r="M308" s="184">
        <f>SUMIF(服务费底表!$D:$D,E308,服务费底表!$AG:$AG)+SUMIF(注册申报底表!$D:$D,'SOW-ERP导入表'!E308,注册申报底表!$AD:$AD)</f>
        <v>1350</v>
      </c>
    </row>
    <row r="309" spans="2:13">
      <c r="B309" s="173"/>
      <c r="D309" s="173"/>
      <c r="E309" s="187" t="s">
        <v>2661</v>
      </c>
      <c r="F309" s="173" t="str">
        <f t="shared" si="14"/>
        <v>请填写</v>
      </c>
      <c r="G309" s="173" t="str">
        <f>INDEX(服务费底表!$K:$K,MATCH('SOW-ERP导入表'!$E309,服务费底表!$D:$D,0))</f>
        <v>A110</v>
      </c>
      <c r="H309" s="183" t="str">
        <f>INDEX(服务费底表!L:L,MATCH('SOW-ERP导入表'!$E309,服务费底表!$D:$D,0))</f>
        <v>撰写分析数据集衍生规范</v>
      </c>
      <c r="I309" s="173" t="str">
        <f>INDEX(服务费底表!$T:$T,MATCH('SOW-ERP导入表'!$E309,服务费底表!$D:$D,0))</f>
        <v>ST</v>
      </c>
      <c r="J309" s="184">
        <f>SUMIF(服务费底表!$D:$D,E309,服务费底表!$AC:$AC)+SUMIF(注册申报底表!$D:$D,'SOW-ERP导入表'!E309,注册申报底表!$Z:$Z)</f>
        <v>7.5</v>
      </c>
      <c r="K309" s="173">
        <f>IFERROR(INDEX(服务费底表!$C:$C,MATCH('SOW-ERP导入表'!$E309,服务费底表!$D:$D,0)),0)+IFERROR(INDEX(注册申报底表!$C:$C,MATCH('SOW-ERP导入表'!$E309,注册申报底表!$D:$D,0)),0)</f>
        <v>15</v>
      </c>
      <c r="L309" s="185">
        <f t="shared" si="13"/>
        <v>200</v>
      </c>
      <c r="M309" s="184">
        <f>SUMIF(服务费底表!$D:$D,E309,服务费底表!$AG:$AG)+SUMIF(注册申报底表!$D:$D,'SOW-ERP导入表'!E309,注册申报底表!$AD:$AD)</f>
        <v>3000</v>
      </c>
    </row>
    <row r="310" spans="2:13">
      <c r="B310" s="173"/>
      <c r="D310" s="173"/>
      <c r="E310" s="187" t="s">
        <v>2662</v>
      </c>
      <c r="F310" s="173" t="str">
        <f t="shared" si="14"/>
        <v>请填写</v>
      </c>
      <c r="G310" s="173" t="str">
        <f>INDEX(服务费底表!$K:$K,MATCH('SOW-ERP导入表'!$E310,服务费底表!$D:$D,0))</f>
        <v>A111</v>
      </c>
      <c r="H310" s="183" t="str">
        <f>INDEX(服务费底表!L:L,MATCH('SOW-ERP导入表'!$E310,服务费底表!$D:$D,0))</f>
        <v>生成分析数据集</v>
      </c>
      <c r="I310" s="173" t="str">
        <f>INDEX(服务费底表!$T:$T,MATCH('SOW-ERP导入表'!$E310,服务费底表!$D:$D,0))</f>
        <v>SA</v>
      </c>
      <c r="J310" s="184">
        <f>SUMIF(服务费底表!$D:$D,E310,服务费底表!$AC:$AC)+SUMIF(注册申报底表!$D:$D,'SOW-ERP导入表'!E310,注册申报底表!$Z:$Z)</f>
        <v>82.65</v>
      </c>
      <c r="K310" s="173">
        <f>IFERROR(INDEX(服务费底表!$C:$C,MATCH('SOW-ERP导入表'!$E310,服务费底表!$D:$D,0)),0)+IFERROR(INDEX(注册申报底表!$C:$C,MATCH('SOW-ERP导入表'!$E310,注册申报底表!$D:$D,0)),0)</f>
        <v>15</v>
      </c>
      <c r="L310" s="185">
        <f t="shared" si="13"/>
        <v>1239.75</v>
      </c>
      <c r="M310" s="184">
        <f>SUMIF(服务费底表!$D:$D,E310,服务费底表!$AG:$AG)+SUMIF(注册申报底表!$D:$D,'SOW-ERP导入表'!E310,注册申报底表!$AD:$AD)</f>
        <v>18596.25</v>
      </c>
    </row>
    <row r="311" spans="2:13">
      <c r="B311" s="173"/>
      <c r="D311" s="173"/>
      <c r="E311" s="187" t="s">
        <v>2663</v>
      </c>
      <c r="F311" s="173" t="str">
        <f t="shared" si="14"/>
        <v>请填写</v>
      </c>
      <c r="G311" s="173" t="e">
        <f>INDEX(服务费底表!$K:$K,MATCH('SOW-ERP导入表'!$E311,服务费底表!$D:$D,0))</f>
        <v>#N/A</v>
      </c>
      <c r="H311" s="183" t="e">
        <f>INDEX(服务费底表!L:L,MATCH('SOW-ERP导入表'!$E311,服务费底表!$D:$D,0))</f>
        <v>#N/A</v>
      </c>
      <c r="I311" s="173" t="e">
        <f>INDEX(服务费底表!$T:$T,MATCH('SOW-ERP导入表'!$E311,服务费底表!$D:$D,0))</f>
        <v>#N/A</v>
      </c>
      <c r="J311" s="184">
        <f>SUMIF(服务费底表!$D:$D,E311,服务费底表!$AC:$AC)+SUMIF(注册申报底表!$D:$D,'SOW-ERP导入表'!E311,注册申报底表!$Z:$Z)</f>
        <v>0</v>
      </c>
      <c r="K311" s="173">
        <f>IFERROR(INDEX(服务费底表!$C:$C,MATCH('SOW-ERP导入表'!$E311,服务费底表!$D:$D,0)),0)+IFERROR(INDEX(注册申报底表!$C:$C,MATCH('SOW-ERP导入表'!$E311,注册申报底表!$D:$D,0)),0)</f>
        <v>0</v>
      </c>
      <c r="L311" s="185">
        <f t="shared" si="13"/>
        <v>0</v>
      </c>
      <c r="M311" s="184">
        <f>SUMIF(服务费底表!$D:$D,E311,服务费底表!$AG:$AG)+SUMIF(注册申报底表!$D:$D,'SOW-ERP导入表'!E311,注册申报底表!$AD:$AD)</f>
        <v>0</v>
      </c>
    </row>
    <row r="312" spans="2:13">
      <c r="B312" s="173"/>
      <c r="D312" s="173"/>
      <c r="E312" s="187" t="s">
        <v>2664</v>
      </c>
      <c r="F312" s="173" t="str">
        <f t="shared" si="14"/>
        <v>请填写</v>
      </c>
      <c r="G312" s="173" t="str">
        <f>INDEX(服务费底表!$K:$K,MATCH('SOW-ERP导入表'!$E312,服务费底表!$D:$D,0))</f>
        <v>A111</v>
      </c>
      <c r="H312" s="183" t="str">
        <f>INDEX(服务费底表!L:L,MATCH('SOW-ERP导入表'!$E312,服务费底表!$D:$D,0))</f>
        <v>生成分析数据集</v>
      </c>
      <c r="I312" s="173" t="str">
        <f>INDEX(服务费底表!$T:$T,MATCH('SOW-ERP导入表'!$E312,服务费底表!$D:$D,0))</f>
        <v>ST</v>
      </c>
      <c r="J312" s="184">
        <f>SUMIF(服务费底表!$D:$D,E312,服务费底表!$AC:$AC)+SUMIF(注册申报底表!$D:$D,'SOW-ERP导入表'!E312,注册申报底表!$Z:$Z)</f>
        <v>15</v>
      </c>
      <c r="K312" s="173">
        <f>IFERROR(INDEX(服务费底表!$C:$C,MATCH('SOW-ERP导入表'!$E312,服务费底表!$D:$D,0)),0)+IFERROR(INDEX(注册申报底表!$C:$C,MATCH('SOW-ERP导入表'!$E312,注册申报底表!$D:$D,0)),0)</f>
        <v>15</v>
      </c>
      <c r="L312" s="185">
        <f t="shared" si="13"/>
        <v>400</v>
      </c>
      <c r="M312" s="184">
        <f>SUMIF(服务费底表!$D:$D,E312,服务费底表!$AG:$AG)+SUMIF(注册申报底表!$D:$D,'SOW-ERP导入表'!E312,注册申报底表!$AD:$AD)</f>
        <v>6000</v>
      </c>
    </row>
    <row r="313" spans="2:13">
      <c r="B313" s="173"/>
      <c r="D313" s="173"/>
      <c r="E313" s="187" t="s">
        <v>2665</v>
      </c>
      <c r="F313" s="173" t="str">
        <f t="shared" si="14"/>
        <v>请填写</v>
      </c>
      <c r="G313" s="173" t="e">
        <f>INDEX(服务费底表!$K:$K,MATCH('SOW-ERP导入表'!$E313,服务费底表!$D:$D,0))</f>
        <v>#N/A</v>
      </c>
      <c r="H313" s="183" t="e">
        <f>INDEX(服务费底表!L:L,MATCH('SOW-ERP导入表'!$E313,服务费底表!$D:$D,0))</f>
        <v>#N/A</v>
      </c>
      <c r="I313" s="173" t="e">
        <f>INDEX(服务费底表!$T:$T,MATCH('SOW-ERP导入表'!$E313,服务费底表!$D:$D,0))</f>
        <v>#N/A</v>
      </c>
      <c r="J313" s="184">
        <f>SUMIF(服务费底表!$D:$D,E313,服务费底表!$AC:$AC)+SUMIF(注册申报底表!$D:$D,'SOW-ERP导入表'!E313,注册申报底表!$Z:$Z)</f>
        <v>0</v>
      </c>
      <c r="K313" s="173">
        <f>IFERROR(INDEX(服务费底表!$C:$C,MATCH('SOW-ERP导入表'!$E313,服务费底表!$D:$D,0)),0)+IFERROR(INDEX(注册申报底表!$C:$C,MATCH('SOW-ERP导入表'!$E313,注册申报底表!$D:$D,0)),0)</f>
        <v>0</v>
      </c>
      <c r="L313" s="185">
        <f t="shared" si="13"/>
        <v>0</v>
      </c>
      <c r="M313" s="184">
        <f>SUMIF(服务费底表!$D:$D,E313,服务费底表!$AG:$AG)+SUMIF(注册申报底表!$D:$D,'SOW-ERP导入表'!E313,注册申报底表!$AD:$AD)</f>
        <v>0</v>
      </c>
    </row>
    <row r="314" spans="2:13">
      <c r="B314" s="173"/>
      <c r="D314" s="173"/>
      <c r="E314" s="187" t="s">
        <v>2666</v>
      </c>
      <c r="F314" s="173" t="str">
        <f t="shared" si="14"/>
        <v>请填写</v>
      </c>
      <c r="G314" s="173" t="e">
        <f>INDEX(服务费底表!$K:$K,MATCH('SOW-ERP导入表'!$E314,服务费底表!$D:$D,0))</f>
        <v>#N/A</v>
      </c>
      <c r="H314" s="183" t="e">
        <f>INDEX(服务费底表!L:L,MATCH('SOW-ERP导入表'!$E314,服务费底表!$D:$D,0))</f>
        <v>#N/A</v>
      </c>
      <c r="I314" s="173" t="e">
        <f>INDEX(服务费底表!$T:$T,MATCH('SOW-ERP导入表'!$E314,服务费底表!$D:$D,0))</f>
        <v>#N/A</v>
      </c>
      <c r="J314" s="184">
        <f>SUMIF(服务费底表!$D:$D,E314,服务费底表!$AC:$AC)+SUMIF(注册申报底表!$D:$D,'SOW-ERP导入表'!E314,注册申报底表!$Z:$Z)</f>
        <v>0</v>
      </c>
      <c r="K314" s="173">
        <f>IFERROR(INDEX(服务费底表!$C:$C,MATCH('SOW-ERP导入表'!$E314,服务费底表!$D:$D,0)),0)+IFERROR(INDEX(注册申报底表!$C:$C,MATCH('SOW-ERP导入表'!$E314,注册申报底表!$D:$D,0)),0)</f>
        <v>0</v>
      </c>
      <c r="L314" s="185">
        <f t="shared" si="13"/>
        <v>0</v>
      </c>
      <c r="M314" s="184">
        <f>SUMIF(服务费底表!$D:$D,E314,服务费底表!$AG:$AG)+SUMIF(注册申报底表!$D:$D,'SOW-ERP导入表'!E314,注册申报底表!$AD:$AD)</f>
        <v>0</v>
      </c>
    </row>
    <row r="315" spans="2:13">
      <c r="B315" s="173"/>
      <c r="D315" s="173"/>
      <c r="E315" s="187" t="s">
        <v>2667</v>
      </c>
      <c r="F315" s="173" t="str">
        <f t="shared" si="14"/>
        <v>请填写</v>
      </c>
      <c r="G315" s="173" t="e">
        <f>INDEX(服务费底表!$K:$K,MATCH('SOW-ERP导入表'!$E315,服务费底表!$D:$D,0))</f>
        <v>#N/A</v>
      </c>
      <c r="H315" s="183" t="e">
        <f>INDEX(服务费底表!L:L,MATCH('SOW-ERP导入表'!$E315,服务费底表!$D:$D,0))</f>
        <v>#N/A</v>
      </c>
      <c r="I315" s="173" t="e">
        <f>INDEX(服务费底表!$T:$T,MATCH('SOW-ERP导入表'!$E315,服务费底表!$D:$D,0))</f>
        <v>#N/A</v>
      </c>
      <c r="J315" s="184">
        <f>SUMIF(服务费底表!$D:$D,E315,服务费底表!$AC:$AC)+SUMIF(注册申报底表!$D:$D,'SOW-ERP导入表'!E315,注册申报底表!$Z:$Z)</f>
        <v>0</v>
      </c>
      <c r="K315" s="173">
        <f>IFERROR(INDEX(服务费底表!$C:$C,MATCH('SOW-ERP导入表'!$E315,服务费底表!$D:$D,0)),0)+IFERROR(INDEX(注册申报底表!$C:$C,MATCH('SOW-ERP导入表'!$E315,注册申报底表!$D:$D,0)),0)</f>
        <v>0</v>
      </c>
      <c r="L315" s="185">
        <f t="shared" si="13"/>
        <v>0</v>
      </c>
      <c r="M315" s="184">
        <f>SUMIF(服务费底表!$D:$D,E315,服务费底表!$AG:$AG)+SUMIF(注册申报底表!$D:$D,'SOW-ERP导入表'!E315,注册申报底表!$AD:$AD)</f>
        <v>0</v>
      </c>
    </row>
    <row r="316" spans="2:13">
      <c r="B316" s="173"/>
      <c r="D316" s="173"/>
      <c r="E316" s="187" t="s">
        <v>2668</v>
      </c>
      <c r="F316" s="173" t="str">
        <f t="shared" si="14"/>
        <v>请填写</v>
      </c>
      <c r="G316" s="173" t="e">
        <f>INDEX(服务费底表!$K:$K,MATCH('SOW-ERP导入表'!$E316,服务费底表!$D:$D,0))</f>
        <v>#N/A</v>
      </c>
      <c r="H316" s="183" t="e">
        <f>INDEX(服务费底表!L:L,MATCH('SOW-ERP导入表'!$E316,服务费底表!$D:$D,0))</f>
        <v>#N/A</v>
      </c>
      <c r="I316" s="173" t="e">
        <f>INDEX(服务费底表!$T:$T,MATCH('SOW-ERP导入表'!$E316,服务费底表!$D:$D,0))</f>
        <v>#N/A</v>
      </c>
      <c r="J316" s="184">
        <f>SUMIF(服务费底表!$D:$D,E316,服务费底表!$AC:$AC)+SUMIF(注册申报底表!$D:$D,'SOW-ERP导入表'!E316,注册申报底表!$Z:$Z)</f>
        <v>0</v>
      </c>
      <c r="K316" s="173">
        <f>IFERROR(INDEX(服务费底表!$C:$C,MATCH('SOW-ERP导入表'!$E316,服务费底表!$D:$D,0)),0)+IFERROR(INDEX(注册申报底表!$C:$C,MATCH('SOW-ERP导入表'!$E316,注册申报底表!$D:$D,0)),0)</f>
        <v>0</v>
      </c>
      <c r="L316" s="185">
        <f t="shared" si="13"/>
        <v>0</v>
      </c>
      <c r="M316" s="184">
        <f>SUMIF(服务费底表!$D:$D,E316,服务费底表!$AG:$AG)+SUMIF(注册申报底表!$D:$D,'SOW-ERP导入表'!E316,注册申报底表!$AD:$AD)</f>
        <v>0</v>
      </c>
    </row>
    <row r="317" spans="2:13">
      <c r="B317" s="173"/>
      <c r="D317" s="173"/>
      <c r="E317" s="187" t="s">
        <v>2669</v>
      </c>
      <c r="F317" s="173" t="str">
        <f t="shared" si="14"/>
        <v>请填写</v>
      </c>
      <c r="G317" s="173" t="e">
        <f>INDEX(服务费底表!$K:$K,MATCH('SOW-ERP导入表'!$E317,服务费底表!$D:$D,0))</f>
        <v>#N/A</v>
      </c>
      <c r="H317" s="183" t="e">
        <f>INDEX(服务费底表!L:L,MATCH('SOW-ERP导入表'!$E317,服务费底表!$D:$D,0))</f>
        <v>#N/A</v>
      </c>
      <c r="I317" s="173" t="e">
        <f>INDEX(服务费底表!$T:$T,MATCH('SOW-ERP导入表'!$E317,服务费底表!$D:$D,0))</f>
        <v>#N/A</v>
      </c>
      <c r="J317" s="184">
        <f>SUMIF(服务费底表!$D:$D,E317,服务费底表!$AC:$AC)+SUMIF(注册申报底表!$D:$D,'SOW-ERP导入表'!E317,注册申报底表!$Z:$Z)</f>
        <v>0</v>
      </c>
      <c r="K317" s="173">
        <f>IFERROR(INDEX(服务费底表!$C:$C,MATCH('SOW-ERP导入表'!$E317,服务费底表!$D:$D,0)),0)+IFERROR(INDEX(注册申报底表!$C:$C,MATCH('SOW-ERP导入表'!$E317,注册申报底表!$D:$D,0)),0)</f>
        <v>0</v>
      </c>
      <c r="L317" s="185">
        <f t="shared" si="13"/>
        <v>0</v>
      </c>
      <c r="M317" s="184">
        <f>SUMIF(服务费底表!$D:$D,E317,服务费底表!$AG:$AG)+SUMIF(注册申报底表!$D:$D,'SOW-ERP导入表'!E317,注册申报底表!$AD:$AD)</f>
        <v>0</v>
      </c>
    </row>
    <row r="318" spans="2:13">
      <c r="B318" s="173"/>
      <c r="D318" s="173"/>
      <c r="E318" s="187" t="s">
        <v>2670</v>
      </c>
      <c r="F318" s="173" t="str">
        <f t="shared" si="14"/>
        <v>请填写</v>
      </c>
      <c r="G318" s="173" t="e">
        <f>INDEX(服务费底表!$K:$K,MATCH('SOW-ERP导入表'!$E318,服务费底表!$D:$D,0))</f>
        <v>#N/A</v>
      </c>
      <c r="H318" s="183" t="e">
        <f>INDEX(服务费底表!L:L,MATCH('SOW-ERP导入表'!$E318,服务费底表!$D:$D,0))</f>
        <v>#N/A</v>
      </c>
      <c r="I318" s="173" t="e">
        <f>INDEX(服务费底表!$T:$T,MATCH('SOW-ERP导入表'!$E318,服务费底表!$D:$D,0))</f>
        <v>#N/A</v>
      </c>
      <c r="J318" s="184">
        <f>SUMIF(服务费底表!$D:$D,E318,服务费底表!$AC:$AC)+SUMIF(注册申报底表!$D:$D,'SOW-ERP导入表'!E318,注册申报底表!$Z:$Z)</f>
        <v>0</v>
      </c>
      <c r="K318" s="173">
        <f>IFERROR(INDEX(服务费底表!$C:$C,MATCH('SOW-ERP导入表'!$E318,服务费底表!$D:$D,0)),0)+IFERROR(INDEX(注册申报底表!$C:$C,MATCH('SOW-ERP导入表'!$E318,注册申报底表!$D:$D,0)),0)</f>
        <v>0</v>
      </c>
      <c r="L318" s="185">
        <f t="shared" si="13"/>
        <v>0</v>
      </c>
      <c r="M318" s="184">
        <f>SUMIF(服务费底表!$D:$D,E318,服务费底表!$AG:$AG)+SUMIF(注册申报底表!$D:$D,'SOW-ERP导入表'!E318,注册申报底表!$AD:$AD)</f>
        <v>0</v>
      </c>
    </row>
    <row r="319" spans="2:13">
      <c r="B319" s="173"/>
      <c r="D319" s="173"/>
      <c r="E319" s="187" t="s">
        <v>2671</v>
      </c>
      <c r="F319" s="173" t="str">
        <f t="shared" si="14"/>
        <v>请填写</v>
      </c>
      <c r="G319" s="173" t="e">
        <f>INDEX(服务费底表!$K:$K,MATCH('SOW-ERP导入表'!$E319,服务费底表!$D:$D,0))</f>
        <v>#N/A</v>
      </c>
      <c r="H319" s="183" t="e">
        <f>INDEX(服务费底表!L:L,MATCH('SOW-ERP导入表'!$E319,服务费底表!$D:$D,0))</f>
        <v>#N/A</v>
      </c>
      <c r="I319" s="173" t="e">
        <f>INDEX(服务费底表!$T:$T,MATCH('SOW-ERP导入表'!$E319,服务费底表!$D:$D,0))</f>
        <v>#N/A</v>
      </c>
      <c r="J319" s="184">
        <f>SUMIF(服务费底表!$D:$D,E319,服务费底表!$AC:$AC)+SUMIF(注册申报底表!$D:$D,'SOW-ERP导入表'!E319,注册申报底表!$Z:$Z)</f>
        <v>0</v>
      </c>
      <c r="K319" s="173">
        <f>IFERROR(INDEX(服务费底表!$C:$C,MATCH('SOW-ERP导入表'!$E319,服务费底表!$D:$D,0)),0)+IFERROR(INDEX(注册申报底表!$C:$C,MATCH('SOW-ERP导入表'!$E319,注册申报底表!$D:$D,0)),0)</f>
        <v>0</v>
      </c>
      <c r="L319" s="185">
        <f t="shared" si="13"/>
        <v>0</v>
      </c>
      <c r="M319" s="184">
        <f>SUMIF(服务费底表!$D:$D,E319,服务费底表!$AG:$AG)+SUMIF(注册申报底表!$D:$D,'SOW-ERP导入表'!E319,注册申报底表!$AD:$AD)</f>
        <v>0</v>
      </c>
    </row>
    <row r="320" spans="2:13">
      <c r="B320" s="173"/>
      <c r="D320" s="173"/>
      <c r="E320" s="187" t="s">
        <v>2672</v>
      </c>
      <c r="F320" s="173" t="str">
        <f t="shared" si="14"/>
        <v>请填写</v>
      </c>
      <c r="G320" s="173" t="e">
        <f>INDEX(服务费底表!$K:$K,MATCH('SOW-ERP导入表'!$E320,服务费底表!$D:$D,0))</f>
        <v>#N/A</v>
      </c>
      <c r="H320" s="183" t="e">
        <f>INDEX(服务费底表!L:L,MATCH('SOW-ERP导入表'!$E320,服务费底表!$D:$D,0))</f>
        <v>#N/A</v>
      </c>
      <c r="I320" s="173" t="e">
        <f>INDEX(服务费底表!$T:$T,MATCH('SOW-ERP导入表'!$E320,服务费底表!$D:$D,0))</f>
        <v>#N/A</v>
      </c>
      <c r="J320" s="184">
        <f>SUMIF(服务费底表!$D:$D,E320,服务费底表!$AC:$AC)+SUMIF(注册申报底表!$D:$D,'SOW-ERP导入表'!E320,注册申报底表!$Z:$Z)</f>
        <v>0</v>
      </c>
      <c r="K320" s="173">
        <f>IFERROR(INDEX(服务费底表!$C:$C,MATCH('SOW-ERP导入表'!$E320,服务费底表!$D:$D,0)),0)+IFERROR(INDEX(注册申报底表!$C:$C,MATCH('SOW-ERP导入表'!$E320,注册申报底表!$D:$D,0)),0)</f>
        <v>0</v>
      </c>
      <c r="L320" s="185">
        <f t="shared" si="13"/>
        <v>0</v>
      </c>
      <c r="M320" s="184">
        <f>SUMIF(服务费底表!$D:$D,E320,服务费底表!$AG:$AG)+SUMIF(注册申报底表!$D:$D,'SOW-ERP导入表'!E320,注册申报底表!$AD:$AD)</f>
        <v>0</v>
      </c>
    </row>
    <row r="321" spans="2:13">
      <c r="B321" s="173"/>
      <c r="D321" s="173"/>
      <c r="E321" s="187" t="s">
        <v>2673</v>
      </c>
      <c r="F321" s="173" t="str">
        <f t="shared" si="14"/>
        <v>请填写</v>
      </c>
      <c r="G321" s="173" t="e">
        <f>INDEX(服务费底表!$K:$K,MATCH('SOW-ERP导入表'!$E321,服务费底表!$D:$D,0))</f>
        <v>#N/A</v>
      </c>
      <c r="H321" s="183" t="e">
        <f>INDEX(服务费底表!L:L,MATCH('SOW-ERP导入表'!$E321,服务费底表!$D:$D,0))</f>
        <v>#N/A</v>
      </c>
      <c r="I321" s="173" t="e">
        <f>INDEX(服务费底表!$T:$T,MATCH('SOW-ERP导入表'!$E321,服务费底表!$D:$D,0))</f>
        <v>#N/A</v>
      </c>
      <c r="J321" s="184">
        <f>SUMIF(服务费底表!$D:$D,E321,服务费底表!$AC:$AC)+SUMIF(注册申报底表!$D:$D,'SOW-ERP导入表'!E321,注册申报底表!$Z:$Z)</f>
        <v>0</v>
      </c>
      <c r="K321" s="173">
        <f>IFERROR(INDEX(服务费底表!$C:$C,MATCH('SOW-ERP导入表'!$E321,服务费底表!$D:$D,0)),0)+IFERROR(INDEX(注册申报底表!$C:$C,MATCH('SOW-ERP导入表'!$E321,注册申报底表!$D:$D,0)),0)</f>
        <v>0</v>
      </c>
      <c r="L321" s="185">
        <f t="shared" si="13"/>
        <v>0</v>
      </c>
      <c r="M321" s="184">
        <f>SUMIF(服务费底表!$D:$D,E321,服务费底表!$AG:$AG)+SUMIF(注册申报底表!$D:$D,'SOW-ERP导入表'!E321,注册申报底表!$AD:$AD)</f>
        <v>0</v>
      </c>
    </row>
    <row r="322" spans="2:13">
      <c r="B322" s="173"/>
      <c r="D322" s="173"/>
      <c r="E322" s="187" t="s">
        <v>2674</v>
      </c>
      <c r="F322" s="173" t="str">
        <f t="shared" si="14"/>
        <v>请填写</v>
      </c>
      <c r="G322" s="173" t="e">
        <f>INDEX(服务费底表!$K:$K,MATCH('SOW-ERP导入表'!$E322,服务费底表!$D:$D,0))</f>
        <v>#N/A</v>
      </c>
      <c r="H322" s="183" t="e">
        <f>INDEX(服务费底表!L:L,MATCH('SOW-ERP导入表'!$E322,服务费底表!$D:$D,0))</f>
        <v>#N/A</v>
      </c>
      <c r="I322" s="173" t="e">
        <f>INDEX(服务费底表!$T:$T,MATCH('SOW-ERP导入表'!$E322,服务费底表!$D:$D,0))</f>
        <v>#N/A</v>
      </c>
      <c r="J322" s="184">
        <f>SUMIF(服务费底表!$D:$D,E322,服务费底表!$AC:$AC)+SUMIF(注册申报底表!$D:$D,'SOW-ERP导入表'!E322,注册申报底表!$Z:$Z)</f>
        <v>0</v>
      </c>
      <c r="K322" s="173">
        <f>IFERROR(INDEX(服务费底表!$C:$C,MATCH('SOW-ERP导入表'!$E322,服务费底表!$D:$D,0)),0)+IFERROR(INDEX(注册申报底表!$C:$C,MATCH('SOW-ERP导入表'!$E322,注册申报底表!$D:$D,0)),0)</f>
        <v>0</v>
      </c>
      <c r="L322" s="185">
        <f t="shared" si="13"/>
        <v>0</v>
      </c>
      <c r="M322" s="184">
        <f>SUMIF(服务费底表!$D:$D,E322,服务费底表!$AG:$AG)+SUMIF(注册申报底表!$D:$D,'SOW-ERP导入表'!E322,注册申报底表!$AD:$AD)</f>
        <v>0</v>
      </c>
    </row>
    <row r="323" spans="2:13">
      <c r="B323" s="173"/>
      <c r="D323" s="173"/>
      <c r="E323" s="187" t="s">
        <v>2675</v>
      </c>
      <c r="F323" s="173" t="str">
        <f t="shared" si="14"/>
        <v>请填写</v>
      </c>
      <c r="G323" s="173" t="e">
        <f>INDEX(服务费底表!$K:$K,MATCH('SOW-ERP导入表'!$E323,服务费底表!$D:$D,0))</f>
        <v>#N/A</v>
      </c>
      <c r="H323" s="183" t="e">
        <f>INDEX(服务费底表!L:L,MATCH('SOW-ERP导入表'!$E323,服务费底表!$D:$D,0))</f>
        <v>#N/A</v>
      </c>
      <c r="I323" s="173" t="e">
        <f>INDEX(服务费底表!$T:$T,MATCH('SOW-ERP导入表'!$E323,服务费底表!$D:$D,0))</f>
        <v>#N/A</v>
      </c>
      <c r="J323" s="184">
        <f>SUMIF(服务费底表!$D:$D,E323,服务费底表!$AC:$AC)+SUMIF(注册申报底表!$D:$D,'SOW-ERP导入表'!E323,注册申报底表!$Z:$Z)</f>
        <v>0</v>
      </c>
      <c r="K323" s="173">
        <f>IFERROR(INDEX(服务费底表!$C:$C,MATCH('SOW-ERP导入表'!$E323,服务费底表!$D:$D,0)),0)+IFERROR(INDEX(注册申报底表!$C:$C,MATCH('SOW-ERP导入表'!$E323,注册申报底表!$D:$D,0)),0)</f>
        <v>0</v>
      </c>
      <c r="L323" s="185">
        <f t="shared" si="13"/>
        <v>0</v>
      </c>
      <c r="M323" s="184">
        <f>SUMIF(服务费底表!$D:$D,E323,服务费底表!$AG:$AG)+SUMIF(注册申报底表!$D:$D,'SOW-ERP导入表'!E323,注册申报底表!$AD:$AD)</f>
        <v>0</v>
      </c>
    </row>
    <row r="324" spans="2:13">
      <c r="B324" s="173"/>
      <c r="D324" s="173"/>
      <c r="E324" s="187" t="s">
        <v>2676</v>
      </c>
      <c r="F324" s="173" t="str">
        <f t="shared" si="14"/>
        <v>请填写</v>
      </c>
      <c r="G324" s="173" t="str">
        <f>INDEX(服务费底表!$K:$K,MATCH('SOW-ERP导入表'!$E324,服务费底表!$D:$D,0))</f>
        <v>A115</v>
      </c>
      <c r="H324" s="183" t="str">
        <f>INDEX(服务费底表!L:L,MATCH('SOW-ERP导入表'!$E324,服务费底表!$D:$D,0))</f>
        <v>Dry Run</v>
      </c>
      <c r="I324" s="173" t="str">
        <f>INDEX(服务费底表!$T:$T,MATCH('SOW-ERP导入表'!$E324,服务费底表!$D:$D,0))</f>
        <v>SA</v>
      </c>
      <c r="J324" s="184">
        <f>SUMIF(服务费底表!$D:$D,E324,服务费底表!$AC:$AC)+SUMIF(注册申报底表!$D:$D,'SOW-ERP导入表'!E324,注册申报底表!$Z:$Z)</f>
        <v>46</v>
      </c>
      <c r="K324" s="173">
        <f>IFERROR(INDEX(服务费底表!$C:$C,MATCH('SOW-ERP导入表'!$E324,服务费底表!$D:$D,0)),0)+IFERROR(INDEX(注册申报底表!$C:$C,MATCH('SOW-ERP导入表'!$E324,注册申报底表!$D:$D,0)),0)</f>
        <v>1</v>
      </c>
      <c r="L324" s="185">
        <f t="shared" si="13"/>
        <v>10350</v>
      </c>
      <c r="M324" s="184">
        <f>SUMIF(服务费底表!$D:$D,E324,服务费底表!$AG:$AG)+SUMIF(注册申报底表!$D:$D,'SOW-ERP导入表'!E324,注册申报底表!$AD:$AD)</f>
        <v>10350</v>
      </c>
    </row>
    <row r="325" spans="2:13">
      <c r="B325" s="173"/>
      <c r="D325" s="173"/>
      <c r="E325" s="187" t="s">
        <v>2677</v>
      </c>
      <c r="F325" s="173" t="str">
        <f t="shared" si="14"/>
        <v>请填写</v>
      </c>
      <c r="G325" s="173" t="str">
        <f>INDEX(服务费底表!$K:$K,MATCH('SOW-ERP导入表'!$E325,服务费底表!$D:$D,0))</f>
        <v>A115</v>
      </c>
      <c r="H325" s="183" t="str">
        <f>INDEX(服务费底表!L:L,MATCH('SOW-ERP导入表'!$E325,服务费底表!$D:$D,0))</f>
        <v>Dry Run</v>
      </c>
      <c r="I325" s="173" t="str">
        <f>INDEX(服务费底表!$T:$T,MATCH('SOW-ERP导入表'!$E325,服务费底表!$D:$D,0))</f>
        <v>SAM</v>
      </c>
      <c r="J325" s="184">
        <f>SUMIF(服务费底表!$D:$D,E325,服务费底表!$AC:$AC)+SUMIF(注册申报底表!$D:$D,'SOW-ERP导入表'!E325,注册申报底表!$Z:$Z)</f>
        <v>4</v>
      </c>
      <c r="K325" s="173">
        <f>IFERROR(INDEX(服务费底表!$C:$C,MATCH('SOW-ERP导入表'!$E325,服务费底表!$D:$D,0)),0)+IFERROR(INDEX(注册申报底表!$C:$C,MATCH('SOW-ERP导入表'!$E325,注册申报底表!$D:$D,0)),0)</f>
        <v>1</v>
      </c>
      <c r="L325" s="185">
        <f t="shared" si="13"/>
        <v>1800</v>
      </c>
      <c r="M325" s="184">
        <f>SUMIF(服务费底表!$D:$D,E325,服务费底表!$AG:$AG)+SUMIF(注册申报底表!$D:$D,'SOW-ERP导入表'!E325,注册申报底表!$AD:$AD)</f>
        <v>1800</v>
      </c>
    </row>
    <row r="326" spans="2:13">
      <c r="B326" s="173"/>
      <c r="D326" s="173"/>
      <c r="E326" s="187" t="s">
        <v>2678</v>
      </c>
      <c r="F326" s="173" t="str">
        <f t="shared" si="14"/>
        <v>请填写</v>
      </c>
      <c r="G326" s="173" t="str">
        <f>INDEX(服务费底表!$K:$K,MATCH('SOW-ERP导入表'!$E326,服务费底表!$D:$D,0))</f>
        <v>A115</v>
      </c>
      <c r="H326" s="183" t="str">
        <f>INDEX(服务费底表!L:L,MATCH('SOW-ERP导入表'!$E326,服务费底表!$D:$D,0))</f>
        <v>Dry Run</v>
      </c>
      <c r="I326" s="173" t="str">
        <f>INDEX(服务费底表!$T:$T,MATCH('SOW-ERP导入表'!$E326,服务费底表!$D:$D,0))</f>
        <v>ST</v>
      </c>
      <c r="J326" s="184">
        <f>SUMIF(服务费底表!$D:$D,E326,服务费底表!$AC:$AC)+SUMIF(注册申报底表!$D:$D,'SOW-ERP导入表'!E326,注册申报底表!$Z:$Z)</f>
        <v>17</v>
      </c>
      <c r="K326" s="173">
        <f>IFERROR(INDEX(服务费底表!$C:$C,MATCH('SOW-ERP导入表'!$E326,服务费底表!$D:$D,0)),0)+IFERROR(INDEX(注册申报底表!$C:$C,MATCH('SOW-ERP导入表'!$E326,注册申报底表!$D:$D,0)),0)</f>
        <v>1</v>
      </c>
      <c r="L326" s="185">
        <f t="shared" si="13"/>
        <v>6800</v>
      </c>
      <c r="M326" s="184">
        <f>SUMIF(服务费底表!$D:$D,E326,服务费底表!$AG:$AG)+SUMIF(注册申报底表!$D:$D,'SOW-ERP导入表'!E326,注册申报底表!$AD:$AD)</f>
        <v>6800</v>
      </c>
    </row>
    <row r="327" spans="2:13">
      <c r="B327" s="173"/>
      <c r="D327" s="173"/>
      <c r="E327" s="187" t="s">
        <v>2679</v>
      </c>
      <c r="F327" s="173" t="str">
        <f t="shared" si="14"/>
        <v>请填写</v>
      </c>
      <c r="G327" s="173" t="str">
        <f>INDEX(服务费底表!$K:$K,MATCH('SOW-ERP导入表'!$E327,服务费底表!$D:$D,0))</f>
        <v>A115</v>
      </c>
      <c r="H327" s="183" t="str">
        <f>INDEX(服务费底表!L:L,MATCH('SOW-ERP导入表'!$E327,服务费底表!$D:$D,0))</f>
        <v>Dry Run</v>
      </c>
      <c r="I327" s="173" t="str">
        <f>INDEX(服务费底表!$T:$T,MATCH('SOW-ERP导入表'!$E327,服务费底表!$D:$D,0))</f>
        <v>CPSS</v>
      </c>
      <c r="J327" s="184">
        <f>SUMIF(服务费底表!$D:$D,E327,服务费底表!$AC:$AC)+SUMIF(注册申报底表!$D:$D,'SOW-ERP导入表'!E327,注册申报底表!$Z:$Z)</f>
        <v>8</v>
      </c>
      <c r="K327" s="173">
        <f>IFERROR(INDEX(服务费底表!$C:$C,MATCH('SOW-ERP导入表'!$E327,服务费底表!$D:$D,0)),0)+IFERROR(INDEX(注册申报底表!$C:$C,MATCH('SOW-ERP导入表'!$E327,注册申报底表!$D:$D,0)),0)</f>
        <v>1</v>
      </c>
      <c r="L327" s="185">
        <f t="shared" ref="L327:L393" si="16">IFERROR(M327/K327,0)</f>
        <v>5600</v>
      </c>
      <c r="M327" s="184">
        <f>SUMIF(服务费底表!$D:$D,E327,服务费底表!$AG:$AG)+SUMIF(注册申报底表!$D:$D,'SOW-ERP导入表'!E327,注册申报底表!$AD:$AD)</f>
        <v>5600</v>
      </c>
    </row>
    <row r="328" spans="2:13">
      <c r="B328" s="173"/>
      <c r="D328" s="173"/>
      <c r="E328" s="187" t="s">
        <v>2680</v>
      </c>
      <c r="F328" s="173" t="str">
        <f t="shared" si="14"/>
        <v>请填写</v>
      </c>
      <c r="G328" s="173" t="str">
        <f>INDEX(服务费底表!$K:$K,MATCH('SOW-ERP导入表'!$E328,服务费底表!$D:$D,0))</f>
        <v>A115</v>
      </c>
      <c r="H328" s="183" t="str">
        <f>INDEX(服务费底表!L:L,MATCH('SOW-ERP导入表'!$E328,服务费底表!$D:$D,0))</f>
        <v>Dry Run</v>
      </c>
      <c r="I328" s="173" t="str">
        <f>INDEX(服务费底表!$T:$T,MATCH('SOW-ERP导入表'!$E328,服务费底表!$D:$D,0))</f>
        <v>MM</v>
      </c>
      <c r="J328" s="184">
        <f>SUMIF(服务费底表!$D:$D,E328,服务费底表!$AC:$AC)+SUMIF(注册申报底表!$D:$D,'SOW-ERP导入表'!E328,注册申报底表!$Z:$Z)</f>
        <v>4</v>
      </c>
      <c r="K328" s="173">
        <f>IFERROR(INDEX(服务费底表!$C:$C,MATCH('SOW-ERP导入表'!$E328,服务费底表!$D:$D,0)),0)+IFERROR(INDEX(注册申报底表!$C:$C,MATCH('SOW-ERP导入表'!$E328,注册申报底表!$D:$D,0)),0)</f>
        <v>1</v>
      </c>
      <c r="L328" s="185">
        <f t="shared" si="16"/>
        <v>2600</v>
      </c>
      <c r="M328" s="184">
        <f>SUMIF(服务费底表!$D:$D,E328,服务费底表!$AG:$AG)+SUMIF(注册申报底表!$D:$D,'SOW-ERP导入表'!E328,注册申报底表!$AD:$AD)</f>
        <v>2600</v>
      </c>
    </row>
    <row r="329" spans="2:13">
      <c r="B329" s="173"/>
      <c r="D329" s="173"/>
      <c r="E329" s="187" t="s">
        <v>2681</v>
      </c>
      <c r="F329" s="173" t="str">
        <f t="shared" si="14"/>
        <v>请填写</v>
      </c>
      <c r="G329" s="173" t="str">
        <f>INDEX(服务费底表!$K:$K,MATCH('SOW-ERP导入表'!$E329,服务费底表!$D:$D,0))</f>
        <v>A116</v>
      </c>
      <c r="H329" s="183" t="str">
        <f>INDEX(服务费底表!L:L,MATCH('SOW-ERP导入表'!$E329,服务费底表!$D:$D,0))</f>
        <v>期中分析</v>
      </c>
      <c r="I329" s="173" t="str">
        <f>INDEX(服务费底表!$T:$T,MATCH('SOW-ERP导入表'!$E329,服务费底表!$D:$D,0))</f>
        <v>DM</v>
      </c>
      <c r="J329" s="184">
        <f>SUMIF(服务费底表!$D:$D,E329,服务费底表!$AC:$AC)+SUMIF(注册申报底表!$D:$D,'SOW-ERP导入表'!E329,注册申报底表!$Z:$Z)</f>
        <v>0</v>
      </c>
      <c r="K329" s="173">
        <f>IFERROR(INDEX(服务费底表!$C:$C,MATCH('SOW-ERP导入表'!$E329,服务费底表!$D:$D,0)),0)+IFERROR(INDEX(注册申报底表!$C:$C,MATCH('SOW-ERP导入表'!$E329,注册申报底表!$D:$D,0)),0)</f>
        <v>0</v>
      </c>
      <c r="L329" s="185">
        <f t="shared" si="16"/>
        <v>0</v>
      </c>
      <c r="M329" s="184">
        <f>SUMIF(服务费底表!$D:$D,E329,服务费底表!$AG:$AG)+SUMIF(注册申报底表!$D:$D,'SOW-ERP导入表'!E329,注册申报底表!$AD:$AD)</f>
        <v>0</v>
      </c>
    </row>
    <row r="330" spans="2:13">
      <c r="B330" s="173"/>
      <c r="D330" s="173"/>
      <c r="E330" s="187" t="s">
        <v>2682</v>
      </c>
      <c r="F330" s="173" t="str">
        <f t="shared" si="14"/>
        <v>请填写</v>
      </c>
      <c r="G330" s="173" t="e">
        <f>INDEX(服务费底表!$K:$K,MATCH('SOW-ERP导入表'!$E330,服务费底表!$D:$D,0))</f>
        <v>#N/A</v>
      </c>
      <c r="H330" s="183" t="e">
        <f>INDEX(服务费底表!L:L,MATCH('SOW-ERP导入表'!$E330,服务费底表!$D:$D,0))</f>
        <v>#N/A</v>
      </c>
      <c r="I330" s="173" t="e">
        <f>INDEX(服务费底表!$T:$T,MATCH('SOW-ERP导入表'!$E330,服务费底表!$D:$D,0))</f>
        <v>#N/A</v>
      </c>
      <c r="J330" s="184">
        <f>SUMIF(服务费底表!$D:$D,E330,服务费底表!$AC:$AC)+SUMIF(注册申报底表!$D:$D,'SOW-ERP导入表'!E330,注册申报底表!$Z:$Z)</f>
        <v>0</v>
      </c>
      <c r="K330" s="173">
        <f>IFERROR(INDEX(服务费底表!$C:$C,MATCH('SOW-ERP导入表'!$E330,服务费底表!$D:$D,0)),0)+IFERROR(INDEX(注册申报底表!$C:$C,MATCH('SOW-ERP导入表'!$E330,注册申报底表!$D:$D,0)),0)</f>
        <v>0</v>
      </c>
      <c r="L330" s="185">
        <f t="shared" si="16"/>
        <v>0</v>
      </c>
      <c r="M330" s="184">
        <f>SUMIF(服务费底表!$D:$D,E330,服务费底表!$AG:$AG)+SUMIF(注册申报底表!$D:$D,'SOW-ERP导入表'!E330,注册申报底表!$AD:$AD)</f>
        <v>0</v>
      </c>
    </row>
    <row r="331" spans="2:13">
      <c r="B331" s="173"/>
      <c r="D331" s="173"/>
      <c r="E331" s="187" t="s">
        <v>2683</v>
      </c>
      <c r="F331" s="173" t="str">
        <f t="shared" si="14"/>
        <v>请填写</v>
      </c>
      <c r="G331" s="173" t="str">
        <f>INDEX(服务费底表!$K:$K,MATCH('SOW-ERP导入表'!$E331,服务费底表!$D:$D,0))</f>
        <v>A116</v>
      </c>
      <c r="H331" s="183" t="str">
        <f>INDEX(服务费底表!L:L,MATCH('SOW-ERP导入表'!$E331,服务费底表!$D:$D,0))</f>
        <v>期中分析</v>
      </c>
      <c r="I331" s="173" t="str">
        <f>INDEX(服务费底表!$T:$T,MATCH('SOW-ERP导入表'!$E331,服务费底表!$D:$D,0))</f>
        <v>ST</v>
      </c>
      <c r="J331" s="184">
        <f>SUMIF(服务费底表!$D:$D,E331,服务费底表!$AC:$AC)+SUMIF(注册申报底表!$D:$D,'SOW-ERP导入表'!E331,注册申报底表!$Z:$Z)</f>
        <v>0</v>
      </c>
      <c r="K331" s="173">
        <f>IFERROR(INDEX(服务费底表!$C:$C,MATCH('SOW-ERP导入表'!$E331,服务费底表!$D:$D,0)),0)+IFERROR(INDEX(注册申报底表!$C:$C,MATCH('SOW-ERP导入表'!$E331,注册申报底表!$D:$D,0)),0)</f>
        <v>0</v>
      </c>
      <c r="L331" s="185">
        <f t="shared" si="16"/>
        <v>0</v>
      </c>
      <c r="M331" s="184">
        <f>SUMIF(服务费底表!$D:$D,E331,服务费底表!$AG:$AG)+SUMIF(注册申报底表!$D:$D,'SOW-ERP导入表'!E331,注册申报底表!$AD:$AD)</f>
        <v>0</v>
      </c>
    </row>
    <row r="332" spans="2:13">
      <c r="B332" s="173"/>
      <c r="D332" s="173"/>
      <c r="E332" s="187" t="s">
        <v>2684</v>
      </c>
      <c r="F332" s="173" t="str">
        <f t="shared" ref="F332:F398" si="17">$F$2</f>
        <v>请填写</v>
      </c>
      <c r="G332" s="173" t="str">
        <f>INDEX(服务费底表!$K:$K,MATCH('SOW-ERP导入表'!$E332,服务费底表!$D:$D,0))</f>
        <v>A116</v>
      </c>
      <c r="H332" s="183" t="str">
        <f>INDEX(服务费底表!L:L,MATCH('SOW-ERP导入表'!$E332,服务费底表!$D:$D,0))</f>
        <v>期中分析</v>
      </c>
      <c r="I332" s="173" t="str">
        <f>INDEX(服务费底表!$T:$T,MATCH('SOW-ERP导入表'!$E332,服务费底表!$D:$D,0))</f>
        <v>SA</v>
      </c>
      <c r="J332" s="184">
        <f>SUMIF(服务费底表!$D:$D,E332,服务费底表!$AC:$AC)+SUMIF(注册申报底表!$D:$D,'SOW-ERP导入表'!E332,注册申报底表!$Z:$Z)</f>
        <v>0</v>
      </c>
      <c r="K332" s="173">
        <f>IFERROR(INDEX(服务费底表!$C:$C,MATCH('SOW-ERP导入表'!$E332,服务费底表!$D:$D,0)),0)+IFERROR(INDEX(注册申报底表!$C:$C,MATCH('SOW-ERP导入表'!$E332,注册申报底表!$D:$D,0)),0)</f>
        <v>0</v>
      </c>
      <c r="L332" s="185">
        <f t="shared" si="16"/>
        <v>0</v>
      </c>
      <c r="M332" s="184">
        <f>SUMIF(服务费底表!$D:$D,E332,服务费底表!$AG:$AG)+SUMIF(注册申报底表!$D:$D,'SOW-ERP导入表'!E332,注册申报底表!$AD:$AD)</f>
        <v>0</v>
      </c>
    </row>
    <row r="333" spans="2:13">
      <c r="B333" s="173"/>
      <c r="D333" s="173"/>
      <c r="E333" s="187" t="s">
        <v>2685</v>
      </c>
      <c r="F333" s="173" t="str">
        <f t="shared" si="17"/>
        <v>请填写</v>
      </c>
      <c r="G333" s="173" t="str">
        <f>INDEX(服务费底表!$K:$K,MATCH('SOW-ERP导入表'!$E333,服务费底表!$D:$D,0))</f>
        <v>A116</v>
      </c>
      <c r="H333" s="183" t="str">
        <f>INDEX(服务费底表!L:L,MATCH('SOW-ERP导入表'!$E333,服务费底表!$D:$D,0))</f>
        <v>期中分析</v>
      </c>
      <c r="I333" s="173" t="str">
        <f>INDEX(服务费底表!$T:$T,MATCH('SOW-ERP导入表'!$E333,服务费底表!$D:$D,0))</f>
        <v>SAM</v>
      </c>
      <c r="J333" s="184">
        <f>SUMIF(服务费底表!$D:$D,E333,服务费底表!$AC:$AC)+SUMIF(注册申报底表!$D:$D,'SOW-ERP导入表'!E333,注册申报底表!$Z:$Z)</f>
        <v>0</v>
      </c>
      <c r="K333" s="173">
        <f>IFERROR(INDEX(服务费底表!$C:$C,MATCH('SOW-ERP导入表'!$E333,服务费底表!$D:$D,0)),0)+IFERROR(INDEX(注册申报底表!$C:$C,MATCH('SOW-ERP导入表'!$E333,注册申报底表!$D:$D,0)),0)</f>
        <v>0</v>
      </c>
      <c r="L333" s="185">
        <f t="shared" si="16"/>
        <v>0</v>
      </c>
      <c r="M333" s="184">
        <f>SUMIF(服务费底表!$D:$D,E333,服务费底表!$AG:$AG)+SUMIF(注册申报底表!$D:$D,'SOW-ERP导入表'!E333,注册申报底表!$AD:$AD)</f>
        <v>0</v>
      </c>
    </row>
    <row r="334" spans="2:13">
      <c r="B334" s="173"/>
      <c r="D334" s="173"/>
      <c r="E334" s="187" t="s">
        <v>2686</v>
      </c>
      <c r="F334" s="173" t="str">
        <f t="shared" si="17"/>
        <v>请填写</v>
      </c>
      <c r="G334" s="173" t="str">
        <f>INDEX(服务费底表!$K:$K,MATCH('SOW-ERP导入表'!$E334,服务费底表!$D:$D,0))</f>
        <v>A116</v>
      </c>
      <c r="H334" s="183" t="str">
        <f>INDEX(服务费底表!L:L,MATCH('SOW-ERP导入表'!$E334,服务费底表!$D:$D,0))</f>
        <v>期中分析</v>
      </c>
      <c r="I334" s="173" t="str">
        <f>INDEX(服务费底表!$T:$T,MATCH('SOW-ERP导入表'!$E334,服务费底表!$D:$D,0))</f>
        <v>CPSS</v>
      </c>
      <c r="J334" s="184">
        <f>SUMIF(服务费底表!$D:$D,E334,服务费底表!$AC:$AC)+SUMIF(注册申报底表!$D:$D,'SOW-ERP导入表'!E334,注册申报底表!$Z:$Z)</f>
        <v>0</v>
      </c>
      <c r="K334" s="173">
        <f>IFERROR(INDEX(服务费底表!$C:$C,MATCH('SOW-ERP导入表'!$E334,服务费底表!$D:$D,0)),0)+IFERROR(INDEX(注册申报底表!$C:$C,MATCH('SOW-ERP导入表'!$E334,注册申报底表!$D:$D,0)),0)</f>
        <v>0</v>
      </c>
      <c r="L334" s="185">
        <f t="shared" si="16"/>
        <v>0</v>
      </c>
      <c r="M334" s="184">
        <f>SUMIF(服务费底表!$D:$D,E334,服务费底表!$AG:$AG)+SUMIF(注册申报底表!$D:$D,'SOW-ERP导入表'!E334,注册申报底表!$AD:$AD)</f>
        <v>0</v>
      </c>
    </row>
    <row r="335" spans="2:13">
      <c r="B335" s="173"/>
      <c r="D335" s="173"/>
      <c r="E335" s="187" t="s">
        <v>2687</v>
      </c>
      <c r="F335" s="173" t="str">
        <f t="shared" si="17"/>
        <v>请填写</v>
      </c>
      <c r="G335" s="173" t="str">
        <f>INDEX(服务费底表!$K:$K,MATCH('SOW-ERP导入表'!$E335,服务费底表!$D:$D,0))</f>
        <v>A117</v>
      </c>
      <c r="H335" s="183" t="str">
        <f>INDEX(服务费底表!L:L,MATCH('SOW-ERP导入表'!$E335,服务费底表!$D:$D,0))</f>
        <v>最终分析</v>
      </c>
      <c r="I335" s="173" t="str">
        <f>INDEX(服务费底表!$T:$T,MATCH('SOW-ERP导入表'!$E335,服务费底表!$D:$D,0))</f>
        <v>SA</v>
      </c>
      <c r="J335" s="184">
        <f>SUMIF(服务费底表!$D:$D,E335,服务费底表!$AC:$AC)+SUMIF(注册申报底表!$D:$D,'SOW-ERP导入表'!E335,注册申报底表!$Z:$Z)</f>
        <v>36</v>
      </c>
      <c r="K335" s="173">
        <f>IFERROR(INDEX(服务费底表!$C:$C,MATCH('SOW-ERP导入表'!$E335,服务费底表!$D:$D,0)),0)+IFERROR(INDEX(注册申报底表!$C:$C,MATCH('SOW-ERP导入表'!$E335,注册申报底表!$D:$D,0)),0)</f>
        <v>1</v>
      </c>
      <c r="L335" s="185">
        <f t="shared" si="16"/>
        <v>8100</v>
      </c>
      <c r="M335" s="184">
        <f>SUMIF(服务费底表!$D:$D,E335,服务费底表!$AG:$AG)+SUMIF(注册申报底表!$D:$D,'SOW-ERP导入表'!E335,注册申报底表!$AD:$AD)</f>
        <v>8100</v>
      </c>
    </row>
    <row r="336" spans="2:13">
      <c r="B336" s="173"/>
      <c r="D336" s="173"/>
      <c r="E336" s="187" t="s">
        <v>2688</v>
      </c>
      <c r="F336" s="173" t="str">
        <f t="shared" si="17"/>
        <v>请填写</v>
      </c>
      <c r="G336" s="173" t="str">
        <f>INDEX(服务费底表!$K:$K,MATCH('SOW-ERP导入表'!$E336,服务费底表!$D:$D,0))</f>
        <v>A117</v>
      </c>
      <c r="H336" s="183" t="str">
        <f>INDEX(服务费底表!L:L,MATCH('SOW-ERP导入表'!$E336,服务费底表!$D:$D,0))</f>
        <v>最终分析</v>
      </c>
      <c r="I336" s="173" t="str">
        <f>INDEX(服务费底表!$T:$T,MATCH('SOW-ERP导入表'!$E336,服务费底表!$D:$D,0))</f>
        <v>SAM</v>
      </c>
      <c r="J336" s="184">
        <f>SUMIF(服务费底表!$D:$D,E336,服务费底表!$AC:$AC)+SUMIF(注册申报底表!$D:$D,'SOW-ERP导入表'!E336,注册申报底表!$Z:$Z)</f>
        <v>4</v>
      </c>
      <c r="K336" s="173">
        <f>IFERROR(INDEX(服务费底表!$C:$C,MATCH('SOW-ERP导入表'!$E336,服务费底表!$D:$D,0)),0)+IFERROR(INDEX(注册申报底表!$C:$C,MATCH('SOW-ERP导入表'!$E336,注册申报底表!$D:$D,0)),0)</f>
        <v>1</v>
      </c>
      <c r="L336" s="185">
        <f t="shared" si="16"/>
        <v>1800</v>
      </c>
      <c r="M336" s="184">
        <f>SUMIF(服务费底表!$D:$D,E336,服务费底表!$AG:$AG)+SUMIF(注册申报底表!$D:$D,'SOW-ERP导入表'!E336,注册申报底表!$AD:$AD)</f>
        <v>1800</v>
      </c>
    </row>
    <row r="337" spans="2:13">
      <c r="B337" s="173"/>
      <c r="D337" s="173"/>
      <c r="E337" s="187" t="s">
        <v>2689</v>
      </c>
      <c r="F337" s="173" t="str">
        <f t="shared" si="17"/>
        <v>请填写</v>
      </c>
      <c r="G337" s="173" t="str">
        <f>INDEX(服务费底表!$K:$K,MATCH('SOW-ERP导入表'!$E337,服务费底表!$D:$D,0))</f>
        <v>A117</v>
      </c>
      <c r="H337" s="183" t="str">
        <f>INDEX(服务费底表!L:L,MATCH('SOW-ERP导入表'!$E337,服务费底表!$D:$D,0))</f>
        <v>最终分析</v>
      </c>
      <c r="I337" s="173" t="str">
        <f>INDEX(服务费底表!$T:$T,MATCH('SOW-ERP导入表'!$E337,服务费底表!$D:$D,0))</f>
        <v>ST</v>
      </c>
      <c r="J337" s="184">
        <f>SUMIF(服务费底表!$D:$D,E337,服务费底表!$AC:$AC)+SUMIF(注册申报底表!$D:$D,'SOW-ERP导入表'!E337,注册申报底表!$Z:$Z)</f>
        <v>13</v>
      </c>
      <c r="K337" s="173">
        <f>IFERROR(INDEX(服务费底表!$C:$C,MATCH('SOW-ERP导入表'!$E337,服务费底表!$D:$D,0)),0)+IFERROR(INDEX(注册申报底表!$C:$C,MATCH('SOW-ERP导入表'!$E337,注册申报底表!$D:$D,0)),0)</f>
        <v>1</v>
      </c>
      <c r="L337" s="185">
        <f t="shared" si="16"/>
        <v>5200</v>
      </c>
      <c r="M337" s="184">
        <f>SUMIF(服务费底表!$D:$D,E337,服务费底表!$AG:$AG)+SUMIF(注册申报底表!$D:$D,'SOW-ERP导入表'!E337,注册申报底表!$AD:$AD)</f>
        <v>5200</v>
      </c>
    </row>
    <row r="338" spans="2:13">
      <c r="B338" s="173"/>
      <c r="D338" s="173"/>
      <c r="E338" s="187" t="s">
        <v>2690</v>
      </c>
      <c r="F338" s="173" t="str">
        <f t="shared" si="17"/>
        <v>请填写</v>
      </c>
      <c r="G338" s="173" t="str">
        <f>INDEX(服务费底表!$K:$K,MATCH('SOW-ERP导入表'!$E338,服务费底表!$D:$D,0))</f>
        <v>A117</v>
      </c>
      <c r="H338" s="183" t="str">
        <f>INDEX(服务费底表!L:L,MATCH('SOW-ERP导入表'!$E338,服务费底表!$D:$D,0))</f>
        <v>最终分析</v>
      </c>
      <c r="I338" s="173" t="str">
        <f>INDEX(服务费底表!$T:$T,MATCH('SOW-ERP导入表'!$E338,服务费底表!$D:$D,0))</f>
        <v>CPSS</v>
      </c>
      <c r="J338" s="184">
        <f>SUMIF(服务费底表!$D:$D,E338,服务费底表!$AC:$AC)+SUMIF(注册申报底表!$D:$D,'SOW-ERP导入表'!E338,注册申报底表!$Z:$Z)</f>
        <v>8</v>
      </c>
      <c r="K338" s="173">
        <f>IFERROR(INDEX(服务费底表!$C:$C,MATCH('SOW-ERP导入表'!$E338,服务费底表!$D:$D,0)),0)+IFERROR(INDEX(注册申报底表!$C:$C,MATCH('SOW-ERP导入表'!$E338,注册申报底表!$D:$D,0)),0)</f>
        <v>1</v>
      </c>
      <c r="L338" s="185">
        <f t="shared" si="16"/>
        <v>5600</v>
      </c>
      <c r="M338" s="184">
        <f>SUMIF(服务费底表!$D:$D,E338,服务费底表!$AG:$AG)+SUMIF(注册申报底表!$D:$D,'SOW-ERP导入表'!E338,注册申报底表!$AD:$AD)</f>
        <v>5600</v>
      </c>
    </row>
    <row r="339" spans="2:13">
      <c r="B339" s="173"/>
      <c r="D339" s="173"/>
      <c r="E339" s="187" t="s">
        <v>2691</v>
      </c>
      <c r="F339" s="173" t="str">
        <f t="shared" si="17"/>
        <v>请填写</v>
      </c>
      <c r="G339" s="173" t="str">
        <f>INDEX(服务费底表!$K:$K,MATCH('SOW-ERP导入表'!$E339,服务费底表!$D:$D,0))</f>
        <v>A118</v>
      </c>
      <c r="H339" s="183" t="str">
        <f>INDEX(服务费底表!L:L,MATCH('SOW-ERP导入表'!$E339,服务费底表!$D:$D,0))</f>
        <v>完成电子数据递交资料</v>
      </c>
      <c r="I339" s="173" t="str">
        <f>INDEX(服务费底表!$T:$T,MATCH('SOW-ERP导入表'!$E339,服务费底表!$D:$D,0))</f>
        <v>SA</v>
      </c>
      <c r="J339" s="184">
        <f>SUMIF(服务费底表!$D:$D,E339,服务费底表!$AC:$AC)+SUMIF(注册申报底表!$D:$D,'SOW-ERP导入表'!E339,注册申报底表!$Z:$Z)</f>
        <v>0</v>
      </c>
      <c r="K339" s="173">
        <f>IFERROR(INDEX(服务费底表!$C:$C,MATCH('SOW-ERP导入表'!$E339,服务费底表!$D:$D,0)),0)+IFERROR(INDEX(注册申报底表!$C:$C,MATCH('SOW-ERP导入表'!$E339,注册申报底表!$D:$D,0)),0)</f>
        <v>0</v>
      </c>
      <c r="L339" s="185">
        <f t="shared" si="16"/>
        <v>0</v>
      </c>
      <c r="M339" s="184">
        <f>SUMIF(服务费底表!$D:$D,E339,服务费底表!$AG:$AG)+SUMIF(注册申报底表!$D:$D,'SOW-ERP导入表'!E339,注册申报底表!$AD:$AD)</f>
        <v>0</v>
      </c>
    </row>
    <row r="340" spans="2:13">
      <c r="B340" s="173"/>
      <c r="D340" s="173"/>
      <c r="E340" s="187" t="s">
        <v>2692</v>
      </c>
      <c r="F340" s="173" t="str">
        <f t="shared" si="17"/>
        <v>请填写</v>
      </c>
      <c r="G340" s="173" t="str">
        <f>INDEX(服务费底表!$K:$K,MATCH('SOW-ERP导入表'!$E340,服务费底表!$D:$D,0))</f>
        <v>A118</v>
      </c>
      <c r="H340" s="183" t="str">
        <f>INDEX(服务费底表!L:L,MATCH('SOW-ERP导入表'!$E340,服务费底表!$D:$D,0))</f>
        <v>完成电子数据递交资料</v>
      </c>
      <c r="I340" s="173" t="str">
        <f>INDEX(服务费底表!$T:$T,MATCH('SOW-ERP导入表'!$E340,服务费底表!$D:$D,0))</f>
        <v>ST</v>
      </c>
      <c r="J340" s="184">
        <f>SUMIF(服务费底表!$D:$D,E340,服务费底表!$AC:$AC)+SUMIF(注册申报底表!$D:$D,'SOW-ERP导入表'!E340,注册申报底表!$Z:$Z)</f>
        <v>0</v>
      </c>
      <c r="K340" s="173">
        <f>IFERROR(INDEX(服务费底表!$C:$C,MATCH('SOW-ERP导入表'!$E340,服务费底表!$D:$D,0)),0)+IFERROR(INDEX(注册申报底表!$C:$C,MATCH('SOW-ERP导入表'!$E340,注册申报底表!$D:$D,0)),0)</f>
        <v>0</v>
      </c>
      <c r="L340" s="185">
        <f t="shared" si="16"/>
        <v>0</v>
      </c>
      <c r="M340" s="184">
        <f>SUMIF(服务费底表!$D:$D,E340,服务费底表!$AG:$AG)+SUMIF(注册申报底表!$D:$D,'SOW-ERP导入表'!E340,注册申报底表!$AD:$AD)</f>
        <v>0</v>
      </c>
    </row>
    <row r="341" spans="2:13">
      <c r="B341" s="173"/>
      <c r="D341" s="173"/>
      <c r="E341" s="187" t="s">
        <v>2693</v>
      </c>
      <c r="F341" s="173" t="str">
        <f t="shared" si="17"/>
        <v>请填写</v>
      </c>
      <c r="G341" s="173" t="e">
        <f>INDEX(服务费底表!$K:$K,MATCH('SOW-ERP导入表'!$E341,服务费底表!$D:$D,0))</f>
        <v>#N/A</v>
      </c>
      <c r="H341" s="183" t="e">
        <f>INDEX(服务费底表!L:L,MATCH('SOW-ERP导入表'!$E341,服务费底表!$D:$D,0))</f>
        <v>#N/A</v>
      </c>
      <c r="I341" s="173" t="e">
        <f>INDEX(服务费底表!$T:$T,MATCH('SOW-ERP导入表'!$E341,服务费底表!$D:$D,0))</f>
        <v>#N/A</v>
      </c>
      <c r="J341" s="184">
        <f>SUMIF(服务费底表!$D:$D,E341,服务费底表!$AC:$AC)+SUMIF(注册申报底表!$D:$D,'SOW-ERP导入表'!E341,注册申报底表!$Z:$Z)</f>
        <v>0</v>
      </c>
      <c r="K341" s="173">
        <f>IFERROR(INDEX(服务费底表!$C:$C,MATCH('SOW-ERP导入表'!$E341,服务费底表!$D:$D,0)),0)+IFERROR(INDEX(注册申报底表!$C:$C,MATCH('SOW-ERP导入表'!$E341,注册申报底表!$D:$D,0)),0)</f>
        <v>0</v>
      </c>
      <c r="L341" s="185">
        <f t="shared" si="16"/>
        <v>0</v>
      </c>
      <c r="M341" s="184">
        <f>SUMIF(服务费底表!$D:$D,E341,服务费底表!$AG:$AG)+SUMIF(注册申报底表!$D:$D,'SOW-ERP导入表'!E341,注册申报底表!$AD:$AD)</f>
        <v>0</v>
      </c>
    </row>
    <row r="342" spans="2:13">
      <c r="B342" s="173"/>
      <c r="D342" s="173"/>
      <c r="E342" s="187" t="s">
        <v>2694</v>
      </c>
      <c r="F342" s="173" t="str">
        <f t="shared" si="17"/>
        <v>请填写</v>
      </c>
      <c r="G342" s="173" t="str">
        <f>INDEX(服务费底表!$K:$K,MATCH('SOW-ERP导入表'!$E342,服务费底表!$D:$D,0))</f>
        <v>A119</v>
      </c>
      <c r="H342" s="183" t="str">
        <f>INDEX(服务费底表!L:L,MATCH('SOW-ERP导入表'!$E342,服务费底表!$D:$D,0))</f>
        <v>撰写统计分析报告(SAR)</v>
      </c>
      <c r="I342" s="173" t="str">
        <f>INDEX(服务费底表!$T:$T,MATCH('SOW-ERP导入表'!$E342,服务费底表!$D:$D,0))</f>
        <v>ST</v>
      </c>
      <c r="J342" s="184">
        <f>SUMIF(服务费底表!$D:$D,E342,服务费底表!$AC:$AC)+SUMIF(注册申报底表!$D:$D,'SOW-ERP导入表'!E342,注册申报底表!$Z:$Z)</f>
        <v>0</v>
      </c>
      <c r="K342" s="173">
        <f>IFERROR(INDEX(服务费底表!$C:$C,MATCH('SOW-ERP导入表'!$E342,服务费底表!$D:$D,0)),0)+IFERROR(INDEX(注册申报底表!$C:$C,MATCH('SOW-ERP导入表'!$E342,注册申报底表!$D:$D,0)),0)</f>
        <v>0</v>
      </c>
      <c r="L342" s="185">
        <f t="shared" si="16"/>
        <v>0</v>
      </c>
      <c r="M342" s="184">
        <f>SUMIF(服务费底表!$D:$D,E342,服务费底表!$AG:$AG)+SUMIF(注册申报底表!$D:$D,'SOW-ERP导入表'!E342,注册申报底表!$AD:$AD)</f>
        <v>0</v>
      </c>
    </row>
    <row r="343" spans="2:13">
      <c r="B343" s="173"/>
      <c r="D343" s="173"/>
      <c r="E343" s="187" t="s">
        <v>2695</v>
      </c>
      <c r="F343" s="173" t="str">
        <f t="shared" si="17"/>
        <v>请填写</v>
      </c>
      <c r="G343" s="173" t="e">
        <f>INDEX(服务费底表!$K:$K,MATCH('SOW-ERP导入表'!$E343,服务费底表!$D:$D,0))</f>
        <v>#N/A</v>
      </c>
      <c r="H343" s="183" t="e">
        <f>INDEX(服务费底表!L:L,MATCH('SOW-ERP导入表'!$E343,服务费底表!$D:$D,0))</f>
        <v>#N/A</v>
      </c>
      <c r="I343" s="173" t="e">
        <f>INDEX(服务费底表!$T:$T,MATCH('SOW-ERP导入表'!$E343,服务费底表!$D:$D,0))</f>
        <v>#N/A</v>
      </c>
      <c r="J343" s="184">
        <f>SUMIF(服务费底表!$D:$D,E343,服务费底表!$AC:$AC)+SUMIF(注册申报底表!$D:$D,'SOW-ERP导入表'!E343,注册申报底表!$Z:$Z)</f>
        <v>0</v>
      </c>
      <c r="K343" s="173">
        <f>IFERROR(INDEX(服务费底表!$C:$C,MATCH('SOW-ERP导入表'!$E343,服务费底表!$D:$D,0)),0)+IFERROR(INDEX(注册申报底表!$C:$C,MATCH('SOW-ERP导入表'!$E343,注册申报底表!$D:$D,0)),0)</f>
        <v>0</v>
      </c>
      <c r="L343" s="185">
        <f t="shared" ref="L343:L345" si="18">IFERROR(M343/K343,0)</f>
        <v>0</v>
      </c>
      <c r="M343" s="184">
        <f>SUMIF(服务费底表!$D:$D,E343,服务费底表!$AG:$AG)+SUMIF(注册申报底表!$D:$D,'SOW-ERP导入表'!E343,注册申报底表!$AD:$AD)</f>
        <v>0</v>
      </c>
    </row>
    <row r="344" spans="2:13">
      <c r="B344" s="173"/>
      <c r="D344" s="173"/>
      <c r="E344" s="187" t="s">
        <v>2696</v>
      </c>
      <c r="F344" s="173" t="str">
        <f t="shared" si="17"/>
        <v>请填写</v>
      </c>
      <c r="G344" s="173" t="str">
        <f>INDEX(服务费底表!$K:$K,MATCH('SOW-ERP导入表'!$E344,服务费底表!$D:$D,0))</f>
        <v>A119</v>
      </c>
      <c r="H344" s="183" t="str">
        <f>INDEX(服务费底表!L:L,MATCH('SOW-ERP导入表'!$E344,服务费底表!$D:$D,0))</f>
        <v>撰写统计分析报告(SAR)</v>
      </c>
      <c r="I344" s="173" t="str">
        <f>INDEX(服务费底表!$T:$T,MATCH('SOW-ERP导入表'!$E344,服务费底表!$D:$D,0))</f>
        <v>STM</v>
      </c>
      <c r="J344" s="184">
        <f>SUMIF(服务费底表!$D:$D,E344,服务费底表!$AC:$AC)+SUMIF(注册申报底表!$D:$D,'SOW-ERP导入表'!E344,注册申报底表!$Z:$Z)</f>
        <v>0</v>
      </c>
      <c r="K344" s="173">
        <f>IFERROR(INDEX(服务费底表!$C:$C,MATCH('SOW-ERP导入表'!$E344,服务费底表!$D:$D,0)),0)+IFERROR(INDEX(注册申报底表!$C:$C,MATCH('SOW-ERP导入表'!$E344,注册申报底表!$D:$D,0)),0)</f>
        <v>0</v>
      </c>
      <c r="L344" s="185">
        <f t="shared" si="18"/>
        <v>0</v>
      </c>
      <c r="M344" s="184">
        <f>SUMIF(服务费底表!$D:$D,E344,服务费底表!$AG:$AG)+SUMIF(注册申报底表!$D:$D,'SOW-ERP导入表'!E344,注册申报底表!$AD:$AD)</f>
        <v>0</v>
      </c>
    </row>
    <row r="345" spans="2:13">
      <c r="B345" s="173"/>
      <c r="D345" s="173"/>
      <c r="E345" s="187" t="s">
        <v>2697</v>
      </c>
      <c r="F345" s="173" t="str">
        <f t="shared" si="17"/>
        <v>请填写</v>
      </c>
      <c r="G345" s="173" t="e">
        <f>INDEX(服务费底表!$K:$K,MATCH('SOW-ERP导入表'!$E345,服务费底表!$D:$D,0))</f>
        <v>#N/A</v>
      </c>
      <c r="H345" s="183" t="e">
        <f>INDEX(服务费底表!L:L,MATCH('SOW-ERP导入表'!$E345,服务费底表!$D:$D,0))</f>
        <v>#N/A</v>
      </c>
      <c r="I345" s="173" t="e">
        <f>INDEX(服务费底表!$T:$T,MATCH('SOW-ERP导入表'!$E345,服务费底表!$D:$D,0))</f>
        <v>#N/A</v>
      </c>
      <c r="J345" s="184">
        <f>SUMIF(服务费底表!$D:$D,E345,服务费底表!$AC:$AC)+SUMIF(注册申报底表!$D:$D,'SOW-ERP导入表'!E345,注册申报底表!$Z:$Z)</f>
        <v>0</v>
      </c>
      <c r="K345" s="173">
        <f>IFERROR(INDEX(服务费底表!$C:$C,MATCH('SOW-ERP导入表'!$E345,服务费底表!$D:$D,0)),0)+IFERROR(INDEX(注册申报底表!$C:$C,MATCH('SOW-ERP导入表'!$E345,注册申报底表!$D:$D,0)),0)</f>
        <v>0</v>
      </c>
      <c r="L345" s="185">
        <f t="shared" si="18"/>
        <v>0</v>
      </c>
      <c r="M345" s="184">
        <f>SUMIF(服务费底表!$D:$D,E345,服务费底表!$AG:$AG)+SUMIF(注册申报底表!$D:$D,'SOW-ERP导入表'!E345,注册申报底表!$AD:$AD)</f>
        <v>0</v>
      </c>
    </row>
    <row r="346" spans="2:13">
      <c r="B346" s="173"/>
      <c r="D346" s="173"/>
      <c r="E346" s="187" t="s">
        <v>2698</v>
      </c>
      <c r="F346" s="173" t="str">
        <f t="shared" si="17"/>
        <v>请填写</v>
      </c>
      <c r="G346" s="173" t="str">
        <f>INDEX(服务费底表!$K:$K,MATCH('SOW-ERP导入表'!$E346,服务费底表!$D:$D,0))</f>
        <v>A120</v>
      </c>
      <c r="H346" s="183" t="str">
        <f>INDEX(服务费底表!L:L,MATCH('SOW-ERP导入表'!$E346,服务费底表!$D:$D,0))</f>
        <v>生物统计及分析项目管理</v>
      </c>
      <c r="I346" s="173" t="str">
        <f>INDEX(服务费底表!$T:$T,MATCH('SOW-ERP导入表'!$E346,服务费底表!$D:$D,0))</f>
        <v>ST</v>
      </c>
      <c r="J346" s="184">
        <f>SUMIF(服务费底表!$D:$D,E346,服务费底表!$AC:$AC)+SUMIF(注册申报底表!$D:$D,'SOW-ERP导入表'!E346,注册申报底表!$Z:$Z)</f>
        <v>22.5</v>
      </c>
      <c r="K346" s="173">
        <f>IFERROR(INDEX(服务费底表!$C:$C,MATCH('SOW-ERP导入表'!$E346,服务费底表!$D:$D,0)),0)+IFERROR(INDEX(注册申报底表!$C:$C,MATCH('SOW-ERP导入表'!$E346,注册申报底表!$D:$D,0)),0)</f>
        <v>15</v>
      </c>
      <c r="L346" s="185">
        <f t="shared" si="16"/>
        <v>600</v>
      </c>
      <c r="M346" s="184">
        <f>SUMIF(服务费底表!$D:$D,E346,服务费底表!$AG:$AG)+SUMIF(注册申报底表!$D:$D,'SOW-ERP导入表'!E346,注册申报底表!$AD:$AD)</f>
        <v>9000</v>
      </c>
    </row>
    <row r="347" spans="2:13">
      <c r="B347" s="173"/>
      <c r="D347" s="173"/>
      <c r="E347" s="187" t="s">
        <v>2699</v>
      </c>
      <c r="F347" s="173" t="str">
        <f t="shared" si="17"/>
        <v>请填写</v>
      </c>
      <c r="G347" s="173" t="e">
        <f>INDEX(服务费底表!$K:$K,MATCH('SOW-ERP导入表'!$E347,服务费底表!$D:$D,0))</f>
        <v>#N/A</v>
      </c>
      <c r="H347" s="183" t="e">
        <f>INDEX(服务费底表!L:L,MATCH('SOW-ERP导入表'!$E347,服务费底表!$D:$D,0))</f>
        <v>#N/A</v>
      </c>
      <c r="I347" s="173" t="e">
        <f>INDEX(服务费底表!$T:$T,MATCH('SOW-ERP导入表'!$E347,服务费底表!$D:$D,0))</f>
        <v>#N/A</v>
      </c>
      <c r="J347" s="184">
        <f>SUMIF(服务费底表!$D:$D,E347,服务费底表!$AC:$AC)+SUMIF(注册申报底表!$D:$D,'SOW-ERP导入表'!E347,注册申报底表!$Z:$Z)</f>
        <v>0</v>
      </c>
      <c r="K347" s="173">
        <f>IFERROR(INDEX(服务费底表!$C:$C,MATCH('SOW-ERP导入表'!$E347,服务费底表!$D:$D,0)),0)+IFERROR(INDEX(注册申报底表!$C:$C,MATCH('SOW-ERP导入表'!$E347,注册申报底表!$D:$D,0)),0)</f>
        <v>0</v>
      </c>
      <c r="L347" s="185">
        <f t="shared" si="16"/>
        <v>0</v>
      </c>
      <c r="M347" s="184">
        <f>SUMIF(服务费底表!$D:$D,E347,服务费底表!$AG:$AG)+SUMIF(注册申报底表!$D:$D,'SOW-ERP导入表'!E347,注册申报底表!$AD:$AD)</f>
        <v>0</v>
      </c>
    </row>
    <row r="348" spans="2:13">
      <c r="B348" s="173"/>
      <c r="D348" s="173"/>
      <c r="E348" s="187" t="s">
        <v>2700</v>
      </c>
      <c r="F348" s="173" t="str">
        <f t="shared" si="17"/>
        <v>请填写</v>
      </c>
      <c r="G348" s="173" t="e">
        <f>INDEX(服务费底表!$K:$K,MATCH('SOW-ERP导入表'!$E348,服务费底表!$D:$D,0))</f>
        <v>#N/A</v>
      </c>
      <c r="H348" s="183" t="e">
        <f>INDEX(服务费底表!L:L,MATCH('SOW-ERP导入表'!$E348,服务费底表!$D:$D,0))</f>
        <v>#N/A</v>
      </c>
      <c r="I348" s="173" t="e">
        <f>INDEX(服务费底表!$T:$T,MATCH('SOW-ERP导入表'!$E348,服务费底表!$D:$D,0))</f>
        <v>#N/A</v>
      </c>
      <c r="J348" s="184">
        <f>SUMIF(服务费底表!$D:$D,E348,服务费底表!$AC:$AC)+SUMIF(注册申报底表!$D:$D,'SOW-ERP导入表'!E348,注册申报底表!$Z:$Z)</f>
        <v>0</v>
      </c>
      <c r="K348" s="173">
        <f>IFERROR(INDEX(服务费底表!$C:$C,MATCH('SOW-ERP导入表'!$E348,服务费底表!$D:$D,0)),0)+IFERROR(INDEX(注册申报底表!$C:$C,MATCH('SOW-ERP导入表'!$E348,注册申报底表!$D:$D,0)),0)</f>
        <v>0</v>
      </c>
      <c r="L348" s="185">
        <f t="shared" si="16"/>
        <v>0</v>
      </c>
      <c r="M348" s="184">
        <f>SUMIF(服务费底表!$D:$D,E348,服务费底表!$AG:$AG)+SUMIF(注册申报底表!$D:$D,'SOW-ERP导入表'!E348,注册申报底表!$AD:$AD)</f>
        <v>0</v>
      </c>
    </row>
    <row r="349" spans="2:13">
      <c r="B349" s="173"/>
      <c r="D349" s="173"/>
      <c r="E349" s="187" t="s">
        <v>2701</v>
      </c>
      <c r="F349" s="173" t="str">
        <f t="shared" si="17"/>
        <v>请填写</v>
      </c>
      <c r="G349" s="173" t="e">
        <f>INDEX(服务费底表!$K:$K,MATCH('SOW-ERP导入表'!$E349,服务费底表!$D:$D,0))</f>
        <v>#N/A</v>
      </c>
      <c r="H349" s="183" t="e">
        <f>INDEX(服务费底表!L:L,MATCH('SOW-ERP导入表'!$E349,服务费底表!$D:$D,0))</f>
        <v>#N/A</v>
      </c>
      <c r="I349" s="173" t="e">
        <f>INDEX(服务费底表!$T:$T,MATCH('SOW-ERP导入表'!$E349,服务费底表!$D:$D,0))</f>
        <v>#N/A</v>
      </c>
      <c r="J349" s="184">
        <f>SUMIF(服务费底表!$D:$D,E349,服务费底表!$AC:$AC)+SUMIF(注册申报底表!$D:$D,'SOW-ERP导入表'!E349,注册申报底表!$Z:$Z)</f>
        <v>0</v>
      </c>
      <c r="K349" s="173">
        <f>IFERROR(INDEX(服务费底表!$C:$C,MATCH('SOW-ERP导入表'!$E349,服务费底表!$D:$D,0)),0)+IFERROR(INDEX(注册申报底表!$C:$C,MATCH('SOW-ERP导入表'!$E349,注册申报底表!$D:$D,0)),0)</f>
        <v>0</v>
      </c>
      <c r="L349" s="185">
        <f t="shared" si="16"/>
        <v>0</v>
      </c>
      <c r="M349" s="184">
        <f>SUMIF(服务费底表!$D:$D,E349,服务费底表!$AG:$AG)+SUMIF(注册申报底表!$D:$D,'SOW-ERP导入表'!E349,注册申报底表!$AD:$AD)</f>
        <v>0</v>
      </c>
    </row>
    <row r="350" spans="2:13">
      <c r="B350" s="173"/>
      <c r="D350" s="173"/>
      <c r="E350" s="187" t="s">
        <v>2702</v>
      </c>
      <c r="F350" s="173" t="str">
        <f t="shared" si="17"/>
        <v>请填写</v>
      </c>
      <c r="G350" s="173" t="e">
        <f>INDEX(服务费底表!$K:$K,MATCH('SOW-ERP导入表'!$E350,服务费底表!$D:$D,0))</f>
        <v>#N/A</v>
      </c>
      <c r="H350" s="183" t="e">
        <f>INDEX(服务费底表!L:L,MATCH('SOW-ERP导入表'!$E350,服务费底表!$D:$D,0))</f>
        <v>#N/A</v>
      </c>
      <c r="I350" s="173" t="e">
        <f>INDEX(服务费底表!$T:$T,MATCH('SOW-ERP导入表'!$E350,服务费底表!$D:$D,0))</f>
        <v>#N/A</v>
      </c>
      <c r="J350" s="184">
        <f>SUMIF(服务费底表!$D:$D,E350,服务费底表!$AC:$AC)+SUMIF(注册申报底表!$D:$D,'SOW-ERP导入表'!E350,注册申报底表!$Z:$Z)</f>
        <v>0</v>
      </c>
      <c r="K350" s="173">
        <f>IFERROR(INDEX(服务费底表!$C:$C,MATCH('SOW-ERP导入表'!$E350,服务费底表!$D:$D,0)),0)+IFERROR(INDEX(注册申报底表!$C:$C,MATCH('SOW-ERP导入表'!$E350,注册申报底表!$D:$D,0)),0)</f>
        <v>0</v>
      </c>
      <c r="L350" s="185">
        <f t="shared" si="16"/>
        <v>0</v>
      </c>
      <c r="M350" s="184">
        <f>SUMIF(服务费底表!$D:$D,E350,服务费底表!$AG:$AG)+SUMIF(注册申报底表!$D:$D,'SOW-ERP导入表'!E350,注册申报底表!$AD:$AD)</f>
        <v>0</v>
      </c>
    </row>
    <row r="351" spans="2:13">
      <c r="B351" s="173"/>
      <c r="D351" s="173"/>
      <c r="E351" s="187" t="s">
        <v>2703</v>
      </c>
      <c r="F351" s="173" t="str">
        <f t="shared" si="17"/>
        <v>请填写</v>
      </c>
      <c r="G351" s="173" t="e">
        <f>INDEX(服务费底表!$K:$K,MATCH('SOW-ERP导入表'!$E351,服务费底表!$D:$D,0))</f>
        <v>#N/A</v>
      </c>
      <c r="H351" s="183" t="e">
        <f>INDEX(服务费底表!L:L,MATCH('SOW-ERP导入表'!$E351,服务费底表!$D:$D,0))</f>
        <v>#N/A</v>
      </c>
      <c r="I351" s="173" t="e">
        <f>INDEX(服务费底表!$T:$T,MATCH('SOW-ERP导入表'!$E351,服务费底表!$D:$D,0))</f>
        <v>#N/A</v>
      </c>
      <c r="J351" s="184">
        <f>SUMIF(服务费底表!$D:$D,E351,服务费底表!$AC:$AC)+SUMIF(注册申报底表!$D:$D,'SOW-ERP导入表'!E351,注册申报底表!$Z:$Z)</f>
        <v>0</v>
      </c>
      <c r="K351" s="173">
        <f>IFERROR(INDEX(服务费底表!$C:$C,MATCH('SOW-ERP导入表'!$E351,服务费底表!$D:$D,0)),0)+IFERROR(INDEX(注册申报底表!$C:$C,MATCH('SOW-ERP导入表'!$E351,注册申报底表!$D:$D,0)),0)</f>
        <v>0</v>
      </c>
      <c r="L351" s="185">
        <f t="shared" si="16"/>
        <v>0</v>
      </c>
      <c r="M351" s="184">
        <f>SUMIF(服务费底表!$D:$D,E351,服务费底表!$AG:$AG)+SUMIF(注册申报底表!$D:$D,'SOW-ERP导入表'!E351,注册申报底表!$AD:$AD)</f>
        <v>0</v>
      </c>
    </row>
    <row r="352" spans="2:13">
      <c r="B352" s="173"/>
      <c r="D352" s="173"/>
      <c r="E352" s="187" t="s">
        <v>2704</v>
      </c>
      <c r="F352" s="173" t="str">
        <f t="shared" si="17"/>
        <v>请填写</v>
      </c>
      <c r="G352" s="173" t="e">
        <f>INDEX(服务费底表!$K:$K,MATCH('SOW-ERP导入表'!$E352,服务费底表!$D:$D,0))</f>
        <v>#N/A</v>
      </c>
      <c r="H352" s="183" t="e">
        <f>INDEX(服务费底表!L:L,MATCH('SOW-ERP导入表'!$E352,服务费底表!$D:$D,0))</f>
        <v>#N/A</v>
      </c>
      <c r="I352" s="173" t="e">
        <f>INDEX(服务费底表!$T:$T,MATCH('SOW-ERP导入表'!$E352,服务费底表!$D:$D,0))</f>
        <v>#N/A</v>
      </c>
      <c r="J352" s="184">
        <f>SUMIF(服务费底表!$D:$D,E352,服务费底表!$AC:$AC)+SUMIF(注册申报底表!$D:$D,'SOW-ERP导入表'!E352,注册申报底表!$Z:$Z)</f>
        <v>0</v>
      </c>
      <c r="K352" s="173">
        <f>IFERROR(INDEX(服务费底表!$C:$C,MATCH('SOW-ERP导入表'!$E352,服务费底表!$D:$D,0)),0)+IFERROR(INDEX(注册申报底表!$C:$C,MATCH('SOW-ERP导入表'!$E352,注册申报底表!$D:$D,0)),0)</f>
        <v>0</v>
      </c>
      <c r="L352" s="185">
        <f t="shared" si="16"/>
        <v>0</v>
      </c>
      <c r="M352" s="184">
        <f>SUMIF(服务费底表!$D:$D,E352,服务费底表!$AG:$AG)+SUMIF(注册申报底表!$D:$D,'SOW-ERP导入表'!E352,注册申报底表!$AD:$AD)</f>
        <v>0</v>
      </c>
    </row>
    <row r="353" spans="2:13">
      <c r="B353" s="173"/>
      <c r="D353" s="173"/>
      <c r="E353" s="187" t="s">
        <v>2705</v>
      </c>
      <c r="F353" s="173" t="str">
        <f t="shared" si="17"/>
        <v>请填写</v>
      </c>
      <c r="G353" s="173" t="e">
        <f>INDEX(服务费底表!$K:$K,MATCH('SOW-ERP导入表'!$E353,服务费底表!$D:$D,0))</f>
        <v>#N/A</v>
      </c>
      <c r="H353" s="183" t="e">
        <f>INDEX(服务费底表!L:L,MATCH('SOW-ERP导入表'!$E353,服务费底表!$D:$D,0))</f>
        <v>#N/A</v>
      </c>
      <c r="I353" s="173" t="e">
        <f>INDEX(服务费底表!$T:$T,MATCH('SOW-ERP导入表'!$E353,服务费底表!$D:$D,0))</f>
        <v>#N/A</v>
      </c>
      <c r="J353" s="184">
        <f>SUMIF(服务费底表!$D:$D,E353,服务费底表!$AC:$AC)+SUMIF(注册申报底表!$D:$D,'SOW-ERP导入表'!E353,注册申报底表!$Z:$Z)</f>
        <v>0</v>
      </c>
      <c r="K353" s="173">
        <f>IFERROR(INDEX(服务费底表!$C:$C,MATCH('SOW-ERP导入表'!$E353,服务费底表!$D:$D,0)),0)+IFERROR(INDEX(注册申报底表!$C:$C,MATCH('SOW-ERP导入表'!$E353,注册申报底表!$D:$D,0)),0)</f>
        <v>0</v>
      </c>
      <c r="L353" s="185">
        <f t="shared" si="16"/>
        <v>0</v>
      </c>
      <c r="M353" s="184">
        <f>SUMIF(服务费底表!$D:$D,E353,服务费底表!$AG:$AG)+SUMIF(注册申报底表!$D:$D,'SOW-ERP导入表'!E353,注册申报底表!$AD:$AD)</f>
        <v>0</v>
      </c>
    </row>
    <row r="354" spans="2:13">
      <c r="B354" s="173"/>
      <c r="D354" s="173"/>
      <c r="E354" s="187" t="s">
        <v>2706</v>
      </c>
      <c r="F354" s="173" t="str">
        <f t="shared" si="17"/>
        <v>请填写</v>
      </c>
      <c r="G354" s="173" t="str">
        <f>INDEX(服务费底表!$K:$K,MATCH('SOW-ERP导入表'!$E354,服务费底表!$D:$D,0))</f>
        <v>A124</v>
      </c>
      <c r="H354" s="183" t="str">
        <f>INDEX(服务费底表!L:L,MATCH('SOW-ERP导入表'!$E354,服务费底表!$D:$D,0))</f>
        <v>PK分析</v>
      </c>
      <c r="I354" s="173" t="str">
        <f>INDEX(服务费底表!$T:$T,MATCH('SOW-ERP导入表'!$E354,服务费底表!$D:$D,0))</f>
        <v>CPS</v>
      </c>
      <c r="J354" s="184">
        <f>SUMIF(服务费底表!$D:$D,E354,服务费底表!$AC:$AC)+SUMIF(注册申报底表!$D:$D,'SOW-ERP导入表'!E354,注册申报底表!$Z:$Z)</f>
        <v>78</v>
      </c>
      <c r="K354" s="173">
        <f>IFERROR(INDEX(服务费底表!$C:$C,MATCH('SOW-ERP导入表'!$E354,服务费底表!$D:$D,0)),0)+IFERROR(INDEX(注册申报底表!$C:$C,MATCH('SOW-ERP导入表'!$E354,注册申报底表!$D:$D,0)),0)</f>
        <v>6</v>
      </c>
      <c r="L354" s="185">
        <f t="shared" si="16"/>
        <v>7540</v>
      </c>
      <c r="M354" s="184">
        <f>SUMIF(服务费底表!$D:$D,E354,服务费底表!$AG:$AG)+SUMIF(注册申报底表!$D:$D,'SOW-ERP导入表'!E354,注册申报底表!$AD:$AD)</f>
        <v>45240</v>
      </c>
    </row>
    <row r="355" spans="2:13">
      <c r="B355" s="173"/>
      <c r="D355" s="173"/>
      <c r="E355" s="187" t="s">
        <v>2707</v>
      </c>
      <c r="F355" s="173" t="str">
        <f t="shared" si="17"/>
        <v>请填写</v>
      </c>
      <c r="G355" s="173" t="str">
        <f>INDEX(服务费底表!$K:$K,MATCH('SOW-ERP导入表'!$E355,服务费底表!$D:$D,0))</f>
        <v>A124</v>
      </c>
      <c r="H355" s="183" t="str">
        <f>INDEX(服务费底表!L:L,MATCH('SOW-ERP导入表'!$E355,服务费底表!$D:$D,0))</f>
        <v>PK分析</v>
      </c>
      <c r="I355" s="173" t="str">
        <f>INDEX(服务费底表!$T:$T,MATCH('SOW-ERP导入表'!$E355,服务费底表!$D:$D,0))</f>
        <v>CPSS</v>
      </c>
      <c r="J355" s="184">
        <f>SUMIF(服务费底表!$D:$D,E355,服务费底表!$AC:$AC)+SUMIF(注册申报底表!$D:$D,'SOW-ERP导入表'!E355,注册申报底表!$Z:$Z)</f>
        <v>18</v>
      </c>
      <c r="K355" s="173">
        <f>IFERROR(INDEX(服务费底表!$C:$C,MATCH('SOW-ERP导入表'!$E355,服务费底表!$D:$D,0)),0)+IFERROR(INDEX(注册申报底表!$C:$C,MATCH('SOW-ERP导入表'!$E355,注册申报底表!$D:$D,0)),0)</f>
        <v>6</v>
      </c>
      <c r="L355" s="185">
        <f t="shared" si="16"/>
        <v>2100</v>
      </c>
      <c r="M355" s="184">
        <f>SUMIF(服务费底表!$D:$D,E355,服务费底表!$AG:$AG)+SUMIF(注册申报底表!$D:$D,'SOW-ERP导入表'!E355,注册申报底表!$AD:$AD)</f>
        <v>12600</v>
      </c>
    </row>
    <row r="356" spans="2:13">
      <c r="B356" s="173"/>
      <c r="D356" s="173"/>
      <c r="E356" s="187" t="s">
        <v>2708</v>
      </c>
      <c r="F356" s="173" t="str">
        <f t="shared" si="17"/>
        <v>请填写</v>
      </c>
      <c r="G356" s="173" t="str">
        <f>INDEX(服务费底表!$K:$K,MATCH('SOW-ERP导入表'!$E356,服务费底表!$D:$D,0))</f>
        <v>A125</v>
      </c>
      <c r="H356" s="183" t="str">
        <f>INDEX(服务费底表!L:L,MATCH('SOW-ERP导入表'!$E356,服务费底表!$D:$D,0))</f>
        <v>Pop PK/PD(E-R)分析计划撰写</v>
      </c>
      <c r="I356" s="173" t="str">
        <f>INDEX(服务费底表!$T:$T,MATCH('SOW-ERP导入表'!$E356,服务费底表!$D:$D,0))</f>
        <v>CPS</v>
      </c>
      <c r="J356" s="184">
        <f>SUMIF(服务费底表!$D:$D,E356,服务费底表!$AC:$AC)+SUMIF(注册申报底表!$D:$D,'SOW-ERP导入表'!E356,注册申报底表!$Z:$Z)</f>
        <v>0</v>
      </c>
      <c r="K356" s="173">
        <f>IFERROR(INDEX(服务费底表!$C:$C,MATCH('SOW-ERP导入表'!$E356,服务费底表!$D:$D,0)),0)+IFERROR(INDEX(注册申报底表!$C:$C,MATCH('SOW-ERP导入表'!$E356,注册申报底表!$D:$D,0)),0)</f>
        <v>0</v>
      </c>
      <c r="L356" s="185">
        <f t="shared" si="16"/>
        <v>0</v>
      </c>
      <c r="M356" s="184">
        <f>SUMIF(服务费底表!$D:$D,E356,服务费底表!$AG:$AG)+SUMIF(注册申报底表!$D:$D,'SOW-ERP导入表'!E356,注册申报底表!$AD:$AD)</f>
        <v>0</v>
      </c>
    </row>
    <row r="357" spans="2:13">
      <c r="B357" s="173"/>
      <c r="D357" s="173"/>
      <c r="E357" s="187" t="s">
        <v>2709</v>
      </c>
      <c r="F357" s="173" t="str">
        <f t="shared" si="17"/>
        <v>请填写</v>
      </c>
      <c r="G357" s="173" t="str">
        <f>INDEX(服务费底表!$K:$K,MATCH('SOW-ERP导入表'!$E357,服务费底表!$D:$D,0))</f>
        <v>A125</v>
      </c>
      <c r="H357" s="183" t="str">
        <f>INDEX(服务费底表!L:L,MATCH('SOW-ERP导入表'!$E357,服务费底表!$D:$D,0))</f>
        <v>Pop PK/PD(E-R)分析计划撰写</v>
      </c>
      <c r="I357" s="173" t="str">
        <f>INDEX(服务费底表!$T:$T,MATCH('SOW-ERP导入表'!$E357,服务费底表!$D:$D,0))</f>
        <v>CPSS</v>
      </c>
      <c r="J357" s="184">
        <f>SUMIF(服务费底表!$D:$D,E357,服务费底表!$AC:$AC)+SUMIF(注册申报底表!$D:$D,'SOW-ERP导入表'!E357,注册申报底表!$Z:$Z)</f>
        <v>0</v>
      </c>
      <c r="K357" s="173">
        <f>IFERROR(INDEX(服务费底表!$C:$C,MATCH('SOW-ERP导入表'!$E357,服务费底表!$D:$D,0)),0)+IFERROR(INDEX(注册申报底表!$C:$C,MATCH('SOW-ERP导入表'!$E357,注册申报底表!$D:$D,0)),0)</f>
        <v>0</v>
      </c>
      <c r="L357" s="185">
        <f t="shared" si="16"/>
        <v>0</v>
      </c>
      <c r="M357" s="184">
        <f>SUMIF(服务费底表!$D:$D,E357,服务费底表!$AG:$AG)+SUMIF(注册申报底表!$D:$D,'SOW-ERP导入表'!E357,注册申报底表!$AD:$AD)</f>
        <v>0</v>
      </c>
    </row>
    <row r="358" spans="2:13">
      <c r="B358" s="173"/>
      <c r="D358" s="173"/>
      <c r="E358" s="187" t="s">
        <v>2710</v>
      </c>
      <c r="F358" s="173" t="str">
        <f t="shared" si="17"/>
        <v>请填写</v>
      </c>
      <c r="G358" s="173" t="str">
        <f>INDEX(服务费底表!$K:$K,MATCH('SOW-ERP导入表'!$E358,服务费底表!$D:$D,0))</f>
        <v>A126</v>
      </c>
      <c r="H358" s="183" t="str">
        <f>INDEX(服务费底表!L:L,MATCH('SOW-ERP导入表'!$E358,服务费底表!$D:$D,0))</f>
        <v>整理Pop PK/PD(E-R)分析数据集</v>
      </c>
      <c r="I358" s="173" t="str">
        <f>INDEX(服务费底表!$T:$T,MATCH('SOW-ERP导入表'!$E358,服务费底表!$D:$D,0))</f>
        <v>CPS</v>
      </c>
      <c r="J358" s="184">
        <f>SUMIF(服务费底表!$D:$D,E358,服务费底表!$AC:$AC)+SUMIF(注册申报底表!$D:$D,'SOW-ERP导入表'!E358,注册申报底表!$Z:$Z)</f>
        <v>0</v>
      </c>
      <c r="K358" s="173">
        <f>IFERROR(INDEX(服务费底表!$C:$C,MATCH('SOW-ERP导入表'!$E358,服务费底表!$D:$D,0)),0)+IFERROR(INDEX(注册申报底表!$C:$C,MATCH('SOW-ERP导入表'!$E358,注册申报底表!$D:$D,0)),0)</f>
        <v>0</v>
      </c>
      <c r="L358" s="185">
        <f t="shared" si="16"/>
        <v>0</v>
      </c>
      <c r="M358" s="184">
        <f>SUMIF(服务费底表!$D:$D,E358,服务费底表!$AG:$AG)+SUMIF(注册申报底表!$D:$D,'SOW-ERP导入表'!E358,注册申报底表!$AD:$AD)</f>
        <v>0</v>
      </c>
    </row>
    <row r="359" spans="2:13">
      <c r="B359" s="173"/>
      <c r="D359" s="173"/>
      <c r="E359" s="187" t="s">
        <v>2711</v>
      </c>
      <c r="F359" s="173" t="str">
        <f t="shared" si="17"/>
        <v>请填写</v>
      </c>
      <c r="G359" s="173" t="str">
        <f>INDEX(服务费底表!$K:$K,MATCH('SOW-ERP导入表'!$E359,服务费底表!$D:$D,0))</f>
        <v>A126</v>
      </c>
      <c r="H359" s="183" t="str">
        <f>INDEX(服务费底表!L:L,MATCH('SOW-ERP导入表'!$E359,服务费底表!$D:$D,0))</f>
        <v>整理Pop PK/PD(E-R)分析数据集</v>
      </c>
      <c r="I359" s="173" t="str">
        <f>INDEX(服务费底表!$T:$T,MATCH('SOW-ERP导入表'!$E359,服务费底表!$D:$D,0))</f>
        <v>CPSS</v>
      </c>
      <c r="J359" s="184">
        <f>SUMIF(服务费底表!$D:$D,E359,服务费底表!$AC:$AC)+SUMIF(注册申报底表!$D:$D,'SOW-ERP导入表'!E359,注册申报底表!$Z:$Z)</f>
        <v>0</v>
      </c>
      <c r="K359" s="173">
        <f>IFERROR(INDEX(服务费底表!$C:$C,MATCH('SOW-ERP导入表'!$E359,服务费底表!$D:$D,0)),0)+IFERROR(INDEX(注册申报底表!$C:$C,MATCH('SOW-ERP导入表'!$E359,注册申报底表!$D:$D,0)),0)</f>
        <v>0</v>
      </c>
      <c r="L359" s="185">
        <f t="shared" si="16"/>
        <v>0</v>
      </c>
      <c r="M359" s="184">
        <f>SUMIF(服务费底表!$D:$D,E359,服务费底表!$AG:$AG)+SUMIF(注册申报底表!$D:$D,'SOW-ERP导入表'!E359,注册申报底表!$AD:$AD)</f>
        <v>0</v>
      </c>
    </row>
    <row r="360" spans="2:13">
      <c r="B360" s="173"/>
      <c r="D360" s="173"/>
      <c r="E360" s="187" t="s">
        <v>2712</v>
      </c>
      <c r="F360" s="173" t="str">
        <f t="shared" si="17"/>
        <v>请填写</v>
      </c>
      <c r="G360" s="173" t="str">
        <f>INDEX(服务费底表!$K:$K,MATCH('SOW-ERP导入表'!$E360,服务费底表!$D:$D,0))</f>
        <v>A127</v>
      </c>
      <c r="H360" s="183" t="str">
        <f>INDEX(服务费底表!L:L,MATCH('SOW-ERP导入表'!$E360,服务费底表!$D:$D,0))</f>
        <v>Pop PK/PD(E-R)分析建模与模拟</v>
      </c>
      <c r="I360" s="173" t="str">
        <f>INDEX(服务费底表!$T:$T,MATCH('SOW-ERP导入表'!$E360,服务费底表!$D:$D,0))</f>
        <v>CPS</v>
      </c>
      <c r="J360" s="184">
        <f>SUMIF(服务费底表!$D:$D,E360,服务费底表!$AC:$AC)+SUMIF(注册申报底表!$D:$D,'SOW-ERP导入表'!E360,注册申报底表!$Z:$Z)</f>
        <v>0</v>
      </c>
      <c r="K360" s="173">
        <f>IFERROR(INDEX(服务费底表!$C:$C,MATCH('SOW-ERP导入表'!$E360,服务费底表!$D:$D,0)),0)+IFERROR(INDEX(注册申报底表!$C:$C,MATCH('SOW-ERP导入表'!$E360,注册申报底表!$D:$D,0)),0)</f>
        <v>0</v>
      </c>
      <c r="L360" s="185">
        <f t="shared" si="16"/>
        <v>0</v>
      </c>
      <c r="M360" s="184">
        <f>SUMIF(服务费底表!$D:$D,E360,服务费底表!$AG:$AG)+SUMIF(注册申报底表!$D:$D,'SOW-ERP导入表'!E360,注册申报底表!$AD:$AD)</f>
        <v>0</v>
      </c>
    </row>
    <row r="361" spans="2:13">
      <c r="B361" s="173"/>
      <c r="D361" s="173"/>
      <c r="E361" s="187" t="s">
        <v>2713</v>
      </c>
      <c r="F361" s="173" t="str">
        <f t="shared" si="17"/>
        <v>请填写</v>
      </c>
      <c r="G361" s="173" t="str">
        <f>INDEX(服务费底表!$K:$K,MATCH('SOW-ERP导入表'!$E361,服务费底表!$D:$D,0))</f>
        <v>A127</v>
      </c>
      <c r="H361" s="183" t="str">
        <f>INDEX(服务费底表!L:L,MATCH('SOW-ERP导入表'!$E361,服务费底表!$D:$D,0))</f>
        <v>Pop PK/PD(E-R)分析建模与模拟</v>
      </c>
      <c r="I361" s="173" t="str">
        <f>INDEX(服务费底表!$T:$T,MATCH('SOW-ERP导入表'!$E361,服务费底表!$D:$D,0))</f>
        <v>CPSS</v>
      </c>
      <c r="J361" s="184">
        <f>SUMIF(服务费底表!$D:$D,E361,服务费底表!$AC:$AC)+SUMIF(注册申报底表!$D:$D,'SOW-ERP导入表'!E361,注册申报底表!$Z:$Z)</f>
        <v>0</v>
      </c>
      <c r="K361" s="173">
        <f>IFERROR(INDEX(服务费底表!$C:$C,MATCH('SOW-ERP导入表'!$E361,服务费底表!$D:$D,0)),0)+IFERROR(INDEX(注册申报底表!$C:$C,MATCH('SOW-ERP导入表'!$E361,注册申报底表!$D:$D,0)),0)</f>
        <v>0</v>
      </c>
      <c r="L361" s="185">
        <f t="shared" si="16"/>
        <v>0</v>
      </c>
      <c r="M361" s="184">
        <f>SUMIF(服务费底表!$D:$D,E361,服务费底表!$AG:$AG)+SUMIF(注册申报底表!$D:$D,'SOW-ERP导入表'!E361,注册申报底表!$AD:$AD)</f>
        <v>0</v>
      </c>
    </row>
    <row r="362" spans="2:13">
      <c r="B362" s="173"/>
      <c r="D362" s="173"/>
      <c r="E362" s="187" t="s">
        <v>2714</v>
      </c>
      <c r="F362" s="173" t="str">
        <f t="shared" si="17"/>
        <v>请填写</v>
      </c>
      <c r="G362" s="173" t="str">
        <f>INDEX(服务费底表!$K:$K,MATCH('SOW-ERP导入表'!$E362,服务费底表!$D:$D,0))</f>
        <v>A128</v>
      </c>
      <c r="H362" s="183" t="str">
        <f>INDEX(服务费底表!L:L,MATCH('SOW-ERP导入表'!$E362,服务费底表!$D:$D,0))</f>
        <v>Pop PK/PD(E-R)分析报告撰写</v>
      </c>
      <c r="I362" s="173" t="str">
        <f>INDEX(服务费底表!$T:$T,MATCH('SOW-ERP导入表'!$E362,服务费底表!$D:$D,0))</f>
        <v>CPS</v>
      </c>
      <c r="J362" s="184">
        <f>SUMIF(服务费底表!$D:$D,E362,服务费底表!$AC:$AC)+SUMIF(注册申报底表!$D:$D,'SOW-ERP导入表'!E362,注册申报底表!$Z:$Z)</f>
        <v>0</v>
      </c>
      <c r="K362" s="173">
        <f>IFERROR(INDEX(服务费底表!$C:$C,MATCH('SOW-ERP导入表'!$E362,服务费底表!$D:$D,0)),0)+IFERROR(INDEX(注册申报底表!$C:$C,MATCH('SOW-ERP导入表'!$E362,注册申报底表!$D:$D,0)),0)</f>
        <v>0</v>
      </c>
      <c r="L362" s="185">
        <f t="shared" si="16"/>
        <v>0</v>
      </c>
      <c r="M362" s="184">
        <f>SUMIF(服务费底表!$D:$D,E362,服务费底表!$AG:$AG)+SUMIF(注册申报底表!$D:$D,'SOW-ERP导入表'!E362,注册申报底表!$AD:$AD)</f>
        <v>0</v>
      </c>
    </row>
    <row r="363" spans="2:13">
      <c r="B363" s="173"/>
      <c r="D363" s="173"/>
      <c r="E363" s="187" t="s">
        <v>2715</v>
      </c>
      <c r="F363" s="173" t="str">
        <f t="shared" si="17"/>
        <v>请填写</v>
      </c>
      <c r="G363" s="173" t="str">
        <f>INDEX(服务费底表!$K:$K,MATCH('SOW-ERP导入表'!$E363,服务费底表!$D:$D,0))</f>
        <v>A128</v>
      </c>
      <c r="H363" s="183" t="str">
        <f>INDEX(服务费底表!L:L,MATCH('SOW-ERP导入表'!$E363,服务费底表!$D:$D,0))</f>
        <v>Pop PK/PD(E-R)分析报告撰写</v>
      </c>
      <c r="I363" s="173" t="str">
        <f>INDEX(服务费底表!$T:$T,MATCH('SOW-ERP导入表'!$E363,服务费底表!$D:$D,0))</f>
        <v>CPSS</v>
      </c>
      <c r="J363" s="184">
        <f>SUMIF(服务费底表!$D:$D,E363,服务费底表!$AC:$AC)+SUMIF(注册申报底表!$D:$D,'SOW-ERP导入表'!E363,注册申报底表!$Z:$Z)</f>
        <v>0</v>
      </c>
      <c r="K363" s="173">
        <f>IFERROR(INDEX(服务费底表!$C:$C,MATCH('SOW-ERP导入表'!$E363,服务费底表!$D:$D,0)),0)+IFERROR(INDEX(注册申报底表!$C:$C,MATCH('SOW-ERP导入表'!$E363,注册申报底表!$D:$D,0)),0)</f>
        <v>0</v>
      </c>
      <c r="L363" s="185">
        <f t="shared" si="16"/>
        <v>0</v>
      </c>
      <c r="M363" s="184">
        <f>SUMIF(服务费底表!$D:$D,E363,服务费底表!$AG:$AG)+SUMIF(注册申报底表!$D:$D,'SOW-ERP导入表'!E363,注册申报底表!$AD:$AD)</f>
        <v>0</v>
      </c>
    </row>
    <row r="364" spans="2:13">
      <c r="B364" s="173"/>
      <c r="D364" s="173"/>
      <c r="E364" s="187" t="s">
        <v>2716</v>
      </c>
      <c r="F364" s="173" t="str">
        <f t="shared" si="17"/>
        <v>请填写</v>
      </c>
      <c r="G364" s="173" t="str">
        <f>INDEX(服务费底表!$K:$K,MATCH('SOW-ERP导入表'!$E364,服务费底表!$D:$D,0))</f>
        <v>A129</v>
      </c>
      <c r="H364" s="183" t="str">
        <f>INDEX(服务费底表!L:L,MATCH('SOW-ERP导入表'!$E364,服务费底表!$D:$D,0))</f>
        <v>临床药理项目管理</v>
      </c>
      <c r="I364" s="173" t="str">
        <f>INDEX(服务费底表!$T:$T,MATCH('SOW-ERP导入表'!$E364,服务费底表!$D:$D,0))</f>
        <v>CPSS</v>
      </c>
      <c r="J364" s="184">
        <f>SUMIF(服务费底表!$D:$D,E364,服务费底表!$AC:$AC)+SUMIF(注册申报底表!$D:$D,'SOW-ERP导入表'!E364,注册申报底表!$Z:$Z)</f>
        <v>7.5</v>
      </c>
      <c r="K364" s="173">
        <f>IFERROR(INDEX(服务费底表!$C:$C,MATCH('SOW-ERP导入表'!$E364,服务费底表!$D:$D,0)),0)+IFERROR(INDEX(注册申报底表!$C:$C,MATCH('SOW-ERP导入表'!$E364,注册申报底表!$D:$D,0)),0)</f>
        <v>15</v>
      </c>
      <c r="L364" s="185">
        <f t="shared" si="16"/>
        <v>350</v>
      </c>
      <c r="M364" s="184">
        <f>SUMIF(服务费底表!$D:$D,E364,服务费底表!$AG:$AG)+SUMIF(注册申报底表!$D:$D,'SOW-ERP导入表'!E364,注册申报底表!$AD:$AD)</f>
        <v>5250</v>
      </c>
    </row>
    <row r="365" spans="2:13">
      <c r="B365" s="173"/>
      <c r="D365" s="173"/>
      <c r="E365" s="187" t="s">
        <v>2717</v>
      </c>
      <c r="F365" s="173" t="str">
        <f t="shared" si="17"/>
        <v>请填写</v>
      </c>
      <c r="G365" s="173" t="str">
        <f>INDEX(服务费底表!$K:$K,MATCH('SOW-ERP导入表'!$E365,服务费底表!$D:$D,0))</f>
        <v>A130</v>
      </c>
      <c r="H365" s="183" t="str">
        <f>INDEX(服务费底表!L:L,MATCH('SOW-ERP导入表'!$E365,服务费底表!$D:$D,0))</f>
        <v>安全管理计划SMP撰写</v>
      </c>
      <c r="I365" s="173" t="str">
        <f>INDEX(服务费底表!$T:$T,MATCH('SOW-ERP导入表'!$E365,服务费底表!$D:$D,0))</f>
        <v>PVM</v>
      </c>
      <c r="J365" s="184">
        <f>SUMIF(服务费底表!$D:$D,E365,服务费底表!$AC:$AC)+SUMIF(注册申报底表!$D:$D,'SOW-ERP导入表'!E365,注册申报底表!$Z:$Z)</f>
        <v>20</v>
      </c>
      <c r="K365" s="173">
        <f>IFERROR(INDEX(服务费底表!$C:$C,MATCH('SOW-ERP导入表'!$E365,服务费底表!$D:$D,0)),0)+IFERROR(INDEX(注册申报底表!$C:$C,MATCH('SOW-ERP导入表'!$E365,注册申报底表!$D:$D,0)),0)</f>
        <v>1</v>
      </c>
      <c r="L365" s="185">
        <f t="shared" si="16"/>
        <v>10000</v>
      </c>
      <c r="M365" s="184">
        <f>SUMIF(服务费底表!$D:$D,E365,服务费底表!$AG:$AG)+SUMIF(注册申报底表!$D:$D,'SOW-ERP导入表'!E365,注册申报底表!$AD:$AD)</f>
        <v>10000</v>
      </c>
    </row>
    <row r="366" spans="2:13">
      <c r="B366" s="173"/>
      <c r="D366" s="173"/>
      <c r="E366" s="187" t="s">
        <v>2718</v>
      </c>
      <c r="F366" s="173" t="str">
        <f t="shared" si="17"/>
        <v>请填写</v>
      </c>
      <c r="G366" s="173" t="str">
        <f>INDEX(服务费底表!$K:$K,MATCH('SOW-ERP导入表'!$E366,服务费底表!$D:$D,0))</f>
        <v>A130</v>
      </c>
      <c r="H366" s="183" t="str">
        <f>INDEX(服务费底表!L:L,MATCH('SOW-ERP导入表'!$E366,服务费底表!$D:$D,0))</f>
        <v>安全管理计划SMP撰写</v>
      </c>
      <c r="I366" s="173" t="str">
        <f>INDEX(服务费底表!$T:$T,MATCH('SOW-ERP导入表'!$E366,服务费底表!$D:$D,0))</f>
        <v>PVP</v>
      </c>
      <c r="J366" s="184">
        <f>SUMIF(服务费底表!$D:$D,E366,服务费底表!$AC:$AC)+SUMIF(注册申报底表!$D:$D,'SOW-ERP导入表'!E366,注册申报底表!$Z:$Z)</f>
        <v>2</v>
      </c>
      <c r="K366" s="173">
        <f>IFERROR(INDEX(服务费底表!$C:$C,MATCH('SOW-ERP导入表'!$E366,服务费底表!$D:$D,0)),0)+IFERROR(INDEX(注册申报底表!$C:$C,MATCH('SOW-ERP导入表'!$E366,注册申报底表!$D:$D,0)),0)</f>
        <v>1</v>
      </c>
      <c r="L366" s="185">
        <f t="shared" si="16"/>
        <v>1400</v>
      </c>
      <c r="M366" s="184">
        <f>SUMIF(服务费底表!$D:$D,E366,服务费底表!$AG:$AG)+SUMIF(注册申报底表!$D:$D,'SOW-ERP导入表'!E366,注册申报底表!$AD:$AD)</f>
        <v>1400</v>
      </c>
    </row>
    <row r="367" spans="2:13">
      <c r="B367" s="173"/>
      <c r="D367" s="173"/>
      <c r="E367" s="187" t="s">
        <v>2719</v>
      </c>
      <c r="F367" s="173" t="str">
        <f t="shared" si="17"/>
        <v>请填写</v>
      </c>
      <c r="G367" s="173" t="str">
        <f>INDEX(服务费底表!$K:$K,MATCH('SOW-ERP导入表'!$E367,服务费底表!$D:$D,0))</f>
        <v>A130</v>
      </c>
      <c r="H367" s="183" t="str">
        <f>INDEX(服务费底表!L:L,MATCH('SOW-ERP导入表'!$E367,服务费底表!$D:$D,0))</f>
        <v>安全管理计划SMP撰写</v>
      </c>
      <c r="I367" s="173" t="str">
        <f>INDEX(服务费底表!$T:$T,MATCH('SOW-ERP导入表'!$E367,服务费底表!$D:$D,0))</f>
        <v>PM</v>
      </c>
      <c r="J367" s="184">
        <f>SUMIF(服务费底表!$D:$D,E367,服务费底表!$AC:$AC)+SUMIF(注册申报底表!$D:$D,'SOW-ERP导入表'!E367,注册申报底表!$Z:$Z)</f>
        <v>2</v>
      </c>
      <c r="K367" s="173">
        <f>IFERROR(INDEX(服务费底表!$C:$C,MATCH('SOW-ERP导入表'!$E367,服务费底表!$D:$D,0)),0)+IFERROR(INDEX(注册申报底表!$C:$C,MATCH('SOW-ERP导入表'!$E367,注册申报底表!$D:$D,0)),0)</f>
        <v>1</v>
      </c>
      <c r="L367" s="185">
        <f t="shared" ref="L367" si="19">IFERROR(M367/K367,0)</f>
        <v>1300</v>
      </c>
      <c r="M367" s="184">
        <f>SUMIF(服务费底表!$D:$D,E367,服务费底表!$AG:$AG)+SUMIF(注册申报底表!$D:$D,'SOW-ERP导入表'!E367,注册申报底表!$AD:$AD)</f>
        <v>1300</v>
      </c>
    </row>
    <row r="368" spans="2:13">
      <c r="B368" s="173"/>
      <c r="D368" s="173"/>
      <c r="E368" s="187" t="s">
        <v>2720</v>
      </c>
      <c r="F368" s="173" t="str">
        <f t="shared" si="17"/>
        <v>请填写</v>
      </c>
      <c r="G368" s="173" t="str">
        <f>INDEX(服务费底表!$K:$K,MATCH('SOW-ERP导入表'!$E368,服务费底表!$D:$D,0))</f>
        <v>A131</v>
      </c>
      <c r="H368" s="183" t="str">
        <f>INDEX(服务费底表!L:L,MATCH('SOW-ERP导入表'!$E368,服务费底表!$D:$D,0))</f>
        <v>药物警戒协议撰写</v>
      </c>
      <c r="I368" s="173" t="str">
        <f>INDEX(服务费底表!$T:$T,MATCH('SOW-ERP导入表'!$E368,服务费底表!$D:$D,0))</f>
        <v>PVM</v>
      </c>
      <c r="J368" s="184">
        <f>SUMIF(服务费底表!$D:$D,E368,服务费底表!$AC:$AC)+SUMIF(注册申报底表!$D:$D,'SOW-ERP导入表'!E368,注册申报底表!$Z:$Z)</f>
        <v>0</v>
      </c>
      <c r="K368" s="173">
        <f>IFERROR(INDEX(服务费底表!$C:$C,MATCH('SOW-ERP导入表'!$E368,服务费底表!$D:$D,0)),0)+IFERROR(INDEX(注册申报底表!$C:$C,MATCH('SOW-ERP导入表'!$E368,注册申报底表!$D:$D,0)),0)</f>
        <v>0</v>
      </c>
      <c r="L368" s="185">
        <f t="shared" si="16"/>
        <v>0</v>
      </c>
      <c r="M368" s="184">
        <f>SUMIF(服务费底表!$D:$D,E368,服务费底表!$AG:$AG)+SUMIF(注册申报底表!$D:$D,'SOW-ERP导入表'!E368,注册申报底表!$AD:$AD)</f>
        <v>0</v>
      </c>
    </row>
    <row r="369" spans="2:13">
      <c r="B369" s="173"/>
      <c r="D369" s="173"/>
      <c r="E369" s="187" t="s">
        <v>2721</v>
      </c>
      <c r="F369" s="173" t="str">
        <f t="shared" si="17"/>
        <v>请填写</v>
      </c>
      <c r="G369" s="173" t="str">
        <f>INDEX(服务费底表!$K:$K,MATCH('SOW-ERP导入表'!$E369,服务费底表!$D:$D,0))</f>
        <v>A131</v>
      </c>
      <c r="H369" s="183" t="str">
        <f>INDEX(服务费底表!L:L,MATCH('SOW-ERP导入表'!$E369,服务费底表!$D:$D,0))</f>
        <v>药物警戒协议撰写</v>
      </c>
      <c r="I369" s="173" t="str">
        <f>INDEX(服务费底表!$T:$T,MATCH('SOW-ERP导入表'!$E369,服务费底表!$D:$D,0))</f>
        <v>PVP</v>
      </c>
      <c r="J369" s="184">
        <f>SUMIF(服务费底表!$D:$D,E369,服务费底表!$AC:$AC)+SUMIF(注册申报底表!$D:$D,'SOW-ERP导入表'!E369,注册申报底表!$Z:$Z)</f>
        <v>0</v>
      </c>
      <c r="K369" s="173">
        <f>IFERROR(INDEX(服务费底表!$C:$C,MATCH('SOW-ERP导入表'!$E369,服务费底表!$D:$D,0)),0)+IFERROR(INDEX(注册申报底表!$C:$C,MATCH('SOW-ERP导入表'!$E369,注册申报底表!$D:$D,0)),0)</f>
        <v>0</v>
      </c>
      <c r="L369" s="185">
        <f t="shared" si="16"/>
        <v>0</v>
      </c>
      <c r="M369" s="184">
        <f>SUMIF(服务费底表!$D:$D,E369,服务费底表!$AG:$AG)+SUMIF(注册申报底表!$D:$D,'SOW-ERP导入表'!E369,注册申报底表!$AD:$AD)</f>
        <v>0</v>
      </c>
    </row>
    <row r="370" spans="2:13">
      <c r="B370" s="173"/>
      <c r="D370" s="173"/>
      <c r="E370" s="187" t="s">
        <v>2722</v>
      </c>
      <c r="F370" s="173" t="str">
        <f t="shared" si="17"/>
        <v>请填写</v>
      </c>
      <c r="G370" s="173" t="str">
        <f>INDEX(服务费底表!$K:$K,MATCH('SOW-ERP导入表'!$E370,服务费底表!$D:$D,0))</f>
        <v>A132</v>
      </c>
      <c r="H370" s="183" t="str">
        <f>INDEX(服务费底表!L:L,MATCH('SOW-ERP导入表'!$E370,服务费底表!$D:$D,0))</f>
        <v>药物警戒委托协议撰写</v>
      </c>
      <c r="I370" s="173" t="str">
        <f>INDEX(服务费底表!$T:$T,MATCH('SOW-ERP导入表'!$E370,服务费底表!$D:$D,0))</f>
        <v>PVM</v>
      </c>
      <c r="J370" s="184">
        <f>SUMIF(服务费底表!$D:$D,E370,服务费底表!$AC:$AC)+SUMIF(注册申报底表!$D:$D,'SOW-ERP导入表'!E370,注册申报底表!$Z:$Z)</f>
        <v>0</v>
      </c>
      <c r="K370" s="173">
        <f>IFERROR(INDEX(服务费底表!$C:$C,MATCH('SOW-ERP导入表'!$E370,服务费底表!$D:$D,0)),0)+IFERROR(INDEX(注册申报底表!$C:$C,MATCH('SOW-ERP导入表'!$E370,注册申报底表!$D:$D,0)),0)</f>
        <v>0</v>
      </c>
      <c r="L370" s="185">
        <f t="shared" si="16"/>
        <v>0</v>
      </c>
      <c r="M370" s="184">
        <f>SUMIF(服务费底表!$D:$D,E370,服务费底表!$AG:$AG)+SUMIF(注册申报底表!$D:$D,'SOW-ERP导入表'!E370,注册申报底表!$AD:$AD)</f>
        <v>0</v>
      </c>
    </row>
    <row r="371" spans="2:13">
      <c r="B371" s="173"/>
      <c r="D371" s="173"/>
      <c r="E371" s="187" t="s">
        <v>2723</v>
      </c>
      <c r="F371" s="173" t="str">
        <f t="shared" si="17"/>
        <v>请填写</v>
      </c>
      <c r="G371" s="173" t="str">
        <f>INDEX(服务费底表!$K:$K,MATCH('SOW-ERP导入表'!$E371,服务费底表!$D:$D,0))</f>
        <v>A133</v>
      </c>
      <c r="H371" s="183" t="str">
        <f>INDEX(服务费底表!L:L,MATCH('SOW-ERP导入表'!$E371,服务费底表!$D:$D,0))</f>
        <v>启动前项目药物警戒准备工作</v>
      </c>
      <c r="I371" s="173" t="str">
        <f>INDEX(服务费底表!$T:$T,MATCH('SOW-ERP导入表'!$E371,服务费底表!$D:$D,0))</f>
        <v>PVS</v>
      </c>
      <c r="J371" s="184">
        <f>SUMIF(服务费底表!$D:$D,E371,服务费底表!$AC:$AC)+SUMIF(注册申报底表!$D:$D,'SOW-ERP导入表'!E371,注册申报底表!$Z:$Z)</f>
        <v>12</v>
      </c>
      <c r="K371" s="173">
        <f>IFERROR(INDEX(服务费底表!$C:$C,MATCH('SOW-ERP导入表'!$E371,服务费底表!$D:$D,0)),0)+IFERROR(INDEX(注册申报底表!$C:$C,MATCH('SOW-ERP导入表'!$E371,注册申报底表!$D:$D,0)),0)</f>
        <v>1</v>
      </c>
      <c r="L371" s="185">
        <f t="shared" si="16"/>
        <v>3600</v>
      </c>
      <c r="M371" s="184">
        <f>SUMIF(服务费底表!$D:$D,E371,服务费底表!$AG:$AG)+SUMIF(注册申报底表!$D:$D,'SOW-ERP导入表'!E371,注册申报底表!$AD:$AD)</f>
        <v>3600</v>
      </c>
    </row>
    <row r="372" spans="2:13">
      <c r="B372" s="173"/>
      <c r="D372" s="173"/>
      <c r="E372" s="187" t="s">
        <v>2724</v>
      </c>
      <c r="F372" s="173" t="str">
        <f t="shared" si="17"/>
        <v>请填写</v>
      </c>
      <c r="G372" s="173" t="str">
        <f>INDEX(服务费底表!$K:$K,MATCH('SOW-ERP导入表'!$E372,服务费底表!$D:$D,0))</f>
        <v>A134</v>
      </c>
      <c r="H372" s="183" t="str">
        <f>INDEX(服务费底表!L:L,MATCH('SOW-ERP导入表'!$E372,服务费底表!$D:$D,0))</f>
        <v>安全性数据库配置和测试</v>
      </c>
      <c r="I372" s="173" t="str">
        <f>INDEX(服务费底表!$T:$T,MATCH('SOW-ERP导入表'!$E372,服务费底表!$D:$D,0))</f>
        <v>PVM</v>
      </c>
      <c r="J372" s="184">
        <f>SUMIF(服务费底表!$D:$D,E372,服务费底表!$AC:$AC)+SUMIF(注册申报底表!$D:$D,'SOW-ERP导入表'!E372,注册申报底表!$Z:$Z)</f>
        <v>12</v>
      </c>
      <c r="K372" s="173">
        <f>IFERROR(INDEX(服务费底表!$C:$C,MATCH('SOW-ERP导入表'!$E372,服务费底表!$D:$D,0)),0)+IFERROR(INDEX(注册申报底表!$C:$C,MATCH('SOW-ERP导入表'!$E372,注册申报底表!$D:$D,0)),0)</f>
        <v>1</v>
      </c>
      <c r="L372" s="185">
        <f t="shared" si="16"/>
        <v>6000</v>
      </c>
      <c r="M372" s="184">
        <f>SUMIF(服务费底表!$D:$D,E372,服务费底表!$AG:$AG)+SUMIF(注册申报底表!$D:$D,'SOW-ERP导入表'!E372,注册申报底表!$AD:$AD)</f>
        <v>6000</v>
      </c>
    </row>
    <row r="373" spans="2:13">
      <c r="B373" s="173"/>
      <c r="D373" s="173"/>
      <c r="E373" s="187" t="s">
        <v>2725</v>
      </c>
      <c r="F373" s="173" t="str">
        <f t="shared" si="17"/>
        <v>请填写</v>
      </c>
      <c r="G373" s="173" t="str">
        <f>INDEX(服务费底表!$K:$K,MATCH('SOW-ERP导入表'!$E373,服务费底表!$D:$D,0))</f>
        <v>A134</v>
      </c>
      <c r="H373" s="183" t="str">
        <f>INDEX(服务费底表!L:L,MATCH('SOW-ERP导入表'!$E373,服务费底表!$D:$D,0))</f>
        <v>安全性数据库配置和测试</v>
      </c>
      <c r="I373" s="173" t="str">
        <f>INDEX(服务费底表!$T:$T,MATCH('SOW-ERP导入表'!$E373,服务费底表!$D:$D,0))</f>
        <v>PVS</v>
      </c>
      <c r="J373" s="184">
        <f>SUMIF(服务费底表!$D:$D,E373,服务费底表!$AC:$AC)+SUMIF(注册申报底表!$D:$D,'SOW-ERP导入表'!E373,注册申报底表!$Z:$Z)</f>
        <v>0</v>
      </c>
      <c r="K373" s="173">
        <f>IFERROR(INDEX(服务费底表!$C:$C,MATCH('SOW-ERP导入表'!$E373,服务费底表!$D:$D,0)),0)+IFERROR(INDEX(注册申报底表!$C:$C,MATCH('SOW-ERP导入表'!$E373,注册申报底表!$D:$D,0)),0)</f>
        <v>1</v>
      </c>
      <c r="L373" s="185">
        <f t="shared" si="16"/>
        <v>0</v>
      </c>
      <c r="M373" s="184">
        <f>SUMIF(服务费底表!$D:$D,E373,服务费底表!$AG:$AG)+SUMIF(注册申报底表!$D:$D,'SOW-ERP导入表'!E373,注册申报底表!$AD:$AD)</f>
        <v>0</v>
      </c>
    </row>
    <row r="374" spans="2:13">
      <c r="B374" s="173"/>
      <c r="D374" s="173"/>
      <c r="E374" s="187" t="s">
        <v>2726</v>
      </c>
      <c r="F374" s="173" t="str">
        <f t="shared" si="17"/>
        <v>请填写</v>
      </c>
      <c r="G374" s="173" t="str">
        <f>INDEX(服务费底表!$K:$K,MATCH('SOW-ERP导入表'!$E374,服务费底表!$D:$D,0))</f>
        <v>A134</v>
      </c>
      <c r="H374" s="183" t="str">
        <f>INDEX(服务费底表!L:L,MATCH('SOW-ERP导入表'!$E374,服务费底表!$D:$D,0))</f>
        <v>安全性数据库配置和测试</v>
      </c>
      <c r="I374" s="173" t="str">
        <f>INDEX(服务费底表!$T:$T,MATCH('SOW-ERP导入表'!$E374,服务费底表!$D:$D,0))</f>
        <v>PVP</v>
      </c>
      <c r="J374" s="184">
        <f>SUMIF(服务费底表!$D:$D,E374,服务费底表!$AC:$AC)+SUMIF(注册申报底表!$D:$D,'SOW-ERP导入表'!E374,注册申报底表!$Z:$Z)</f>
        <v>0</v>
      </c>
      <c r="K374" s="173">
        <f>IFERROR(INDEX(服务费底表!$C:$C,MATCH('SOW-ERP导入表'!$E374,服务费底表!$D:$D,0)),0)+IFERROR(INDEX(注册申报底表!$C:$C,MATCH('SOW-ERP导入表'!$E374,注册申报底表!$D:$D,0)),0)</f>
        <v>1</v>
      </c>
      <c r="L374" s="185">
        <f t="shared" si="16"/>
        <v>0</v>
      </c>
      <c r="M374" s="184">
        <f>SUMIF(服务费底表!$D:$D,E374,服务费底表!$AG:$AG)+SUMIF(注册申报底表!$D:$D,'SOW-ERP导入表'!E374,注册申报底表!$AD:$AD)</f>
        <v>0</v>
      </c>
    </row>
    <row r="375" spans="2:13">
      <c r="B375" s="173"/>
      <c r="D375" s="173"/>
      <c r="E375" s="187" t="s">
        <v>2727</v>
      </c>
      <c r="F375" s="173" t="str">
        <f t="shared" si="17"/>
        <v>请填写</v>
      </c>
      <c r="G375" s="173" t="str">
        <f>INDEX(服务费底表!$K:$K,MATCH('SOW-ERP导入表'!$E375,服务费底表!$D:$D,0))</f>
        <v>A135</v>
      </c>
      <c r="H375" s="183" t="str">
        <f>INDEX(服务费底表!L:L,MATCH('SOW-ERP导入表'!$E375,服务费底表!$D:$D,0))</f>
        <v>ICSR报告流程培训</v>
      </c>
      <c r="I375" s="173" t="str">
        <f>INDEX(服务费底表!$T:$T,MATCH('SOW-ERP导入表'!$E375,服务费底表!$D:$D,0))</f>
        <v>PVM</v>
      </c>
      <c r="J375" s="184">
        <f>SUMIF(服务费底表!$D:$D,E375,服务费底表!$AC:$AC)+SUMIF(注册申报底表!$D:$D,'SOW-ERP导入表'!E375,注册申报底表!$Z:$Z)</f>
        <v>5</v>
      </c>
      <c r="K375" s="173">
        <f>IFERROR(INDEX(服务费底表!$C:$C,MATCH('SOW-ERP导入表'!$E375,服务费底表!$D:$D,0)),0)+IFERROR(INDEX(注册申报底表!$C:$C,MATCH('SOW-ERP导入表'!$E375,注册申报底表!$D:$D,0)),0)</f>
        <v>1</v>
      </c>
      <c r="L375" s="185">
        <f t="shared" si="16"/>
        <v>2500</v>
      </c>
      <c r="M375" s="184">
        <f>SUMIF(服务费底表!$D:$D,E375,服务费底表!$AG:$AG)+SUMIF(注册申报底表!$D:$D,'SOW-ERP导入表'!E375,注册申报底表!$AD:$AD)</f>
        <v>2500</v>
      </c>
    </row>
    <row r="376" spans="2:13">
      <c r="B376" s="173"/>
      <c r="D376" s="173"/>
      <c r="E376" s="187" t="s">
        <v>2728</v>
      </c>
      <c r="F376" s="173" t="str">
        <f t="shared" si="17"/>
        <v>请填写</v>
      </c>
      <c r="G376" s="173" t="str">
        <f>INDEX(服务费底表!$K:$K,MATCH('SOW-ERP导入表'!$E376,服务费底表!$D:$D,0))</f>
        <v>A136</v>
      </c>
      <c r="H376" s="183" t="str">
        <f>INDEX(服务费底表!L:L,MATCH('SOW-ERP导入表'!$E376,服务费底表!$D:$D,0))</f>
        <v>ICSR报告处理</v>
      </c>
      <c r="I376" s="173" t="str">
        <f>INDEX(服务费底表!$T:$T,MATCH('SOW-ERP导入表'!$E376,服务费底表!$D:$D,0))</f>
        <v>PVS</v>
      </c>
      <c r="J376" s="184">
        <f>SUMIF(服务费底表!$D:$D,E376,服务费底表!$AC:$AC)+SUMIF(注册申报底表!$D:$D,'SOW-ERP导入表'!E376,注册申报底表!$Z:$Z)</f>
        <v>67.5</v>
      </c>
      <c r="K376" s="173">
        <f>IFERROR(INDEX(服务费底表!$C:$C,MATCH('SOW-ERP导入表'!$E376,服务费底表!$D:$D,0)),0)+IFERROR(INDEX(注册申报底表!$C:$C,MATCH('SOW-ERP导入表'!$E376,注册申报底表!$D:$D,0)),0)</f>
        <v>27</v>
      </c>
      <c r="L376" s="185">
        <f t="shared" si="16"/>
        <v>750</v>
      </c>
      <c r="M376" s="184">
        <f>SUMIF(服务费底表!$D:$D,E376,服务费底表!$AG:$AG)+SUMIF(注册申报底表!$D:$D,'SOW-ERP导入表'!E376,注册申报底表!$AD:$AD)</f>
        <v>20250</v>
      </c>
    </row>
    <row r="377" spans="2:13">
      <c r="B377" s="173"/>
      <c r="D377" s="173"/>
      <c r="E377" s="187" t="s">
        <v>2729</v>
      </c>
      <c r="F377" s="173" t="str">
        <f t="shared" si="17"/>
        <v>请填写</v>
      </c>
      <c r="G377" s="173" t="str">
        <f>INDEX(服务费底表!$K:$K,MATCH('SOW-ERP导入表'!$E377,服务费底表!$D:$D,0))</f>
        <v>A136</v>
      </c>
      <c r="H377" s="183" t="str">
        <f>INDEX(服务费底表!L:L,MATCH('SOW-ERP导入表'!$E377,服务费底表!$D:$D,0))</f>
        <v>ICSR报告处理</v>
      </c>
      <c r="I377" s="173" t="str">
        <f>INDEX(服务费底表!$T:$T,MATCH('SOW-ERP导入表'!$E377,服务费底表!$D:$D,0))</f>
        <v>PVM</v>
      </c>
      <c r="J377" s="184">
        <f>SUMIF(服务费底表!$D:$D,E377,服务费底表!$AC:$AC)+SUMIF(注册申报底表!$D:$D,'SOW-ERP导入表'!E377,注册申报底表!$Z:$Z)</f>
        <v>49.5</v>
      </c>
      <c r="K377" s="173">
        <f>IFERROR(INDEX(服务费底表!$C:$C,MATCH('SOW-ERP导入表'!$E377,服务费底表!$D:$D,0)),0)+IFERROR(INDEX(注册申报底表!$C:$C,MATCH('SOW-ERP导入表'!$E377,注册申报底表!$D:$D,0)),0)</f>
        <v>27</v>
      </c>
      <c r="L377" s="185">
        <f t="shared" si="16"/>
        <v>916.666666666667</v>
      </c>
      <c r="M377" s="184">
        <f>SUMIF(服务费底表!$D:$D,E377,服务费底表!$AG:$AG)+SUMIF(注册申报底表!$D:$D,'SOW-ERP导入表'!E377,注册申报底表!$AD:$AD)</f>
        <v>24750</v>
      </c>
    </row>
    <row r="378" spans="2:13">
      <c r="B378" s="173"/>
      <c r="D378" s="173"/>
      <c r="E378" s="187" t="s">
        <v>2730</v>
      </c>
      <c r="F378" s="173" t="str">
        <f t="shared" si="17"/>
        <v>请填写</v>
      </c>
      <c r="G378" s="173" t="str">
        <f>INDEX(服务费底表!$K:$K,MATCH('SOW-ERP导入表'!$E378,服务费底表!$D:$D,0))</f>
        <v>A136</v>
      </c>
      <c r="H378" s="183" t="str">
        <f>INDEX(服务费底表!L:L,MATCH('SOW-ERP导入表'!$E378,服务费底表!$D:$D,0))</f>
        <v>ICSR报告处理</v>
      </c>
      <c r="I378" s="173" t="str">
        <f>INDEX(服务费底表!$T:$T,MATCH('SOW-ERP导入表'!$E378,服务费底表!$D:$D,0))</f>
        <v>PVP</v>
      </c>
      <c r="J378" s="184">
        <f>SUMIF(服务费底表!$D:$D,E378,服务费底表!$AC:$AC)+SUMIF(注册申报底表!$D:$D,'SOW-ERP导入表'!E378,注册申报底表!$Z:$Z)</f>
        <v>40.5</v>
      </c>
      <c r="K378" s="173">
        <f>IFERROR(INDEX(服务费底表!$C:$C,MATCH('SOW-ERP导入表'!$E378,服务费底表!$D:$D,0)),0)+IFERROR(INDEX(注册申报底表!$C:$C,MATCH('SOW-ERP导入表'!$E378,注册申报底表!$D:$D,0)),0)</f>
        <v>27</v>
      </c>
      <c r="L378" s="185">
        <f t="shared" si="16"/>
        <v>1050</v>
      </c>
      <c r="M378" s="184">
        <f>SUMIF(服务费底表!$D:$D,E378,服务费底表!$AG:$AG)+SUMIF(注册申报底表!$D:$D,'SOW-ERP导入表'!E378,注册申报底表!$AD:$AD)</f>
        <v>28350</v>
      </c>
    </row>
    <row r="379" spans="2:13">
      <c r="B379" s="173"/>
      <c r="D379" s="173"/>
      <c r="E379" s="187" t="s">
        <v>2731</v>
      </c>
      <c r="F379" s="173" t="str">
        <f t="shared" si="17"/>
        <v>请填写</v>
      </c>
      <c r="G379" s="173" t="e">
        <f>INDEX(服务费底表!$K:$K,MATCH('SOW-ERP导入表'!$E379,服务费底表!$D:$D,0))</f>
        <v>#N/A</v>
      </c>
      <c r="H379" s="183" t="e">
        <f>INDEX(服务费底表!L:L,MATCH('SOW-ERP导入表'!$E379,服务费底表!$D:$D,0))</f>
        <v>#N/A</v>
      </c>
      <c r="I379" s="173" t="e">
        <f>INDEX(服务费底表!$T:$T,MATCH('SOW-ERP导入表'!$E379,服务费底表!$D:$D,0))</f>
        <v>#N/A</v>
      </c>
      <c r="J379" s="184">
        <f>SUMIF(服务费底表!$D:$D,E379,服务费底表!$AC:$AC)+SUMIF(注册申报底表!$D:$D,'SOW-ERP导入表'!E379,注册申报底表!$Z:$Z)</f>
        <v>0</v>
      </c>
      <c r="K379" s="173">
        <f>IFERROR(INDEX(服务费底表!$C:$C,MATCH('SOW-ERP导入表'!$E379,服务费底表!$D:$D,0)),0)+IFERROR(INDEX(注册申报底表!$C:$C,MATCH('SOW-ERP导入表'!$E379,注册申报底表!$D:$D,0)),0)</f>
        <v>0</v>
      </c>
      <c r="L379" s="185">
        <f t="shared" si="16"/>
        <v>0</v>
      </c>
      <c r="M379" s="184">
        <f>SUMIF(服务费底表!$D:$D,E379,服务费底表!$AG:$AG)+SUMIF(注册申报底表!$D:$D,'SOW-ERP导入表'!E379,注册申报底表!$AD:$AD)</f>
        <v>0</v>
      </c>
    </row>
    <row r="380" spans="2:13">
      <c r="B380" s="173"/>
      <c r="D380" s="173"/>
      <c r="E380" s="187" t="s">
        <v>2732</v>
      </c>
      <c r="F380" s="173" t="str">
        <f t="shared" si="17"/>
        <v>请填写</v>
      </c>
      <c r="G380" s="173" t="e">
        <f>INDEX(服务费底表!$K:$K,MATCH('SOW-ERP导入表'!$E380,服务费底表!$D:$D,0))</f>
        <v>#N/A</v>
      </c>
      <c r="H380" s="183" t="e">
        <f>INDEX(服务费底表!L:L,MATCH('SOW-ERP导入表'!$E380,服务费底表!$D:$D,0))</f>
        <v>#N/A</v>
      </c>
      <c r="I380" s="173" t="e">
        <f>INDEX(服务费底表!$T:$T,MATCH('SOW-ERP导入表'!$E380,服务费底表!$D:$D,0))</f>
        <v>#N/A</v>
      </c>
      <c r="J380" s="184">
        <f>SUMIF(服务费底表!$D:$D,E380,服务费底表!$AC:$AC)+SUMIF(注册申报底表!$D:$D,'SOW-ERP导入表'!E380,注册申报底表!$Z:$Z)</f>
        <v>0</v>
      </c>
      <c r="K380" s="173">
        <f>IFERROR(INDEX(服务费底表!$C:$C,MATCH('SOW-ERP导入表'!$E380,服务费底表!$D:$D,0)),0)+IFERROR(INDEX(注册申报底表!$C:$C,MATCH('SOW-ERP导入表'!$E380,注册申报底表!$D:$D,0)),0)</f>
        <v>0</v>
      </c>
      <c r="L380" s="185">
        <f t="shared" si="16"/>
        <v>0</v>
      </c>
      <c r="M380" s="184">
        <f>SUMIF(服务费底表!$D:$D,E380,服务费底表!$AG:$AG)+SUMIF(注册申报底表!$D:$D,'SOW-ERP导入表'!E380,注册申报底表!$AD:$AD)</f>
        <v>0</v>
      </c>
    </row>
    <row r="381" spans="2:13">
      <c r="B381" s="173"/>
      <c r="D381" s="173"/>
      <c r="E381" s="187" t="s">
        <v>2733</v>
      </c>
      <c r="F381" s="173" t="str">
        <f t="shared" si="17"/>
        <v>请填写</v>
      </c>
      <c r="G381" s="173" t="e">
        <f>INDEX(服务费底表!$K:$K,MATCH('SOW-ERP导入表'!$E381,服务费底表!$D:$D,0))</f>
        <v>#N/A</v>
      </c>
      <c r="H381" s="183" t="e">
        <f>INDEX(服务费底表!L:L,MATCH('SOW-ERP导入表'!$E381,服务费底表!$D:$D,0))</f>
        <v>#N/A</v>
      </c>
      <c r="I381" s="173" t="e">
        <f>INDEX(服务费底表!$T:$T,MATCH('SOW-ERP导入表'!$E381,服务费底表!$D:$D,0))</f>
        <v>#N/A</v>
      </c>
      <c r="J381" s="184">
        <f>SUMIF(服务费底表!$D:$D,E381,服务费底表!$AC:$AC)+SUMIF(注册申报底表!$D:$D,'SOW-ERP导入表'!E381,注册申报底表!$Z:$Z)</f>
        <v>0</v>
      </c>
      <c r="K381" s="173">
        <f>IFERROR(INDEX(服务费底表!$C:$C,MATCH('SOW-ERP导入表'!$E381,服务费底表!$D:$D,0)),0)+IFERROR(INDEX(注册申报底表!$C:$C,MATCH('SOW-ERP导入表'!$E381,注册申报底表!$D:$D,0)),0)</f>
        <v>0</v>
      </c>
      <c r="L381" s="185">
        <f t="shared" si="16"/>
        <v>0</v>
      </c>
      <c r="M381" s="184">
        <f>SUMIF(服务费底表!$D:$D,E381,服务费底表!$AG:$AG)+SUMIF(注册申报底表!$D:$D,'SOW-ERP导入表'!E381,注册申报底表!$AD:$AD)</f>
        <v>0</v>
      </c>
    </row>
    <row r="382" spans="2:13">
      <c r="B382" s="173"/>
      <c r="D382" s="173"/>
      <c r="E382" s="187" t="s">
        <v>2734</v>
      </c>
      <c r="F382" s="173" t="str">
        <f t="shared" si="17"/>
        <v>请填写</v>
      </c>
      <c r="G382" s="173" t="str">
        <f>INDEX(服务费底表!$K:$K,MATCH('SOW-ERP导入表'!$E382,服务费底表!$D:$D,0))</f>
        <v>A140</v>
      </c>
      <c r="H382" s="183" t="str">
        <f>INDEX(服务费底表!L:L,MATCH('SOW-ERP导入表'!$E382,服务费底表!$D:$D,0))</f>
        <v>安全性报告汇总</v>
      </c>
      <c r="I382" s="173" t="str">
        <f>INDEX(服务费底表!$T:$T,MATCH('SOW-ERP导入表'!$E382,服务费底表!$D:$D,0))</f>
        <v>PVM</v>
      </c>
      <c r="J382" s="184">
        <f>SUMIF(服务费底表!$D:$D,E382,服务费底表!$AC:$AC)+SUMIF(注册申报底表!$D:$D,'SOW-ERP导入表'!E382,注册申报底表!$Z:$Z)</f>
        <v>14</v>
      </c>
      <c r="K382" s="173">
        <f>IFERROR(INDEX(服务费底表!$C:$C,MATCH('SOW-ERP导入表'!$E382,服务费底表!$D:$D,0)),0)+IFERROR(INDEX(注册申报底表!$C:$C,MATCH('SOW-ERP导入表'!$E382,注册申报底表!$D:$D,0)),0)</f>
        <v>1</v>
      </c>
      <c r="L382" s="185">
        <f t="shared" si="16"/>
        <v>7000</v>
      </c>
      <c r="M382" s="184">
        <f>SUMIF(服务费底表!$D:$D,E382,服务费底表!$AG:$AG)+SUMIF(注册申报底表!$D:$D,'SOW-ERP导入表'!E382,注册申报底表!$AD:$AD)</f>
        <v>7000</v>
      </c>
    </row>
    <row r="383" spans="2:13">
      <c r="B383" s="173"/>
      <c r="D383" s="173"/>
      <c r="E383" s="187" t="s">
        <v>2735</v>
      </c>
      <c r="F383" s="173" t="str">
        <f t="shared" si="17"/>
        <v>请填写</v>
      </c>
      <c r="G383" s="173" t="e">
        <f>INDEX(服务费底表!$K:$K,MATCH('SOW-ERP导入表'!$E383,服务费底表!$D:$D,0))</f>
        <v>#N/A</v>
      </c>
      <c r="H383" s="183" t="e">
        <f>INDEX(服务费底表!L:L,MATCH('SOW-ERP导入表'!$E383,服务费底表!$D:$D,0))</f>
        <v>#N/A</v>
      </c>
      <c r="I383" s="173" t="e">
        <f>INDEX(服务费底表!$T:$T,MATCH('SOW-ERP导入表'!$E383,服务费底表!$D:$D,0))</f>
        <v>#N/A</v>
      </c>
      <c r="J383" s="184">
        <f>SUMIF(服务费底表!$D:$D,E383,服务费底表!$AC:$AC)+SUMIF(注册申报底表!$D:$D,'SOW-ERP导入表'!E383,注册申报底表!$Z:$Z)</f>
        <v>0</v>
      </c>
      <c r="K383" s="173">
        <f>IFERROR(INDEX(服务费底表!$C:$C,MATCH('SOW-ERP导入表'!$E383,服务费底表!$D:$D,0)),0)+IFERROR(INDEX(注册申报底表!$C:$C,MATCH('SOW-ERP导入表'!$E383,注册申报底表!$D:$D,0)),0)</f>
        <v>0</v>
      </c>
      <c r="L383" s="185">
        <f t="shared" si="16"/>
        <v>0</v>
      </c>
      <c r="M383" s="184">
        <f>SUMIF(服务费底表!$D:$D,E383,服务费底表!$AG:$AG)+SUMIF(注册申报底表!$D:$D,'SOW-ERP导入表'!E383,注册申报底表!$AD:$AD)</f>
        <v>0</v>
      </c>
    </row>
    <row r="384" spans="2:13">
      <c r="B384" s="173"/>
      <c r="D384" s="173"/>
      <c r="E384" s="187" t="s">
        <v>2736</v>
      </c>
      <c r="F384" s="173" t="str">
        <f t="shared" si="17"/>
        <v>请填写</v>
      </c>
      <c r="G384" s="173" t="str">
        <f>INDEX(服务费底表!$K:$K,MATCH('SOW-ERP导入表'!$E384,服务费底表!$D:$D,0))</f>
        <v>A142</v>
      </c>
      <c r="H384" s="183" t="str">
        <f>INDEX(服务费底表!L:L,MATCH('SOW-ERP导入表'!$E384,服务费底表!$D:$D,0))</f>
        <v>DSUR撰写(中文)</v>
      </c>
      <c r="I384" s="173" t="str">
        <f>INDEX(服务费底表!$T:$T,MATCH('SOW-ERP导入表'!$E384,服务费底表!$D:$D,0))</f>
        <v>PVM</v>
      </c>
      <c r="J384" s="184">
        <f>SUMIF(服务费底表!$D:$D,E384,服务费底表!$AC:$AC)+SUMIF(注册申报底表!$D:$D,'SOW-ERP导入表'!E384,注册申报底表!$Z:$Z)</f>
        <v>26</v>
      </c>
      <c r="K384" s="173">
        <f>IFERROR(INDEX(服务费底表!$C:$C,MATCH('SOW-ERP导入表'!$E384,服务费底表!$D:$D,0)),0)+IFERROR(INDEX(注册申报底表!$C:$C,MATCH('SOW-ERP导入表'!$E384,注册申报底表!$D:$D,0)),0)</f>
        <v>1</v>
      </c>
      <c r="L384" s="185">
        <f t="shared" si="16"/>
        <v>13000</v>
      </c>
      <c r="M384" s="184">
        <f>SUMIF(服务费底表!$D:$D,E384,服务费底表!$AG:$AG)+SUMIF(注册申报底表!$D:$D,'SOW-ERP导入表'!E384,注册申报底表!$AD:$AD)</f>
        <v>13000</v>
      </c>
    </row>
    <row r="385" spans="2:13">
      <c r="B385" s="173"/>
      <c r="D385" s="173"/>
      <c r="E385" s="187" t="s">
        <v>2737</v>
      </c>
      <c r="F385" s="173" t="str">
        <f t="shared" si="17"/>
        <v>请填写</v>
      </c>
      <c r="G385" s="173" t="str">
        <f>INDEX(服务费底表!$K:$K,MATCH('SOW-ERP导入表'!$E385,服务费底表!$D:$D,0))</f>
        <v>A142</v>
      </c>
      <c r="H385" s="183" t="str">
        <f>INDEX(服务费底表!L:L,MATCH('SOW-ERP导入表'!$E385,服务费底表!$D:$D,0))</f>
        <v>DSUR撰写(中文)</v>
      </c>
      <c r="I385" s="173" t="str">
        <f>INDEX(服务费底表!$T:$T,MATCH('SOW-ERP导入表'!$E385,服务费底表!$D:$D,0))</f>
        <v>PVP</v>
      </c>
      <c r="J385" s="184">
        <f>SUMIF(服务费底表!$D:$D,E385,服务费底表!$AC:$AC)+SUMIF(注册申报底表!$D:$D,'SOW-ERP导入表'!E385,注册申报底表!$Z:$Z)</f>
        <v>62</v>
      </c>
      <c r="K385" s="173">
        <f>IFERROR(INDEX(服务费底表!$C:$C,MATCH('SOW-ERP导入表'!$E385,服务费底表!$D:$D,0)),0)+IFERROR(INDEX(注册申报底表!$C:$C,MATCH('SOW-ERP导入表'!$E385,注册申报底表!$D:$D,0)),0)</f>
        <v>1</v>
      </c>
      <c r="L385" s="185">
        <f t="shared" si="16"/>
        <v>43400</v>
      </c>
      <c r="M385" s="184">
        <f>SUMIF(服务费底表!$D:$D,E385,服务费底表!$AG:$AG)+SUMIF(注册申报底表!$D:$D,'SOW-ERP导入表'!E385,注册申报底表!$AD:$AD)</f>
        <v>43400</v>
      </c>
    </row>
    <row r="386" spans="2:13">
      <c r="B386" s="173"/>
      <c r="D386" s="173"/>
      <c r="E386" s="187" t="s">
        <v>2738</v>
      </c>
      <c r="F386" s="173" t="str">
        <f t="shared" si="17"/>
        <v>请填写</v>
      </c>
      <c r="G386" s="173" t="str">
        <f>INDEX(服务费底表!$K:$K,MATCH('SOW-ERP导入表'!$E386,服务费底表!$D:$D,0))</f>
        <v>A142</v>
      </c>
      <c r="H386" s="183" t="str">
        <f>INDEX(服务费底表!L:L,MATCH('SOW-ERP导入表'!$E386,服务费底表!$D:$D,0))</f>
        <v>DSUR撰写(中文)</v>
      </c>
      <c r="I386" s="173" t="str">
        <f>INDEX(服务费底表!$T:$T,MATCH('SOW-ERP导入表'!$E386,服务费底表!$D:$D,0))</f>
        <v>LDM</v>
      </c>
      <c r="J386" s="184">
        <f>SUMIF(服务费底表!$D:$D,E386,服务费底表!$AC:$AC)+SUMIF(注册申报底表!$D:$D,'SOW-ERP导入表'!E386,注册申报底表!$Z:$Z)</f>
        <v>2</v>
      </c>
      <c r="K386" s="173">
        <f>IFERROR(INDEX(服务费底表!$C:$C,MATCH('SOW-ERP导入表'!$E386,服务费底表!$D:$D,0)),0)+IFERROR(INDEX(注册申报底表!$C:$C,MATCH('SOW-ERP导入表'!$E386,注册申报底表!$D:$D,0)),0)</f>
        <v>1</v>
      </c>
      <c r="L386" s="185">
        <f t="shared" si="16"/>
        <v>720</v>
      </c>
      <c r="M386" s="184">
        <f>SUMIF(服务费底表!$D:$D,E386,服务费底表!$AG:$AG)+SUMIF(注册申报底表!$D:$D,'SOW-ERP导入表'!E386,注册申报底表!$AD:$AD)</f>
        <v>720</v>
      </c>
    </row>
    <row r="387" spans="2:13">
      <c r="B387" s="173"/>
      <c r="D387" s="173"/>
      <c r="E387" s="187" t="s">
        <v>2739</v>
      </c>
      <c r="F387" s="173" t="str">
        <f t="shared" si="17"/>
        <v>请填写</v>
      </c>
      <c r="G387" s="173" t="str">
        <f>INDEX(服务费底表!$K:$K,MATCH('SOW-ERP导入表'!$E387,服务费底表!$D:$D,0))</f>
        <v>A142</v>
      </c>
      <c r="H387" s="183" t="str">
        <f>INDEX(服务费底表!L:L,MATCH('SOW-ERP导入表'!$E387,服务费底表!$D:$D,0))</f>
        <v>DSUR撰写(中文)</v>
      </c>
      <c r="I387" s="173" t="str">
        <f>INDEX(服务费底表!$T:$T,MATCH('SOW-ERP导入表'!$E387,服务费底表!$D:$D,0))</f>
        <v>SA</v>
      </c>
      <c r="J387" s="184">
        <f>SUMIF(服务费底表!$D:$D,E387,服务费底表!$AC:$AC)+SUMIF(注册申报底表!$D:$D,'SOW-ERP导入表'!E387,注册申报底表!$Z:$Z)</f>
        <v>10</v>
      </c>
      <c r="K387" s="173">
        <f>IFERROR(INDEX(服务费底表!$C:$C,MATCH('SOW-ERP导入表'!$E387,服务费底表!$D:$D,0)),0)+IFERROR(INDEX(注册申报底表!$C:$C,MATCH('SOW-ERP导入表'!$E387,注册申报底表!$D:$D,0)),0)</f>
        <v>1</v>
      </c>
      <c r="L387" s="185">
        <f t="shared" si="16"/>
        <v>2250</v>
      </c>
      <c r="M387" s="184">
        <f>SUMIF(服务费底表!$D:$D,E387,服务费底表!$AG:$AG)+SUMIF(注册申报底表!$D:$D,'SOW-ERP导入表'!E387,注册申报底表!$AD:$AD)</f>
        <v>2250</v>
      </c>
    </row>
    <row r="388" spans="2:13">
      <c r="B388" s="173"/>
      <c r="D388" s="173"/>
      <c r="E388" s="187" t="s">
        <v>2740</v>
      </c>
      <c r="F388" s="173" t="str">
        <f t="shared" si="17"/>
        <v>请填写</v>
      </c>
      <c r="G388" s="173" t="str">
        <f>INDEX(服务费底表!$K:$K,MATCH('SOW-ERP导入表'!$E388,服务费底表!$D:$D,0))</f>
        <v>A143</v>
      </c>
      <c r="H388" s="183" t="str">
        <f>INDEX(服务费底表!L:L,MATCH('SOW-ERP导入表'!$E388,服务费底表!$D:$D,0))</f>
        <v>DSUR撰写(英文)</v>
      </c>
      <c r="I388" s="173" t="str">
        <f>INDEX(服务费底表!$T:$T,MATCH('SOW-ERP导入表'!$E388,服务费底表!$D:$D,0))</f>
        <v>PVM</v>
      </c>
      <c r="J388" s="184">
        <f>SUMIF(服务费底表!$D:$D,E388,服务费底表!$AC:$AC)+SUMIF(注册申报底表!$D:$D,'SOW-ERP导入表'!E388,注册申报底表!$Z:$Z)</f>
        <v>0</v>
      </c>
      <c r="K388" s="173">
        <f>IFERROR(INDEX(服务费底表!$C:$C,MATCH('SOW-ERP导入表'!$E388,服务费底表!$D:$D,0)),0)+IFERROR(INDEX(注册申报底表!$C:$C,MATCH('SOW-ERP导入表'!$E388,注册申报底表!$D:$D,0)),0)</f>
        <v>0</v>
      </c>
      <c r="L388" s="185">
        <f t="shared" si="16"/>
        <v>0</v>
      </c>
      <c r="M388" s="184">
        <f>SUMIF(服务费底表!$D:$D,E388,服务费底表!$AG:$AG)+SUMIF(注册申报底表!$D:$D,'SOW-ERP导入表'!E388,注册申报底表!$AD:$AD)</f>
        <v>0</v>
      </c>
    </row>
    <row r="389" spans="2:13">
      <c r="B389" s="173"/>
      <c r="D389" s="173"/>
      <c r="E389" s="187" t="s">
        <v>2741</v>
      </c>
      <c r="F389" s="173" t="str">
        <f t="shared" si="17"/>
        <v>请填写</v>
      </c>
      <c r="G389" s="173" t="str">
        <f>INDEX(服务费底表!$K:$K,MATCH('SOW-ERP导入表'!$E389,服务费底表!$D:$D,0))</f>
        <v>A143</v>
      </c>
      <c r="H389" s="183" t="str">
        <f>INDEX(服务费底表!L:L,MATCH('SOW-ERP导入表'!$E389,服务费底表!$D:$D,0))</f>
        <v>DSUR撰写(英文)</v>
      </c>
      <c r="I389" s="173" t="str">
        <f>INDEX(服务费底表!$T:$T,MATCH('SOW-ERP导入表'!$E389,服务费底表!$D:$D,0))</f>
        <v>PVP</v>
      </c>
      <c r="J389" s="184">
        <f>SUMIF(服务费底表!$D:$D,E389,服务费底表!$AC:$AC)+SUMIF(注册申报底表!$D:$D,'SOW-ERP导入表'!E389,注册申报底表!$Z:$Z)</f>
        <v>0</v>
      </c>
      <c r="K389" s="173">
        <f>IFERROR(INDEX(服务费底表!$C:$C,MATCH('SOW-ERP导入表'!$E389,服务费底表!$D:$D,0)),0)+IFERROR(INDEX(注册申报底表!$C:$C,MATCH('SOW-ERP导入表'!$E389,注册申报底表!$D:$D,0)),0)</f>
        <v>0</v>
      </c>
      <c r="L389" s="185">
        <f t="shared" si="16"/>
        <v>0</v>
      </c>
      <c r="M389" s="184">
        <f>SUMIF(服务费底表!$D:$D,E389,服务费底表!$AG:$AG)+SUMIF(注册申报底表!$D:$D,'SOW-ERP导入表'!E389,注册申报底表!$AD:$AD)</f>
        <v>0</v>
      </c>
    </row>
    <row r="390" spans="2:13">
      <c r="B390" s="173"/>
      <c r="D390" s="173"/>
      <c r="E390" s="187" t="s">
        <v>2742</v>
      </c>
      <c r="F390" s="173" t="str">
        <f t="shared" si="17"/>
        <v>请填写</v>
      </c>
      <c r="G390" s="173" t="str">
        <f>INDEX(服务费底表!$K:$K,MATCH('SOW-ERP导入表'!$E390,服务费底表!$D:$D,0))</f>
        <v>A144</v>
      </c>
      <c r="H390" s="183" t="str">
        <f>INDEX(服务费底表!L:L,MATCH('SOW-ERP导入表'!$E390,服务费底表!$D:$D,0))</f>
        <v>DSUR递交</v>
      </c>
      <c r="I390" s="173" t="str">
        <f>INDEX(服务费底表!$T:$T,MATCH('SOW-ERP导入表'!$E390,服务费底表!$D:$D,0))</f>
        <v>PVM</v>
      </c>
      <c r="J390" s="184">
        <f>SUMIF(服务费底表!$D:$D,E390,服务费底表!$AC:$AC)+SUMIF(注册申报底表!$D:$D,'SOW-ERP导入表'!E390,注册申报底表!$Z:$Z)</f>
        <v>0</v>
      </c>
      <c r="K390" s="173">
        <f>IFERROR(INDEX(服务费底表!$C:$C,MATCH('SOW-ERP导入表'!$E390,服务费底表!$D:$D,0)),0)+IFERROR(INDEX(注册申报底表!$C:$C,MATCH('SOW-ERP导入表'!$E390,注册申报底表!$D:$D,0)),0)</f>
        <v>0</v>
      </c>
      <c r="L390" s="185">
        <f t="shared" si="16"/>
        <v>0</v>
      </c>
      <c r="M390" s="184">
        <f>SUMIF(服务费底表!$D:$D,E390,服务费底表!$AG:$AG)+SUMIF(注册申报底表!$D:$D,'SOW-ERP导入表'!E390,注册申报底表!$AD:$AD)</f>
        <v>0</v>
      </c>
    </row>
    <row r="391" spans="2:13">
      <c r="B391" s="173"/>
      <c r="D391" s="173"/>
      <c r="E391" s="187" t="s">
        <v>2743</v>
      </c>
      <c r="F391" s="173" t="str">
        <f t="shared" si="17"/>
        <v>请填写</v>
      </c>
      <c r="G391" s="173" t="str">
        <f>INDEX(服务费底表!$K:$K,MATCH('SOW-ERP导入表'!$E391,服务费底表!$D:$D,0))</f>
        <v>A145</v>
      </c>
      <c r="H391" s="183" t="str">
        <f>INDEX(服务费底表!L:L,MATCH('SOW-ERP导入表'!$E391,服务费底表!$D:$D,0))</f>
        <v>安全性数据库变更</v>
      </c>
      <c r="I391" s="173" t="str">
        <f>INDEX(服务费底表!$T:$T,MATCH('SOW-ERP导入表'!$E391,服务费底表!$D:$D,0))</f>
        <v>PVM</v>
      </c>
      <c r="J391" s="184">
        <f>SUMIF(服务费底表!$D:$D,E391,服务费底表!$AC:$AC)+SUMIF(注册申报底表!$D:$D,'SOW-ERP导入表'!E391,注册申报底表!$Z:$Z)</f>
        <v>0</v>
      </c>
      <c r="K391" s="173">
        <f>IFERROR(INDEX(服务费底表!$C:$C,MATCH('SOW-ERP导入表'!$E391,服务费底表!$D:$D,0)),0)+IFERROR(INDEX(注册申报底表!$C:$C,MATCH('SOW-ERP导入表'!$E391,注册申报底表!$D:$D,0)),0)</f>
        <v>0</v>
      </c>
      <c r="L391" s="185">
        <f t="shared" si="16"/>
        <v>0</v>
      </c>
      <c r="M391" s="184">
        <f>SUMIF(服务费底表!$D:$D,E391,服务费底表!$AG:$AG)+SUMIF(注册申报底表!$D:$D,'SOW-ERP导入表'!E391,注册申报底表!$AD:$AD)</f>
        <v>0</v>
      </c>
    </row>
    <row r="392" spans="2:13">
      <c r="B392" s="173"/>
      <c r="D392" s="173"/>
      <c r="E392" s="187" t="s">
        <v>2744</v>
      </c>
      <c r="F392" s="173" t="str">
        <f t="shared" si="17"/>
        <v>请填写</v>
      </c>
      <c r="G392" s="173" t="str">
        <f>INDEX(服务费底表!$K:$K,MATCH('SOW-ERP导入表'!$E392,服务费底表!$D:$D,0))</f>
        <v>A146</v>
      </c>
      <c r="H392" s="183" t="str">
        <f>INDEX(服务费底表!L:L,MATCH('SOW-ERP导入表'!$E392,服务费底表!$D:$D,0))</f>
        <v>特殊事件的处理</v>
      </c>
      <c r="I392" s="173" t="str">
        <f>INDEX(服务费底表!$T:$T,MATCH('SOW-ERP导入表'!$E392,服务费底表!$D:$D,0))</f>
        <v>PVM</v>
      </c>
      <c r="J392" s="184">
        <f>SUMIF(服务费底表!$D:$D,E392,服务费底表!$AC:$AC)+SUMIF(注册申报底表!$D:$D,'SOW-ERP导入表'!E392,注册申报底表!$Z:$Z)</f>
        <v>0</v>
      </c>
      <c r="K392" s="173">
        <f>IFERROR(INDEX(服务费底表!$C:$C,MATCH('SOW-ERP导入表'!$E392,服务费底表!$D:$D,0)),0)+IFERROR(INDEX(注册申报底表!$C:$C,MATCH('SOW-ERP导入表'!$E392,注册申报底表!$D:$D,0)),0)</f>
        <v>0</v>
      </c>
      <c r="L392" s="185">
        <f t="shared" si="16"/>
        <v>0</v>
      </c>
      <c r="M392" s="184">
        <f>SUMIF(服务费底表!$D:$D,E392,服务费底表!$AG:$AG)+SUMIF(注册申报底表!$D:$D,'SOW-ERP导入表'!E392,注册申报底表!$AD:$AD)</f>
        <v>0</v>
      </c>
    </row>
    <row r="393" spans="2:13">
      <c r="B393" s="173"/>
      <c r="D393" s="173"/>
      <c r="E393" s="187" t="s">
        <v>2745</v>
      </c>
      <c r="F393" s="173" t="str">
        <f t="shared" si="17"/>
        <v>请填写</v>
      </c>
      <c r="G393" s="173" t="str">
        <f>INDEX(服务费底表!$K:$K,MATCH('SOW-ERP导入表'!$E393,服务费底表!$D:$D,0))</f>
        <v>A147</v>
      </c>
      <c r="H393" s="183" t="str">
        <f>INDEX(服务费底表!L:L,MATCH('SOW-ERP导入表'!$E393,服务费底表!$D:$D,0))</f>
        <v>安全信号检测</v>
      </c>
      <c r="I393" s="173" t="str">
        <f>INDEX(服务费底表!$T:$T,MATCH('SOW-ERP导入表'!$E393,服务费底表!$D:$D,0))</f>
        <v>PVP</v>
      </c>
      <c r="J393" s="184">
        <f>SUMIF(服务费底表!$D:$D,E393,服务费底表!$AC:$AC)+SUMIF(注册申报底表!$D:$D,'SOW-ERP导入表'!E393,注册申报底表!$Z:$Z)</f>
        <v>0</v>
      </c>
      <c r="K393" s="173">
        <f>IFERROR(INDEX(服务费底表!$C:$C,MATCH('SOW-ERP导入表'!$E393,服务费底表!$D:$D,0)),0)+IFERROR(INDEX(注册申报底表!$C:$C,MATCH('SOW-ERP导入表'!$E393,注册申报底表!$D:$D,0)),0)</f>
        <v>0</v>
      </c>
      <c r="L393" s="185">
        <f t="shared" si="16"/>
        <v>0</v>
      </c>
      <c r="M393" s="184">
        <f>SUMIF(服务费底表!$D:$D,E393,服务费底表!$AG:$AG)+SUMIF(注册申报底表!$D:$D,'SOW-ERP导入表'!E393,注册申报底表!$AD:$AD)</f>
        <v>0</v>
      </c>
    </row>
    <row r="394" spans="2:13">
      <c r="B394" s="173"/>
      <c r="D394" s="173"/>
      <c r="E394" s="187" t="s">
        <v>2746</v>
      </c>
      <c r="F394" s="173" t="str">
        <f t="shared" si="17"/>
        <v>请填写</v>
      </c>
      <c r="G394" s="173" t="str">
        <f>INDEX(服务费底表!$K:$K,MATCH('SOW-ERP导入表'!$E394,服务费底表!$D:$D,0))</f>
        <v>A148</v>
      </c>
      <c r="H394" s="183" t="str">
        <f>INDEX(服务费底表!L:L,MATCH('SOW-ERP导入表'!$E394,服务费底表!$D:$D,0))</f>
        <v>安全警戒项目管理</v>
      </c>
      <c r="I394" s="173" t="str">
        <f>INDEX(服务费底表!$T:$T,MATCH('SOW-ERP导入表'!$E394,服务费底表!$D:$D,0))</f>
        <v>PVM</v>
      </c>
      <c r="J394" s="184">
        <f>SUMIF(服务费底表!$D:$D,E394,服务费底表!$AC:$AC)+SUMIF(注册申报底表!$D:$D,'SOW-ERP导入表'!E394,注册申报底表!$Z:$Z)</f>
        <v>14</v>
      </c>
      <c r="K394" s="173">
        <f>IFERROR(INDEX(服务费底表!$C:$C,MATCH('SOW-ERP导入表'!$E394,服务费底表!$D:$D,0)),0)+IFERROR(INDEX(注册申报底表!$C:$C,MATCH('SOW-ERP导入表'!$E394,注册申报底表!$D:$D,0)),0)</f>
        <v>14</v>
      </c>
      <c r="L394" s="185">
        <f t="shared" ref="L394:L457" si="20">IFERROR(M394/K394,0)</f>
        <v>500</v>
      </c>
      <c r="M394" s="184">
        <f>SUMIF(服务费底表!$D:$D,E394,服务费底表!$AG:$AG)+SUMIF(注册申报底表!$D:$D,'SOW-ERP导入表'!E394,注册申报底表!$AD:$AD)</f>
        <v>7000</v>
      </c>
    </row>
    <row r="395" spans="2:13">
      <c r="B395" s="173"/>
      <c r="D395" s="173"/>
      <c r="E395" s="187" t="s">
        <v>2747</v>
      </c>
      <c r="F395" s="173" t="str">
        <f t="shared" si="17"/>
        <v>请填写</v>
      </c>
      <c r="G395" s="173" t="str">
        <f>INDEX(服务费底表!$K:$K,MATCH('SOW-ERP导入表'!$E395,服务费底表!$D:$D,0))</f>
        <v>A149</v>
      </c>
      <c r="H395" s="183" t="str">
        <f>INDEX(服务费底表!L:L,MATCH('SOW-ERP导入表'!$E395,服务费底表!$D:$D,0))</f>
        <v>研究者手册版本更新</v>
      </c>
      <c r="I395" s="173" t="str">
        <f>INDEX(服务费底表!$T:$T,MATCH('SOW-ERP导入表'!$E395,服务费底表!$D:$D,0))</f>
        <v>MM</v>
      </c>
      <c r="J395" s="184">
        <f>SUMIF(服务费底表!$D:$D,E395,服务费底表!$AC:$AC)+SUMIF(注册申报底表!$D:$D,'SOW-ERP导入表'!E395,注册申报底表!$Z:$Z)</f>
        <v>20</v>
      </c>
      <c r="K395" s="173">
        <f>IFERROR(INDEX(服务费底表!$C:$C,MATCH('SOW-ERP导入表'!$E395,服务费底表!$D:$D,0)),0)+IFERROR(INDEX(注册申报底表!$C:$C,MATCH('SOW-ERP导入表'!$E395,注册申报底表!$D:$D,0)),0)</f>
        <v>1</v>
      </c>
      <c r="L395" s="185">
        <f t="shared" si="20"/>
        <v>13000</v>
      </c>
      <c r="M395" s="184">
        <f>SUMIF(服务费底表!$D:$D,E395,服务费底表!$AG:$AG)+SUMIF(注册申报底表!$D:$D,'SOW-ERP导入表'!E395,注册申报底表!$AD:$AD)</f>
        <v>13000</v>
      </c>
    </row>
    <row r="396" spans="2:13">
      <c r="B396" s="173"/>
      <c r="D396" s="173"/>
      <c r="E396" s="187" t="s">
        <v>2748</v>
      </c>
      <c r="F396" s="173" t="str">
        <f t="shared" si="17"/>
        <v>请填写</v>
      </c>
      <c r="G396" s="173" t="e">
        <f>INDEX(服务费底表!$K:$K,MATCH('SOW-ERP导入表'!$E396,服务费底表!$D:$D,0))</f>
        <v>#N/A</v>
      </c>
      <c r="H396" s="183" t="e">
        <f>INDEX(服务费底表!L:L,MATCH('SOW-ERP导入表'!$E396,服务费底表!$D:$D,0))</f>
        <v>#N/A</v>
      </c>
      <c r="I396" s="173" t="e">
        <f>INDEX(服务费底表!$T:$T,MATCH('SOW-ERP导入表'!$E396,服务费底表!$D:$D,0))</f>
        <v>#N/A</v>
      </c>
      <c r="J396" s="184">
        <f>SUMIF(服务费底表!$D:$D,E396,服务费底表!$AC:$AC)+SUMIF(注册申报底表!$D:$D,'SOW-ERP导入表'!E396,注册申报底表!$Z:$Z)</f>
        <v>0</v>
      </c>
      <c r="K396" s="173">
        <f>IFERROR(INDEX(服务费底表!$C:$C,MATCH('SOW-ERP导入表'!$E396,服务费底表!$D:$D,0)),0)+IFERROR(INDEX(注册申报底表!$C:$C,MATCH('SOW-ERP导入表'!$E396,注册申报底表!$D:$D,0)),0)</f>
        <v>0</v>
      </c>
      <c r="L396" s="185">
        <f t="shared" si="20"/>
        <v>0</v>
      </c>
      <c r="M396" s="184">
        <f>SUMIF(服务费底表!$D:$D,E396,服务费底表!$AG:$AG)+SUMIF(注册申报底表!$D:$D,'SOW-ERP导入表'!E396,注册申报底表!$AD:$AD)</f>
        <v>0</v>
      </c>
    </row>
    <row r="397" spans="2:13">
      <c r="B397" s="173"/>
      <c r="D397" s="173"/>
      <c r="E397" s="187" t="s">
        <v>2749</v>
      </c>
      <c r="F397" s="173" t="str">
        <f t="shared" si="17"/>
        <v>请填写</v>
      </c>
      <c r="G397" s="173" t="str">
        <f>INDEX(服务费底表!$K:$K,MATCH('SOW-ERP导入表'!$E397,服务费底表!$D:$D,0))</f>
        <v>A149</v>
      </c>
      <c r="H397" s="183" t="str">
        <f>INDEX(服务费底表!L:L,MATCH('SOW-ERP导入表'!$E397,服务费底表!$D:$D,0))</f>
        <v>研究者手册版本更新</v>
      </c>
      <c r="I397" s="173" t="str">
        <f>INDEX(服务费底表!$T:$T,MATCH('SOW-ERP导入表'!$E397,服务费底表!$D:$D,0))</f>
        <v>MD</v>
      </c>
      <c r="J397" s="184">
        <f>SUMIF(服务费底表!$D:$D,E397,服务费底表!$AC:$AC)+SUMIF(注册申报底表!$D:$D,'SOW-ERP导入表'!E397,注册申报底表!$Z:$Z)</f>
        <v>4</v>
      </c>
      <c r="K397" s="173">
        <f>IFERROR(INDEX(服务费底表!$C:$C,MATCH('SOW-ERP导入表'!$E397,服务费底表!$D:$D,0)),0)+IFERROR(INDEX(注册申报底表!$C:$C,MATCH('SOW-ERP导入表'!$E397,注册申报底表!$D:$D,0)),0)</f>
        <v>1</v>
      </c>
      <c r="L397" s="185">
        <f t="shared" si="20"/>
        <v>3960</v>
      </c>
      <c r="M397" s="184">
        <f>SUMIF(服务费底表!$D:$D,E397,服务费底表!$AG:$AG)+SUMIF(注册申报底表!$D:$D,'SOW-ERP导入表'!E397,注册申报底表!$AD:$AD)</f>
        <v>3960</v>
      </c>
    </row>
    <row r="398" spans="2:13">
      <c r="B398" s="173"/>
      <c r="D398" s="173"/>
      <c r="E398" s="187" t="s">
        <v>2750</v>
      </c>
      <c r="F398" s="173" t="str">
        <f t="shared" si="17"/>
        <v>请填写</v>
      </c>
      <c r="G398" s="173" t="e">
        <f>INDEX(服务费底表!$K:$K,MATCH('SOW-ERP导入表'!$E398,服务费底表!$D:$D,0))</f>
        <v>#N/A</v>
      </c>
      <c r="H398" s="183" t="e">
        <f>INDEX(服务费底表!L:L,MATCH('SOW-ERP导入表'!$E398,服务费底表!$D:$D,0))</f>
        <v>#N/A</v>
      </c>
      <c r="I398" s="173" t="e">
        <f>INDEX(服务费底表!$T:$T,MATCH('SOW-ERP导入表'!$E398,服务费底表!$D:$D,0))</f>
        <v>#N/A</v>
      </c>
      <c r="J398" s="184">
        <f>SUMIF(服务费底表!$D:$D,E398,服务费底表!$AC:$AC)+SUMIF(注册申报底表!$D:$D,'SOW-ERP导入表'!E398,注册申报底表!$Z:$Z)</f>
        <v>0</v>
      </c>
      <c r="K398" s="173">
        <f>IFERROR(INDEX(服务费底表!$C:$C,MATCH('SOW-ERP导入表'!$E398,服务费底表!$D:$D,0)),0)+IFERROR(INDEX(注册申报底表!$C:$C,MATCH('SOW-ERP导入表'!$E398,注册申报底表!$D:$D,0)),0)</f>
        <v>0</v>
      </c>
      <c r="L398" s="185">
        <f t="shared" si="20"/>
        <v>0</v>
      </c>
      <c r="M398" s="184">
        <f>SUMIF(服务费底表!$D:$D,E398,服务费底表!$AG:$AG)+SUMIF(注册申报底表!$D:$D,'SOW-ERP导入表'!E398,注册申报底表!$AD:$AD)</f>
        <v>0</v>
      </c>
    </row>
    <row r="399" spans="2:13">
      <c r="B399" s="173"/>
      <c r="D399" s="173"/>
      <c r="E399" s="187" t="s">
        <v>2751</v>
      </c>
      <c r="F399" s="173" t="str">
        <f t="shared" ref="F399:F442" si="21">$F$2</f>
        <v>请填写</v>
      </c>
      <c r="G399" s="173" t="str">
        <f>INDEX(服务费底表!$K:$K,MATCH('SOW-ERP导入表'!$E399,服务费底表!$D:$D,0))</f>
        <v>A150</v>
      </c>
      <c r="H399" s="183" t="str">
        <f>INDEX(服务费底表!L:L,MATCH('SOW-ERP导入表'!$E399,服务费底表!$D:$D,0))</f>
        <v>研究总结报告撰写</v>
      </c>
      <c r="I399" s="173" t="str">
        <f>INDEX(服务费底表!$T:$T,MATCH('SOW-ERP导入表'!$E399,服务费底表!$D:$D,0))</f>
        <v>MM</v>
      </c>
      <c r="J399" s="184">
        <f>SUMIF(服务费底表!$D:$D,E399,服务费底表!$AC:$AC)+SUMIF(注册申报底表!$D:$D,'SOW-ERP导入表'!E399,注册申报底表!$Z:$Z)</f>
        <v>92</v>
      </c>
      <c r="K399" s="173">
        <f>IFERROR(INDEX(服务费底表!$C:$C,MATCH('SOW-ERP导入表'!$E399,服务费底表!$D:$D,0)),0)+IFERROR(INDEX(注册申报底表!$C:$C,MATCH('SOW-ERP导入表'!$E399,注册申报底表!$D:$D,0)),0)</f>
        <v>1</v>
      </c>
      <c r="L399" s="185">
        <f t="shared" si="20"/>
        <v>59800</v>
      </c>
      <c r="M399" s="184">
        <f>SUMIF(服务费底表!$D:$D,E399,服务费底表!$AG:$AG)+SUMIF(注册申报底表!$D:$D,'SOW-ERP导入表'!E399,注册申报底表!$AD:$AD)</f>
        <v>59800</v>
      </c>
    </row>
    <row r="400" spans="2:13">
      <c r="B400" s="173"/>
      <c r="D400" s="173"/>
      <c r="E400" s="187" t="s">
        <v>2752</v>
      </c>
      <c r="F400" s="173" t="str">
        <f t="shared" si="21"/>
        <v>请填写</v>
      </c>
      <c r="G400" s="173" t="str">
        <f>INDEX(服务费底表!$K:$K,MATCH('SOW-ERP导入表'!$E400,服务费底表!$D:$D,0))</f>
        <v>A150</v>
      </c>
      <c r="H400" s="183" t="str">
        <f>INDEX(服务费底表!L:L,MATCH('SOW-ERP导入表'!$E400,服务费底表!$D:$D,0))</f>
        <v>研究总结报告撰写</v>
      </c>
      <c r="I400" s="173" t="str">
        <f>INDEX(服务费底表!$T:$T,MATCH('SOW-ERP导入表'!$E400,服务费底表!$D:$D,0))</f>
        <v>ST</v>
      </c>
      <c r="J400" s="184">
        <f>SUMIF(服务费底表!$D:$D,E400,服务费底表!$AC:$AC)+SUMIF(注册申报底表!$D:$D,'SOW-ERP导入表'!E400,注册申报底表!$Z:$Z)</f>
        <v>0</v>
      </c>
      <c r="K400" s="173">
        <f>IFERROR(INDEX(服务费底表!$C:$C,MATCH('SOW-ERP导入表'!$E400,服务费底表!$D:$D,0)),0)+IFERROR(INDEX(注册申报底表!$C:$C,MATCH('SOW-ERP导入表'!$E400,注册申报底表!$D:$D,0)),0)</f>
        <v>1</v>
      </c>
      <c r="L400" s="185">
        <f t="shared" si="20"/>
        <v>0</v>
      </c>
      <c r="M400" s="184">
        <f>SUMIF(服务费底表!$D:$D,E400,服务费底表!$AG:$AG)+SUMIF(注册申报底表!$D:$D,'SOW-ERP导入表'!E400,注册申报底表!$AD:$AD)</f>
        <v>0</v>
      </c>
    </row>
    <row r="401" spans="2:17">
      <c r="B401" s="173"/>
      <c r="D401" s="173"/>
      <c r="E401" s="187" t="s">
        <v>2753</v>
      </c>
      <c r="F401" s="173" t="str">
        <f t="shared" si="21"/>
        <v>请填写</v>
      </c>
      <c r="G401" s="173" t="str">
        <f>INDEX(服务费底表!$K:$K,MATCH('SOW-ERP导入表'!$E401,服务费底表!$D:$D,0))</f>
        <v>A150</v>
      </c>
      <c r="H401" s="183" t="str">
        <f>INDEX(服务费底表!L:L,MATCH('SOW-ERP导入表'!$E401,服务费底表!$D:$D,0))</f>
        <v>研究总结报告撰写</v>
      </c>
      <c r="I401" s="173" t="str">
        <f>INDEX(服务费底表!$T:$T,MATCH('SOW-ERP导入表'!$E401,服务费底表!$D:$D,0))</f>
        <v>MD</v>
      </c>
      <c r="J401" s="184">
        <f>SUMIF(服务费底表!$D:$D,E401,服务费底表!$AC:$AC)+SUMIF(注册申报底表!$D:$D,'SOW-ERP导入表'!E401,注册申报底表!$Z:$Z)</f>
        <v>12</v>
      </c>
      <c r="K401" s="173">
        <f>IFERROR(INDEX(服务费底表!$C:$C,MATCH('SOW-ERP导入表'!$E401,服务费底表!$D:$D,0)),0)+IFERROR(INDEX(注册申报底表!$C:$C,MATCH('SOW-ERP导入表'!$E401,注册申报底表!$D:$D,0)),0)</f>
        <v>1</v>
      </c>
      <c r="L401" s="185">
        <f t="shared" si="20"/>
        <v>11880</v>
      </c>
      <c r="M401" s="184">
        <f>SUMIF(服务费底表!$D:$D,E401,服务费底表!$AG:$AG)+SUMIF(注册申报底表!$D:$D,'SOW-ERP导入表'!E401,注册申报底表!$AD:$AD)</f>
        <v>11880</v>
      </c>
    </row>
    <row r="402" spans="2:17">
      <c r="B402" s="173"/>
      <c r="D402" s="173"/>
      <c r="E402" s="187" t="s">
        <v>2754</v>
      </c>
      <c r="F402" s="173" t="str">
        <f t="shared" si="21"/>
        <v>请填写</v>
      </c>
      <c r="G402" s="173" t="str">
        <f>INDEX(服务费底表!$K:$K,MATCH('SOW-ERP导入表'!$E402,服务费底表!$D:$D,0))</f>
        <v>A150</v>
      </c>
      <c r="H402" s="183" t="str">
        <f>INDEX(服务费底表!L:L,MATCH('SOW-ERP导入表'!$E402,服务费底表!$D:$D,0))</f>
        <v>研究总结报告撰写</v>
      </c>
      <c r="I402" s="173" t="str">
        <f>INDEX(服务费底表!$T:$T,MATCH('SOW-ERP导入表'!$E402,服务费底表!$D:$D,0))</f>
        <v>CPS</v>
      </c>
      <c r="J402" s="184">
        <f>SUMIF(服务费底表!$D:$D,E402,服务费底表!$AC:$AC)+SUMIF(注册申报底表!$D:$D,'SOW-ERP导入表'!E402,注册申报底表!$Z:$Z)</f>
        <v>0</v>
      </c>
      <c r="K402" s="173">
        <f>IFERROR(INDEX(服务费底表!$C:$C,MATCH('SOW-ERP导入表'!$E402,服务费底表!$D:$D,0)),0)+IFERROR(INDEX(注册申报底表!$C:$C,MATCH('SOW-ERP导入表'!$E402,注册申报底表!$D:$D,0)),0)</f>
        <v>1</v>
      </c>
      <c r="L402" s="185">
        <f t="shared" ref="L402" si="22">IFERROR(M402/K402,0)</f>
        <v>0</v>
      </c>
      <c r="M402" s="184">
        <f>SUMIF(服务费底表!$D:$D,E402,服务费底表!$AG:$AG)+SUMIF(注册申报底表!$D:$D,'SOW-ERP导入表'!E402,注册申报底表!$AD:$AD)</f>
        <v>0</v>
      </c>
    </row>
    <row r="403" spans="2:17">
      <c r="B403" s="173"/>
      <c r="D403" s="173"/>
      <c r="E403" s="187" t="s">
        <v>2755</v>
      </c>
      <c r="F403" s="173" t="str">
        <f t="shared" si="21"/>
        <v>请填写</v>
      </c>
      <c r="G403" s="173" t="str">
        <f>INDEX(服务费底表!$K:$K,MATCH('SOW-ERP导入表'!$E403,服务费底表!$D:$D,0))</f>
        <v>A151</v>
      </c>
      <c r="H403" s="183" t="str">
        <f>INDEX(服务费底表!L:L,MATCH('SOW-ERP导入表'!$E403,服务费底表!$D:$D,0))</f>
        <v>SAE个案描述撰写</v>
      </c>
      <c r="I403" s="173" t="str">
        <f>INDEX(服务费底表!$T:$T,MATCH('SOW-ERP导入表'!$E403,服务费底表!$D:$D,0))</f>
        <v>MM</v>
      </c>
      <c r="J403" s="184">
        <f>SUMIF(服务费底表!$D:$D,E403,服务费底表!$AC:$AC)+SUMIF(注册申报底表!$D:$D,'SOW-ERP导入表'!E403,注册申报底表!$Z:$Z)</f>
        <v>18</v>
      </c>
      <c r="K403" s="173">
        <f>IFERROR(INDEX(服务费底表!$C:$C,MATCH('SOW-ERP导入表'!$E403,服务费底表!$D:$D,0)),0)+IFERROR(INDEX(注册申报底表!$C:$C,MATCH('SOW-ERP导入表'!$E403,注册申报底表!$D:$D,0)),0)</f>
        <v>9</v>
      </c>
      <c r="L403" s="185">
        <f t="shared" si="20"/>
        <v>1300</v>
      </c>
      <c r="M403" s="184">
        <f>SUMIF(服务费底表!$D:$D,E403,服务费底表!$AG:$AG)+SUMIF(注册申报底表!$D:$D,'SOW-ERP导入表'!E403,注册申报底表!$AD:$AD)</f>
        <v>11700</v>
      </c>
    </row>
    <row r="404" spans="2:17">
      <c r="B404" s="173"/>
      <c r="D404" s="173"/>
      <c r="E404" s="187" t="s">
        <v>2756</v>
      </c>
      <c r="F404" s="173" t="str">
        <f t="shared" si="21"/>
        <v>请填写</v>
      </c>
      <c r="G404" s="173" t="str">
        <f>INDEX(服务费底表!$K:$K,MATCH('SOW-ERP导入表'!$E404,服务费底表!$D:$D,0))</f>
        <v>A152</v>
      </c>
      <c r="H404" s="183" t="str">
        <f>INDEX(服务费底表!L:L,MATCH('SOW-ERP导入表'!$E404,服务费底表!$D:$D,0))</f>
        <v>其他报告撰写</v>
      </c>
      <c r="I404" s="173" t="str">
        <f>INDEX(服务费底表!$T:$T,MATCH('SOW-ERP导入表'!$E404,服务费底表!$D:$D,0))</f>
        <v>MM</v>
      </c>
      <c r="J404" s="184">
        <f>SUMIF(服务费底表!$D:$D,E404,服务费底表!$AC:$AC)+SUMIF(注册申报底表!$D:$D,'SOW-ERP导入表'!E404,注册申报底表!$Z:$Z)</f>
        <v>0</v>
      </c>
      <c r="K404" s="173">
        <f>IFERROR(INDEX(服务费底表!$C:$C,MATCH('SOW-ERP导入表'!$E404,服务费底表!$D:$D,0)),0)+IFERROR(INDEX(注册申报底表!$C:$C,MATCH('SOW-ERP导入表'!$E404,注册申报底表!$D:$D,0)),0)</f>
        <v>0</v>
      </c>
      <c r="L404" s="185">
        <f t="shared" si="20"/>
        <v>0</v>
      </c>
      <c r="M404" s="184">
        <f>SUMIF(服务费底表!$D:$D,E404,服务费底表!$AG:$AG)+SUMIF(注册申报底表!$D:$D,'SOW-ERP导入表'!E404,注册申报底表!$AD:$AD)</f>
        <v>0</v>
      </c>
    </row>
    <row r="405" spans="2:17">
      <c r="B405" s="173"/>
      <c r="D405" s="173"/>
      <c r="E405" s="187" t="s">
        <v>2757</v>
      </c>
      <c r="F405" s="173" t="str">
        <f t="shared" si="21"/>
        <v>请填写</v>
      </c>
      <c r="G405" s="173" t="str">
        <f>INDEX(服务费底表!$K:$K,MATCH('SOW-ERP导入表'!$E405,服务费底表!$D:$D,0))</f>
        <v>A152</v>
      </c>
      <c r="H405" s="183" t="str">
        <f>INDEX(服务费底表!L:L,MATCH('SOW-ERP导入表'!$E405,服务费底表!$D:$D,0))</f>
        <v>其他报告撰写</v>
      </c>
      <c r="I405" s="173" t="str">
        <f>INDEX(服务费底表!$T:$T,MATCH('SOW-ERP导入表'!$E405,服务费底表!$D:$D,0))</f>
        <v>MD</v>
      </c>
      <c r="J405" s="184">
        <f>SUMIF(服务费底表!$D:$D,E405,服务费底表!$AC:$AC)+SUMIF(注册申报底表!$D:$D,'SOW-ERP导入表'!E405,注册申报底表!$Z:$Z)</f>
        <v>0</v>
      </c>
      <c r="K405" s="173">
        <f>IFERROR(INDEX(服务费底表!$C:$C,MATCH('SOW-ERP导入表'!$E405,服务费底表!$D:$D,0)),0)+IFERROR(INDEX(注册申报底表!$C:$C,MATCH('SOW-ERP导入表'!$E405,注册申报底表!$D:$D,0)),0)</f>
        <v>0</v>
      </c>
      <c r="L405" s="185">
        <f t="shared" si="20"/>
        <v>0</v>
      </c>
      <c r="M405" s="184">
        <f>SUMIF(服务费底表!$D:$D,E405,服务费底表!$AG:$AG)+SUMIF(注册申报底表!$D:$D,'SOW-ERP导入表'!E405,注册申报底表!$AD:$AD)</f>
        <v>0</v>
      </c>
    </row>
    <row r="406" spans="2:17">
      <c r="B406" s="173"/>
      <c r="D406" s="173"/>
      <c r="E406" s="187" t="s">
        <v>2758</v>
      </c>
      <c r="F406" s="173" t="str">
        <f t="shared" si="21"/>
        <v>请填写</v>
      </c>
      <c r="G406" s="173" t="str">
        <f>INDEX(服务费底表!$K:$K,MATCH('SOW-ERP导入表'!$E406,服务费底表!$D:$D,0))</f>
        <v>A153</v>
      </c>
      <c r="H406" s="183" t="str">
        <f>INDEX(服务费底表!L:L,MATCH('SOW-ERP导入表'!$E406,服务费底表!$D:$D,0))</f>
        <v>召开非盲客户启动会</v>
      </c>
      <c r="I406" s="173" t="str">
        <f>INDEX(服务费底表!$T:$T,MATCH('SOW-ERP导入表'!$E406,服务费底表!$D:$D,0))</f>
        <v>PM</v>
      </c>
      <c r="J406" s="184">
        <f>SUMIF(服务费底表!$D:$D,E406,服务费底表!$AC:$AC)+SUMIF(注册申报底表!$D:$D,'SOW-ERP导入表'!E406,注册申报底表!$Z:$Z)</f>
        <v>0</v>
      </c>
      <c r="K406" s="173">
        <f>IFERROR(INDEX(服务费底表!$C:$C,MATCH('SOW-ERP导入表'!$E406,服务费底表!$D:$D,0)),0)+IFERROR(INDEX(注册申报底表!$C:$C,MATCH('SOW-ERP导入表'!$E406,注册申报底表!$D:$D,0)),0)</f>
        <v>0</v>
      </c>
      <c r="L406" s="185">
        <f t="shared" si="20"/>
        <v>0</v>
      </c>
      <c r="M406" s="184">
        <f>SUMIF(服务费底表!$D:$D,E406,服务费底表!$AG:$AG)+SUMIF(注册申报底表!$D:$D,'SOW-ERP导入表'!E406,注册申报底表!$AD:$AD)</f>
        <v>0</v>
      </c>
    </row>
    <row r="407" spans="2:17">
      <c r="B407" s="173"/>
      <c r="D407" s="173"/>
      <c r="E407" s="187" t="s">
        <v>2759</v>
      </c>
      <c r="F407" s="173" t="str">
        <f t="shared" si="21"/>
        <v>请填写</v>
      </c>
      <c r="G407" s="173" t="str">
        <f>INDEX(服务费底表!$K:$K,MATCH('SOW-ERP导入表'!$E407,服务费底表!$D:$D,0))</f>
        <v>A154</v>
      </c>
      <c r="H407" s="183" t="str">
        <f>INDEX(服务费底表!L:L,MATCH('SOW-ERP导入表'!$E407,服务费底表!$D:$D,0))</f>
        <v>非盲监查计划撰写</v>
      </c>
      <c r="I407" s="173" t="str">
        <f>INDEX(服务费底表!$T:$T,MATCH('SOW-ERP导入表'!$E407,服务费底表!$D:$D,0))</f>
        <v>PM</v>
      </c>
      <c r="J407" s="184">
        <f>SUMIF(服务费底表!$D:$D,E407,服务费底表!$AC:$AC)+SUMIF(注册申报底表!$D:$D,'SOW-ERP导入表'!E407,注册申报底表!$Z:$Z)</f>
        <v>0</v>
      </c>
      <c r="K407" s="173">
        <f>IFERROR(INDEX(服务费底表!$C:$C,MATCH('SOW-ERP导入表'!$E407,服务费底表!$D:$D,0)),0)+IFERROR(INDEX(注册申报底表!$C:$C,MATCH('SOW-ERP导入表'!$E407,注册申报底表!$D:$D,0)),0)</f>
        <v>0</v>
      </c>
      <c r="L407" s="185">
        <f t="shared" si="20"/>
        <v>0</v>
      </c>
      <c r="M407" s="184">
        <f>SUMIF(服务费底表!$D:$D,E407,服务费底表!$AG:$AG)+SUMIF(注册申报底表!$D:$D,'SOW-ERP导入表'!E407,注册申报底表!$AD:$AD)</f>
        <v>0</v>
      </c>
    </row>
    <row r="408" spans="2:17">
      <c r="B408" s="173"/>
      <c r="D408" s="173"/>
      <c r="E408" s="187" t="s">
        <v>2760</v>
      </c>
      <c r="F408" s="173" t="str">
        <f t="shared" si="21"/>
        <v>请填写</v>
      </c>
      <c r="G408" s="173" t="str">
        <f>INDEX(服务费底表!$K:$K,MATCH('SOW-ERP导入表'!$E408,服务费底表!$D:$D,0))</f>
        <v>A155</v>
      </c>
      <c r="H408" s="183" t="str">
        <f>INDEX(服务费底表!L:L,MATCH('SOW-ERP导入表'!$E408,服务费底表!$D:$D,0))</f>
        <v>非盲药物管理计划撰写</v>
      </c>
      <c r="I408" s="173" t="str">
        <f>INDEX(服务费底表!$T:$T,MATCH('SOW-ERP导入表'!$E408,服务费底表!$D:$D,0))</f>
        <v>PM</v>
      </c>
      <c r="J408" s="184">
        <f>SUMIF(服务费底表!$D:$D,E408,服务费底表!$AC:$AC)+SUMIF(注册申报底表!$D:$D,'SOW-ERP导入表'!E408,注册申报底表!$Z:$Z)</f>
        <v>0</v>
      </c>
      <c r="K408" s="173">
        <f>IFERROR(INDEX(服务费底表!$C:$C,MATCH('SOW-ERP导入表'!$E408,服务费底表!$D:$D,0)),0)+IFERROR(INDEX(注册申报底表!$C:$C,MATCH('SOW-ERP导入表'!$E408,注册申报底表!$D:$D,0)),0)</f>
        <v>0</v>
      </c>
      <c r="L408" s="185">
        <f t="shared" si="20"/>
        <v>0</v>
      </c>
      <c r="M408" s="184">
        <f>SUMIF(服务费底表!$D:$D,E408,服务费底表!$AG:$AG)+SUMIF(注册申报底表!$D:$D,'SOW-ERP导入表'!E408,注册申报底表!$AD:$AD)</f>
        <v>0</v>
      </c>
    </row>
    <row r="409" spans="2:17">
      <c r="B409" s="173"/>
      <c r="D409" s="173"/>
      <c r="E409" s="187" t="s">
        <v>2761</v>
      </c>
      <c r="F409" s="173" t="str">
        <f t="shared" si="21"/>
        <v>请填写</v>
      </c>
      <c r="G409" s="173" t="str">
        <f>INDEX(服务费底表!$K:$K,MATCH('SOW-ERP导入表'!$E409,服务费底表!$D:$D,0))</f>
        <v>A156</v>
      </c>
      <c r="H409" s="183" t="str">
        <f>INDEX(服务费底表!L:L,MATCH('SOW-ERP导入表'!$E409,服务费底表!$D:$D,0))</f>
        <v>非盲团队培训</v>
      </c>
      <c r="I409" s="173" t="str">
        <f>INDEX(服务费底表!$T:$T,MATCH('SOW-ERP导入表'!$E409,服务费底表!$D:$D,0))</f>
        <v>PM</v>
      </c>
      <c r="J409" s="184">
        <f>SUMIF(服务费底表!$D:$D,E409,服务费底表!$AC:$AC)+SUMIF(注册申报底表!$D:$D,'SOW-ERP导入表'!E409,注册申报底表!$Z:$Z)</f>
        <v>0</v>
      </c>
      <c r="K409" s="173">
        <f>IFERROR(INDEX(服务费底表!$C:$C,MATCH('SOW-ERP导入表'!$E409,服务费底表!$D:$D,0)),0)+IFERROR(INDEX(注册申报底表!$C:$C,MATCH('SOW-ERP导入表'!$E409,注册申报底表!$D:$D,0)),0)</f>
        <v>0</v>
      </c>
      <c r="L409" s="185">
        <f t="shared" si="20"/>
        <v>0</v>
      </c>
      <c r="M409" s="184">
        <f>SUMIF(服务费底表!$D:$D,E409,服务费底表!$AG:$AG)+SUMIF(注册申报底表!$D:$D,'SOW-ERP导入表'!E409,注册申报底表!$AD:$AD)</f>
        <v>0</v>
      </c>
    </row>
    <row r="410" spans="2:17">
      <c r="B410" s="173"/>
      <c r="D410" s="173"/>
      <c r="E410" s="187" t="s">
        <v>2762</v>
      </c>
      <c r="F410" s="173" t="str">
        <f t="shared" si="21"/>
        <v>请填写</v>
      </c>
      <c r="G410" s="173" t="str">
        <f>INDEX(服务费底表!$K:$K,MATCH('SOW-ERP导入表'!$E410,服务费底表!$D:$D,0))</f>
        <v>A156</v>
      </c>
      <c r="H410" s="183" t="str">
        <f>INDEX(服务费底表!L:L,MATCH('SOW-ERP导入表'!$E410,服务费底表!$D:$D,0))</f>
        <v>非盲团队培训</v>
      </c>
      <c r="I410" s="173" t="str">
        <f>INDEX(服务费底表!$T:$T,MATCH('SOW-ERP导入表'!$E410,服务费底表!$D:$D,0))</f>
        <v>CRA</v>
      </c>
      <c r="J410" s="184">
        <f>SUMIF(服务费底表!$D:$D,E410,服务费底表!$AC:$AC)+SUMIF(注册申报底表!$D:$D,'SOW-ERP导入表'!E410,注册申报底表!$Z:$Z)</f>
        <v>0</v>
      </c>
      <c r="K410" s="173">
        <f>IFERROR(INDEX(服务费底表!$C:$C,MATCH('SOW-ERP导入表'!$E410,服务费底表!$D:$D,0)),0)+IFERROR(INDEX(注册申报底表!$C:$C,MATCH('SOW-ERP导入表'!$E410,注册申报底表!$D:$D,0)),0)</f>
        <v>0</v>
      </c>
      <c r="L410" s="185">
        <f t="shared" si="20"/>
        <v>0</v>
      </c>
      <c r="M410" s="184">
        <f>SUMIF(服务费底表!$D:$D,E410,服务费底表!$AG:$AG)+SUMIF(注册申报底表!$D:$D,'SOW-ERP导入表'!E410,注册申报底表!$AD:$AD)</f>
        <v>0</v>
      </c>
    </row>
    <row r="411" spans="2:17">
      <c r="B411" s="173"/>
      <c r="D411" s="173"/>
      <c r="E411" s="187" t="s">
        <v>2763</v>
      </c>
      <c r="F411" s="173" t="str">
        <f t="shared" si="21"/>
        <v>请填写</v>
      </c>
      <c r="G411" s="173" t="str">
        <f>INDEX(服务费底表!$K:$K,MATCH('SOW-ERP导入表'!$E411,服务费底表!$D:$D,0))</f>
        <v>A157</v>
      </c>
      <c r="H411" s="183" t="str">
        <f>INDEX(服务费底表!L:L,MATCH('SOW-ERP导入表'!$E411,服务费底表!$D:$D,0))</f>
        <v>召开非盲监查员会</v>
      </c>
      <c r="I411" s="173" t="str">
        <f>INDEX(服务费底表!$T:$T,MATCH('SOW-ERP导入表'!$E411,服务费底表!$D:$D,0))</f>
        <v>CRA</v>
      </c>
      <c r="J411" s="184">
        <f>SUMIF(服务费底表!$D:$D,E411,服务费底表!$AC:$AC)+SUMIF(注册申报底表!$D:$D,'SOW-ERP导入表'!E411,注册申报底表!$Z:$Z)</f>
        <v>0</v>
      </c>
      <c r="K411" s="173">
        <f>IFERROR(INDEX(服务费底表!$C:$C,MATCH('SOW-ERP导入表'!$E411,服务费底表!$D:$D,0)),0)+IFERROR(INDEX(注册申报底表!$C:$C,MATCH('SOW-ERP导入表'!$E411,注册申报底表!$D:$D,0)),0)</f>
        <v>0</v>
      </c>
      <c r="L411" s="185">
        <f t="shared" si="20"/>
        <v>0</v>
      </c>
      <c r="M411" s="184">
        <f>SUMIF(服务费底表!$D:$D,E411,服务费底表!$AG:$AG)+SUMIF(注册申报底表!$D:$D,'SOW-ERP导入表'!E411,注册申报底表!$AD:$AD)</f>
        <v>0</v>
      </c>
    </row>
    <row r="412" spans="2:17">
      <c r="B412" s="173"/>
      <c r="D412" s="173"/>
      <c r="E412" s="187" t="s">
        <v>2764</v>
      </c>
      <c r="F412" s="173" t="str">
        <f t="shared" si="21"/>
        <v>请填写</v>
      </c>
      <c r="G412" s="173" t="str">
        <f>INDEX(服务费底表!$K:$K,MATCH('SOW-ERP导入表'!$E412,服务费底表!$D:$D,0))</f>
        <v>A157</v>
      </c>
      <c r="H412" s="183" t="str">
        <f>INDEX(服务费底表!L:L,MATCH('SOW-ERP导入表'!$E412,服务费底表!$D:$D,0))</f>
        <v>召开非盲监查员会</v>
      </c>
      <c r="I412" s="173" t="str">
        <f>INDEX(服务费底表!$T:$T,MATCH('SOW-ERP导入表'!$E412,服务费底表!$D:$D,0))</f>
        <v>PM</v>
      </c>
      <c r="J412" s="184">
        <f>SUMIF(服务费底表!$D:$D,E412,服务费底表!$AC:$AC)+SUMIF(注册申报底表!$D:$D,'SOW-ERP导入表'!E412,注册申报底表!$Z:$Z)</f>
        <v>0</v>
      </c>
      <c r="K412" s="173">
        <f>IFERROR(INDEX(服务费底表!$C:$C,MATCH('SOW-ERP导入表'!$E412,服务费底表!$D:$D,0)),0)+IFERROR(INDEX(注册申报底表!$C:$C,MATCH('SOW-ERP导入表'!$E412,注册申报底表!$D:$D,0)),0)</f>
        <v>0</v>
      </c>
      <c r="L412" s="185">
        <f t="shared" si="20"/>
        <v>0</v>
      </c>
      <c r="M412" s="184">
        <f>SUMIF(服务费底表!$D:$D,E412,服务费底表!$AG:$AG)+SUMIF(注册申报底表!$D:$D,'SOW-ERP导入表'!E412,注册申报底表!$AD:$AD)</f>
        <v>0</v>
      </c>
    </row>
    <row r="413" spans="2:17">
      <c r="B413" s="173"/>
      <c r="D413" s="173"/>
      <c r="E413" s="187" t="s">
        <v>2765</v>
      </c>
      <c r="F413" s="173" t="str">
        <f t="shared" si="21"/>
        <v>请填写</v>
      </c>
      <c r="G413" s="173" t="str">
        <f>INDEX(服务费底表!$K:$K,MATCH('SOW-ERP导入表'!$E413,服务费底表!$D:$D,0))</f>
        <v>A158</v>
      </c>
      <c r="H413" s="183" t="str">
        <f>INDEX(服务费底表!L:L,MATCH('SOW-ERP导入表'!$E413,服务费底表!$D:$D,0))</f>
        <v>召开非盲客户电话会</v>
      </c>
      <c r="I413" s="173" t="str">
        <f>INDEX(服务费底表!$T:$T,MATCH('SOW-ERP导入表'!$E413,服务费底表!$D:$D,0))</f>
        <v>PM</v>
      </c>
      <c r="J413" s="184">
        <f>SUMIF(服务费底表!$D:$D,E413,服务费底表!$AC:$AC)+SUMIF(注册申报底表!$D:$D,'SOW-ERP导入表'!E413,注册申报底表!$Z:$Z)</f>
        <v>0</v>
      </c>
      <c r="K413" s="173">
        <f>IFERROR(INDEX(服务费底表!$C:$C,MATCH('SOW-ERP导入表'!$E413,服务费底表!$D:$D,0)),0)+IFERROR(INDEX(注册申报底表!$C:$C,MATCH('SOW-ERP导入表'!$E413,注册申报底表!$D:$D,0)),0)</f>
        <v>0</v>
      </c>
      <c r="L413" s="185">
        <f t="shared" si="20"/>
        <v>0</v>
      </c>
      <c r="M413" s="184">
        <f>SUMIF(服务费底表!$D:$D,E413,服务费底表!$AG:$AG)+SUMIF(注册申报底表!$D:$D,'SOW-ERP导入表'!E413,注册申报底表!$AD:$AD)</f>
        <v>0</v>
      </c>
    </row>
    <row r="414" spans="2:17">
      <c r="B414" s="173"/>
      <c r="D414" s="173"/>
      <c r="E414" s="187" t="s">
        <v>2766</v>
      </c>
      <c r="F414" s="173" t="str">
        <f t="shared" si="21"/>
        <v>请填写</v>
      </c>
      <c r="G414" s="173" t="str">
        <f>INDEX(服务费底表!$K:$K,MATCH('SOW-ERP导入表'!$E414,服务费底表!$D:$D,0))</f>
        <v>A159</v>
      </c>
      <c r="H414" s="183" t="str">
        <f>INDEX(服务费底表!L:L,MATCH('SOW-ERP导入表'!$E414,服务费底表!$D:$D,0))</f>
        <v>非盲启动访视</v>
      </c>
      <c r="I414" s="173" t="str">
        <f>INDEX(服务费底表!$T:$T,MATCH('SOW-ERP导入表'!$E414,服务费底表!$D:$D,0))</f>
        <v>CRA</v>
      </c>
      <c r="J414" s="184">
        <f>SUMIF(服务费底表!$D:$D,E414,服务费底表!$AC:$AC)+SUMIF(注册申报底表!$D:$D,'SOW-ERP导入表'!E414,注册申报底表!$Z:$Z)</f>
        <v>0</v>
      </c>
      <c r="K414" s="173">
        <f>IFERROR(INDEX(服务费底表!$C:$C,MATCH('SOW-ERP导入表'!$E414,服务费底表!$D:$D,0)),0)+IFERROR(INDEX(注册申报底表!$C:$C,MATCH('SOW-ERP导入表'!$E414,注册申报底表!$D:$D,0)),0)</f>
        <v>0</v>
      </c>
      <c r="L414" s="185">
        <f t="shared" si="20"/>
        <v>0</v>
      </c>
      <c r="M414" s="184">
        <f>SUMIF(服务费底表!$D:$D,E414,服务费底表!$AG:$AG)+SUMIF(注册申报底表!$D:$D,'SOW-ERP导入表'!E414,注册申报底表!$AD:$AD)</f>
        <v>0</v>
      </c>
    </row>
    <row r="415" spans="2:17">
      <c r="B415" s="173"/>
      <c r="D415" s="173"/>
      <c r="E415" s="187" t="s">
        <v>2767</v>
      </c>
      <c r="F415" s="173" t="str">
        <f t="shared" si="21"/>
        <v>请填写</v>
      </c>
      <c r="G415" s="173" t="str">
        <f>INDEX(服务费底表!$K:$K,MATCH('SOW-ERP导入表'!$E415,服务费底表!$D:$D,0))</f>
        <v>A159</v>
      </c>
      <c r="H415" s="183" t="str">
        <f>INDEX(服务费底表!L:L,MATCH('SOW-ERP导入表'!$E415,服务费底表!$D:$D,0))</f>
        <v>非盲启动访视</v>
      </c>
      <c r="I415" s="173" t="str">
        <f>INDEX(服务费底表!$T:$T,MATCH('SOW-ERP导入表'!$E415,服务费底表!$D:$D,0))</f>
        <v>PM</v>
      </c>
      <c r="J415" s="184">
        <f>SUMIF(服务费底表!$D:$D,E415,服务费底表!$AC:$AC)+SUMIF(注册申报底表!$D:$D,'SOW-ERP导入表'!E415,注册申报底表!$Z:$Z)</f>
        <v>0</v>
      </c>
      <c r="K415" s="173">
        <f>IFERROR(INDEX(服务费底表!$C:$C,MATCH('SOW-ERP导入表'!$E415,服务费底表!$D:$D,0)),0)+IFERROR(INDEX(注册申报底表!$C:$C,MATCH('SOW-ERP导入表'!$E415,注册申报底表!$D:$D,0)),0)</f>
        <v>0</v>
      </c>
      <c r="L415" s="185">
        <f t="shared" si="20"/>
        <v>0</v>
      </c>
      <c r="M415" s="184">
        <f>SUMIF(服务费底表!$D:$D,E415,服务费底表!$AG:$AG)+SUMIF(注册申报底表!$D:$D,'SOW-ERP导入表'!E415,注册申报底表!$AD:$AD)</f>
        <v>0</v>
      </c>
      <c r="Q415"/>
    </row>
    <row r="416" spans="2:17">
      <c r="B416" s="173"/>
      <c r="D416" s="173"/>
      <c r="E416" s="187" t="s">
        <v>2768</v>
      </c>
      <c r="F416" s="173" t="str">
        <f t="shared" si="21"/>
        <v>请填写</v>
      </c>
      <c r="G416" s="173" t="str">
        <f>INDEX(服务费底表!$K:$K,MATCH('SOW-ERP导入表'!$E416,服务费底表!$D:$D,0))</f>
        <v>A160</v>
      </c>
      <c r="H416" s="183" t="str">
        <f>INDEX(服务费底表!L:L,MATCH('SOW-ERP导入表'!$E416,服务费底表!$D:$D,0))</f>
        <v>非盲常规监查访视</v>
      </c>
      <c r="I416" s="173" t="str">
        <f>INDEX(服务费底表!$T:$T,MATCH('SOW-ERP导入表'!$E416,服务费底表!$D:$D,0))</f>
        <v>CRA</v>
      </c>
      <c r="J416" s="184">
        <f>SUMIF(服务费底表!$D:$D,E416,服务费底表!$AC:$AC)+SUMIF(注册申报底表!$D:$D,'SOW-ERP导入表'!E416,注册申报底表!$Z:$Z)</f>
        <v>0</v>
      </c>
      <c r="K416" s="173">
        <f>IFERROR(INDEX(服务费底表!$C:$C,MATCH('SOW-ERP导入表'!$E416,服务费底表!$D:$D,0)),0)+IFERROR(INDEX(注册申报底表!$C:$C,MATCH('SOW-ERP导入表'!$E416,注册申报底表!$D:$D,0)),0)</f>
        <v>0</v>
      </c>
      <c r="L416" s="185">
        <f t="shared" si="20"/>
        <v>0</v>
      </c>
      <c r="M416" s="184">
        <f>SUMIF(服务费底表!$D:$D,E416,服务费底表!$AG:$AG)+SUMIF(注册申报底表!$D:$D,'SOW-ERP导入表'!E416,注册申报底表!$AD:$AD)</f>
        <v>0</v>
      </c>
      <c r="Q416"/>
    </row>
    <row r="417" spans="2:17">
      <c r="B417" s="173"/>
      <c r="D417" s="173"/>
      <c r="E417" s="187" t="s">
        <v>2769</v>
      </c>
      <c r="F417" s="173" t="str">
        <f t="shared" si="21"/>
        <v>请填写</v>
      </c>
      <c r="G417" s="173" t="str">
        <f>INDEX(服务费底表!$K:$K,MATCH('SOW-ERP导入表'!$E417,服务费底表!$D:$D,0))</f>
        <v>A160</v>
      </c>
      <c r="H417" s="183" t="str">
        <f>INDEX(服务费底表!L:L,MATCH('SOW-ERP导入表'!$E417,服务费底表!$D:$D,0))</f>
        <v>非盲常规监查访视</v>
      </c>
      <c r="I417" s="173" t="str">
        <f>INDEX(服务费底表!$T:$T,MATCH('SOW-ERP导入表'!$E417,服务费底表!$D:$D,0))</f>
        <v>PM</v>
      </c>
      <c r="J417" s="184">
        <f>SUMIF(服务费底表!$D:$D,E417,服务费底表!$AC:$AC)+SUMIF(注册申报底表!$D:$D,'SOW-ERP导入表'!E417,注册申报底表!$Z:$Z)</f>
        <v>0</v>
      </c>
      <c r="K417" s="173">
        <f>IFERROR(INDEX(服务费底表!$C:$C,MATCH('SOW-ERP导入表'!$E417,服务费底表!$D:$D,0)),0)+IFERROR(INDEX(注册申报底表!$C:$C,MATCH('SOW-ERP导入表'!$E417,注册申报底表!$D:$D,0)),0)</f>
        <v>0</v>
      </c>
      <c r="L417" s="185">
        <f t="shared" si="20"/>
        <v>0</v>
      </c>
      <c r="M417" s="184">
        <f>SUMIF(服务费底表!$D:$D,E417,服务费底表!$AG:$AG)+SUMIF(注册申报底表!$D:$D,'SOW-ERP导入表'!E417,注册申报底表!$AD:$AD)</f>
        <v>0</v>
      </c>
      <c r="Q417"/>
    </row>
    <row r="418" spans="2:17">
      <c r="B418" s="173"/>
      <c r="D418" s="173"/>
      <c r="E418" s="187" t="s">
        <v>2770</v>
      </c>
      <c r="F418" s="173" t="str">
        <f t="shared" si="21"/>
        <v>请填写</v>
      </c>
      <c r="G418" s="173" t="str">
        <f>INDEX(服务费底表!$K:$K,MATCH('SOW-ERP导入表'!$E418,服务费底表!$D:$D,0))</f>
        <v>A161</v>
      </c>
      <c r="H418" s="183" t="str">
        <f>INDEX(服务费底表!L:L,MATCH('SOW-ERP导入表'!$E418,服务费底表!$D:$D,0))</f>
        <v>非盲中心日常支持和管理</v>
      </c>
      <c r="I418" s="173" t="str">
        <f>INDEX(服务费底表!$T:$T,MATCH('SOW-ERP导入表'!$E418,服务费底表!$D:$D,0))</f>
        <v>CRA</v>
      </c>
      <c r="J418" s="184">
        <f>SUMIF(服务费底表!$D:$D,E418,服务费底表!$AC:$AC)+SUMIF(注册申报底表!$D:$D,'SOW-ERP导入表'!E418,注册申报底表!$Z:$Z)</f>
        <v>0</v>
      </c>
      <c r="K418" s="173">
        <f>IFERROR(INDEX(服务费底表!$C:$C,MATCH('SOW-ERP导入表'!$E418,服务费底表!$D:$D,0)),0)+IFERROR(INDEX(注册申报底表!$C:$C,MATCH('SOW-ERP导入表'!$E418,注册申报底表!$D:$D,0)),0)</f>
        <v>0</v>
      </c>
      <c r="L418" s="185">
        <f t="shared" si="20"/>
        <v>0</v>
      </c>
      <c r="M418" s="184">
        <f>SUMIF(服务费底表!$D:$D,E418,服务费底表!$AG:$AG)+SUMIF(注册申报底表!$D:$D,'SOW-ERP导入表'!E418,注册申报底表!$AD:$AD)</f>
        <v>0</v>
      </c>
    </row>
    <row r="419" spans="2:17">
      <c r="B419" s="173"/>
      <c r="D419" s="173"/>
      <c r="E419" s="187" t="s">
        <v>2771</v>
      </c>
      <c r="F419" s="173" t="str">
        <f t="shared" si="21"/>
        <v>请填写</v>
      </c>
      <c r="G419" s="173" t="str">
        <f>INDEX(服务费底表!$K:$K,MATCH('SOW-ERP导入表'!$E419,服务费底表!$D:$D,0))</f>
        <v>A162</v>
      </c>
      <c r="H419" s="183" t="str">
        <f>INDEX(服务费底表!L:L,MATCH('SOW-ERP导入表'!$E419,服务费底表!$D:$D,0))</f>
        <v>非盲文件管理</v>
      </c>
      <c r="I419" s="173" t="str">
        <f>INDEX(服务费底表!$T:$T,MATCH('SOW-ERP导入表'!$E419,服务费底表!$D:$D,0))</f>
        <v>CRA</v>
      </c>
      <c r="J419" s="184">
        <f>SUMIF(服务费底表!$D:$D,E419,服务费底表!$AC:$AC)+SUMIF(注册申报底表!$D:$D,'SOW-ERP导入表'!E419,注册申报底表!$Z:$Z)</f>
        <v>0</v>
      </c>
      <c r="K419" s="173">
        <f>IFERROR(INDEX(服务费底表!$C:$C,MATCH('SOW-ERP导入表'!$E419,服务费底表!$D:$D,0)),0)+IFERROR(INDEX(注册申报底表!$C:$C,MATCH('SOW-ERP导入表'!$E419,注册申报底表!$D:$D,0)),0)</f>
        <v>0</v>
      </c>
      <c r="L419" s="185">
        <f t="shared" si="20"/>
        <v>0</v>
      </c>
      <c r="M419" s="184">
        <f>SUMIF(服务费底表!$D:$D,E419,服务费底表!$AG:$AG)+SUMIF(注册申报底表!$D:$D,'SOW-ERP导入表'!E419,注册申报底表!$AD:$AD)</f>
        <v>0</v>
      </c>
    </row>
    <row r="420" spans="2:17">
      <c r="B420" s="173"/>
      <c r="D420" s="173"/>
      <c r="E420" s="187" t="s">
        <v>2772</v>
      </c>
      <c r="F420" s="173" t="str">
        <f t="shared" si="21"/>
        <v>请填写</v>
      </c>
      <c r="G420" s="173" t="str">
        <f>INDEX(服务费底表!$K:$K,MATCH('SOW-ERP导入表'!$E420,服务费底表!$D:$D,0))</f>
        <v>A162</v>
      </c>
      <c r="H420" s="183" t="str">
        <f>INDEX(服务费底表!L:L,MATCH('SOW-ERP导入表'!$E420,服务费底表!$D:$D,0))</f>
        <v>非盲文件管理</v>
      </c>
      <c r="I420" s="173" t="str">
        <f>INDEX(服务费底表!$T:$T,MATCH('SOW-ERP导入表'!$E420,服务费底表!$D:$D,0))</f>
        <v>PM</v>
      </c>
      <c r="J420" s="184">
        <f>SUMIF(服务费底表!$D:$D,E420,服务费底表!$AC:$AC)+SUMIF(注册申报底表!$D:$D,'SOW-ERP导入表'!E420,注册申报底表!$Z:$Z)</f>
        <v>0</v>
      </c>
      <c r="K420" s="173">
        <f>IFERROR(INDEX(服务费底表!$C:$C,MATCH('SOW-ERP导入表'!$E420,服务费底表!$D:$D,0)),0)+IFERROR(INDEX(注册申报底表!$C:$C,MATCH('SOW-ERP导入表'!$E420,注册申报底表!$D:$D,0)),0)</f>
        <v>0</v>
      </c>
      <c r="L420" s="185">
        <f t="shared" si="20"/>
        <v>0</v>
      </c>
      <c r="M420" s="184">
        <f>SUMIF(服务费底表!$D:$D,E420,服务费底表!$AG:$AG)+SUMIF(注册申报底表!$D:$D,'SOW-ERP导入表'!E420,注册申报底表!$AD:$AD)</f>
        <v>0</v>
      </c>
    </row>
    <row r="421" spans="2:17">
      <c r="B421" s="173"/>
      <c r="D421" s="173"/>
      <c r="E421" s="187" t="s">
        <v>2773</v>
      </c>
      <c r="F421" s="173" t="str">
        <f t="shared" si="21"/>
        <v>请填写</v>
      </c>
      <c r="G421" s="173" t="str">
        <f>INDEX(服务费底表!$K:$K,MATCH('SOW-ERP导入表'!$E421,服务费底表!$D:$D,0))</f>
        <v>A163</v>
      </c>
      <c r="H421" s="183" t="str">
        <f>INDEX(服务费底表!L:L,MATCH('SOW-ERP导入表'!$E421,服务费底表!$D:$D,0))</f>
        <v>非盲项目管理</v>
      </c>
      <c r="I421" s="173" t="str">
        <f>INDEX(服务费底表!$T:$T,MATCH('SOW-ERP导入表'!$E421,服务费底表!$D:$D,0))</f>
        <v>PM</v>
      </c>
      <c r="J421" s="184">
        <f>SUMIF(服务费底表!$D:$D,E421,服务费底表!$AC:$AC)+SUMIF(注册申报底表!$D:$D,'SOW-ERP导入表'!E421,注册申报底表!$Z:$Z)</f>
        <v>0</v>
      </c>
      <c r="K421" s="173">
        <f>IFERROR(INDEX(服务费底表!$C:$C,MATCH('SOW-ERP导入表'!$E421,服务费底表!$D:$D,0)),0)+IFERROR(INDEX(注册申报底表!$C:$C,MATCH('SOW-ERP导入表'!$E421,注册申报底表!$D:$D,0)),0)</f>
        <v>0</v>
      </c>
      <c r="L421" s="185">
        <f t="shared" si="20"/>
        <v>0</v>
      </c>
      <c r="M421" s="184">
        <f>SUMIF(服务费底表!$D:$D,E421,服务费底表!$AG:$AG)+SUMIF(注册申报底表!$D:$D,'SOW-ERP导入表'!E421,注册申报底表!$AD:$AD)</f>
        <v>0</v>
      </c>
    </row>
    <row r="422" spans="2:17">
      <c r="B422" s="173"/>
      <c r="D422" s="173"/>
      <c r="E422" s="187" t="s">
        <v>2774</v>
      </c>
      <c r="F422" s="173" t="str">
        <f t="shared" si="21"/>
        <v>请填写</v>
      </c>
      <c r="G422" s="173" t="str">
        <f>INDEX(服务费底表!$K:$K,MATCH('SOW-ERP导入表'!$E422,服务费底表!$D:$D,0))</f>
        <v>A164</v>
      </c>
      <c r="H422" s="183" t="str">
        <f>INDEX(服务费底表!L:L,MATCH('SOW-ERP导入表'!$E422,服务费底表!$D:$D,0))</f>
        <v>稽查计划撰写</v>
      </c>
      <c r="I422" s="173" t="str">
        <f>INDEX(服务费底表!$T:$T,MATCH('SOW-ERP导入表'!$E422,服务费底表!$D:$D,0))</f>
        <v>QAM</v>
      </c>
      <c r="J422" s="184">
        <f>SUMIF(服务费底表!$D:$D,E422,服务费底表!$AC:$AC)+SUMIF(注册申报底表!$D:$D,'SOW-ERP导入表'!E422,注册申报底表!$Z:$Z)</f>
        <v>0</v>
      </c>
      <c r="K422" s="173">
        <f>IFERROR(INDEX(服务费底表!$C:$C,MATCH('SOW-ERP导入表'!$E422,服务费底表!$D:$D,0)),0)+IFERROR(INDEX(注册申报底表!$C:$C,MATCH('SOW-ERP导入表'!$E422,注册申报底表!$D:$D,0)),0)</f>
        <v>0</v>
      </c>
      <c r="L422" s="185">
        <f t="shared" si="20"/>
        <v>0</v>
      </c>
      <c r="M422" s="184">
        <f>SUMIF(服务费底表!$D:$D,E422,服务费底表!$AG:$AG)+SUMIF(注册申报底表!$D:$D,'SOW-ERP导入表'!E422,注册申报底表!$AD:$AD)</f>
        <v>0</v>
      </c>
    </row>
    <row r="423" spans="2:17">
      <c r="B423" s="173"/>
      <c r="D423" s="173"/>
      <c r="E423" s="187" t="s">
        <v>2775</v>
      </c>
      <c r="F423" s="173" t="str">
        <f t="shared" si="21"/>
        <v>请填写</v>
      </c>
      <c r="G423" s="173" t="str">
        <f>INDEX(服务费底表!$K:$K,MATCH('SOW-ERP导入表'!$E423,服务费底表!$D:$D,0))</f>
        <v>A164</v>
      </c>
      <c r="H423" s="183" t="str">
        <f>INDEX(服务费底表!L:L,MATCH('SOW-ERP导入表'!$E423,服务费底表!$D:$D,0))</f>
        <v>稽查计划撰写</v>
      </c>
      <c r="I423" s="173" t="str">
        <f>INDEX(服务费底表!$T:$T,MATCH('SOW-ERP导入表'!$E423,服务费底表!$D:$D,0))</f>
        <v>QAD</v>
      </c>
      <c r="J423" s="184">
        <f>SUMIF(服务费底表!$D:$D,E423,服务费底表!$AC:$AC)+SUMIF(注册申报底表!$D:$D,'SOW-ERP导入表'!E423,注册申报底表!$Z:$Z)</f>
        <v>0</v>
      </c>
      <c r="K423" s="173">
        <f>IFERROR(INDEX(服务费底表!$C:$C,MATCH('SOW-ERP导入表'!$E423,服务费底表!$D:$D,0)),0)+IFERROR(INDEX(注册申报底表!$C:$C,MATCH('SOW-ERP导入表'!$E423,注册申报底表!$D:$D,0)),0)</f>
        <v>0</v>
      </c>
      <c r="L423" s="185">
        <f t="shared" si="20"/>
        <v>0</v>
      </c>
      <c r="M423" s="184">
        <f>SUMIF(服务费底表!$D:$D,E423,服务费底表!$AG:$AG)+SUMIF(注册申报底表!$D:$D,'SOW-ERP导入表'!E423,注册申报底表!$AD:$AD)</f>
        <v>0</v>
      </c>
    </row>
    <row r="424" spans="2:17">
      <c r="B424" s="173"/>
      <c r="D424" s="173"/>
      <c r="E424" s="187" t="s">
        <v>2776</v>
      </c>
      <c r="F424" s="173" t="str">
        <f t="shared" si="21"/>
        <v>请填写</v>
      </c>
      <c r="G424" s="173" t="str">
        <f>INDEX(服务费底表!$K:$K,MATCH('SOW-ERP导入表'!$E424,服务费底表!$D:$D,0))</f>
        <v>A165</v>
      </c>
      <c r="H424" s="183" t="str">
        <f>INDEX(服务费底表!L:L,MATCH('SOW-ERP导入表'!$E424,服务费底表!$D:$D,0))</f>
        <v>研究中心稽查</v>
      </c>
      <c r="I424" s="173" t="str">
        <f>INDEX(服务费底表!$T:$T,MATCH('SOW-ERP导入表'!$E424,服务费底表!$D:$D,0))</f>
        <v>QAS</v>
      </c>
      <c r="J424" s="184">
        <f>SUMIF(服务费底表!$D:$D,E424,服务费底表!$AC:$AC)+SUMIF(注册申报底表!$D:$D,'SOW-ERP导入表'!E424,注册申报底表!$Z:$Z)</f>
        <v>0</v>
      </c>
      <c r="K424" s="173">
        <f>IFERROR(INDEX(服务费底表!$C:$C,MATCH('SOW-ERP导入表'!$E424,服务费底表!$D:$D,0)),0)+IFERROR(INDEX(注册申报底表!$C:$C,MATCH('SOW-ERP导入表'!$E424,注册申报底表!$D:$D,0)),0)</f>
        <v>0</v>
      </c>
      <c r="L424" s="185">
        <f t="shared" si="20"/>
        <v>0</v>
      </c>
      <c r="M424" s="184">
        <f>SUMIF(服务费底表!$D:$D,E424,服务费底表!$AG:$AG)+SUMIF(注册申报底表!$D:$D,'SOW-ERP导入表'!E424,注册申报底表!$AD:$AD)</f>
        <v>0</v>
      </c>
    </row>
    <row r="425" spans="2:17">
      <c r="B425" s="173"/>
      <c r="D425" s="173"/>
      <c r="E425" s="187" t="s">
        <v>2777</v>
      </c>
      <c r="F425" s="173" t="str">
        <f t="shared" si="21"/>
        <v>请填写</v>
      </c>
      <c r="G425" s="173" t="str">
        <f>INDEX(服务费底表!$K:$K,MATCH('SOW-ERP导入表'!$E425,服务费底表!$D:$D,0))</f>
        <v>A165</v>
      </c>
      <c r="H425" s="183" t="str">
        <f>INDEX(服务费底表!L:L,MATCH('SOW-ERP导入表'!$E425,服务费底表!$D:$D,0))</f>
        <v>研究中心稽查</v>
      </c>
      <c r="I425" s="173" t="str">
        <f>INDEX(服务费底表!$T:$T,MATCH('SOW-ERP导入表'!$E425,服务费底表!$D:$D,0))</f>
        <v>QAM</v>
      </c>
      <c r="J425" s="184">
        <f>SUMIF(服务费底表!$D:$D,E425,服务费底表!$AC:$AC)+SUMIF(注册申报底表!$D:$D,'SOW-ERP导入表'!E425,注册申报底表!$Z:$Z)</f>
        <v>0</v>
      </c>
      <c r="K425" s="173">
        <f>IFERROR(INDEX(服务费底表!$C:$C,MATCH('SOW-ERP导入表'!$E425,服务费底表!$D:$D,0)),0)+IFERROR(INDEX(注册申报底表!$C:$C,MATCH('SOW-ERP导入表'!$E425,注册申报底表!$D:$D,0)),0)</f>
        <v>0</v>
      </c>
      <c r="L425" s="185">
        <f t="shared" si="20"/>
        <v>0</v>
      </c>
      <c r="M425" s="184">
        <f>SUMIF(服务费底表!$D:$D,E425,服务费底表!$AG:$AG)+SUMIF(注册申报底表!$D:$D,'SOW-ERP导入表'!E425,注册申报底表!$AD:$AD)</f>
        <v>0</v>
      </c>
    </row>
    <row r="426" spans="2:17">
      <c r="B426" s="173"/>
      <c r="D426" s="173"/>
      <c r="E426" s="187" t="s">
        <v>2778</v>
      </c>
      <c r="F426" s="173" t="str">
        <f t="shared" si="21"/>
        <v>请填写</v>
      </c>
      <c r="G426" s="173" t="str">
        <f>INDEX(服务费底表!$K:$K,MATCH('SOW-ERP导入表'!$E426,服务费底表!$D:$D,0))</f>
        <v>A165</v>
      </c>
      <c r="H426" s="183" t="str">
        <f>INDEX(服务费底表!L:L,MATCH('SOW-ERP导入表'!$E426,服务费底表!$D:$D,0))</f>
        <v>研究中心稽查</v>
      </c>
      <c r="I426" s="173" t="str">
        <f>INDEX(服务费底表!$T:$T,MATCH('SOW-ERP导入表'!$E426,服务费底表!$D:$D,0))</f>
        <v>QAD</v>
      </c>
      <c r="J426" s="184">
        <f>SUMIF(服务费底表!$D:$D,E426,服务费底表!$AC:$AC)+SUMIF(注册申报底表!$D:$D,'SOW-ERP导入表'!E426,注册申报底表!$Z:$Z)</f>
        <v>0</v>
      </c>
      <c r="K426" s="173">
        <f>IFERROR(INDEX(服务费底表!$C:$C,MATCH('SOW-ERP导入表'!$E426,服务费底表!$D:$D,0)),0)+IFERROR(INDEX(注册申报底表!$C:$C,MATCH('SOW-ERP导入表'!$E426,注册申报底表!$D:$D,0)),0)</f>
        <v>0</v>
      </c>
      <c r="L426" s="185">
        <f t="shared" si="20"/>
        <v>0</v>
      </c>
      <c r="M426" s="184">
        <f>SUMIF(服务费底表!$D:$D,E426,服务费底表!$AG:$AG)+SUMIF(注册申报底表!$D:$D,'SOW-ERP导入表'!E426,注册申报底表!$AD:$AD)</f>
        <v>0</v>
      </c>
    </row>
    <row r="427" spans="2:17">
      <c r="B427" s="173"/>
      <c r="D427" s="173"/>
      <c r="E427" s="187" t="s">
        <v>2779</v>
      </c>
      <c r="F427" s="173" t="str">
        <f t="shared" si="21"/>
        <v>请填写</v>
      </c>
      <c r="G427" s="173" t="str">
        <f>INDEX(服务费底表!$K:$K,MATCH('SOW-ERP导入表'!$E427,服务费底表!$D:$D,0))</f>
        <v>A166</v>
      </c>
      <c r="H427" s="183" t="str">
        <f>INDEX(服务费底表!L:L,MATCH('SOW-ERP导入表'!$E427,服务费底表!$D:$D,0))</f>
        <v>临床试验主文件稽查</v>
      </c>
      <c r="I427" s="173" t="str">
        <f>INDEX(服务费底表!$T:$T,MATCH('SOW-ERP导入表'!$E427,服务费底表!$D:$D,0))</f>
        <v>QAM</v>
      </c>
      <c r="J427" s="184">
        <f>SUMIF(服务费底表!$D:$D,E427,服务费底表!$AC:$AC)+SUMIF(注册申报底表!$D:$D,'SOW-ERP导入表'!E427,注册申报底表!$Z:$Z)</f>
        <v>0</v>
      </c>
      <c r="K427" s="173">
        <f>IFERROR(INDEX(服务费底表!$C:$C,MATCH('SOW-ERP导入表'!$E427,服务费底表!$D:$D,0)),0)+IFERROR(INDEX(注册申报底表!$C:$C,MATCH('SOW-ERP导入表'!$E427,注册申报底表!$D:$D,0)),0)</f>
        <v>0</v>
      </c>
      <c r="L427" s="185">
        <f t="shared" si="20"/>
        <v>0</v>
      </c>
      <c r="M427" s="184">
        <f>SUMIF(服务费底表!$D:$D,E427,服务费底表!$AG:$AG)+SUMIF(注册申报底表!$D:$D,'SOW-ERP导入表'!E427,注册申报底表!$AD:$AD)</f>
        <v>0</v>
      </c>
    </row>
    <row r="428" spans="2:17">
      <c r="B428" s="173"/>
      <c r="D428" s="173"/>
      <c r="E428" s="187" t="s">
        <v>2780</v>
      </c>
      <c r="F428" s="173" t="str">
        <f t="shared" si="21"/>
        <v>请填写</v>
      </c>
      <c r="G428" s="173" t="str">
        <f>INDEX(服务费底表!$K:$K,MATCH('SOW-ERP导入表'!$E428,服务费底表!$D:$D,0))</f>
        <v>A166</v>
      </c>
      <c r="H428" s="183" t="str">
        <f>INDEX(服务费底表!L:L,MATCH('SOW-ERP导入表'!$E428,服务费底表!$D:$D,0))</f>
        <v>临床试验主文件稽查</v>
      </c>
      <c r="I428" s="173" t="str">
        <f>INDEX(服务费底表!$T:$T,MATCH('SOW-ERP导入表'!$E428,服务费底表!$D:$D,0))</f>
        <v>QAD</v>
      </c>
      <c r="J428" s="184">
        <f>SUMIF(服务费底表!$D:$D,E428,服务费底表!$AC:$AC)+SUMIF(注册申报底表!$D:$D,'SOW-ERP导入表'!E428,注册申报底表!$Z:$Z)</f>
        <v>0</v>
      </c>
      <c r="K428" s="173">
        <f>IFERROR(INDEX(服务费底表!$C:$C,MATCH('SOW-ERP导入表'!$E428,服务费底表!$D:$D,0)),0)+IFERROR(INDEX(注册申报底表!$C:$C,MATCH('SOW-ERP导入表'!$E428,注册申报底表!$D:$D,0)),0)</f>
        <v>0</v>
      </c>
      <c r="L428" s="185">
        <f t="shared" si="20"/>
        <v>0</v>
      </c>
      <c r="M428" s="184">
        <f>SUMIF(服务费底表!$D:$D,E428,服务费底表!$AG:$AG)+SUMIF(注册申报底表!$D:$D,'SOW-ERP导入表'!E428,注册申报底表!$AD:$AD)</f>
        <v>0</v>
      </c>
    </row>
    <row r="429" spans="2:17">
      <c r="B429" s="173"/>
      <c r="D429" s="173"/>
      <c r="E429" s="187" t="s">
        <v>2781</v>
      </c>
      <c r="F429" s="173" t="str">
        <f t="shared" si="21"/>
        <v>请填写</v>
      </c>
      <c r="G429" s="173" t="str">
        <f>INDEX(服务费底表!$K:$K,MATCH('SOW-ERP导入表'!$E429,服务费底表!$D:$D,0))</f>
        <v>A167</v>
      </c>
      <c r="H429" s="183" t="str">
        <f>INDEX(服务费底表!L:L,MATCH('SOW-ERP导入表'!$E429,服务费底表!$D:$D,0))</f>
        <v>第三方供应商稽查</v>
      </c>
      <c r="I429" s="173" t="str">
        <f>INDEX(服务费底表!$T:$T,MATCH('SOW-ERP导入表'!$E429,服务费底表!$D:$D,0))</f>
        <v>QAM</v>
      </c>
      <c r="J429" s="184">
        <f>SUMIF(服务费底表!$D:$D,E429,服务费底表!$AC:$AC)+SUMIF(注册申报底表!$D:$D,'SOW-ERP导入表'!E429,注册申报底表!$Z:$Z)</f>
        <v>0</v>
      </c>
      <c r="K429" s="173">
        <f>IFERROR(INDEX(服务费底表!$C:$C,MATCH('SOW-ERP导入表'!$E429,服务费底表!$D:$D,0)),0)+IFERROR(INDEX(注册申报底表!$C:$C,MATCH('SOW-ERP导入表'!$E429,注册申报底表!$D:$D,0)),0)</f>
        <v>0</v>
      </c>
      <c r="L429" s="185">
        <f t="shared" si="20"/>
        <v>0</v>
      </c>
      <c r="M429" s="184">
        <f>SUMIF(服务费底表!$D:$D,E429,服务费底表!$AG:$AG)+SUMIF(注册申报底表!$D:$D,'SOW-ERP导入表'!E429,注册申报底表!$AD:$AD)</f>
        <v>0</v>
      </c>
    </row>
    <row r="430" spans="2:17">
      <c r="B430" s="173"/>
      <c r="D430" s="173"/>
      <c r="E430" s="187" t="s">
        <v>2782</v>
      </c>
      <c r="F430" s="173" t="str">
        <f t="shared" si="21"/>
        <v>请填写</v>
      </c>
      <c r="G430" s="173" t="str">
        <f>INDEX(服务费底表!$K:$K,MATCH('SOW-ERP导入表'!$E430,服务费底表!$D:$D,0))</f>
        <v>A167</v>
      </c>
      <c r="H430" s="183" t="str">
        <f>INDEX(服务费底表!L:L,MATCH('SOW-ERP导入表'!$E430,服务费底表!$D:$D,0))</f>
        <v>第三方供应商稽查</v>
      </c>
      <c r="I430" s="173" t="str">
        <f>INDEX(服务费底表!$T:$T,MATCH('SOW-ERP导入表'!$E430,服务费底表!$D:$D,0))</f>
        <v>QAD</v>
      </c>
      <c r="J430" s="184">
        <f>SUMIF(服务费底表!$D:$D,E430,服务费底表!$AC:$AC)+SUMIF(注册申报底表!$D:$D,'SOW-ERP导入表'!E430,注册申报底表!$Z:$Z)</f>
        <v>0</v>
      </c>
      <c r="K430" s="173">
        <f>IFERROR(INDEX(服务费底表!$C:$C,MATCH('SOW-ERP导入表'!$E430,服务费底表!$D:$D,0)),0)+IFERROR(INDEX(注册申报底表!$C:$C,MATCH('SOW-ERP导入表'!$E430,注册申报底表!$D:$D,0)),0)</f>
        <v>0</v>
      </c>
      <c r="L430" s="185">
        <f t="shared" si="20"/>
        <v>0</v>
      </c>
      <c r="M430" s="184">
        <f>SUMIF(服务费底表!$D:$D,E430,服务费底表!$AG:$AG)+SUMIF(注册申报底表!$D:$D,'SOW-ERP导入表'!E430,注册申报底表!$AD:$AD)</f>
        <v>0</v>
      </c>
    </row>
    <row r="431" spans="2:17">
      <c r="B431" s="173"/>
      <c r="D431" s="173"/>
      <c r="E431" s="187" t="s">
        <v>2783</v>
      </c>
      <c r="F431" s="173" t="str">
        <f t="shared" si="21"/>
        <v>请填写</v>
      </c>
      <c r="G431" s="173" t="str">
        <f>INDEX(服务费底表!$K:$K,MATCH('SOW-ERP导入表'!$E431,服务费底表!$D:$D,0))</f>
        <v>A168</v>
      </c>
      <c r="H431" s="183" t="str">
        <f>INDEX(服务费底表!L:L,MATCH('SOW-ERP导入表'!$E431,服务费底表!$D:$D,0))</f>
        <v>核查前现场准备</v>
      </c>
      <c r="I431" s="173" t="str">
        <f>INDEX(服务费底表!$T:$T,MATCH('SOW-ERP导入表'!$E431,服务费底表!$D:$D,0))</f>
        <v>CRA</v>
      </c>
      <c r="J431" s="184">
        <f>SUMIF(服务费底表!$D:$D,E431,服务费底表!$AC:$AC)+SUMIF(注册申报底表!$D:$D,'SOW-ERP导入表'!E431,注册申报底表!$Z:$Z)</f>
        <v>0</v>
      </c>
      <c r="K431" s="173">
        <f>IFERROR(INDEX(服务费底表!$C:$C,MATCH('SOW-ERP导入表'!$E431,服务费底表!$D:$D,0)),0)+IFERROR(INDEX(注册申报底表!$C:$C,MATCH('SOW-ERP导入表'!$E431,注册申报底表!$D:$D,0)),0)</f>
        <v>0</v>
      </c>
      <c r="L431" s="185">
        <f t="shared" si="20"/>
        <v>0</v>
      </c>
      <c r="M431" s="184">
        <f>SUMIF(服务费底表!$D:$D,E431,服务费底表!$AG:$AG)+SUMIF(注册申报底表!$D:$D,'SOW-ERP导入表'!E431,注册申报底表!$AD:$AD)</f>
        <v>0</v>
      </c>
    </row>
    <row r="432" spans="2:17">
      <c r="B432" s="173"/>
      <c r="D432" s="173"/>
      <c r="E432" s="187" t="s">
        <v>2784</v>
      </c>
      <c r="F432" s="173" t="str">
        <f t="shared" si="21"/>
        <v>请填写</v>
      </c>
      <c r="G432" s="173" t="str">
        <f>INDEX(服务费底表!$K:$K,MATCH('SOW-ERP导入表'!$E432,服务费底表!$D:$D,0))</f>
        <v>A168</v>
      </c>
      <c r="H432" s="183" t="str">
        <f>INDEX(服务费底表!L:L,MATCH('SOW-ERP导入表'!$E432,服务费底表!$D:$D,0))</f>
        <v>核查前现场准备</v>
      </c>
      <c r="I432" s="173" t="str">
        <f>INDEX(服务费底表!$T:$T,MATCH('SOW-ERP导入表'!$E432,服务费底表!$D:$D,0))</f>
        <v>QCM</v>
      </c>
      <c r="J432" s="184">
        <f>SUMIF(服务费底表!$D:$D,E432,服务费底表!$AC:$AC)+SUMIF(注册申报底表!$D:$D,'SOW-ERP导入表'!E432,注册申报底表!$Z:$Z)</f>
        <v>0</v>
      </c>
      <c r="K432" s="173">
        <f>IFERROR(INDEX(服务费底表!$C:$C,MATCH('SOW-ERP导入表'!$E432,服务费底表!$D:$D,0)),0)+IFERROR(INDEX(注册申报底表!$C:$C,MATCH('SOW-ERP导入表'!$E432,注册申报底表!$D:$D,0)),0)</f>
        <v>0</v>
      </c>
      <c r="L432" s="185">
        <f t="shared" si="20"/>
        <v>0</v>
      </c>
      <c r="M432" s="184">
        <f>SUMIF(服务费底表!$D:$D,E432,服务费底表!$AG:$AG)+SUMIF(注册申报底表!$D:$D,'SOW-ERP导入表'!E432,注册申报底表!$AD:$AD)</f>
        <v>0</v>
      </c>
    </row>
    <row r="433" spans="2:13">
      <c r="B433" s="173"/>
      <c r="D433" s="173"/>
      <c r="E433" s="187" t="s">
        <v>2785</v>
      </c>
      <c r="F433" s="173" t="str">
        <f t="shared" si="21"/>
        <v>请填写</v>
      </c>
      <c r="G433" s="173" t="str">
        <f>INDEX(服务费底表!$K:$K,MATCH('SOW-ERP导入表'!$E433,服务费底表!$D:$D,0))</f>
        <v>A168</v>
      </c>
      <c r="H433" s="183" t="str">
        <f>INDEX(服务费底表!L:L,MATCH('SOW-ERP导入表'!$E433,服务费底表!$D:$D,0))</f>
        <v>核查前现场准备</v>
      </c>
      <c r="I433" s="173" t="str">
        <f>INDEX(服务费底表!$T:$T,MATCH('SOW-ERP导入表'!$E433,服务费底表!$D:$D,0))</f>
        <v>PM</v>
      </c>
      <c r="J433" s="184">
        <f>SUMIF(服务费底表!$D:$D,E433,服务费底表!$AC:$AC)+SUMIF(注册申报底表!$D:$D,'SOW-ERP导入表'!E433,注册申报底表!$Z:$Z)</f>
        <v>0</v>
      </c>
      <c r="K433" s="173">
        <f>IFERROR(INDEX(服务费底表!$C:$C,MATCH('SOW-ERP导入表'!$E433,服务费底表!$D:$D,0)),0)+IFERROR(INDEX(注册申报底表!$C:$C,MATCH('SOW-ERP导入表'!$E433,注册申报底表!$D:$D,0)),0)</f>
        <v>0</v>
      </c>
      <c r="L433" s="185">
        <f t="shared" si="20"/>
        <v>0</v>
      </c>
      <c r="M433" s="184">
        <f>SUMIF(服务费底表!$D:$D,E433,服务费底表!$AG:$AG)+SUMIF(注册申报底表!$D:$D,'SOW-ERP导入表'!E433,注册申报底表!$AD:$AD)</f>
        <v>0</v>
      </c>
    </row>
    <row r="434" spans="2:13">
      <c r="B434" s="173"/>
      <c r="D434" s="173"/>
      <c r="E434" s="187" t="s">
        <v>2786</v>
      </c>
      <c r="F434" s="173" t="str">
        <f t="shared" si="21"/>
        <v>请填写</v>
      </c>
      <c r="G434" s="173" t="str">
        <f>INDEX(服务费底表!$K:$K,MATCH('SOW-ERP导入表'!$E434,服务费底表!$D:$D,0))</f>
        <v>A169</v>
      </c>
      <c r="H434" s="183" t="str">
        <f>INDEX(服务费底表!L:L,MATCH('SOW-ERP导入表'!$E434,服务费底表!$D:$D,0))</f>
        <v>核查前准备-系统填报</v>
      </c>
      <c r="I434" s="173" t="str">
        <f>INDEX(服务费底表!$T:$T,MATCH('SOW-ERP导入表'!$E434,服务费底表!$D:$D,0))</f>
        <v>CRA</v>
      </c>
      <c r="J434" s="184">
        <f>SUMIF(服务费底表!$D:$D,E434,服务费底表!$AC:$AC)+SUMIF(注册申报底表!$D:$D,'SOW-ERP导入表'!E434,注册申报底表!$Z:$Z)</f>
        <v>0</v>
      </c>
      <c r="K434" s="173">
        <f>IFERROR(INDEX(服务费底表!$C:$C,MATCH('SOW-ERP导入表'!$E434,服务费底表!$D:$D,0)),0)+IFERROR(INDEX(注册申报底表!$C:$C,MATCH('SOW-ERP导入表'!$E434,注册申报底表!$D:$D,0)),0)</f>
        <v>0</v>
      </c>
      <c r="L434" s="185">
        <f t="shared" si="20"/>
        <v>0</v>
      </c>
      <c r="M434" s="184">
        <f>SUMIF(服务费底表!$D:$D,E434,服务费底表!$AG:$AG)+SUMIF(注册申报底表!$D:$D,'SOW-ERP导入表'!E434,注册申报底表!$AD:$AD)</f>
        <v>0</v>
      </c>
    </row>
    <row r="435" spans="2:13">
      <c r="B435" s="173"/>
      <c r="D435" s="173"/>
      <c r="E435" s="187" t="s">
        <v>2787</v>
      </c>
      <c r="F435" s="173" t="str">
        <f t="shared" si="21"/>
        <v>请填写</v>
      </c>
      <c r="G435" s="173" t="str">
        <f>INDEX(服务费底表!$K:$K,MATCH('SOW-ERP导入表'!$E435,服务费底表!$D:$D,0))</f>
        <v>A169</v>
      </c>
      <c r="H435" s="183" t="str">
        <f>INDEX(服务费底表!L:L,MATCH('SOW-ERP导入表'!$E435,服务费底表!$D:$D,0))</f>
        <v>核查前准备-系统填报</v>
      </c>
      <c r="I435" s="173" t="str">
        <f>INDEX(服务费底表!$T:$T,MATCH('SOW-ERP导入表'!$E435,服务费底表!$D:$D,0))</f>
        <v>QCM</v>
      </c>
      <c r="J435" s="184">
        <f>SUMIF(服务费底表!$D:$D,E435,服务费底表!$AC:$AC)+SUMIF(注册申报底表!$D:$D,'SOW-ERP导入表'!E435,注册申报底表!$Z:$Z)</f>
        <v>0</v>
      </c>
      <c r="K435" s="173">
        <f>IFERROR(INDEX(服务费底表!$C:$C,MATCH('SOW-ERP导入表'!$E435,服务费底表!$D:$D,0)),0)+IFERROR(INDEX(注册申报底表!$C:$C,MATCH('SOW-ERP导入表'!$E435,注册申报底表!$D:$D,0)),0)</f>
        <v>0</v>
      </c>
      <c r="L435" s="185">
        <f t="shared" si="20"/>
        <v>0</v>
      </c>
      <c r="M435" s="184">
        <f>SUMIF(服务费底表!$D:$D,E435,服务费底表!$AG:$AG)+SUMIF(注册申报底表!$D:$D,'SOW-ERP导入表'!E435,注册申报底表!$AD:$AD)</f>
        <v>0</v>
      </c>
    </row>
    <row r="436" spans="2:13">
      <c r="B436" s="173"/>
      <c r="D436" s="173"/>
      <c r="E436" s="187" t="s">
        <v>2788</v>
      </c>
      <c r="F436" s="173" t="str">
        <f t="shared" si="21"/>
        <v>请填写</v>
      </c>
      <c r="G436" s="173" t="str">
        <f>INDEX(服务费底表!$K:$K,MATCH('SOW-ERP导入表'!$E436,服务费底表!$D:$D,0))</f>
        <v>A169</v>
      </c>
      <c r="H436" s="183" t="str">
        <f>INDEX(服务费底表!L:L,MATCH('SOW-ERP导入表'!$E436,服务费底表!$D:$D,0))</f>
        <v>核查前准备-系统填报</v>
      </c>
      <c r="I436" s="173" t="str">
        <f>INDEX(服务费底表!$T:$T,MATCH('SOW-ERP导入表'!$E436,服务费底表!$D:$D,0))</f>
        <v>PM</v>
      </c>
      <c r="J436" s="184">
        <f>SUMIF(服务费底表!$D:$D,E436,服务费底表!$AC:$AC)+SUMIF(注册申报底表!$D:$D,'SOW-ERP导入表'!E436,注册申报底表!$Z:$Z)</f>
        <v>0</v>
      </c>
      <c r="K436" s="173">
        <f>IFERROR(INDEX(服务费底表!$C:$C,MATCH('SOW-ERP导入表'!$E436,服务费底表!$D:$D,0)),0)+IFERROR(INDEX(注册申报底表!$C:$C,MATCH('SOW-ERP导入表'!$E436,注册申报底表!$D:$D,0)),0)</f>
        <v>0</v>
      </c>
      <c r="L436" s="185">
        <f t="shared" si="20"/>
        <v>0</v>
      </c>
      <c r="M436" s="184">
        <f>SUMIF(服务费底表!$D:$D,E436,服务费底表!$AG:$AG)+SUMIF(注册申报底表!$D:$D,'SOW-ERP导入表'!E436,注册申报底表!$AD:$AD)</f>
        <v>0</v>
      </c>
    </row>
    <row r="437" spans="2:13">
      <c r="B437" s="173"/>
      <c r="D437" s="173"/>
      <c r="E437" s="187" t="s">
        <v>2789</v>
      </c>
      <c r="F437" s="173" t="str">
        <f t="shared" si="21"/>
        <v>请填写</v>
      </c>
      <c r="G437" s="173" t="str">
        <f>INDEX(服务费底表!$K:$K,MATCH('SOW-ERP导入表'!$E437,服务费底表!$D:$D,0))</f>
        <v>A170</v>
      </c>
      <c r="H437" s="183" t="str">
        <f>INDEX(服务费底表!L:L,MATCH('SOW-ERP导入表'!$E437,服务费底表!$D:$D,0))</f>
        <v>现场支持</v>
      </c>
      <c r="I437" s="173" t="str">
        <f>INDEX(服务费底表!$T:$T,MATCH('SOW-ERP导入表'!$E437,服务费底表!$D:$D,0))</f>
        <v>CRA</v>
      </c>
      <c r="J437" s="184">
        <f>SUMIF(服务费底表!$D:$D,E437,服务费底表!$AC:$AC)+SUMIF(注册申报底表!$D:$D,'SOW-ERP导入表'!E437,注册申报底表!$Z:$Z)</f>
        <v>0</v>
      </c>
      <c r="K437" s="173">
        <f>IFERROR(INDEX(服务费底表!$C:$C,MATCH('SOW-ERP导入表'!$E437,服务费底表!$D:$D,0)),0)+IFERROR(INDEX(注册申报底表!$C:$C,MATCH('SOW-ERP导入表'!$E437,注册申报底表!$D:$D,0)),0)</f>
        <v>0</v>
      </c>
      <c r="L437" s="185">
        <f t="shared" si="20"/>
        <v>0</v>
      </c>
      <c r="M437" s="184">
        <f>SUMIF(服务费底表!$D:$D,E437,服务费底表!$AG:$AG)+SUMIF(注册申报底表!$D:$D,'SOW-ERP导入表'!E437,注册申报底表!$AD:$AD)</f>
        <v>0</v>
      </c>
    </row>
    <row r="438" spans="2:13">
      <c r="B438" s="173"/>
      <c r="D438" s="173"/>
      <c r="E438" s="187" t="s">
        <v>2790</v>
      </c>
      <c r="F438" s="173" t="str">
        <f t="shared" si="21"/>
        <v>请填写</v>
      </c>
      <c r="G438" s="173" t="str">
        <f>INDEX(服务费底表!$K:$K,MATCH('SOW-ERP导入表'!$E438,服务费底表!$D:$D,0))</f>
        <v>A170</v>
      </c>
      <c r="H438" s="183" t="str">
        <f>INDEX(服务费底表!L:L,MATCH('SOW-ERP导入表'!$E438,服务费底表!$D:$D,0))</f>
        <v>现场支持</v>
      </c>
      <c r="I438" s="173" t="str">
        <f>INDEX(服务费底表!$T:$T,MATCH('SOW-ERP导入表'!$E438,服务费底表!$D:$D,0))</f>
        <v>QCM</v>
      </c>
      <c r="J438" s="184">
        <f>SUMIF(服务费底表!$D:$D,E438,服务费底表!$AC:$AC)+SUMIF(注册申报底表!$D:$D,'SOW-ERP导入表'!E438,注册申报底表!$Z:$Z)</f>
        <v>0</v>
      </c>
      <c r="K438" s="173">
        <f>IFERROR(INDEX(服务费底表!$C:$C,MATCH('SOW-ERP导入表'!$E438,服务费底表!$D:$D,0)),0)+IFERROR(INDEX(注册申报底表!$C:$C,MATCH('SOW-ERP导入表'!$E438,注册申报底表!$D:$D,0)),0)</f>
        <v>0</v>
      </c>
      <c r="L438" s="185">
        <f t="shared" si="20"/>
        <v>0</v>
      </c>
      <c r="M438" s="184">
        <f>SUMIF(服务费底表!$D:$D,E438,服务费底表!$AG:$AG)+SUMIF(注册申报底表!$D:$D,'SOW-ERP导入表'!E438,注册申报底表!$AD:$AD)</f>
        <v>0</v>
      </c>
    </row>
    <row r="439" spans="2:13">
      <c r="B439" s="173"/>
      <c r="D439" s="173"/>
      <c r="E439" s="187" t="s">
        <v>2791</v>
      </c>
      <c r="F439" s="173" t="str">
        <f t="shared" si="21"/>
        <v>请填写</v>
      </c>
      <c r="G439" s="173" t="str">
        <f>INDEX(服务费底表!$K:$K,MATCH('SOW-ERP导入表'!$E439,服务费底表!$D:$D,0))</f>
        <v>A170</v>
      </c>
      <c r="H439" s="183" t="str">
        <f>INDEX(服务费底表!L:L,MATCH('SOW-ERP导入表'!$E439,服务费底表!$D:$D,0))</f>
        <v>现场支持</v>
      </c>
      <c r="I439" s="173" t="str">
        <f>INDEX(服务费底表!$T:$T,MATCH('SOW-ERP导入表'!$E439,服务费底表!$D:$D,0))</f>
        <v>PM</v>
      </c>
      <c r="J439" s="184">
        <f>SUMIF(服务费底表!$D:$D,E439,服务费底表!$AC:$AC)+SUMIF(注册申报底表!$D:$D,'SOW-ERP导入表'!E439,注册申报底表!$Z:$Z)</f>
        <v>0</v>
      </c>
      <c r="K439" s="173">
        <f>IFERROR(INDEX(服务费底表!$C:$C,MATCH('SOW-ERP导入表'!$E439,服务费底表!$D:$D,0)),0)+IFERROR(INDEX(注册申报底表!$C:$C,MATCH('SOW-ERP导入表'!$E439,注册申报底表!$D:$D,0)),0)</f>
        <v>0</v>
      </c>
      <c r="L439" s="185">
        <f t="shared" si="20"/>
        <v>0</v>
      </c>
      <c r="M439" s="184">
        <f>SUMIF(服务费底表!$D:$D,E439,服务费底表!$AG:$AG)+SUMIF(注册申报底表!$D:$D,'SOW-ERP导入表'!E439,注册申报底表!$AD:$AD)</f>
        <v>0</v>
      </c>
    </row>
    <row r="440" spans="2:13">
      <c r="B440" s="173"/>
      <c r="D440" s="173"/>
      <c r="E440" s="187" t="s">
        <v>2792</v>
      </c>
      <c r="F440" s="173" t="str">
        <f t="shared" si="21"/>
        <v>请填写</v>
      </c>
      <c r="G440" s="173" t="str">
        <f>INDEX(服务费底表!$K:$K,MATCH('SOW-ERP导入表'!$E440,服务费底表!$D:$D,0))</f>
        <v>A171</v>
      </c>
      <c r="H440" s="183" t="str">
        <f>INDEX(服务费底表!L:L,MATCH('SOW-ERP导入表'!$E440,服务费底表!$D:$D,0))</f>
        <v>核查后支持报告回复</v>
      </c>
      <c r="I440" s="173" t="str">
        <f>INDEX(服务费底表!$T:$T,MATCH('SOW-ERP导入表'!$E440,服务费底表!$D:$D,0))</f>
        <v>PM</v>
      </c>
      <c r="J440" s="184">
        <f>SUMIF(服务费底表!$D:$D,E440,服务费底表!$AC:$AC)+SUMIF(注册申报底表!$D:$D,'SOW-ERP导入表'!E440,注册申报底表!$Z:$Z)</f>
        <v>0</v>
      </c>
      <c r="K440" s="173">
        <f>IFERROR(INDEX(服务费底表!$C:$C,MATCH('SOW-ERP导入表'!$E440,服务费底表!$D:$D,0)),0)+IFERROR(INDEX(注册申报底表!$C:$C,MATCH('SOW-ERP导入表'!$E440,注册申报底表!$D:$D,0)),0)</f>
        <v>0</v>
      </c>
      <c r="L440" s="185">
        <f t="shared" si="20"/>
        <v>0</v>
      </c>
      <c r="M440" s="184">
        <f>SUMIF(服务费底表!$D:$D,E440,服务费底表!$AG:$AG)+SUMIF(注册申报底表!$D:$D,'SOW-ERP导入表'!E440,注册申报底表!$AD:$AD)</f>
        <v>0</v>
      </c>
    </row>
    <row r="441" spans="2:13">
      <c r="B441" s="173"/>
      <c r="D441" s="173"/>
      <c r="E441" s="187" t="s">
        <v>2793</v>
      </c>
      <c r="F441" s="173" t="str">
        <f t="shared" si="21"/>
        <v>请填写</v>
      </c>
      <c r="G441" s="173" t="str">
        <f>INDEX(服务费底表!$K:$K,MATCH('SOW-ERP导入表'!$E441,服务费底表!$D:$D,0))</f>
        <v>A171</v>
      </c>
      <c r="H441" s="183" t="str">
        <f>INDEX(服务费底表!L:L,MATCH('SOW-ERP导入表'!$E441,服务费底表!$D:$D,0))</f>
        <v>核查后支持报告回复</v>
      </c>
      <c r="I441" s="173" t="str">
        <f>INDEX(服务费底表!$T:$T,MATCH('SOW-ERP导入表'!$E441,服务费底表!$D:$D,0))</f>
        <v>CRA</v>
      </c>
      <c r="J441" s="184">
        <f>SUMIF(服务费底表!$D:$D,E441,服务费底表!$AC:$AC)+SUMIF(注册申报底表!$D:$D,'SOW-ERP导入表'!E441,注册申报底表!$Z:$Z)</f>
        <v>0</v>
      </c>
      <c r="K441" s="173">
        <f>IFERROR(INDEX(服务费底表!$C:$C,MATCH('SOW-ERP导入表'!$E441,服务费底表!$D:$D,0)),0)+IFERROR(INDEX(注册申报底表!$C:$C,MATCH('SOW-ERP导入表'!$E441,注册申报底表!$D:$D,0)),0)</f>
        <v>0</v>
      </c>
      <c r="L441" s="185">
        <f t="shared" si="20"/>
        <v>0</v>
      </c>
      <c r="M441" s="184">
        <f>SUMIF(服务费底表!$D:$D,E441,服务费底表!$AG:$AG)+SUMIF(注册申报底表!$D:$D,'SOW-ERP导入表'!E441,注册申报底表!$AD:$AD)</f>
        <v>0</v>
      </c>
    </row>
    <row r="442" spans="2:13">
      <c r="B442" s="173"/>
      <c r="D442" s="173"/>
      <c r="E442" s="187" t="s">
        <v>2794</v>
      </c>
      <c r="F442" s="173" t="str">
        <f t="shared" si="21"/>
        <v>请填写</v>
      </c>
      <c r="G442" s="173" t="str">
        <f>INDEX(服务费底表!$K:$K,MATCH('SOW-ERP导入表'!$E442,服务费底表!$D:$D,0))</f>
        <v>A171</v>
      </c>
      <c r="H442" s="183" t="str">
        <f>INDEX(服务费底表!L:L,MATCH('SOW-ERP导入表'!$E442,服务费底表!$D:$D,0))</f>
        <v>核查后支持报告回复</v>
      </c>
      <c r="I442" s="173" t="str">
        <f>INDEX(服务费底表!$T:$T,MATCH('SOW-ERP导入表'!$E442,服务费底表!$D:$D,0))</f>
        <v>CTA</v>
      </c>
      <c r="J442" s="184">
        <f>SUMIF(服务费底表!$D:$D,E442,服务费底表!$AC:$AC)+SUMIF(注册申报底表!$D:$D,'SOW-ERP导入表'!E442,注册申报底表!$Z:$Z)</f>
        <v>0</v>
      </c>
      <c r="K442" s="173">
        <f>IFERROR(INDEX(服务费底表!$C:$C,MATCH('SOW-ERP导入表'!$E442,服务费底表!$D:$D,0)),0)+IFERROR(INDEX(注册申报底表!$C:$C,MATCH('SOW-ERP导入表'!$E442,注册申报底表!$D:$D,0)),0)</f>
        <v>0</v>
      </c>
      <c r="L442" s="185">
        <f t="shared" ref="L442" si="23">IFERROR(M442/K442,0)</f>
        <v>0</v>
      </c>
      <c r="M442" s="184">
        <f>SUMIF(服务费底表!$D:$D,E442,服务费底表!$AG:$AG)+SUMIF(注册申报底表!$D:$D,'SOW-ERP导入表'!E442,注册申报底表!$AD:$AD)</f>
        <v>0</v>
      </c>
    </row>
    <row r="443" spans="2:13">
      <c r="B443" s="173"/>
      <c r="D443" s="173"/>
      <c r="E443" s="188" t="s">
        <v>2795</v>
      </c>
      <c r="F443" s="173" t="str">
        <f t="shared" ref="F443:F512" si="24">$F$2</f>
        <v>请填写</v>
      </c>
      <c r="G443" s="173" t="e">
        <f>INDEX(注册申报底表!$J:$J,MATCH('SOW-ERP导入表'!$E443,注册申报底表!$D:$D,0))</f>
        <v>#N/A</v>
      </c>
      <c r="H443" s="183" t="e">
        <f>INDEX(注册申报底表!K:K,MATCH('SOW-ERP导入表'!$E443,注册申报底表!$D:$D,0))</f>
        <v>#N/A</v>
      </c>
      <c r="I443" s="173" t="e">
        <f>INDEX(注册申报底表!$S:$S,MATCH('SOW-ERP导入表'!$E443,注册申报底表!$D:$D,0))</f>
        <v>#N/A</v>
      </c>
      <c r="J443" s="184">
        <f>SUMIF(服务费底表!$D:$D,E443,服务费底表!$AC:$AC)+SUMIF(注册申报底表!$D:$D,'SOW-ERP导入表'!E443,注册申报底表!$Z:$Z)</f>
        <v>0</v>
      </c>
      <c r="K443" s="173">
        <f>IFERROR(INDEX(服务费底表!$C:$C,MATCH('SOW-ERP导入表'!$E443,服务费底表!$D:$D,0)),0)+IFERROR(INDEX(注册申报底表!$C:$C,MATCH('SOW-ERP导入表'!$E443,注册申报底表!$D:$D,0)),0)</f>
        <v>0</v>
      </c>
      <c r="L443" s="185">
        <f t="shared" si="20"/>
        <v>0</v>
      </c>
      <c r="M443" s="184">
        <f>SUMIF(服务费底表!$D:$D,E443,服务费底表!$AG:$AG)+SUMIF(注册申报底表!$D:$D,'SOW-ERP导入表'!E443,注册申报底表!$AD:$AD)</f>
        <v>0</v>
      </c>
    </row>
    <row r="444" spans="2:13">
      <c r="B444" s="173"/>
      <c r="D444" s="173"/>
      <c r="E444" s="188" t="s">
        <v>2796</v>
      </c>
      <c r="F444" s="173" t="str">
        <f t="shared" si="24"/>
        <v>请填写</v>
      </c>
      <c r="G444" s="173" t="str">
        <f>INDEX(注册申报底表!$J:$J,MATCH('SOW-ERP导入表'!$E444,注册申报底表!$D:$D,0))</f>
        <v>A172</v>
      </c>
      <c r="H444" s="183" t="str">
        <f>INDEX(注册申报底表!K:K,MATCH('SOW-ERP导入表'!$E444,注册申报底表!$D:$D,0))</f>
        <v>临床前研究材料审阅</v>
      </c>
      <c r="I444" s="173" t="str">
        <f>INDEX(注册申报底表!$S:$S,MATCH('SOW-ERP导入表'!$E444,注册申报底表!$D:$D,0))</f>
        <v>MM</v>
      </c>
      <c r="J444" s="184">
        <f>SUMIF(服务费底表!$D:$D,E444,服务费底表!$AC:$AC)+SUMIF(注册申报底表!$D:$D,'SOW-ERP导入表'!E444,注册申报底表!$Z:$Z)</f>
        <v>0</v>
      </c>
      <c r="K444" s="173">
        <f>IFERROR(INDEX(服务费底表!$C:$C,MATCH('SOW-ERP导入表'!$E444,服务费底表!$D:$D,0)),0)+IFERROR(INDEX(注册申报底表!$C:$C,MATCH('SOW-ERP导入表'!$E444,注册申报底表!$D:$D,0)),0)</f>
        <v>0</v>
      </c>
      <c r="L444" s="185">
        <f t="shared" si="20"/>
        <v>0</v>
      </c>
      <c r="M444" s="184">
        <f>SUMIF(服务费底表!$D:$D,E444,服务费底表!$AG:$AG)+SUMIF(注册申报底表!$D:$D,'SOW-ERP导入表'!E444,注册申报底表!$AD:$AD)</f>
        <v>0</v>
      </c>
    </row>
    <row r="445" spans="2:13">
      <c r="B445" s="173"/>
      <c r="D445" s="173"/>
      <c r="E445" s="188" t="s">
        <v>2797</v>
      </c>
      <c r="F445" s="173" t="str">
        <f t="shared" si="24"/>
        <v>请填写</v>
      </c>
      <c r="G445" s="173" t="str">
        <f>INDEX(注册申报底表!$J:$J,MATCH('SOW-ERP导入表'!$E445,注册申报底表!$D:$D,0))</f>
        <v>A172</v>
      </c>
      <c r="H445" s="183" t="str">
        <f>INDEX(注册申报底表!K:K,MATCH('SOW-ERP导入表'!$E445,注册申报底表!$D:$D,0))</f>
        <v>临床前研究材料审阅</v>
      </c>
      <c r="I445" s="173" t="str">
        <f>INDEX(注册申报底表!$S:$S,MATCH('SOW-ERP导入表'!$E445,注册申报底表!$D:$D,0))</f>
        <v>MD</v>
      </c>
      <c r="J445" s="184">
        <f>SUMIF(服务费底表!$D:$D,E445,服务费底表!$AC:$AC)+SUMIF(注册申报底表!$D:$D,'SOW-ERP导入表'!E445,注册申报底表!$Z:$Z)</f>
        <v>0</v>
      </c>
      <c r="K445" s="173">
        <f>IFERROR(INDEX(服务费底表!$C:$C,MATCH('SOW-ERP导入表'!$E445,服务费底表!$D:$D,0)),0)+IFERROR(INDEX(注册申报底表!$C:$C,MATCH('SOW-ERP导入表'!$E445,注册申报底表!$D:$D,0)),0)</f>
        <v>0</v>
      </c>
      <c r="L445" s="185">
        <f t="shared" si="20"/>
        <v>0</v>
      </c>
      <c r="M445" s="184">
        <f>SUMIF(服务费底表!$D:$D,E445,服务费底表!$AG:$AG)+SUMIF(注册申报底表!$D:$D,'SOW-ERP导入表'!E445,注册申报底表!$AD:$AD)</f>
        <v>0</v>
      </c>
    </row>
    <row r="446" spans="2:13">
      <c r="B446" s="173"/>
      <c r="D446" s="173"/>
      <c r="E446" s="188" t="s">
        <v>2798</v>
      </c>
      <c r="F446" s="173" t="str">
        <f t="shared" si="24"/>
        <v>请填写</v>
      </c>
      <c r="G446" s="173" t="e">
        <f>INDEX(注册申报底表!$J:$J,MATCH('SOW-ERP导入表'!$E446,注册申报底表!$D:$D,0))</f>
        <v>#N/A</v>
      </c>
      <c r="H446" s="183" t="e">
        <f>INDEX(注册申报底表!K:K,MATCH('SOW-ERP导入表'!$E446,注册申报底表!$D:$D,0))</f>
        <v>#N/A</v>
      </c>
      <c r="I446" s="173" t="e">
        <f>INDEX(注册申报底表!$S:$S,MATCH('SOW-ERP导入表'!$E446,注册申报底表!$D:$D,0))</f>
        <v>#N/A</v>
      </c>
      <c r="J446" s="184">
        <f>SUMIF(服务费底表!$D:$D,E446,服务费底表!$AC:$AC)+SUMIF(注册申报底表!$D:$D,'SOW-ERP导入表'!E446,注册申报底表!$Z:$Z)</f>
        <v>0</v>
      </c>
      <c r="K446" s="173">
        <f>IFERROR(INDEX(服务费底表!$C:$C,MATCH('SOW-ERP导入表'!$E446,服务费底表!$D:$D,0)),0)+IFERROR(INDEX(注册申报底表!$C:$C,MATCH('SOW-ERP导入表'!$E446,注册申报底表!$D:$D,0)),0)</f>
        <v>0</v>
      </c>
      <c r="L446" s="185">
        <f t="shared" si="20"/>
        <v>0</v>
      </c>
      <c r="M446" s="184">
        <f>SUMIF(服务费底表!$D:$D,E446,服务费底表!$AG:$AG)+SUMIF(注册申报底表!$D:$D,'SOW-ERP导入表'!E446,注册申报底表!$AD:$AD)</f>
        <v>0</v>
      </c>
    </row>
    <row r="447" spans="2:13">
      <c r="B447" s="173"/>
      <c r="D447" s="173"/>
      <c r="E447" s="188" t="s">
        <v>2799</v>
      </c>
      <c r="F447" s="173" t="str">
        <f t="shared" si="24"/>
        <v>请填写</v>
      </c>
      <c r="G447" s="173" t="str">
        <f>INDEX(注册申报底表!$J:$J,MATCH('SOW-ERP导入表'!$E447,注册申报底表!$D:$D,0))</f>
        <v>A173</v>
      </c>
      <c r="H447" s="183" t="str">
        <f>INDEX(注册申报底表!K:K,MATCH('SOW-ERP导入表'!$E447,注册申报底表!$D:$D,0))</f>
        <v>其他材料(相关法规等)</v>
      </c>
      <c r="I447" s="173" t="str">
        <f>INDEX(注册申报底表!$S:$S,MATCH('SOW-ERP导入表'!$E447,注册申报底表!$D:$D,0))</f>
        <v>MM</v>
      </c>
      <c r="J447" s="184">
        <f>SUMIF(服务费底表!$D:$D,E447,服务费底表!$AC:$AC)+SUMIF(注册申报底表!$D:$D,'SOW-ERP导入表'!E447,注册申报底表!$Z:$Z)</f>
        <v>0</v>
      </c>
      <c r="K447" s="173">
        <f>IFERROR(INDEX(服务费底表!$C:$C,MATCH('SOW-ERP导入表'!$E447,服务费底表!$D:$D,0)),0)+IFERROR(INDEX(注册申报底表!$C:$C,MATCH('SOW-ERP导入表'!$E447,注册申报底表!$D:$D,0)),0)</f>
        <v>0</v>
      </c>
      <c r="L447" s="185">
        <f t="shared" si="20"/>
        <v>0</v>
      </c>
      <c r="M447" s="184">
        <f>SUMIF(服务费底表!$D:$D,E447,服务费底表!$AG:$AG)+SUMIF(注册申报底表!$D:$D,'SOW-ERP导入表'!E447,注册申报底表!$AD:$AD)</f>
        <v>0</v>
      </c>
    </row>
    <row r="448" spans="2:13">
      <c r="B448" s="173"/>
      <c r="D448" s="173"/>
      <c r="E448" s="188" t="s">
        <v>2800</v>
      </c>
      <c r="F448" s="173" t="str">
        <f t="shared" si="24"/>
        <v>请填写</v>
      </c>
      <c r="G448" s="173" t="str">
        <f>INDEX(注册申报底表!$J:$J,MATCH('SOW-ERP导入表'!$E448,注册申报底表!$D:$D,0))</f>
        <v>A173</v>
      </c>
      <c r="H448" s="183" t="str">
        <f>INDEX(注册申报底表!K:K,MATCH('SOW-ERP导入表'!$E448,注册申报底表!$D:$D,0))</f>
        <v>其他材料(相关法规等)</v>
      </c>
      <c r="I448" s="173" t="str">
        <f>INDEX(注册申报底表!$S:$S,MATCH('SOW-ERP导入表'!$E448,注册申报底表!$D:$D,0))</f>
        <v>MD</v>
      </c>
      <c r="J448" s="184">
        <f>SUMIF(服务费底表!$D:$D,E448,服务费底表!$AC:$AC)+SUMIF(注册申报底表!$D:$D,'SOW-ERP导入表'!E448,注册申报底表!$Z:$Z)</f>
        <v>0</v>
      </c>
      <c r="K448" s="173">
        <f>IFERROR(INDEX(服务费底表!$C:$C,MATCH('SOW-ERP导入表'!$E448,服务费底表!$D:$D,0)),0)+IFERROR(INDEX(注册申报底表!$C:$C,MATCH('SOW-ERP导入表'!$E448,注册申报底表!$D:$D,0)),0)</f>
        <v>0</v>
      </c>
      <c r="L448" s="185">
        <f t="shared" si="20"/>
        <v>0</v>
      </c>
      <c r="M448" s="184">
        <f>SUMIF(服务费底表!$D:$D,E448,服务费底表!$AG:$AG)+SUMIF(注册申报底表!$D:$D,'SOW-ERP导入表'!E448,注册申报底表!$AD:$AD)</f>
        <v>0</v>
      </c>
    </row>
    <row r="449" spans="2:13">
      <c r="B449" s="173"/>
      <c r="D449" s="173"/>
      <c r="E449" s="188" t="s">
        <v>2801</v>
      </c>
      <c r="F449" s="173" t="str">
        <f t="shared" si="24"/>
        <v>请填写</v>
      </c>
      <c r="G449" s="173" t="e">
        <f>INDEX(注册申报底表!$J:$J,MATCH('SOW-ERP导入表'!$E449,注册申报底表!$D:$D,0))</f>
        <v>#N/A</v>
      </c>
      <c r="H449" s="183" t="e">
        <f>INDEX(注册申报底表!K:K,MATCH('SOW-ERP导入表'!$E449,注册申报底表!$D:$D,0))</f>
        <v>#N/A</v>
      </c>
      <c r="I449" s="173" t="e">
        <f>INDEX(注册申报底表!$S:$S,MATCH('SOW-ERP导入表'!$E449,注册申报底表!$D:$D,0))</f>
        <v>#N/A</v>
      </c>
      <c r="J449" s="184">
        <f>SUMIF(服务费底表!$D:$D,E449,服务费底表!$AC:$AC)+SUMIF(注册申报底表!$D:$D,'SOW-ERP导入表'!E449,注册申报底表!$Z:$Z)</f>
        <v>0</v>
      </c>
      <c r="K449" s="173">
        <f>IFERROR(INDEX(服务费底表!$C:$C,MATCH('SOW-ERP导入表'!$E449,服务费底表!$D:$D,0)),0)+IFERROR(INDEX(注册申报底表!$C:$C,MATCH('SOW-ERP导入表'!$E449,注册申报底表!$D:$D,0)),0)</f>
        <v>0</v>
      </c>
      <c r="L449" s="185">
        <f t="shared" si="20"/>
        <v>0</v>
      </c>
      <c r="M449" s="184">
        <f>SUMIF(服务费底表!$D:$D,E449,服务费底表!$AG:$AG)+SUMIF(注册申报底表!$D:$D,'SOW-ERP导入表'!E449,注册申报底表!$AD:$AD)</f>
        <v>0</v>
      </c>
    </row>
    <row r="450" spans="2:13">
      <c r="B450" s="173"/>
      <c r="D450" s="173"/>
      <c r="E450" s="188" t="s">
        <v>2802</v>
      </c>
      <c r="F450" s="173" t="str">
        <f t="shared" si="24"/>
        <v>请填写</v>
      </c>
      <c r="G450" s="173" t="str">
        <f>INDEX(注册申报底表!$J:$J,MATCH('SOW-ERP导入表'!$E450,注册申报底表!$D:$D,0))</f>
        <v>A174</v>
      </c>
      <c r="H450" s="183" t="str">
        <f>INDEX(注册申报底表!K:K,MATCH('SOW-ERP导入表'!$E450,注册申报底表!$D:$D,0))</f>
        <v>召开客户电话会议</v>
      </c>
      <c r="I450" s="173" t="str">
        <f>INDEX(注册申报底表!$S:$S,MATCH('SOW-ERP导入表'!$E450,注册申报底表!$D:$D,0))</f>
        <v>MM</v>
      </c>
      <c r="J450" s="184">
        <f>SUMIF(服务费底表!$D:$D,E450,服务费底表!$AC:$AC)+SUMIF(注册申报底表!$D:$D,'SOW-ERP导入表'!E450,注册申报底表!$Z:$Z)</f>
        <v>0</v>
      </c>
      <c r="K450" s="173">
        <f>IFERROR(INDEX(服务费底表!$C:$C,MATCH('SOW-ERP导入表'!$E450,服务费底表!$D:$D,0)),0)+IFERROR(INDEX(注册申报底表!$C:$C,MATCH('SOW-ERP导入表'!$E450,注册申报底表!$D:$D,0)),0)</f>
        <v>0</v>
      </c>
      <c r="L450" s="185">
        <f t="shared" si="20"/>
        <v>0</v>
      </c>
      <c r="M450" s="184">
        <f>SUMIF(服务费底表!$D:$D,E450,服务费底表!$AG:$AG)+SUMIF(注册申报底表!$D:$D,'SOW-ERP导入表'!E450,注册申报底表!$AD:$AD)</f>
        <v>0</v>
      </c>
    </row>
    <row r="451" spans="2:13">
      <c r="B451" s="173"/>
      <c r="D451" s="173"/>
      <c r="E451" s="188" t="s">
        <v>2803</v>
      </c>
      <c r="F451" s="173" t="str">
        <f t="shared" si="24"/>
        <v>请填写</v>
      </c>
      <c r="G451" s="173" t="str">
        <f>INDEX(注册申报底表!$J:$J,MATCH('SOW-ERP导入表'!$E451,注册申报底表!$D:$D,0))</f>
        <v>A174</v>
      </c>
      <c r="H451" s="183" t="str">
        <f>INDEX(注册申报底表!K:K,MATCH('SOW-ERP导入表'!$E451,注册申报底表!$D:$D,0))</f>
        <v>召开客户电话会议</v>
      </c>
      <c r="I451" s="173" t="str">
        <f>INDEX(注册申报底表!$S:$S,MATCH('SOW-ERP导入表'!$E451,注册申报底表!$D:$D,0))</f>
        <v>MD</v>
      </c>
      <c r="J451" s="184">
        <f>SUMIF(服务费底表!$D:$D,E451,服务费底表!$AC:$AC)+SUMIF(注册申报底表!$D:$D,'SOW-ERP导入表'!E451,注册申报底表!$Z:$Z)</f>
        <v>0</v>
      </c>
      <c r="K451" s="173">
        <f>IFERROR(INDEX(服务费底表!$C:$C,MATCH('SOW-ERP导入表'!$E451,服务费底表!$D:$D,0)),0)+IFERROR(INDEX(注册申报底表!$C:$C,MATCH('SOW-ERP导入表'!$E451,注册申报底表!$D:$D,0)),0)</f>
        <v>0</v>
      </c>
      <c r="L451" s="185">
        <f t="shared" si="20"/>
        <v>0</v>
      </c>
      <c r="M451" s="184">
        <f>SUMIF(服务费底表!$D:$D,E451,服务费底表!$AG:$AG)+SUMIF(注册申报底表!$D:$D,'SOW-ERP导入表'!E451,注册申报底表!$AD:$AD)</f>
        <v>0</v>
      </c>
    </row>
    <row r="452" spans="2:13">
      <c r="B452" s="173"/>
      <c r="D452" s="173"/>
      <c r="E452" s="188" t="s">
        <v>2804</v>
      </c>
      <c r="F452" s="173" t="str">
        <f t="shared" si="24"/>
        <v>请填写</v>
      </c>
      <c r="G452" s="173" t="e">
        <f>INDEX(注册申报底表!$J:$J,MATCH('SOW-ERP导入表'!$E452,注册申报底表!$D:$D,0))</f>
        <v>#N/A</v>
      </c>
      <c r="H452" s="183" t="e">
        <f>INDEX(注册申报底表!K:K,MATCH('SOW-ERP导入表'!$E452,注册申报底表!$D:$D,0))</f>
        <v>#N/A</v>
      </c>
      <c r="I452" s="173" t="e">
        <f>INDEX(注册申报底表!$S:$S,MATCH('SOW-ERP导入表'!$E452,注册申报底表!$D:$D,0))</f>
        <v>#N/A</v>
      </c>
      <c r="J452" s="184">
        <f>SUMIF(服务费底表!$D:$D,E452,服务费底表!$AC:$AC)+SUMIF(注册申报底表!$D:$D,'SOW-ERP导入表'!E452,注册申报底表!$Z:$Z)</f>
        <v>0</v>
      </c>
      <c r="K452" s="173">
        <f>IFERROR(INDEX(服务费底表!$C:$C,MATCH('SOW-ERP导入表'!$E452,服务费底表!$D:$D,0)),0)+IFERROR(INDEX(注册申报底表!$C:$C,MATCH('SOW-ERP导入表'!$E452,注册申报底表!$D:$D,0)),0)</f>
        <v>0</v>
      </c>
      <c r="L452" s="185">
        <f t="shared" si="20"/>
        <v>0</v>
      </c>
      <c r="M452" s="184">
        <f>SUMIF(服务费底表!$D:$D,E452,服务费底表!$AG:$AG)+SUMIF(注册申报底表!$D:$D,'SOW-ERP导入表'!E452,注册申报底表!$AD:$AD)</f>
        <v>0</v>
      </c>
    </row>
    <row r="453" spans="2:13">
      <c r="B453" s="173"/>
      <c r="D453" s="173"/>
      <c r="E453" s="188" t="s">
        <v>2805</v>
      </c>
      <c r="F453" s="173" t="str">
        <f t="shared" si="24"/>
        <v>请填写</v>
      </c>
      <c r="G453" s="173" t="str">
        <f>INDEX(注册申报底表!$J:$J,MATCH('SOW-ERP导入表'!$E453,注册申报底表!$D:$D,0))</f>
        <v>A175</v>
      </c>
      <c r="H453" s="183" t="str">
        <f>INDEX(注册申报底表!K:K,MATCH('SOW-ERP导入表'!$E453,注册申报底表!$D:$D,0))</f>
        <v>召开专家电话会议</v>
      </c>
      <c r="I453" s="173" t="str">
        <f>INDEX(注册申报底表!$S:$S,MATCH('SOW-ERP导入表'!$E453,注册申报底表!$D:$D,0))</f>
        <v>MM</v>
      </c>
      <c r="J453" s="184">
        <f>SUMIF(服务费底表!$D:$D,E453,服务费底表!$AC:$AC)+SUMIF(注册申报底表!$D:$D,'SOW-ERP导入表'!E453,注册申报底表!$Z:$Z)</f>
        <v>0</v>
      </c>
      <c r="K453" s="173">
        <f>IFERROR(INDEX(服务费底表!$C:$C,MATCH('SOW-ERP导入表'!$E453,服务费底表!$D:$D,0)),0)+IFERROR(INDEX(注册申报底表!$C:$C,MATCH('SOW-ERP导入表'!$E453,注册申报底表!$D:$D,0)),0)</f>
        <v>0</v>
      </c>
      <c r="L453" s="185">
        <f t="shared" si="20"/>
        <v>0</v>
      </c>
      <c r="M453" s="184">
        <f>SUMIF(服务费底表!$D:$D,E453,服务费底表!$AG:$AG)+SUMIF(注册申报底表!$D:$D,'SOW-ERP导入表'!E453,注册申报底表!$AD:$AD)</f>
        <v>0</v>
      </c>
    </row>
    <row r="454" spans="2:13">
      <c r="B454" s="173"/>
      <c r="D454" s="173"/>
      <c r="E454" s="188" t="s">
        <v>2806</v>
      </c>
      <c r="F454" s="173" t="str">
        <f t="shared" si="24"/>
        <v>请填写</v>
      </c>
      <c r="G454" s="173" t="str">
        <f>INDEX(注册申报底表!$J:$J,MATCH('SOW-ERP导入表'!$E454,注册申报底表!$D:$D,0))</f>
        <v>A175</v>
      </c>
      <c r="H454" s="183" t="str">
        <f>INDEX(注册申报底表!K:K,MATCH('SOW-ERP导入表'!$E454,注册申报底表!$D:$D,0))</f>
        <v>召开专家电话会议</v>
      </c>
      <c r="I454" s="173" t="str">
        <f>INDEX(注册申报底表!$S:$S,MATCH('SOW-ERP导入表'!$E454,注册申报底表!$D:$D,0))</f>
        <v>MD</v>
      </c>
      <c r="J454" s="184">
        <f>SUMIF(服务费底表!$D:$D,E454,服务费底表!$AC:$AC)+SUMIF(注册申报底表!$D:$D,'SOW-ERP导入表'!E454,注册申报底表!$Z:$Z)</f>
        <v>0</v>
      </c>
      <c r="K454" s="173">
        <f>IFERROR(INDEX(服务费底表!$C:$C,MATCH('SOW-ERP导入表'!$E454,服务费底表!$D:$D,0)),0)+IFERROR(INDEX(注册申报底表!$C:$C,MATCH('SOW-ERP导入表'!$E454,注册申报底表!$D:$D,0)),0)</f>
        <v>0</v>
      </c>
      <c r="L454" s="185">
        <f t="shared" si="20"/>
        <v>0</v>
      </c>
      <c r="M454" s="184">
        <f>SUMIF(服务费底表!$D:$D,E454,服务费底表!$AG:$AG)+SUMIF(注册申报底表!$D:$D,'SOW-ERP导入表'!E454,注册申报底表!$AD:$AD)</f>
        <v>0</v>
      </c>
    </row>
    <row r="455" spans="2:13">
      <c r="B455" s="173"/>
      <c r="D455" s="173"/>
      <c r="E455" s="188" t="s">
        <v>2807</v>
      </c>
      <c r="F455" s="173" t="str">
        <f t="shared" si="24"/>
        <v>请填写</v>
      </c>
      <c r="G455" s="173" t="e">
        <f>INDEX(注册申报底表!$J:$J,MATCH('SOW-ERP导入表'!$E455,注册申报底表!$D:$D,0))</f>
        <v>#N/A</v>
      </c>
      <c r="H455" s="183" t="e">
        <f>INDEX(注册申报底表!K:K,MATCH('SOW-ERP导入表'!$E455,注册申报底表!$D:$D,0))</f>
        <v>#N/A</v>
      </c>
      <c r="I455" s="173" t="e">
        <f>INDEX(注册申报底表!$S:$S,MATCH('SOW-ERP导入表'!$E455,注册申报底表!$D:$D,0))</f>
        <v>#N/A</v>
      </c>
      <c r="J455" s="184">
        <f>SUMIF(服务费底表!$D:$D,E455,服务费底表!$AC:$AC)+SUMIF(注册申报底表!$D:$D,'SOW-ERP导入表'!E455,注册申报底表!$Z:$Z)</f>
        <v>0</v>
      </c>
      <c r="K455" s="173">
        <f>IFERROR(INDEX(服务费底表!$C:$C,MATCH('SOW-ERP导入表'!$E455,服务费底表!$D:$D,0)),0)+IFERROR(INDEX(注册申报底表!$C:$C,MATCH('SOW-ERP导入表'!$E455,注册申报底表!$D:$D,0)),0)</f>
        <v>0</v>
      </c>
      <c r="L455" s="185">
        <f t="shared" si="20"/>
        <v>0</v>
      </c>
      <c r="M455" s="184">
        <f>SUMIF(服务费底表!$D:$D,E455,服务费底表!$AG:$AG)+SUMIF(注册申报底表!$D:$D,'SOW-ERP导入表'!E455,注册申报底表!$AD:$AD)</f>
        <v>0</v>
      </c>
    </row>
    <row r="456" spans="2:13">
      <c r="B456" s="173"/>
      <c r="D456" s="173"/>
      <c r="E456" s="188" t="s">
        <v>2808</v>
      </c>
      <c r="F456" s="173" t="str">
        <f t="shared" si="24"/>
        <v>请填写</v>
      </c>
      <c r="G456" s="173" t="str">
        <f>INDEX(注册申报底表!$J:$J,MATCH('SOW-ERP导入表'!$E456,注册申报底表!$D:$D,0))</f>
        <v>A176</v>
      </c>
      <c r="H456" s="183" t="str">
        <f>INDEX(注册申报底表!K:K,MATCH('SOW-ERP导入表'!$E456,注册申报底表!$D:$D,0))</f>
        <v>临床开发计划制定</v>
      </c>
      <c r="I456" s="173" t="str">
        <f>INDEX(注册申报底表!$S:$S,MATCH('SOW-ERP导入表'!$E456,注册申报底表!$D:$D,0))</f>
        <v>MM</v>
      </c>
      <c r="J456" s="184">
        <f>SUMIF(服务费底表!$D:$D,E456,服务费底表!$AC:$AC)+SUMIF(注册申报底表!$D:$D,'SOW-ERP导入表'!E456,注册申报底表!$Z:$Z)</f>
        <v>0</v>
      </c>
      <c r="K456" s="173">
        <f>IFERROR(INDEX(服务费底表!$C:$C,MATCH('SOW-ERP导入表'!$E456,服务费底表!$D:$D,0)),0)+IFERROR(INDEX(注册申报底表!$C:$C,MATCH('SOW-ERP导入表'!$E456,注册申报底表!$D:$D,0)),0)</f>
        <v>0</v>
      </c>
      <c r="L456" s="185">
        <f t="shared" si="20"/>
        <v>0</v>
      </c>
      <c r="M456" s="184">
        <f>SUMIF(服务费底表!$D:$D,E456,服务费底表!$AG:$AG)+SUMIF(注册申报底表!$D:$D,'SOW-ERP导入表'!E456,注册申报底表!$AD:$AD)</f>
        <v>0</v>
      </c>
    </row>
    <row r="457" spans="2:13">
      <c r="B457" s="173"/>
      <c r="D457" s="173"/>
      <c r="E457" s="188" t="s">
        <v>2809</v>
      </c>
      <c r="F457" s="173" t="str">
        <f t="shared" si="24"/>
        <v>请填写</v>
      </c>
      <c r="G457" s="173" t="str">
        <f>INDEX(注册申报底表!$J:$J,MATCH('SOW-ERP导入表'!$E457,注册申报底表!$D:$D,0))</f>
        <v>A176</v>
      </c>
      <c r="H457" s="183" t="str">
        <f>INDEX(注册申报底表!K:K,MATCH('SOW-ERP导入表'!$E457,注册申报底表!$D:$D,0))</f>
        <v>临床开发计划制定</v>
      </c>
      <c r="I457" s="173" t="str">
        <f>INDEX(注册申报底表!$S:$S,MATCH('SOW-ERP导入表'!$E457,注册申报底表!$D:$D,0))</f>
        <v>MD</v>
      </c>
      <c r="J457" s="184">
        <f>SUMIF(服务费底表!$D:$D,E457,服务费底表!$AC:$AC)+SUMIF(注册申报底表!$D:$D,'SOW-ERP导入表'!E457,注册申报底表!$Z:$Z)</f>
        <v>0</v>
      </c>
      <c r="K457" s="173">
        <f>IFERROR(INDEX(服务费底表!$C:$C,MATCH('SOW-ERP导入表'!$E457,服务费底表!$D:$D,0)),0)+IFERROR(INDEX(注册申报底表!$C:$C,MATCH('SOW-ERP导入表'!$E457,注册申报底表!$D:$D,0)),0)</f>
        <v>0</v>
      </c>
      <c r="L457" s="185">
        <f t="shared" si="20"/>
        <v>0</v>
      </c>
      <c r="M457" s="184">
        <f>SUMIF(服务费底表!$D:$D,E457,服务费底表!$AG:$AG)+SUMIF(注册申报底表!$D:$D,'SOW-ERP导入表'!E457,注册申报底表!$AD:$AD)</f>
        <v>0</v>
      </c>
    </row>
    <row r="458" spans="2:13">
      <c r="B458" s="173"/>
      <c r="D458" s="173"/>
      <c r="E458" s="188" t="s">
        <v>2810</v>
      </c>
      <c r="F458" s="173" t="str">
        <f t="shared" si="24"/>
        <v>请填写</v>
      </c>
      <c r="G458" s="173" t="str">
        <f>INDEX(注册申报底表!$J:$J,MATCH('SOW-ERP导入表'!$E458,注册申报底表!$D:$D,0))</f>
        <v>A208</v>
      </c>
      <c r="H458" s="183" t="str">
        <f>INDEX(注册申报底表!K:K,MATCH('SOW-ERP导入表'!$E458,注册申报底表!$D:$D,0))</f>
        <v>方案撰写/注册阶段</v>
      </c>
      <c r="I458" s="173" t="str">
        <f>INDEX(注册申报底表!$S:$S,MATCH('SOW-ERP导入表'!$E458,注册申报底表!$D:$D,0))</f>
        <v>MM</v>
      </c>
      <c r="J458" s="184">
        <f>SUMIF(服务费底表!$D:$D,E458,服务费底表!$AC:$AC)+SUMIF(注册申报底表!$D:$D,'SOW-ERP导入表'!E458,注册申报底表!$Z:$Z)</f>
        <v>0</v>
      </c>
      <c r="K458" s="173">
        <f>IFERROR(INDEX(服务费底表!$C:$C,MATCH('SOW-ERP导入表'!$E458,服务费底表!$D:$D,0)),0)+IFERROR(INDEX(注册申报底表!$C:$C,MATCH('SOW-ERP导入表'!$E458,注册申报底表!$D:$D,0)),0)</f>
        <v>0</v>
      </c>
      <c r="L458" s="185">
        <f t="shared" ref="L458:L464" si="25">IFERROR(M458/K458,0)</f>
        <v>0</v>
      </c>
      <c r="M458" s="184">
        <f>SUMIF(服务费底表!$D:$D,E458,服务费底表!$AG:$AG)+SUMIF(注册申报底表!$D:$D,'SOW-ERP导入表'!E458,注册申报底表!$AD:$AD)</f>
        <v>0</v>
      </c>
    </row>
    <row r="459" spans="2:13">
      <c r="B459" s="173"/>
      <c r="D459" s="173"/>
      <c r="E459" s="188" t="s">
        <v>2811</v>
      </c>
      <c r="F459" s="173" t="str">
        <f t="shared" si="24"/>
        <v>请填写</v>
      </c>
      <c r="G459" s="173" t="e">
        <f>INDEX(注册申报底表!$J:$J,MATCH('SOW-ERP导入表'!$E459,注册申报底表!$D:$D,0))</f>
        <v>#N/A</v>
      </c>
      <c r="H459" s="183" t="e">
        <f>INDEX(注册申报底表!K:K,MATCH('SOW-ERP导入表'!$E459,注册申报底表!$D:$D,0))</f>
        <v>#N/A</v>
      </c>
      <c r="I459" s="173" t="e">
        <f>INDEX(注册申报底表!$S:$S,MATCH('SOW-ERP导入表'!$E459,注册申报底表!$D:$D,0))</f>
        <v>#N/A</v>
      </c>
      <c r="J459" s="184">
        <f>SUMIF(服务费底表!$D:$D,E459,服务费底表!$AC:$AC)+SUMIF(注册申报底表!$D:$D,'SOW-ERP导入表'!E459,注册申报底表!$Z:$Z)</f>
        <v>0</v>
      </c>
      <c r="K459" s="173">
        <f>IFERROR(INDEX(服务费底表!$C:$C,MATCH('SOW-ERP导入表'!$E459,服务费底表!$D:$D,0)),0)+IFERROR(INDEX(注册申报底表!$C:$C,MATCH('SOW-ERP导入表'!$E459,注册申报底表!$D:$D,0)),0)</f>
        <v>0</v>
      </c>
      <c r="L459" s="185">
        <f t="shared" si="25"/>
        <v>0</v>
      </c>
      <c r="M459" s="184">
        <f>SUMIF(服务费底表!$D:$D,E459,服务费底表!$AG:$AG)+SUMIF(注册申报底表!$D:$D,'SOW-ERP导入表'!E459,注册申报底表!$AD:$AD)</f>
        <v>0</v>
      </c>
    </row>
    <row r="460" spans="2:13">
      <c r="B460" s="173"/>
      <c r="D460" s="173"/>
      <c r="E460" s="188" t="s">
        <v>2812</v>
      </c>
      <c r="F460" s="173" t="str">
        <f t="shared" si="24"/>
        <v>请填写</v>
      </c>
      <c r="G460" s="173" t="str">
        <f>INDEX(注册申报底表!$J:$J,MATCH('SOW-ERP导入表'!$E460,注册申报底表!$D:$D,0))</f>
        <v>A208</v>
      </c>
      <c r="H460" s="183" t="str">
        <f>INDEX(注册申报底表!K:K,MATCH('SOW-ERP导入表'!$E460,注册申报底表!$D:$D,0))</f>
        <v>方案撰写/注册阶段</v>
      </c>
      <c r="I460" s="173" t="str">
        <f>INDEX(注册申报底表!$S:$S,MATCH('SOW-ERP导入表'!$E460,注册申报底表!$D:$D,0))</f>
        <v>MD</v>
      </c>
      <c r="J460" s="184">
        <f>SUMIF(服务费底表!$D:$D,E460,服务费底表!$AC:$AC)+SUMIF(注册申报底表!$D:$D,'SOW-ERP导入表'!E460,注册申报底表!$Z:$Z)</f>
        <v>0</v>
      </c>
      <c r="K460" s="173">
        <f>IFERROR(INDEX(服务费底表!$C:$C,MATCH('SOW-ERP导入表'!$E460,服务费底表!$D:$D,0)),0)+IFERROR(INDEX(注册申报底表!$C:$C,MATCH('SOW-ERP导入表'!$E460,注册申报底表!$D:$D,0)),0)</f>
        <v>0</v>
      </c>
      <c r="L460" s="185">
        <f t="shared" si="25"/>
        <v>0</v>
      </c>
      <c r="M460" s="184">
        <f>SUMIF(服务费底表!$D:$D,E460,服务费底表!$AG:$AG)+SUMIF(注册申报底表!$D:$D,'SOW-ERP导入表'!E460,注册申报底表!$AD:$AD)</f>
        <v>0</v>
      </c>
    </row>
    <row r="461" spans="2:13">
      <c r="B461" s="173"/>
      <c r="D461" s="173"/>
      <c r="E461" s="188" t="s">
        <v>2813</v>
      </c>
      <c r="F461" s="173" t="str">
        <f t="shared" si="24"/>
        <v>请填写</v>
      </c>
      <c r="G461" s="173" t="str">
        <f>INDEX(注册申报底表!$J:$J,MATCH('SOW-ERP导入表'!$E461,注册申报底表!$D:$D,0))</f>
        <v>A208</v>
      </c>
      <c r="H461" s="183" t="str">
        <f>INDEX(注册申报底表!K:K,MATCH('SOW-ERP导入表'!$E461,注册申报底表!$D:$D,0))</f>
        <v>方案撰写/注册阶段</v>
      </c>
      <c r="I461" s="173" t="str">
        <f>INDEX(注册申报底表!$S:$S,MATCH('SOW-ERP导入表'!$E461,注册申报底表!$D:$D,0))</f>
        <v>STM</v>
      </c>
      <c r="J461" s="184">
        <f>SUMIF(服务费底表!$D:$D,E461,服务费底表!$AC:$AC)+SUMIF(注册申报底表!$D:$D,'SOW-ERP导入表'!E461,注册申报底表!$Z:$Z)</f>
        <v>0</v>
      </c>
      <c r="K461" s="173">
        <f>IFERROR(INDEX(服务费底表!$C:$C,MATCH('SOW-ERP导入表'!$E461,服务费底表!$D:$D,0)),0)+IFERROR(INDEX(注册申报底表!$C:$C,MATCH('SOW-ERP导入表'!$E461,注册申报底表!$D:$D,0)),0)</f>
        <v>0</v>
      </c>
      <c r="L461" s="185">
        <f t="shared" si="25"/>
        <v>0</v>
      </c>
      <c r="M461" s="184">
        <f>SUMIF(服务费底表!$D:$D,E461,服务费底表!$AG:$AG)+SUMIF(注册申报底表!$D:$D,'SOW-ERP导入表'!E461,注册申报底表!$AD:$AD)</f>
        <v>0</v>
      </c>
    </row>
    <row r="462" spans="2:13">
      <c r="B462" s="173"/>
      <c r="D462" s="173"/>
      <c r="E462" s="188" t="s">
        <v>2814</v>
      </c>
      <c r="F462" s="173" t="str">
        <f t="shared" si="24"/>
        <v>请填写</v>
      </c>
      <c r="G462" s="173" t="e">
        <f>INDEX(注册申报底表!$J:$J,MATCH('SOW-ERP导入表'!$E462,注册申报底表!$D:$D,0))</f>
        <v>#N/A</v>
      </c>
      <c r="H462" s="183" t="e">
        <f>INDEX(注册申报底表!K:K,MATCH('SOW-ERP导入表'!$E462,注册申报底表!$D:$D,0))</f>
        <v>#N/A</v>
      </c>
      <c r="I462" s="173" t="e">
        <f>INDEX(注册申报底表!$S:$S,MATCH('SOW-ERP导入表'!$E462,注册申报底表!$D:$D,0))</f>
        <v>#N/A</v>
      </c>
      <c r="J462" s="184">
        <f>SUMIF(服务费底表!$D:$D,E462,服务费底表!$AC:$AC)+SUMIF(注册申报底表!$D:$D,'SOW-ERP导入表'!E462,注册申报底表!$Z:$Z)</f>
        <v>0</v>
      </c>
      <c r="K462" s="173">
        <f>IFERROR(INDEX(服务费底表!$C:$C,MATCH('SOW-ERP导入表'!$E462,服务费底表!$D:$D,0)),0)+IFERROR(INDEX(注册申报底表!$C:$C,MATCH('SOW-ERP导入表'!$E462,注册申报底表!$D:$D,0)),0)</f>
        <v>0</v>
      </c>
      <c r="L462" s="185">
        <f t="shared" si="25"/>
        <v>0</v>
      </c>
      <c r="M462" s="184">
        <f>SUMIF(服务费底表!$D:$D,E462,服务费底表!$AG:$AG)+SUMIF(注册申报底表!$D:$D,'SOW-ERP导入表'!E462,注册申报底表!$AD:$AD)</f>
        <v>0</v>
      </c>
    </row>
    <row r="463" spans="2:13">
      <c r="B463" s="173"/>
      <c r="D463" s="173"/>
      <c r="E463" s="188" t="s">
        <v>2815</v>
      </c>
      <c r="F463" s="173" t="str">
        <f t="shared" si="24"/>
        <v>请填写</v>
      </c>
      <c r="G463" s="173" t="e">
        <f>INDEX(注册申报底表!$J:$J,MATCH('SOW-ERP导入表'!$E463,注册申报底表!$D:$D,0))</f>
        <v>#N/A</v>
      </c>
      <c r="H463" s="183" t="e">
        <f>INDEX(注册申报底表!K:K,MATCH('SOW-ERP导入表'!$E463,注册申报底表!$D:$D,0))</f>
        <v>#N/A</v>
      </c>
      <c r="I463" s="173" t="e">
        <f>INDEX(注册申报底表!$S:$S,MATCH('SOW-ERP导入表'!$E463,注册申报底表!$D:$D,0))</f>
        <v>#N/A</v>
      </c>
      <c r="J463" s="184">
        <f>SUMIF(服务费底表!$D:$D,E463,服务费底表!$AC:$AC)+SUMIF(注册申报底表!$D:$D,'SOW-ERP导入表'!E463,注册申报底表!$Z:$Z)</f>
        <v>0</v>
      </c>
      <c r="K463" s="173">
        <f>IFERROR(INDEX(服务费底表!$C:$C,MATCH('SOW-ERP导入表'!$E463,服务费底表!$D:$D,0)),0)+IFERROR(INDEX(注册申报底表!$C:$C,MATCH('SOW-ERP导入表'!$E463,注册申报底表!$D:$D,0)),0)</f>
        <v>0</v>
      </c>
      <c r="L463" s="185">
        <f t="shared" si="25"/>
        <v>0</v>
      </c>
      <c r="M463" s="184">
        <f>SUMIF(服务费底表!$D:$D,E463,服务费底表!$AG:$AG)+SUMIF(注册申报底表!$D:$D,'SOW-ERP导入表'!E463,注册申报底表!$AD:$AD)</f>
        <v>0</v>
      </c>
    </row>
    <row r="464" spans="2:13">
      <c r="B464" s="173"/>
      <c r="D464" s="173"/>
      <c r="E464" s="188" t="s">
        <v>2816</v>
      </c>
      <c r="F464" s="173" t="str">
        <f t="shared" si="24"/>
        <v>请填写</v>
      </c>
      <c r="G464" s="173" t="e">
        <f>INDEX(注册申报底表!$J:$J,MATCH('SOW-ERP导入表'!$E464,注册申报底表!$D:$D,0))</f>
        <v>#N/A</v>
      </c>
      <c r="H464" s="183" t="e">
        <f>INDEX(注册申报底表!K:K,MATCH('SOW-ERP导入表'!$E464,注册申报底表!$D:$D,0))</f>
        <v>#N/A</v>
      </c>
      <c r="I464" s="173" t="e">
        <f>INDEX(注册申报底表!$S:$S,MATCH('SOW-ERP导入表'!$E464,注册申报底表!$D:$D,0))</f>
        <v>#N/A</v>
      </c>
      <c r="J464" s="184">
        <f>SUMIF(服务费底表!$D:$D,E464,服务费底表!$AC:$AC)+SUMIF(注册申报底表!$D:$D,'SOW-ERP导入表'!E464,注册申报底表!$Z:$Z)</f>
        <v>0</v>
      </c>
      <c r="K464" s="173">
        <f>IFERROR(INDEX(服务费底表!$C:$C,MATCH('SOW-ERP导入表'!$E464,服务费底表!$D:$D,0)),0)+IFERROR(INDEX(注册申报底表!$C:$C,MATCH('SOW-ERP导入表'!$E464,注册申报底表!$D:$D,0)),0)</f>
        <v>0</v>
      </c>
      <c r="L464" s="185">
        <f t="shared" si="25"/>
        <v>0</v>
      </c>
      <c r="M464" s="184">
        <f>SUMIF(服务费底表!$D:$D,E464,服务费底表!$AG:$AG)+SUMIF(注册申报底表!$D:$D,'SOW-ERP导入表'!E464,注册申报底表!$AD:$AD)</f>
        <v>0</v>
      </c>
    </row>
    <row r="465" spans="2:13">
      <c r="B465" s="173"/>
      <c r="D465" s="173"/>
      <c r="E465" s="188" t="s">
        <v>2817</v>
      </c>
      <c r="F465" s="173" t="str">
        <f t="shared" si="24"/>
        <v>请填写</v>
      </c>
      <c r="G465" s="173" t="str">
        <f>INDEX(注册申报底表!$J:$J,MATCH('SOW-ERP导入表'!$E465,注册申报底表!$D:$D,0))</f>
        <v>A177</v>
      </c>
      <c r="H465" s="183" t="str">
        <f>INDEX(注册申报底表!K:K,MATCH('SOW-ERP导入表'!$E465,注册申报底表!$D:$D,0))</f>
        <v>临床综述撰写2.5</v>
      </c>
      <c r="I465" s="173" t="str">
        <f>INDEX(注册申报底表!$S:$S,MATCH('SOW-ERP导入表'!$E465,注册申报底表!$D:$D,0))</f>
        <v>MM</v>
      </c>
      <c r="J465" s="184">
        <f>SUMIF(服务费底表!$D:$D,E465,服务费底表!$AC:$AC)+SUMIF(注册申报底表!$D:$D,'SOW-ERP导入表'!E465,注册申报底表!$Z:$Z)</f>
        <v>0</v>
      </c>
      <c r="K465" s="173">
        <f>IFERROR(INDEX(服务费底表!$C:$C,MATCH('SOW-ERP导入表'!$E465,服务费底表!$D:$D,0)),0)+IFERROR(INDEX(注册申报底表!$C:$C,MATCH('SOW-ERP导入表'!$E465,注册申报底表!$D:$D,0)),0)</f>
        <v>0</v>
      </c>
      <c r="L465" s="185">
        <f t="shared" ref="L465:L528" si="26">IFERROR(M465/K465,0)</f>
        <v>0</v>
      </c>
      <c r="M465" s="184">
        <f>SUMIF(服务费底表!$D:$D,E465,服务费底表!$AG:$AG)+SUMIF(注册申报底表!$D:$D,'SOW-ERP导入表'!E465,注册申报底表!$AD:$AD)</f>
        <v>0</v>
      </c>
    </row>
    <row r="466" spans="2:13">
      <c r="B466" s="173"/>
      <c r="D466" s="173"/>
      <c r="E466" s="188" t="s">
        <v>2818</v>
      </c>
      <c r="F466" s="173" t="str">
        <f t="shared" si="24"/>
        <v>请填写</v>
      </c>
      <c r="G466" s="173" t="str">
        <f>INDEX(注册申报底表!$J:$J,MATCH('SOW-ERP导入表'!$E466,注册申报底表!$D:$D,0))</f>
        <v>A177</v>
      </c>
      <c r="H466" s="183" t="str">
        <f>INDEX(注册申报底表!K:K,MATCH('SOW-ERP导入表'!$E466,注册申报底表!$D:$D,0))</f>
        <v>临床综述撰写2.5</v>
      </c>
      <c r="I466" s="173" t="str">
        <f>INDEX(注册申报底表!$S:$S,MATCH('SOW-ERP导入表'!$E466,注册申报底表!$D:$D,0))</f>
        <v>MD</v>
      </c>
      <c r="J466" s="184">
        <f>SUMIF(服务费底表!$D:$D,E466,服务费底表!$AC:$AC)+SUMIF(注册申报底表!$D:$D,'SOW-ERP导入表'!E466,注册申报底表!$Z:$Z)</f>
        <v>0</v>
      </c>
      <c r="K466" s="173">
        <f>IFERROR(INDEX(服务费底表!$C:$C,MATCH('SOW-ERP导入表'!$E466,服务费底表!$D:$D,0)),0)+IFERROR(INDEX(注册申报底表!$C:$C,MATCH('SOW-ERP导入表'!$E466,注册申报底表!$D:$D,0)),0)</f>
        <v>0</v>
      </c>
      <c r="L466" s="185">
        <f t="shared" si="26"/>
        <v>0</v>
      </c>
      <c r="M466" s="184">
        <f>SUMIF(服务费底表!$D:$D,E466,服务费底表!$AG:$AG)+SUMIF(注册申报底表!$D:$D,'SOW-ERP导入表'!E466,注册申报底表!$AD:$AD)</f>
        <v>0</v>
      </c>
    </row>
    <row r="467" spans="2:13">
      <c r="B467" s="173"/>
      <c r="D467" s="173"/>
      <c r="E467" s="188" t="s">
        <v>2819</v>
      </c>
      <c r="F467" s="173" t="str">
        <f t="shared" si="24"/>
        <v>请填写</v>
      </c>
      <c r="G467" s="173" t="e">
        <f>INDEX(注册申报底表!$J:$J,MATCH('SOW-ERP导入表'!$E467,注册申报底表!$D:$D,0))</f>
        <v>#N/A</v>
      </c>
      <c r="H467" s="183" t="e">
        <f>INDEX(注册申报底表!K:K,MATCH('SOW-ERP导入表'!$E467,注册申报底表!$D:$D,0))</f>
        <v>#N/A</v>
      </c>
      <c r="I467" s="173" t="e">
        <f>INDEX(注册申报底表!$S:$S,MATCH('SOW-ERP导入表'!$E467,注册申报底表!$D:$D,0))</f>
        <v>#N/A</v>
      </c>
      <c r="J467" s="184">
        <f>SUMIF(服务费底表!$D:$D,E467,服务费底表!$AC:$AC)+SUMIF(注册申报底表!$D:$D,'SOW-ERP导入表'!E467,注册申报底表!$Z:$Z)</f>
        <v>0</v>
      </c>
      <c r="K467" s="173">
        <f>IFERROR(INDEX(服务费底表!$C:$C,MATCH('SOW-ERP导入表'!$E467,服务费底表!$D:$D,0)),0)+IFERROR(INDEX(注册申报底表!$C:$C,MATCH('SOW-ERP导入表'!$E467,注册申报底表!$D:$D,0)),0)</f>
        <v>0</v>
      </c>
      <c r="L467" s="185">
        <f t="shared" si="26"/>
        <v>0</v>
      </c>
      <c r="M467" s="184">
        <f>SUMIF(服务费底表!$D:$D,E467,服务费底表!$AG:$AG)+SUMIF(注册申报底表!$D:$D,'SOW-ERP导入表'!E467,注册申报底表!$AD:$AD)</f>
        <v>0</v>
      </c>
    </row>
    <row r="468" spans="2:13">
      <c r="B468" s="173"/>
      <c r="D468" s="173"/>
      <c r="E468" s="188" t="s">
        <v>2820</v>
      </c>
      <c r="F468" s="173" t="str">
        <f t="shared" si="24"/>
        <v>请填写</v>
      </c>
      <c r="G468" s="173" t="str">
        <f>INDEX(注册申报底表!$J:$J,MATCH('SOW-ERP导入表'!$E468,注册申报底表!$D:$D,0))</f>
        <v>A178</v>
      </c>
      <c r="H468" s="183" t="str">
        <f>INDEX(注册申报底表!K:K,MATCH('SOW-ERP导入表'!$E468,注册申报底表!$D:$D,0))</f>
        <v>知情同意书样稿撰写1.3.4.2</v>
      </c>
      <c r="I468" s="173" t="str">
        <f>INDEX(注册申报底表!$S:$S,MATCH('SOW-ERP导入表'!$E468,注册申报底表!$D:$D,0))</f>
        <v>MM</v>
      </c>
      <c r="J468" s="184">
        <f>SUMIF(服务费底表!$D:$D,E468,服务费底表!$AC:$AC)+SUMIF(注册申报底表!$D:$D,'SOW-ERP导入表'!E468,注册申报底表!$Z:$Z)</f>
        <v>0</v>
      </c>
      <c r="K468" s="173">
        <f>IFERROR(INDEX(服务费底表!$C:$C,MATCH('SOW-ERP导入表'!$E468,服务费底表!$D:$D,0)),0)+IFERROR(INDEX(注册申报底表!$C:$C,MATCH('SOW-ERP导入表'!$E468,注册申报底表!$D:$D,0)),0)</f>
        <v>0</v>
      </c>
      <c r="L468" s="185">
        <f t="shared" si="26"/>
        <v>0</v>
      </c>
      <c r="M468" s="184">
        <f>SUMIF(服务费底表!$D:$D,E468,服务费底表!$AG:$AG)+SUMIF(注册申报底表!$D:$D,'SOW-ERP导入表'!E468,注册申报底表!$AD:$AD)</f>
        <v>0</v>
      </c>
    </row>
    <row r="469" spans="2:13">
      <c r="B469" s="173"/>
      <c r="D469" s="173"/>
      <c r="E469" s="188" t="s">
        <v>2821</v>
      </c>
      <c r="F469" s="173" t="str">
        <f t="shared" si="24"/>
        <v>请填写</v>
      </c>
      <c r="G469" s="173" t="str">
        <f>INDEX(注册申报底表!$J:$J,MATCH('SOW-ERP导入表'!$E469,注册申报底表!$D:$D,0))</f>
        <v>A178</v>
      </c>
      <c r="H469" s="183" t="str">
        <f>INDEX(注册申报底表!K:K,MATCH('SOW-ERP导入表'!$E469,注册申报底表!$D:$D,0))</f>
        <v>知情同意书样稿撰写1.3.4.2</v>
      </c>
      <c r="I469" s="173" t="str">
        <f>INDEX(注册申报底表!$S:$S,MATCH('SOW-ERP导入表'!$E469,注册申报底表!$D:$D,0))</f>
        <v>MD</v>
      </c>
      <c r="J469" s="184">
        <f>SUMIF(服务费底表!$D:$D,E469,服务费底表!$AC:$AC)+SUMIF(注册申报底表!$D:$D,'SOW-ERP导入表'!E469,注册申报底表!$Z:$Z)</f>
        <v>0</v>
      </c>
      <c r="K469" s="173">
        <f>IFERROR(INDEX(服务费底表!$C:$C,MATCH('SOW-ERP导入表'!$E469,服务费底表!$D:$D,0)),0)+IFERROR(INDEX(注册申报底表!$C:$C,MATCH('SOW-ERP导入表'!$E469,注册申报底表!$D:$D,0)),0)</f>
        <v>0</v>
      </c>
      <c r="L469" s="185">
        <f t="shared" si="26"/>
        <v>0</v>
      </c>
      <c r="M469" s="184">
        <f>SUMIF(服务费底表!$D:$D,E469,服务费底表!$AG:$AG)+SUMIF(注册申报底表!$D:$D,'SOW-ERP导入表'!E469,注册申报底表!$AD:$AD)</f>
        <v>0</v>
      </c>
    </row>
    <row r="470" spans="2:13">
      <c r="B470" s="173"/>
      <c r="D470" s="173"/>
      <c r="E470" s="188" t="s">
        <v>2822</v>
      </c>
      <c r="F470" s="173" t="str">
        <f t="shared" si="24"/>
        <v>请填写</v>
      </c>
      <c r="G470" s="173" t="e">
        <f>INDEX(注册申报底表!$J:$J,MATCH('SOW-ERP导入表'!$E470,注册申报底表!$D:$D,0))</f>
        <v>#N/A</v>
      </c>
      <c r="H470" s="183" t="e">
        <f>INDEX(注册申报底表!K:K,MATCH('SOW-ERP导入表'!$E470,注册申报底表!$D:$D,0))</f>
        <v>#N/A</v>
      </c>
      <c r="I470" s="173" t="e">
        <f>INDEX(注册申报底表!$S:$S,MATCH('SOW-ERP导入表'!$E470,注册申报底表!$D:$D,0))</f>
        <v>#N/A</v>
      </c>
      <c r="J470" s="184">
        <f>SUMIF(服务费底表!$D:$D,E470,服务费底表!$AC:$AC)+SUMIF(注册申报底表!$D:$D,'SOW-ERP导入表'!E470,注册申报底表!$Z:$Z)</f>
        <v>0</v>
      </c>
      <c r="K470" s="173">
        <f>IFERROR(INDEX(服务费底表!$C:$C,MATCH('SOW-ERP导入表'!$E470,服务费底表!$D:$D,0)),0)+IFERROR(INDEX(注册申报底表!$C:$C,MATCH('SOW-ERP导入表'!$E470,注册申报底表!$D:$D,0)),0)</f>
        <v>0</v>
      </c>
      <c r="L470" s="185">
        <f t="shared" si="26"/>
        <v>0</v>
      </c>
      <c r="M470" s="184">
        <f>SUMIF(服务费底表!$D:$D,E470,服务费底表!$AG:$AG)+SUMIF(注册申报底表!$D:$D,'SOW-ERP导入表'!E470,注册申报底表!$AD:$AD)</f>
        <v>0</v>
      </c>
    </row>
    <row r="471" spans="2:13">
      <c r="B471" s="173"/>
      <c r="D471" s="173"/>
      <c r="E471" s="188" t="s">
        <v>2823</v>
      </c>
      <c r="F471" s="173" t="str">
        <f t="shared" si="24"/>
        <v>请填写</v>
      </c>
      <c r="G471" s="173" t="str">
        <f>INDEX(注册申报底表!$J:$J,MATCH('SOW-ERP导入表'!$E471,注册申报底表!$D:$D,0))</f>
        <v>A179</v>
      </c>
      <c r="H471" s="183" t="str">
        <f>INDEX(注册申报底表!K:K,MATCH('SOW-ERP导入表'!$E471,注册申报底表!$D:$D,0))</f>
        <v>研究者手册撰写1.3.4.3</v>
      </c>
      <c r="I471" s="173" t="str">
        <f>INDEX(注册申报底表!$S:$S,MATCH('SOW-ERP导入表'!$E471,注册申报底表!$D:$D,0))</f>
        <v>MM</v>
      </c>
      <c r="J471" s="184">
        <f>SUMIF(服务费底表!$D:$D,E471,服务费底表!$AC:$AC)+SUMIF(注册申报底表!$D:$D,'SOW-ERP导入表'!E471,注册申报底表!$Z:$Z)</f>
        <v>0</v>
      </c>
      <c r="K471" s="173">
        <f>IFERROR(INDEX(服务费底表!$C:$C,MATCH('SOW-ERP导入表'!$E471,服务费底表!$D:$D,0)),0)+IFERROR(INDEX(注册申报底表!$C:$C,MATCH('SOW-ERP导入表'!$E471,注册申报底表!$D:$D,0)),0)</f>
        <v>0</v>
      </c>
      <c r="L471" s="185">
        <f t="shared" si="26"/>
        <v>0</v>
      </c>
      <c r="M471" s="184">
        <f>SUMIF(服务费底表!$D:$D,E471,服务费底表!$AG:$AG)+SUMIF(注册申报底表!$D:$D,'SOW-ERP导入表'!E471,注册申报底表!$AD:$AD)</f>
        <v>0</v>
      </c>
    </row>
    <row r="472" spans="2:13">
      <c r="B472" s="173"/>
      <c r="D472" s="173"/>
      <c r="E472" s="188" t="s">
        <v>2824</v>
      </c>
      <c r="F472" s="173" t="str">
        <f t="shared" si="24"/>
        <v>请填写</v>
      </c>
      <c r="G472" s="173" t="str">
        <f>INDEX(注册申报底表!$J:$J,MATCH('SOW-ERP导入表'!$E472,注册申报底表!$D:$D,0))</f>
        <v>A179</v>
      </c>
      <c r="H472" s="183" t="str">
        <f>INDEX(注册申报底表!K:K,MATCH('SOW-ERP导入表'!$E472,注册申报底表!$D:$D,0))</f>
        <v>研究者手册撰写1.3.4.3</v>
      </c>
      <c r="I472" s="173" t="str">
        <f>INDEX(注册申报底表!$S:$S,MATCH('SOW-ERP导入表'!$E472,注册申报底表!$D:$D,0))</f>
        <v>MD</v>
      </c>
      <c r="J472" s="184">
        <f>SUMIF(服务费底表!$D:$D,E472,服务费底表!$AC:$AC)+SUMIF(注册申报底表!$D:$D,'SOW-ERP导入表'!E472,注册申报底表!$Z:$Z)</f>
        <v>0</v>
      </c>
      <c r="K472" s="173">
        <f>IFERROR(INDEX(服务费底表!$C:$C,MATCH('SOW-ERP导入表'!$E472,服务费底表!$D:$D,0)),0)+IFERROR(INDEX(注册申报底表!$C:$C,MATCH('SOW-ERP导入表'!$E472,注册申报底表!$D:$D,0)),0)</f>
        <v>0</v>
      </c>
      <c r="L472" s="185">
        <f t="shared" si="26"/>
        <v>0</v>
      </c>
      <c r="M472" s="184">
        <f>SUMIF(服务费底表!$D:$D,E472,服务费底表!$AG:$AG)+SUMIF(注册申报底表!$D:$D,'SOW-ERP导入表'!E472,注册申报底表!$AD:$AD)</f>
        <v>0</v>
      </c>
    </row>
    <row r="473" spans="2:13">
      <c r="B473" s="173"/>
      <c r="D473" s="173"/>
      <c r="E473" s="188" t="s">
        <v>2825</v>
      </c>
      <c r="F473" s="173" t="str">
        <f t="shared" si="24"/>
        <v>请填写</v>
      </c>
      <c r="G473" s="173" t="e">
        <f>INDEX(注册申报底表!$J:$J,MATCH('SOW-ERP导入表'!$E473,注册申报底表!$D:$D,0))</f>
        <v>#N/A</v>
      </c>
      <c r="H473" s="183" t="e">
        <f>INDEX(注册申报底表!K:K,MATCH('SOW-ERP导入表'!$E473,注册申报底表!$D:$D,0))</f>
        <v>#N/A</v>
      </c>
      <c r="I473" s="173" t="e">
        <f>INDEX(注册申报底表!$S:$S,MATCH('SOW-ERP导入表'!$E473,注册申报底表!$D:$D,0))</f>
        <v>#N/A</v>
      </c>
      <c r="J473" s="184">
        <f>SUMIF(服务费底表!$D:$D,E473,服务费底表!$AC:$AC)+SUMIF(注册申报底表!$D:$D,'SOW-ERP导入表'!E473,注册申报底表!$Z:$Z)</f>
        <v>0</v>
      </c>
      <c r="K473" s="173">
        <f>IFERROR(INDEX(服务费底表!$C:$C,MATCH('SOW-ERP导入表'!$E473,服务费底表!$D:$D,0)),0)+IFERROR(INDEX(注册申报底表!$C:$C,MATCH('SOW-ERP导入表'!$E473,注册申报底表!$D:$D,0)),0)</f>
        <v>0</v>
      </c>
      <c r="L473" s="185">
        <f t="shared" si="26"/>
        <v>0</v>
      </c>
      <c r="M473" s="184">
        <f>SUMIF(服务费底表!$D:$D,E473,服务费底表!$AG:$AG)+SUMIF(注册申报底表!$D:$D,'SOW-ERP导入表'!E473,注册申报底表!$AD:$AD)</f>
        <v>0</v>
      </c>
    </row>
    <row r="474" spans="2:13">
      <c r="B474" s="173"/>
      <c r="D474" s="173"/>
      <c r="E474" s="188" t="s">
        <v>2826</v>
      </c>
      <c r="F474" s="173" t="str">
        <f t="shared" si="24"/>
        <v>请填写</v>
      </c>
      <c r="G474" s="173" t="str">
        <f>INDEX(注册申报底表!$J:$J,MATCH('SOW-ERP导入表'!$E474,注册申报底表!$D:$D,0))</f>
        <v>A180</v>
      </c>
      <c r="H474" s="183" t="str">
        <f>INDEX(注册申报底表!K:K,MATCH('SOW-ERP导入表'!$E474,注册申报底表!$D:$D,0))</f>
        <v>研究者手册修订1.3.4.3</v>
      </c>
      <c r="I474" s="173" t="str">
        <f>INDEX(注册申报底表!$S:$S,MATCH('SOW-ERP导入表'!$E474,注册申报底表!$D:$D,0))</f>
        <v>MM</v>
      </c>
      <c r="J474" s="184">
        <f>SUMIF(服务费底表!$D:$D,E474,服务费底表!$AC:$AC)+SUMIF(注册申报底表!$D:$D,'SOW-ERP导入表'!E474,注册申报底表!$Z:$Z)</f>
        <v>0</v>
      </c>
      <c r="K474" s="173">
        <f>IFERROR(INDEX(服务费底表!$C:$C,MATCH('SOW-ERP导入表'!$E474,服务费底表!$D:$D,0)),0)+IFERROR(INDEX(注册申报底表!$C:$C,MATCH('SOW-ERP导入表'!$E474,注册申报底表!$D:$D,0)),0)</f>
        <v>0</v>
      </c>
      <c r="L474" s="185">
        <f t="shared" si="26"/>
        <v>0</v>
      </c>
      <c r="M474" s="184">
        <f>SUMIF(服务费底表!$D:$D,E474,服务费底表!$AG:$AG)+SUMIF(注册申报底表!$D:$D,'SOW-ERP导入表'!E474,注册申报底表!$AD:$AD)</f>
        <v>0</v>
      </c>
    </row>
    <row r="475" spans="2:13">
      <c r="B475" s="173"/>
      <c r="D475" s="173"/>
      <c r="E475" s="188" t="s">
        <v>2827</v>
      </c>
      <c r="F475" s="173" t="str">
        <f t="shared" si="24"/>
        <v>请填写</v>
      </c>
      <c r="G475" s="173" t="str">
        <f>INDEX(注册申报底表!$J:$J,MATCH('SOW-ERP导入表'!$E475,注册申报底表!$D:$D,0))</f>
        <v>A180</v>
      </c>
      <c r="H475" s="183" t="str">
        <f>INDEX(注册申报底表!K:K,MATCH('SOW-ERP导入表'!$E475,注册申报底表!$D:$D,0))</f>
        <v>研究者手册修订1.3.4.3</v>
      </c>
      <c r="I475" s="173" t="str">
        <f>INDEX(注册申报底表!$S:$S,MATCH('SOW-ERP导入表'!$E475,注册申报底表!$D:$D,0))</f>
        <v>MD</v>
      </c>
      <c r="J475" s="184">
        <f>SUMIF(服务费底表!$D:$D,E475,服务费底表!$AC:$AC)+SUMIF(注册申报底表!$D:$D,'SOW-ERP导入表'!E475,注册申报底表!$Z:$Z)</f>
        <v>0</v>
      </c>
      <c r="K475" s="173">
        <f>IFERROR(INDEX(服务费底表!$C:$C,MATCH('SOW-ERP导入表'!$E475,服务费底表!$D:$D,0)),0)+IFERROR(INDEX(注册申报底表!$C:$C,MATCH('SOW-ERP导入表'!$E475,注册申报底表!$D:$D,0)),0)</f>
        <v>0</v>
      </c>
      <c r="L475" s="185">
        <f t="shared" si="26"/>
        <v>0</v>
      </c>
      <c r="M475" s="184">
        <f>SUMIF(服务费底表!$D:$D,E475,服务费底表!$AG:$AG)+SUMIF(注册申报底表!$D:$D,'SOW-ERP导入表'!E475,注册申报底表!$AD:$AD)</f>
        <v>0</v>
      </c>
    </row>
    <row r="476" spans="2:13">
      <c r="B476" s="173"/>
      <c r="D476" s="173"/>
      <c r="E476" s="188" t="s">
        <v>2828</v>
      </c>
      <c r="F476" s="173" t="str">
        <f t="shared" si="24"/>
        <v>请填写</v>
      </c>
      <c r="G476" s="173" t="e">
        <f>INDEX(注册申报底表!$J:$J,MATCH('SOW-ERP导入表'!$E476,注册申报底表!$D:$D,0))</f>
        <v>#N/A</v>
      </c>
      <c r="H476" s="183" t="e">
        <f>INDEX(注册申报底表!K:K,MATCH('SOW-ERP导入表'!$E476,注册申报底表!$D:$D,0))</f>
        <v>#N/A</v>
      </c>
      <c r="I476" s="173" t="e">
        <f>INDEX(注册申报底表!$S:$S,MATCH('SOW-ERP导入表'!$E476,注册申报底表!$D:$D,0))</f>
        <v>#N/A</v>
      </c>
      <c r="J476" s="184">
        <f>SUMIF(服务费底表!$D:$D,E476,服务费底表!$AC:$AC)+SUMIF(注册申报底表!$D:$D,'SOW-ERP导入表'!E476,注册申报底表!$Z:$Z)</f>
        <v>0</v>
      </c>
      <c r="K476" s="173">
        <f>IFERROR(INDEX(服务费底表!$C:$C,MATCH('SOW-ERP导入表'!$E476,服务费底表!$D:$D,0)),0)+IFERROR(INDEX(注册申报底表!$C:$C,MATCH('SOW-ERP导入表'!$E476,注册申报底表!$D:$D,0)),0)</f>
        <v>0</v>
      </c>
      <c r="L476" s="185">
        <f t="shared" si="26"/>
        <v>0</v>
      </c>
      <c r="M476" s="184">
        <f>SUMIF(服务费底表!$D:$D,E476,服务费底表!$AG:$AG)+SUMIF(注册申报底表!$D:$D,'SOW-ERP导入表'!E476,注册申报底表!$AD:$AD)</f>
        <v>0</v>
      </c>
    </row>
    <row r="477" spans="2:13">
      <c r="B477" s="173"/>
      <c r="D477" s="173"/>
      <c r="E477" s="188" t="s">
        <v>2829</v>
      </c>
      <c r="F477" s="173" t="str">
        <f t="shared" si="24"/>
        <v>请填写</v>
      </c>
      <c r="G477" s="173" t="str">
        <f>INDEX(注册申报底表!$J:$J,MATCH('SOW-ERP导入表'!$E477,注册申报底表!$D:$D,0))</f>
        <v>A181</v>
      </c>
      <c r="H477" s="183" t="str">
        <f>INDEX(注册申报底表!K:K,MATCH('SOW-ERP导入表'!$E477,注册申报底表!$D:$D,0))</f>
        <v>风险管理计划撰写1.8.3</v>
      </c>
      <c r="I477" s="173" t="str">
        <f>INDEX(注册申报底表!$S:$S,MATCH('SOW-ERP导入表'!$E477,注册申报底表!$D:$D,0))</f>
        <v>MM</v>
      </c>
      <c r="J477" s="184">
        <f>SUMIF(服务费底表!$D:$D,E477,服务费底表!$AC:$AC)+SUMIF(注册申报底表!$D:$D,'SOW-ERP导入表'!E477,注册申报底表!$Z:$Z)</f>
        <v>0</v>
      </c>
      <c r="K477" s="173">
        <f>IFERROR(INDEX(服务费底表!$C:$C,MATCH('SOW-ERP导入表'!$E477,服务费底表!$D:$D,0)),0)+IFERROR(INDEX(注册申报底表!$C:$C,MATCH('SOW-ERP导入表'!$E477,注册申报底表!$D:$D,0)),0)</f>
        <v>0</v>
      </c>
      <c r="L477" s="185">
        <f t="shared" si="26"/>
        <v>0</v>
      </c>
      <c r="M477" s="184">
        <f>SUMIF(服务费底表!$D:$D,E477,服务费底表!$AG:$AG)+SUMIF(注册申报底表!$D:$D,'SOW-ERP导入表'!E477,注册申报底表!$AD:$AD)</f>
        <v>0</v>
      </c>
    </row>
    <row r="478" spans="2:13">
      <c r="B478" s="173"/>
      <c r="D478" s="173"/>
      <c r="E478" s="188" t="s">
        <v>2830</v>
      </c>
      <c r="F478" s="173" t="str">
        <f t="shared" si="24"/>
        <v>请填写</v>
      </c>
      <c r="G478" s="173" t="str">
        <f>INDEX(注册申报底表!$J:$J,MATCH('SOW-ERP导入表'!$E478,注册申报底表!$D:$D,0))</f>
        <v>A181</v>
      </c>
      <c r="H478" s="183" t="str">
        <f>INDEX(注册申报底表!K:K,MATCH('SOW-ERP导入表'!$E478,注册申报底表!$D:$D,0))</f>
        <v>风险管理计划撰写1.8.3</v>
      </c>
      <c r="I478" s="173" t="str">
        <f>INDEX(注册申报底表!$S:$S,MATCH('SOW-ERP导入表'!$E478,注册申报底表!$D:$D,0))</f>
        <v>MD</v>
      </c>
      <c r="J478" s="184">
        <f>SUMIF(服务费底表!$D:$D,E478,服务费底表!$AC:$AC)+SUMIF(注册申报底表!$D:$D,'SOW-ERP导入表'!E478,注册申报底表!$Z:$Z)</f>
        <v>0</v>
      </c>
      <c r="K478" s="173">
        <f>IFERROR(INDEX(服务费底表!$C:$C,MATCH('SOW-ERP导入表'!$E478,服务费底表!$D:$D,0)),0)+IFERROR(INDEX(注册申报底表!$C:$C,MATCH('SOW-ERP导入表'!$E478,注册申报底表!$D:$D,0)),0)</f>
        <v>0</v>
      </c>
      <c r="L478" s="185">
        <f t="shared" si="26"/>
        <v>0</v>
      </c>
      <c r="M478" s="184">
        <f>SUMIF(服务费底表!$D:$D,E478,服务费底表!$AG:$AG)+SUMIF(注册申报底表!$D:$D,'SOW-ERP导入表'!E478,注册申报底表!$AD:$AD)</f>
        <v>0</v>
      </c>
    </row>
    <row r="479" spans="2:13">
      <c r="B479" s="173"/>
      <c r="D479" s="173"/>
      <c r="E479" s="188" t="s">
        <v>2831</v>
      </c>
      <c r="F479" s="173" t="str">
        <f t="shared" si="24"/>
        <v>请填写</v>
      </c>
      <c r="G479" s="173" t="e">
        <f>INDEX(注册申报底表!$J:$J,MATCH('SOW-ERP导入表'!$E479,注册申报底表!$D:$D,0))</f>
        <v>#N/A</v>
      </c>
      <c r="H479" s="183" t="e">
        <f>INDEX(注册申报底表!K:K,MATCH('SOW-ERP导入表'!$E479,注册申报底表!$D:$D,0))</f>
        <v>#N/A</v>
      </c>
      <c r="I479" s="173" t="e">
        <f>INDEX(注册申报底表!$S:$S,MATCH('SOW-ERP导入表'!$E479,注册申报底表!$D:$D,0))</f>
        <v>#N/A</v>
      </c>
      <c r="J479" s="184">
        <f>SUMIF(服务费底表!$D:$D,E479,服务费底表!$AC:$AC)+SUMIF(注册申报底表!$D:$D,'SOW-ERP导入表'!E479,注册申报底表!$Z:$Z)</f>
        <v>0</v>
      </c>
      <c r="K479" s="173">
        <f>IFERROR(INDEX(服务费底表!$C:$C,MATCH('SOW-ERP导入表'!$E479,服务费底表!$D:$D,0)),0)+IFERROR(INDEX(注册申报底表!$C:$C,MATCH('SOW-ERP导入表'!$E479,注册申报底表!$D:$D,0)),0)</f>
        <v>0</v>
      </c>
      <c r="L479" s="185">
        <f t="shared" si="26"/>
        <v>0</v>
      </c>
      <c r="M479" s="184">
        <f>SUMIF(服务费底表!$D:$D,E479,服务费底表!$AG:$AG)+SUMIF(注册申报底表!$D:$D,'SOW-ERP导入表'!E479,注册申报底表!$AD:$AD)</f>
        <v>0</v>
      </c>
    </row>
    <row r="480" spans="2:13">
      <c r="B480" s="173"/>
      <c r="D480" s="173"/>
      <c r="E480" s="188" t="s">
        <v>2832</v>
      </c>
      <c r="F480" s="173" t="str">
        <f t="shared" si="24"/>
        <v>请填写</v>
      </c>
      <c r="G480" s="173" t="str">
        <f>INDEX(注册申报底表!$J:$J,MATCH('SOW-ERP导入表'!$E480,注册申报底表!$D:$D,0))</f>
        <v>A182</v>
      </c>
      <c r="H480" s="183" t="str">
        <f>INDEX(注册申报底表!K:K,MATCH('SOW-ERP导入表'!$E480,注册申报底表!$D:$D,0))</f>
        <v>风险管理计划修订1.8.3</v>
      </c>
      <c r="I480" s="173" t="str">
        <f>INDEX(注册申报底表!$S:$S,MATCH('SOW-ERP导入表'!$E480,注册申报底表!$D:$D,0))</f>
        <v>MM</v>
      </c>
      <c r="J480" s="184">
        <f>SUMIF(服务费底表!$D:$D,E480,服务费底表!$AC:$AC)+SUMIF(注册申报底表!$D:$D,'SOW-ERP导入表'!E480,注册申报底表!$Z:$Z)</f>
        <v>0</v>
      </c>
      <c r="K480" s="173">
        <f>IFERROR(INDEX(服务费底表!$C:$C,MATCH('SOW-ERP导入表'!$E480,服务费底表!$D:$D,0)),0)+IFERROR(INDEX(注册申报底表!$C:$C,MATCH('SOW-ERP导入表'!$E480,注册申报底表!$D:$D,0)),0)</f>
        <v>0</v>
      </c>
      <c r="L480" s="185">
        <f t="shared" si="26"/>
        <v>0</v>
      </c>
      <c r="M480" s="184">
        <f>SUMIF(服务费底表!$D:$D,E480,服务费底表!$AG:$AG)+SUMIF(注册申报底表!$D:$D,'SOW-ERP导入表'!E480,注册申报底表!$AD:$AD)</f>
        <v>0</v>
      </c>
    </row>
    <row r="481" spans="2:13">
      <c r="B481" s="173"/>
      <c r="D481" s="173"/>
      <c r="E481" s="188" t="s">
        <v>2833</v>
      </c>
      <c r="F481" s="173" t="str">
        <f t="shared" si="24"/>
        <v>请填写</v>
      </c>
      <c r="G481" s="173" t="str">
        <f>INDEX(注册申报底表!$J:$J,MATCH('SOW-ERP导入表'!$E481,注册申报底表!$D:$D,0))</f>
        <v>A182</v>
      </c>
      <c r="H481" s="183" t="str">
        <f>INDEX(注册申报底表!K:K,MATCH('SOW-ERP导入表'!$E481,注册申报底表!$D:$D,0))</f>
        <v>风险管理计划修订1.8.3</v>
      </c>
      <c r="I481" s="173" t="str">
        <f>INDEX(注册申报底表!$S:$S,MATCH('SOW-ERP导入表'!$E481,注册申报底表!$D:$D,0))</f>
        <v>MD</v>
      </c>
      <c r="J481" s="184">
        <f>SUMIF(服务费底表!$D:$D,E481,服务费底表!$AC:$AC)+SUMIF(注册申报底表!$D:$D,'SOW-ERP导入表'!E481,注册申报底表!$Z:$Z)</f>
        <v>0</v>
      </c>
      <c r="K481" s="173">
        <f>IFERROR(INDEX(服务费底表!$C:$C,MATCH('SOW-ERP导入表'!$E481,服务费底表!$D:$D,0)),0)+IFERROR(INDEX(注册申报底表!$C:$C,MATCH('SOW-ERP导入表'!$E481,注册申报底表!$D:$D,0)),0)</f>
        <v>0</v>
      </c>
      <c r="L481" s="185">
        <f t="shared" si="26"/>
        <v>0</v>
      </c>
      <c r="M481" s="184">
        <f>SUMIF(服务费底表!$D:$D,E481,服务费底表!$AG:$AG)+SUMIF(注册申报底表!$D:$D,'SOW-ERP导入表'!E481,注册申报底表!$AD:$AD)</f>
        <v>0</v>
      </c>
    </row>
    <row r="482" spans="2:13">
      <c r="B482" s="173"/>
      <c r="D482" s="173"/>
      <c r="E482" s="188" t="s">
        <v>2834</v>
      </c>
      <c r="F482" s="173" t="str">
        <f t="shared" si="24"/>
        <v>请填写</v>
      </c>
      <c r="G482" s="173" t="e">
        <f>INDEX(注册申报底表!$J:$J,MATCH('SOW-ERP导入表'!$E482,注册申报底表!$D:$D,0))</f>
        <v>#N/A</v>
      </c>
      <c r="H482" s="183" t="e">
        <f>INDEX(注册申报底表!K:K,MATCH('SOW-ERP导入表'!$E482,注册申报底表!$D:$D,0))</f>
        <v>#N/A</v>
      </c>
      <c r="I482" s="173" t="e">
        <f>INDEX(注册申报底表!$S:$S,MATCH('SOW-ERP导入表'!$E482,注册申报底表!$D:$D,0))</f>
        <v>#N/A</v>
      </c>
      <c r="J482" s="184">
        <f>SUMIF(服务费底表!$D:$D,E482,服务费底表!$AC:$AC)+SUMIF(注册申报底表!$D:$D,'SOW-ERP导入表'!E482,注册申报底表!$Z:$Z)</f>
        <v>0</v>
      </c>
      <c r="K482" s="173">
        <f>IFERROR(INDEX(服务费底表!$C:$C,MATCH('SOW-ERP导入表'!$E482,服务费底表!$D:$D,0)),0)+IFERROR(INDEX(注册申报底表!$C:$C,MATCH('SOW-ERP导入表'!$E482,注册申报底表!$D:$D,0)),0)</f>
        <v>0</v>
      </c>
      <c r="L482" s="185">
        <f t="shared" si="26"/>
        <v>0</v>
      </c>
      <c r="M482" s="184">
        <f>SUMIF(服务费底表!$D:$D,E482,服务费底表!$AG:$AG)+SUMIF(注册申报底表!$D:$D,'SOW-ERP导入表'!E482,注册申报底表!$AD:$AD)</f>
        <v>0</v>
      </c>
    </row>
    <row r="483" spans="2:13">
      <c r="B483" s="173"/>
      <c r="D483" s="173"/>
      <c r="E483" s="188" t="s">
        <v>2835</v>
      </c>
      <c r="F483" s="173" t="str">
        <f t="shared" si="24"/>
        <v>请填写</v>
      </c>
      <c r="G483" s="173" t="str">
        <f>INDEX(注册申报底表!$J:$J,MATCH('SOW-ERP导入表'!$E483,注册申报底表!$D:$D,0))</f>
        <v>A183</v>
      </c>
      <c r="H483" s="183" t="str">
        <f>INDEX(注册申报底表!K:K,MATCH('SOW-ERP导入表'!$E483,注册申报底表!$D:$D,0))</f>
        <v>研究药品说明样稿撰写</v>
      </c>
      <c r="I483" s="173" t="str">
        <f>INDEX(注册申报底表!$S:$S,MATCH('SOW-ERP导入表'!$E483,注册申报底表!$D:$D,0))</f>
        <v>MM</v>
      </c>
      <c r="J483" s="184">
        <f>SUMIF(服务费底表!$D:$D,E483,服务费底表!$AC:$AC)+SUMIF(注册申报底表!$D:$D,'SOW-ERP导入表'!E483,注册申报底表!$Z:$Z)</f>
        <v>0</v>
      </c>
      <c r="K483" s="173">
        <f>IFERROR(INDEX(服务费底表!$C:$C,MATCH('SOW-ERP导入表'!$E483,服务费底表!$D:$D,0)),0)+IFERROR(INDEX(注册申报底表!$C:$C,MATCH('SOW-ERP导入表'!$E483,注册申报底表!$D:$D,0)),0)</f>
        <v>0</v>
      </c>
      <c r="L483" s="185">
        <f t="shared" si="26"/>
        <v>0</v>
      </c>
      <c r="M483" s="184">
        <f>SUMIF(服务费底表!$D:$D,E483,服务费底表!$AG:$AG)+SUMIF(注册申报底表!$D:$D,'SOW-ERP导入表'!E483,注册申报底表!$AD:$AD)</f>
        <v>0</v>
      </c>
    </row>
    <row r="484" spans="2:13">
      <c r="B484" s="173"/>
      <c r="D484" s="173"/>
      <c r="E484" s="188" t="s">
        <v>2836</v>
      </c>
      <c r="F484" s="173" t="str">
        <f t="shared" si="24"/>
        <v>请填写</v>
      </c>
      <c r="G484" s="173" t="str">
        <f>INDEX(注册申报底表!$J:$J,MATCH('SOW-ERP导入表'!$E484,注册申报底表!$D:$D,0))</f>
        <v>A183</v>
      </c>
      <c r="H484" s="183" t="str">
        <f>INDEX(注册申报底表!K:K,MATCH('SOW-ERP导入表'!$E484,注册申报底表!$D:$D,0))</f>
        <v>研究药品说明样稿撰写</v>
      </c>
      <c r="I484" s="173" t="str">
        <f>INDEX(注册申报底表!$S:$S,MATCH('SOW-ERP导入表'!$E484,注册申报底表!$D:$D,0))</f>
        <v>MD</v>
      </c>
      <c r="J484" s="184">
        <f>SUMIF(服务费底表!$D:$D,E484,服务费底表!$AC:$AC)+SUMIF(注册申报底表!$D:$D,'SOW-ERP导入表'!E484,注册申报底表!$Z:$Z)</f>
        <v>0</v>
      </c>
      <c r="K484" s="173">
        <f>IFERROR(INDEX(服务费底表!$C:$C,MATCH('SOW-ERP导入表'!$E484,服务费底表!$D:$D,0)),0)+IFERROR(INDEX(注册申报底表!$C:$C,MATCH('SOW-ERP导入表'!$E484,注册申报底表!$D:$D,0)),0)</f>
        <v>0</v>
      </c>
      <c r="L484" s="185">
        <f t="shared" si="26"/>
        <v>0</v>
      </c>
      <c r="M484" s="184">
        <f>SUMIF(服务费底表!$D:$D,E484,服务费底表!$AG:$AG)+SUMIF(注册申报底表!$D:$D,'SOW-ERP导入表'!E484,注册申报底表!$AD:$AD)</f>
        <v>0</v>
      </c>
    </row>
    <row r="485" spans="2:13">
      <c r="B485" s="173"/>
      <c r="D485" s="173"/>
      <c r="E485" s="188" t="s">
        <v>2837</v>
      </c>
      <c r="F485" s="173" t="str">
        <f t="shared" si="24"/>
        <v>请填写</v>
      </c>
      <c r="G485" s="173" t="e">
        <f>INDEX(注册申报底表!$J:$J,MATCH('SOW-ERP导入表'!$E485,注册申报底表!$D:$D,0))</f>
        <v>#N/A</v>
      </c>
      <c r="H485" s="183" t="e">
        <f>INDEX(注册申报底表!K:K,MATCH('SOW-ERP导入表'!$E485,注册申报底表!$D:$D,0))</f>
        <v>#N/A</v>
      </c>
      <c r="I485" s="173" t="e">
        <f>INDEX(注册申报底表!$S:$S,MATCH('SOW-ERP导入表'!$E485,注册申报底表!$D:$D,0))</f>
        <v>#N/A</v>
      </c>
      <c r="J485" s="184">
        <f>SUMIF(服务费底表!$D:$D,E485,服务费底表!$AC:$AC)+SUMIF(注册申报底表!$D:$D,'SOW-ERP导入表'!E485,注册申报底表!$Z:$Z)</f>
        <v>0</v>
      </c>
      <c r="K485" s="173">
        <f>IFERROR(INDEX(服务费底表!$C:$C,MATCH('SOW-ERP导入表'!$E485,服务费底表!$D:$D,0)),0)+IFERROR(INDEX(注册申报底表!$C:$C,MATCH('SOW-ERP导入表'!$E485,注册申报底表!$D:$D,0)),0)</f>
        <v>0</v>
      </c>
      <c r="L485" s="185">
        <f t="shared" si="26"/>
        <v>0</v>
      </c>
      <c r="M485" s="184">
        <f>SUMIF(服务费底表!$D:$D,E485,服务费底表!$AG:$AG)+SUMIF(注册申报底表!$D:$D,'SOW-ERP导入表'!E485,注册申报底表!$AD:$AD)</f>
        <v>0</v>
      </c>
    </row>
    <row r="486" spans="2:13">
      <c r="B486" s="173"/>
      <c r="D486" s="173"/>
      <c r="E486" s="188" t="s">
        <v>2838</v>
      </c>
      <c r="F486" s="173" t="str">
        <f t="shared" si="24"/>
        <v>请填写</v>
      </c>
      <c r="G486" s="173" t="str">
        <f>INDEX(注册申报底表!$J:$J,MATCH('SOW-ERP导入表'!$E486,注册申报底表!$D:$D,0))</f>
        <v>A184</v>
      </c>
      <c r="H486" s="183" t="str">
        <f>INDEX(注册申报底表!K:K,MATCH('SOW-ERP导入表'!$E486,注册申报底表!$D:$D,0))</f>
        <v>沟通问题清单准备</v>
      </c>
      <c r="I486" s="173" t="str">
        <f>INDEX(注册申报底表!$S:$S,MATCH('SOW-ERP导入表'!$E486,注册申报底表!$D:$D,0))</f>
        <v>MM</v>
      </c>
      <c r="J486" s="184">
        <f>SUMIF(服务费底表!$D:$D,E486,服务费底表!$AC:$AC)+SUMIF(注册申报底表!$D:$D,'SOW-ERP导入表'!E486,注册申报底表!$Z:$Z)</f>
        <v>0</v>
      </c>
      <c r="K486" s="173">
        <f>IFERROR(INDEX(服务费底表!$C:$C,MATCH('SOW-ERP导入表'!$E486,服务费底表!$D:$D,0)),0)+IFERROR(INDEX(注册申报底表!$C:$C,MATCH('SOW-ERP导入表'!$E486,注册申报底表!$D:$D,0)),0)</f>
        <v>0</v>
      </c>
      <c r="L486" s="185">
        <f t="shared" si="26"/>
        <v>0</v>
      </c>
      <c r="M486" s="184">
        <f>SUMIF(服务费底表!$D:$D,E486,服务费底表!$AG:$AG)+SUMIF(注册申报底表!$D:$D,'SOW-ERP导入表'!E486,注册申报底表!$AD:$AD)</f>
        <v>0</v>
      </c>
    </row>
    <row r="487" spans="2:13">
      <c r="B487" s="173"/>
      <c r="D487" s="173"/>
      <c r="E487" s="188" t="s">
        <v>2839</v>
      </c>
      <c r="F487" s="173" t="str">
        <f t="shared" si="24"/>
        <v>请填写</v>
      </c>
      <c r="G487" s="173" t="str">
        <f>INDEX(注册申报底表!$J:$J,MATCH('SOW-ERP导入表'!$E487,注册申报底表!$D:$D,0))</f>
        <v>A184</v>
      </c>
      <c r="H487" s="183" t="str">
        <f>INDEX(注册申报底表!K:K,MATCH('SOW-ERP导入表'!$E487,注册申报底表!$D:$D,0))</f>
        <v>沟通问题清单准备</v>
      </c>
      <c r="I487" s="173" t="str">
        <f>INDEX(注册申报底表!$S:$S,MATCH('SOW-ERP导入表'!$E487,注册申报底表!$D:$D,0))</f>
        <v>MD</v>
      </c>
      <c r="J487" s="184">
        <f>SUMIF(服务费底表!$D:$D,E487,服务费底表!$AC:$AC)+SUMIF(注册申报底表!$D:$D,'SOW-ERP导入表'!E487,注册申报底表!$Z:$Z)</f>
        <v>0</v>
      </c>
      <c r="K487" s="173">
        <f>IFERROR(INDEX(服务费底表!$C:$C,MATCH('SOW-ERP导入表'!$E487,服务费底表!$D:$D,0)),0)+IFERROR(INDEX(注册申报底表!$C:$C,MATCH('SOW-ERP导入表'!$E487,注册申报底表!$D:$D,0)),0)</f>
        <v>0</v>
      </c>
      <c r="L487" s="185">
        <f t="shared" si="26"/>
        <v>0</v>
      </c>
      <c r="M487" s="184">
        <f>SUMIF(服务费底表!$D:$D,E487,服务费底表!$AG:$AG)+SUMIF(注册申报底表!$D:$D,'SOW-ERP导入表'!E487,注册申报底表!$AD:$AD)</f>
        <v>0</v>
      </c>
    </row>
    <row r="488" spans="2:13">
      <c r="B488" s="173"/>
      <c r="D488" s="173"/>
      <c r="E488" s="188" t="s">
        <v>2840</v>
      </c>
      <c r="F488" s="173" t="str">
        <f t="shared" si="24"/>
        <v>请填写</v>
      </c>
      <c r="G488" s="173" t="e">
        <f>INDEX(注册申报底表!$J:$J,MATCH('SOW-ERP导入表'!$E488,注册申报底表!$D:$D,0))</f>
        <v>#N/A</v>
      </c>
      <c r="H488" s="183" t="e">
        <f>INDEX(注册申报底表!K:K,MATCH('SOW-ERP导入表'!$E488,注册申报底表!$D:$D,0))</f>
        <v>#N/A</v>
      </c>
      <c r="I488" s="173" t="e">
        <f>INDEX(注册申报底表!$S:$S,MATCH('SOW-ERP导入表'!$E488,注册申报底表!$D:$D,0))</f>
        <v>#N/A</v>
      </c>
      <c r="J488" s="184">
        <f>SUMIF(服务费底表!$D:$D,E488,服务费底表!$AC:$AC)+SUMIF(注册申报底表!$D:$D,'SOW-ERP导入表'!E488,注册申报底表!$Z:$Z)</f>
        <v>0</v>
      </c>
      <c r="K488" s="173">
        <f>IFERROR(INDEX(服务费底表!$C:$C,MATCH('SOW-ERP导入表'!$E488,服务费底表!$D:$D,0)),0)+IFERROR(INDEX(注册申报底表!$C:$C,MATCH('SOW-ERP导入表'!$E488,注册申报底表!$D:$D,0)),0)</f>
        <v>0</v>
      </c>
      <c r="L488" s="185">
        <f t="shared" si="26"/>
        <v>0</v>
      </c>
      <c r="M488" s="184">
        <f>SUMIF(服务费底表!$D:$D,E488,服务费底表!$AG:$AG)+SUMIF(注册申报底表!$D:$D,'SOW-ERP导入表'!E488,注册申报底表!$AD:$AD)</f>
        <v>0</v>
      </c>
    </row>
    <row r="489" spans="2:13">
      <c r="B489" s="173"/>
      <c r="D489" s="173"/>
      <c r="E489" s="188" t="s">
        <v>2841</v>
      </c>
      <c r="F489" s="173" t="str">
        <f t="shared" si="24"/>
        <v>请填写</v>
      </c>
      <c r="G489" s="173" t="str">
        <f>INDEX(注册申报底表!$J:$J,MATCH('SOW-ERP导入表'!$E489,注册申报底表!$D:$D,0))</f>
        <v>A185</v>
      </c>
      <c r="H489" s="183" t="str">
        <f>INDEX(注册申报底表!K:K,MATCH('SOW-ERP导入表'!$E489,注册申报底表!$D:$D,0))</f>
        <v>沟通PPT制作</v>
      </c>
      <c r="I489" s="173" t="str">
        <f>INDEX(注册申报底表!$S:$S,MATCH('SOW-ERP导入表'!$E489,注册申报底表!$D:$D,0))</f>
        <v>MM</v>
      </c>
      <c r="J489" s="184">
        <f>SUMIF(服务费底表!$D:$D,E489,服务费底表!$AC:$AC)+SUMIF(注册申报底表!$D:$D,'SOW-ERP导入表'!E489,注册申报底表!$Z:$Z)</f>
        <v>0</v>
      </c>
      <c r="K489" s="173">
        <f>IFERROR(INDEX(服务费底表!$C:$C,MATCH('SOW-ERP导入表'!$E489,服务费底表!$D:$D,0)),0)+IFERROR(INDEX(注册申报底表!$C:$C,MATCH('SOW-ERP导入表'!$E489,注册申报底表!$D:$D,0)),0)</f>
        <v>0</v>
      </c>
      <c r="L489" s="185">
        <f t="shared" si="26"/>
        <v>0</v>
      </c>
      <c r="M489" s="184">
        <f>SUMIF(服务费底表!$D:$D,E489,服务费底表!$AG:$AG)+SUMIF(注册申报底表!$D:$D,'SOW-ERP导入表'!E489,注册申报底表!$AD:$AD)</f>
        <v>0</v>
      </c>
    </row>
    <row r="490" spans="2:13">
      <c r="B490" s="173"/>
      <c r="D490" s="173"/>
      <c r="E490" s="188" t="s">
        <v>2842</v>
      </c>
      <c r="F490" s="173" t="str">
        <f t="shared" si="24"/>
        <v>请填写</v>
      </c>
      <c r="G490" s="173" t="str">
        <f>INDEX(注册申报底表!$J:$J,MATCH('SOW-ERP导入表'!$E490,注册申报底表!$D:$D,0))</f>
        <v>A185</v>
      </c>
      <c r="H490" s="183" t="str">
        <f>INDEX(注册申报底表!K:K,MATCH('SOW-ERP导入表'!$E490,注册申报底表!$D:$D,0))</f>
        <v>沟通PPT制作</v>
      </c>
      <c r="I490" s="173" t="str">
        <f>INDEX(注册申报底表!$S:$S,MATCH('SOW-ERP导入表'!$E490,注册申报底表!$D:$D,0))</f>
        <v>MD</v>
      </c>
      <c r="J490" s="184">
        <f>SUMIF(服务费底表!$D:$D,E490,服务费底表!$AC:$AC)+SUMIF(注册申报底表!$D:$D,'SOW-ERP导入表'!E490,注册申报底表!$Z:$Z)</f>
        <v>0</v>
      </c>
      <c r="K490" s="173">
        <f>IFERROR(INDEX(服务费底表!$C:$C,MATCH('SOW-ERP导入表'!$E490,服务费底表!$D:$D,0)),0)+IFERROR(INDEX(注册申报底表!$C:$C,MATCH('SOW-ERP导入表'!$E490,注册申报底表!$D:$D,0)),0)</f>
        <v>0</v>
      </c>
      <c r="L490" s="185">
        <f t="shared" si="26"/>
        <v>0</v>
      </c>
      <c r="M490" s="184">
        <f>SUMIF(服务费底表!$D:$D,E490,服务费底表!$AG:$AG)+SUMIF(注册申报底表!$D:$D,'SOW-ERP导入表'!E490,注册申报底表!$AD:$AD)</f>
        <v>0</v>
      </c>
    </row>
    <row r="491" spans="2:13">
      <c r="B491" s="173"/>
      <c r="D491" s="173"/>
      <c r="E491" s="188" t="s">
        <v>2843</v>
      </c>
      <c r="F491" s="173" t="str">
        <f t="shared" si="24"/>
        <v>请填写</v>
      </c>
      <c r="G491" s="173" t="e">
        <f>INDEX(注册申报底表!$J:$J,MATCH('SOW-ERP导入表'!$E491,注册申报底表!$D:$D,0))</f>
        <v>#N/A</v>
      </c>
      <c r="H491" s="183" t="e">
        <f>INDEX(注册申报底表!K:K,MATCH('SOW-ERP导入表'!$E491,注册申报底表!$D:$D,0))</f>
        <v>#N/A</v>
      </c>
      <c r="I491" s="173" t="e">
        <f>INDEX(注册申报底表!$S:$S,MATCH('SOW-ERP导入表'!$E491,注册申报底表!$D:$D,0))</f>
        <v>#N/A</v>
      </c>
      <c r="J491" s="184">
        <f>SUMIF(服务费底表!$D:$D,E491,服务费底表!$AC:$AC)+SUMIF(注册申报底表!$D:$D,'SOW-ERP导入表'!E491,注册申报底表!$Z:$Z)</f>
        <v>0</v>
      </c>
      <c r="K491" s="173">
        <f>IFERROR(INDEX(服务费底表!$C:$C,MATCH('SOW-ERP导入表'!$E491,服务费底表!$D:$D,0)),0)+IFERROR(INDEX(注册申报底表!$C:$C,MATCH('SOW-ERP导入表'!$E491,注册申报底表!$D:$D,0)),0)</f>
        <v>0</v>
      </c>
      <c r="L491" s="185">
        <f t="shared" si="26"/>
        <v>0</v>
      </c>
      <c r="M491" s="184">
        <f>SUMIF(服务费底表!$D:$D,E491,服务费底表!$AG:$AG)+SUMIF(注册申报底表!$D:$D,'SOW-ERP导入表'!E491,注册申报底表!$AD:$AD)</f>
        <v>0</v>
      </c>
    </row>
    <row r="492" spans="2:13">
      <c r="B492" s="173"/>
      <c r="D492" s="173"/>
      <c r="E492" s="188" t="s">
        <v>2844</v>
      </c>
      <c r="F492" s="173" t="str">
        <f t="shared" si="24"/>
        <v>请填写</v>
      </c>
      <c r="G492" s="173" t="str">
        <f>INDEX(注册申报底表!$J:$J,MATCH('SOW-ERP导入表'!$E492,注册申报底表!$D:$D,0))</f>
        <v>A186</v>
      </c>
      <c r="H492" s="183" t="str">
        <f>INDEX(注册申报底表!K:K,MATCH('SOW-ERP导入表'!$E492,注册申报底表!$D:$D,0))</f>
        <v>会议前与申办方沟通</v>
      </c>
      <c r="I492" s="173" t="str">
        <f>INDEX(注册申报底表!$S:$S,MATCH('SOW-ERP导入表'!$E492,注册申报底表!$D:$D,0))</f>
        <v>MM</v>
      </c>
      <c r="J492" s="184">
        <f>SUMIF(服务费底表!$D:$D,E492,服务费底表!$AC:$AC)+SUMIF(注册申报底表!$D:$D,'SOW-ERP导入表'!E492,注册申报底表!$Z:$Z)</f>
        <v>0</v>
      </c>
      <c r="K492" s="173">
        <f>IFERROR(INDEX(服务费底表!$C:$C,MATCH('SOW-ERP导入表'!$E492,服务费底表!$D:$D,0)),0)+IFERROR(INDEX(注册申报底表!$C:$C,MATCH('SOW-ERP导入表'!$E492,注册申报底表!$D:$D,0)),0)</f>
        <v>0</v>
      </c>
      <c r="L492" s="185">
        <f t="shared" si="26"/>
        <v>0</v>
      </c>
      <c r="M492" s="184">
        <f>SUMIF(服务费底表!$D:$D,E492,服务费底表!$AG:$AG)+SUMIF(注册申报底表!$D:$D,'SOW-ERP导入表'!E492,注册申报底表!$AD:$AD)</f>
        <v>0</v>
      </c>
    </row>
    <row r="493" spans="2:13">
      <c r="B493" s="173"/>
      <c r="D493" s="173"/>
      <c r="E493" s="188" t="s">
        <v>2845</v>
      </c>
      <c r="F493" s="173" t="str">
        <f t="shared" si="24"/>
        <v>请填写</v>
      </c>
      <c r="G493" s="173" t="str">
        <f>INDEX(注册申报底表!$J:$J,MATCH('SOW-ERP导入表'!$E493,注册申报底表!$D:$D,0))</f>
        <v>A186</v>
      </c>
      <c r="H493" s="183" t="str">
        <f>INDEX(注册申报底表!K:K,MATCH('SOW-ERP导入表'!$E493,注册申报底表!$D:$D,0))</f>
        <v>会议前与申办方沟通</v>
      </c>
      <c r="I493" s="173" t="str">
        <f>INDEX(注册申报底表!$S:$S,MATCH('SOW-ERP导入表'!$E493,注册申报底表!$D:$D,0))</f>
        <v>MD</v>
      </c>
      <c r="J493" s="184">
        <f>SUMIF(服务费底表!$D:$D,E493,服务费底表!$AC:$AC)+SUMIF(注册申报底表!$D:$D,'SOW-ERP导入表'!E493,注册申报底表!$Z:$Z)</f>
        <v>0</v>
      </c>
      <c r="K493" s="173">
        <f>IFERROR(INDEX(服务费底表!$C:$C,MATCH('SOW-ERP导入表'!$E493,服务费底表!$D:$D,0)),0)+IFERROR(INDEX(注册申报底表!$C:$C,MATCH('SOW-ERP导入表'!$E493,注册申报底表!$D:$D,0)),0)</f>
        <v>0</v>
      </c>
      <c r="L493" s="185">
        <f t="shared" si="26"/>
        <v>0</v>
      </c>
      <c r="M493" s="184">
        <f>SUMIF(服务费底表!$D:$D,E493,服务费底表!$AG:$AG)+SUMIF(注册申报底表!$D:$D,'SOW-ERP导入表'!E493,注册申报底表!$AD:$AD)</f>
        <v>0</v>
      </c>
    </row>
    <row r="494" spans="2:13">
      <c r="B494" s="173"/>
      <c r="D494" s="173"/>
      <c r="E494" s="188" t="s">
        <v>2846</v>
      </c>
      <c r="F494" s="173" t="str">
        <f t="shared" si="24"/>
        <v>请填写</v>
      </c>
      <c r="G494" s="173" t="e">
        <f>INDEX(注册申报底表!$J:$J,MATCH('SOW-ERP导入表'!$E494,注册申报底表!$D:$D,0))</f>
        <v>#N/A</v>
      </c>
      <c r="H494" s="183" t="e">
        <f>INDEX(注册申报底表!K:K,MATCH('SOW-ERP导入表'!$E494,注册申报底表!$D:$D,0))</f>
        <v>#N/A</v>
      </c>
      <c r="I494" s="173" t="e">
        <f>INDEX(注册申报底表!$S:$S,MATCH('SOW-ERP导入表'!$E494,注册申报底表!$D:$D,0))</f>
        <v>#N/A</v>
      </c>
      <c r="J494" s="184">
        <f>SUMIF(服务费底表!$D:$D,E494,服务费底表!$AC:$AC)+SUMIF(注册申报底表!$D:$D,'SOW-ERP导入表'!E494,注册申报底表!$Z:$Z)</f>
        <v>0</v>
      </c>
      <c r="K494" s="173">
        <f>IFERROR(INDEX(服务费底表!$C:$C,MATCH('SOW-ERP导入表'!$E494,服务费底表!$D:$D,0)),0)+IFERROR(INDEX(注册申报底表!$C:$C,MATCH('SOW-ERP导入表'!$E494,注册申报底表!$D:$D,0)),0)</f>
        <v>0</v>
      </c>
      <c r="L494" s="185">
        <f t="shared" si="26"/>
        <v>0</v>
      </c>
      <c r="M494" s="184">
        <f>SUMIF(服务费底表!$D:$D,E494,服务费底表!$AG:$AG)+SUMIF(注册申报底表!$D:$D,'SOW-ERP导入表'!E494,注册申报底表!$AD:$AD)</f>
        <v>0</v>
      </c>
    </row>
    <row r="495" spans="2:13">
      <c r="B495" s="173"/>
      <c r="D495" s="173"/>
      <c r="E495" s="188" t="s">
        <v>2847</v>
      </c>
      <c r="F495" s="173" t="str">
        <f t="shared" si="24"/>
        <v>请填写</v>
      </c>
      <c r="G495" s="173" t="str">
        <f>INDEX(注册申报底表!$J:$J,MATCH('SOW-ERP导入表'!$E495,注册申报底表!$D:$D,0))</f>
        <v>A187</v>
      </c>
      <c r="H495" s="183" t="str">
        <f>INDEX(注册申报底表!K:K,MATCH('SOW-ERP导入表'!$E495,注册申报底表!$D:$D,0))</f>
        <v>参加和CDE的沟通会议</v>
      </c>
      <c r="I495" s="173" t="str">
        <f>INDEX(注册申报底表!$S:$S,MATCH('SOW-ERP导入表'!$E495,注册申报底表!$D:$D,0))</f>
        <v>MM</v>
      </c>
      <c r="J495" s="184">
        <f>SUMIF(服务费底表!$D:$D,E495,服务费底表!$AC:$AC)+SUMIF(注册申报底表!$D:$D,'SOW-ERP导入表'!E495,注册申报底表!$Z:$Z)</f>
        <v>0</v>
      </c>
      <c r="K495" s="173">
        <f>IFERROR(INDEX(服务费底表!$C:$C,MATCH('SOW-ERP导入表'!$E495,服务费底表!$D:$D,0)),0)+IFERROR(INDEX(注册申报底表!$C:$C,MATCH('SOW-ERP导入表'!$E495,注册申报底表!$D:$D,0)),0)</f>
        <v>0</v>
      </c>
      <c r="L495" s="185">
        <f t="shared" si="26"/>
        <v>0</v>
      </c>
      <c r="M495" s="184">
        <f>SUMIF(服务费底表!$D:$D,E495,服务费底表!$AG:$AG)+SUMIF(注册申报底表!$D:$D,'SOW-ERP导入表'!E495,注册申报底表!$AD:$AD)</f>
        <v>0</v>
      </c>
    </row>
    <row r="496" spans="2:13">
      <c r="B496" s="173"/>
      <c r="D496" s="173"/>
      <c r="E496" s="188" t="s">
        <v>2848</v>
      </c>
      <c r="F496" s="173" t="str">
        <f t="shared" si="24"/>
        <v>请填写</v>
      </c>
      <c r="G496" s="173" t="str">
        <f>INDEX(注册申报底表!$J:$J,MATCH('SOW-ERP导入表'!$E496,注册申报底表!$D:$D,0))</f>
        <v>A187</v>
      </c>
      <c r="H496" s="183" t="str">
        <f>INDEX(注册申报底表!K:K,MATCH('SOW-ERP导入表'!$E496,注册申报底表!$D:$D,0))</f>
        <v>参加和CDE的沟通会议</v>
      </c>
      <c r="I496" s="173" t="str">
        <f>INDEX(注册申报底表!$S:$S,MATCH('SOW-ERP导入表'!$E496,注册申报底表!$D:$D,0))</f>
        <v>MD</v>
      </c>
      <c r="J496" s="184">
        <f>SUMIF(服务费底表!$D:$D,E496,服务费底表!$AC:$AC)+SUMIF(注册申报底表!$D:$D,'SOW-ERP导入表'!E496,注册申报底表!$Z:$Z)</f>
        <v>0</v>
      </c>
      <c r="K496" s="173">
        <f>IFERROR(INDEX(服务费底表!$C:$C,MATCH('SOW-ERP导入表'!$E496,服务费底表!$D:$D,0)),0)+IFERROR(INDEX(注册申报底表!$C:$C,MATCH('SOW-ERP导入表'!$E496,注册申报底表!$D:$D,0)),0)</f>
        <v>0</v>
      </c>
      <c r="L496" s="185">
        <f t="shared" si="26"/>
        <v>0</v>
      </c>
      <c r="M496" s="184">
        <f>SUMIF(服务费底表!$D:$D,E496,服务费底表!$AG:$AG)+SUMIF(注册申报底表!$D:$D,'SOW-ERP导入表'!E496,注册申报底表!$AD:$AD)</f>
        <v>0</v>
      </c>
    </row>
    <row r="497" spans="2:13">
      <c r="B497" s="173"/>
      <c r="D497" s="173"/>
      <c r="E497" s="188" t="s">
        <v>2849</v>
      </c>
      <c r="F497" s="173" t="str">
        <f t="shared" si="24"/>
        <v>请填写</v>
      </c>
      <c r="G497" s="173" t="e">
        <f>INDEX(注册申报底表!$J:$J,MATCH('SOW-ERP导入表'!$E497,注册申报底表!$D:$D,0))</f>
        <v>#N/A</v>
      </c>
      <c r="H497" s="183" t="e">
        <f>INDEX(注册申报底表!K:K,MATCH('SOW-ERP导入表'!$E497,注册申报底表!$D:$D,0))</f>
        <v>#N/A</v>
      </c>
      <c r="I497" s="173" t="e">
        <f>INDEX(注册申报底表!$S:$S,MATCH('SOW-ERP导入表'!$E497,注册申报底表!$D:$D,0))</f>
        <v>#N/A</v>
      </c>
      <c r="J497" s="184">
        <f>SUMIF(服务费底表!$D:$D,E497,服务费底表!$AC:$AC)+SUMIF(注册申报底表!$D:$D,'SOW-ERP导入表'!E497,注册申报底表!$Z:$Z)</f>
        <v>0</v>
      </c>
      <c r="K497" s="173">
        <f>IFERROR(INDEX(服务费底表!$C:$C,MATCH('SOW-ERP导入表'!$E497,服务费底表!$D:$D,0)),0)+IFERROR(INDEX(注册申报底表!$C:$C,MATCH('SOW-ERP导入表'!$E497,注册申报底表!$D:$D,0)),0)</f>
        <v>0</v>
      </c>
      <c r="L497" s="185">
        <f t="shared" si="26"/>
        <v>0</v>
      </c>
      <c r="M497" s="184">
        <f>SUMIF(服务费底表!$D:$D,E497,服务费底表!$AG:$AG)+SUMIF(注册申报底表!$D:$D,'SOW-ERP导入表'!E497,注册申报底表!$AD:$AD)</f>
        <v>0</v>
      </c>
    </row>
    <row r="498" spans="2:13">
      <c r="B498" s="173"/>
      <c r="D498" s="173"/>
      <c r="E498" s="188" t="s">
        <v>2850</v>
      </c>
      <c r="F498" s="173" t="str">
        <f t="shared" si="24"/>
        <v>请填写</v>
      </c>
      <c r="G498" s="173" t="str">
        <f>INDEX(注册申报底表!$J:$J,MATCH('SOW-ERP导入表'!$E498,注册申报底表!$D:$D,0))</f>
        <v>A188</v>
      </c>
      <c r="H498" s="183" t="str">
        <f>INDEX(注册申报底表!K:K,MATCH('SOW-ERP导入表'!$E498,注册申报底表!$D:$D,0))</f>
        <v>医学相关资料的审核</v>
      </c>
      <c r="I498" s="173" t="str">
        <f>INDEX(注册申报底表!$S:$S,MATCH('SOW-ERP导入表'!$E498,注册申报底表!$D:$D,0))</f>
        <v>MM</v>
      </c>
      <c r="J498" s="184">
        <f>SUMIF(服务费底表!$D:$D,E498,服务费底表!$AC:$AC)+SUMIF(注册申报底表!$D:$D,'SOW-ERP导入表'!E498,注册申报底表!$Z:$Z)</f>
        <v>0</v>
      </c>
      <c r="K498" s="173">
        <f>IFERROR(INDEX(服务费底表!$C:$C,MATCH('SOW-ERP导入表'!$E498,服务费底表!$D:$D,0)),0)+IFERROR(INDEX(注册申报底表!$C:$C,MATCH('SOW-ERP导入表'!$E498,注册申报底表!$D:$D,0)),0)</f>
        <v>0</v>
      </c>
      <c r="L498" s="185">
        <f t="shared" si="26"/>
        <v>0</v>
      </c>
      <c r="M498" s="184">
        <f>SUMIF(服务费底表!$D:$D,E498,服务费底表!$AG:$AG)+SUMIF(注册申报底表!$D:$D,'SOW-ERP导入表'!E498,注册申报底表!$AD:$AD)</f>
        <v>0</v>
      </c>
    </row>
    <row r="499" spans="2:13">
      <c r="B499" s="173"/>
      <c r="D499" s="173"/>
      <c r="E499" s="188" t="s">
        <v>2851</v>
      </c>
      <c r="F499" s="173" t="str">
        <f t="shared" si="24"/>
        <v>请填写</v>
      </c>
      <c r="G499" s="173" t="str">
        <f>INDEX(注册申报底表!$J:$J,MATCH('SOW-ERP导入表'!$E499,注册申报底表!$D:$D,0))</f>
        <v>A188</v>
      </c>
      <c r="H499" s="183" t="str">
        <f>INDEX(注册申报底表!K:K,MATCH('SOW-ERP导入表'!$E499,注册申报底表!$D:$D,0))</f>
        <v>医学相关资料的审核</v>
      </c>
      <c r="I499" s="173" t="str">
        <f>INDEX(注册申报底表!$S:$S,MATCH('SOW-ERP导入表'!$E499,注册申报底表!$D:$D,0))</f>
        <v>MD</v>
      </c>
      <c r="J499" s="184">
        <f>SUMIF(服务费底表!$D:$D,E499,服务费底表!$AC:$AC)+SUMIF(注册申报底表!$D:$D,'SOW-ERP导入表'!E499,注册申报底表!$Z:$Z)</f>
        <v>0</v>
      </c>
      <c r="K499" s="173">
        <f>IFERROR(INDEX(服务费底表!$C:$C,MATCH('SOW-ERP导入表'!$E499,服务费底表!$D:$D,0)),0)+IFERROR(INDEX(注册申报底表!$C:$C,MATCH('SOW-ERP导入表'!$E499,注册申报底表!$D:$D,0)),0)</f>
        <v>0</v>
      </c>
      <c r="L499" s="185">
        <f t="shared" si="26"/>
        <v>0</v>
      </c>
      <c r="M499" s="184">
        <f>SUMIF(服务费底表!$D:$D,E499,服务费底表!$AG:$AG)+SUMIF(注册申报底表!$D:$D,'SOW-ERP导入表'!E499,注册申报底表!$AD:$AD)</f>
        <v>0</v>
      </c>
    </row>
    <row r="500" spans="2:13">
      <c r="B500" s="173"/>
      <c r="D500" s="173"/>
      <c r="E500" s="188" t="s">
        <v>2852</v>
      </c>
      <c r="F500" s="173" t="str">
        <f t="shared" si="24"/>
        <v>请填写</v>
      </c>
      <c r="G500" s="173" t="e">
        <f>INDEX(注册申报底表!$J:$J,MATCH('SOW-ERP导入表'!$E500,注册申报底表!$D:$D,0))</f>
        <v>#N/A</v>
      </c>
      <c r="H500" s="183" t="e">
        <f>INDEX(注册申报底表!K:K,MATCH('SOW-ERP导入表'!$E500,注册申报底表!$D:$D,0))</f>
        <v>#N/A</v>
      </c>
      <c r="I500" s="173" t="e">
        <f>INDEX(注册申报底表!$S:$S,MATCH('SOW-ERP导入表'!$E500,注册申报底表!$D:$D,0))</f>
        <v>#N/A</v>
      </c>
      <c r="J500" s="184">
        <f>SUMIF(服务费底表!$D:$D,E500,服务费底表!$AC:$AC)+SUMIF(注册申报底表!$D:$D,'SOW-ERP导入表'!E500,注册申报底表!$Z:$Z)</f>
        <v>0</v>
      </c>
      <c r="K500" s="173">
        <f>IFERROR(INDEX(服务费底表!$C:$C,MATCH('SOW-ERP导入表'!$E500,服务费底表!$D:$D,0)),0)+IFERROR(INDEX(注册申报底表!$C:$C,MATCH('SOW-ERP导入表'!$E500,注册申报底表!$D:$D,0)),0)</f>
        <v>0</v>
      </c>
      <c r="L500" s="185">
        <f t="shared" si="26"/>
        <v>0</v>
      </c>
      <c r="M500" s="184">
        <f>SUMIF(服务费底表!$D:$D,E500,服务费底表!$AG:$AG)+SUMIF(注册申报底表!$D:$D,'SOW-ERP导入表'!E500,注册申报底表!$AD:$AD)</f>
        <v>0</v>
      </c>
    </row>
    <row r="501" spans="2:13">
      <c r="B501" s="173"/>
      <c r="D501" s="173"/>
      <c r="E501" s="188" t="s">
        <v>2853</v>
      </c>
      <c r="F501" s="173" t="str">
        <f t="shared" si="24"/>
        <v>请填写</v>
      </c>
      <c r="G501" s="173" t="str">
        <f>INDEX(注册申报底表!$J:$J,MATCH('SOW-ERP导入表'!$E501,注册申报底表!$D:$D,0))</f>
        <v>A189</v>
      </c>
      <c r="H501" s="183" t="str">
        <f>INDEX(注册申报底表!K:K,MATCH('SOW-ERP导入表'!$E501,注册申报底表!$D:$D,0))</f>
        <v>PreIND附件1+附件2撰写</v>
      </c>
      <c r="I501" s="173" t="str">
        <f>INDEX(注册申报底表!$S:$S,MATCH('SOW-ERP导入表'!$E501,注册申报底表!$D:$D,0))</f>
        <v>MM</v>
      </c>
      <c r="J501" s="184">
        <f>SUMIF(服务费底表!$D:$D,E501,服务费底表!$AC:$AC)+SUMIF(注册申报底表!$D:$D,'SOW-ERP导入表'!E501,注册申报底表!$Z:$Z)</f>
        <v>0</v>
      </c>
      <c r="K501" s="173">
        <f>IFERROR(INDEX(服务费底表!$C:$C,MATCH('SOW-ERP导入表'!$E501,服务费底表!$D:$D,0)),0)+IFERROR(INDEX(注册申报底表!$C:$C,MATCH('SOW-ERP导入表'!$E501,注册申报底表!$D:$D,0)),0)</f>
        <v>0</v>
      </c>
      <c r="L501" s="185">
        <f t="shared" si="26"/>
        <v>0</v>
      </c>
      <c r="M501" s="184">
        <f>SUMIF(服务费底表!$D:$D,E501,服务费底表!$AG:$AG)+SUMIF(注册申报底表!$D:$D,'SOW-ERP导入表'!E501,注册申报底表!$AD:$AD)</f>
        <v>0</v>
      </c>
    </row>
    <row r="502" spans="2:13">
      <c r="B502" s="173"/>
      <c r="D502" s="173"/>
      <c r="E502" s="188" t="s">
        <v>2854</v>
      </c>
      <c r="F502" s="173" t="str">
        <f t="shared" si="24"/>
        <v>请填写</v>
      </c>
      <c r="G502" s="173" t="str">
        <f>INDEX(注册申报底表!$J:$J,MATCH('SOW-ERP导入表'!$E502,注册申报底表!$D:$D,0))</f>
        <v>A189</v>
      </c>
      <c r="H502" s="183" t="str">
        <f>INDEX(注册申报底表!K:K,MATCH('SOW-ERP导入表'!$E502,注册申报底表!$D:$D,0))</f>
        <v>PreIND附件1+附件2撰写</v>
      </c>
      <c r="I502" s="173" t="str">
        <f>INDEX(注册申报底表!$S:$S,MATCH('SOW-ERP导入表'!$E502,注册申报底表!$D:$D,0))</f>
        <v>MD</v>
      </c>
      <c r="J502" s="184">
        <f>SUMIF(服务费底表!$D:$D,E502,服务费底表!$AC:$AC)+SUMIF(注册申报底表!$D:$D,'SOW-ERP导入表'!E502,注册申报底表!$Z:$Z)</f>
        <v>0</v>
      </c>
      <c r="K502" s="173">
        <f>IFERROR(INDEX(服务费底表!$C:$C,MATCH('SOW-ERP导入表'!$E502,服务费底表!$D:$D,0)),0)+IFERROR(INDEX(注册申报底表!$C:$C,MATCH('SOW-ERP导入表'!$E502,注册申报底表!$D:$D,0)),0)</f>
        <v>0</v>
      </c>
      <c r="L502" s="185">
        <f t="shared" si="26"/>
        <v>0</v>
      </c>
      <c r="M502" s="184">
        <f>SUMIF(服务费底表!$D:$D,E502,服务费底表!$AG:$AG)+SUMIF(注册申报底表!$D:$D,'SOW-ERP导入表'!E502,注册申报底表!$AD:$AD)</f>
        <v>0</v>
      </c>
    </row>
    <row r="503" spans="2:13">
      <c r="B503" s="173"/>
      <c r="D503" s="173"/>
      <c r="E503" s="188" t="s">
        <v>2855</v>
      </c>
      <c r="F503" s="173" t="str">
        <f t="shared" si="24"/>
        <v>请填写</v>
      </c>
      <c r="G503" s="173" t="str">
        <f>INDEX(注册申报底表!$J:$J,MATCH('SOW-ERP导入表'!$E503,注册申报底表!$D:$D,0))</f>
        <v>A190</v>
      </c>
      <c r="H503" s="183" t="str">
        <f>INDEX(注册申报底表!K:K,MATCH('SOW-ERP导入表'!$E503,注册申报底表!$D:$D,0))</f>
        <v>现有药品研发数据&amp;进度评估</v>
      </c>
      <c r="I503" s="173" t="str">
        <f>INDEX(注册申报底表!$S:$S,MATCH('SOW-ERP导入表'!$E503,注册申报底表!$D:$D,0))</f>
        <v>RAM</v>
      </c>
      <c r="J503" s="184">
        <f>SUMIF(服务费底表!$D:$D,E503,服务费底表!$AC:$AC)+SUMIF(注册申报底表!$D:$D,'SOW-ERP导入表'!E503,注册申报底表!$Z:$Z)</f>
        <v>0</v>
      </c>
      <c r="K503" s="173">
        <f>IFERROR(INDEX(服务费底表!$C:$C,MATCH('SOW-ERP导入表'!$E503,服务费底表!$D:$D,0)),0)+IFERROR(INDEX(注册申报底表!$C:$C,MATCH('SOW-ERP导入表'!$E503,注册申报底表!$D:$D,0)),0)</f>
        <v>0</v>
      </c>
      <c r="L503" s="185">
        <f t="shared" si="26"/>
        <v>0</v>
      </c>
      <c r="M503" s="184">
        <f>SUMIF(服务费底表!$D:$D,E503,服务费底表!$AG:$AG)+SUMIF(注册申报底表!$D:$D,'SOW-ERP导入表'!E503,注册申报底表!$AD:$AD)</f>
        <v>0</v>
      </c>
    </row>
    <row r="504" spans="2:13">
      <c r="B504" s="173"/>
      <c r="D504" s="173"/>
      <c r="E504" s="188" t="s">
        <v>2856</v>
      </c>
      <c r="F504" s="173" t="str">
        <f t="shared" si="24"/>
        <v>请填写</v>
      </c>
      <c r="G504" s="173" t="str">
        <f>INDEX(注册申报底表!$J:$J,MATCH('SOW-ERP导入表'!$E504,注册申报底表!$D:$D,0))</f>
        <v>A190</v>
      </c>
      <c r="H504" s="183" t="str">
        <f>INDEX(注册申报底表!K:K,MATCH('SOW-ERP导入表'!$E504,注册申报底表!$D:$D,0))</f>
        <v>现有药品研发数据&amp;进度评估</v>
      </c>
      <c r="I504" s="173" t="str">
        <f>INDEX(注册申报底表!$S:$S,MATCH('SOW-ERP导入表'!$E504,注册申报底表!$D:$D,0))</f>
        <v>RAD</v>
      </c>
      <c r="J504" s="184">
        <f>SUMIF(服务费底表!$D:$D,E504,服务费底表!$AC:$AC)+SUMIF(注册申报底表!$D:$D,'SOW-ERP导入表'!E504,注册申报底表!$Z:$Z)</f>
        <v>0</v>
      </c>
      <c r="K504" s="173">
        <f>IFERROR(INDEX(服务费底表!$C:$C,MATCH('SOW-ERP导入表'!$E504,服务费底表!$D:$D,0)),0)+IFERROR(INDEX(注册申报底表!$C:$C,MATCH('SOW-ERP导入表'!$E504,注册申报底表!$D:$D,0)),0)</f>
        <v>0</v>
      </c>
      <c r="L504" s="185">
        <f t="shared" si="26"/>
        <v>0</v>
      </c>
      <c r="M504" s="184">
        <f>SUMIF(服务费底表!$D:$D,E504,服务费底表!$AG:$AG)+SUMIF(注册申报底表!$D:$D,'SOW-ERP导入表'!E504,注册申报底表!$AD:$AD)</f>
        <v>0</v>
      </c>
    </row>
    <row r="505" spans="2:13">
      <c r="B505" s="173"/>
      <c r="D505" s="173"/>
      <c r="E505" s="188" t="s">
        <v>2857</v>
      </c>
      <c r="F505" s="173" t="str">
        <f t="shared" si="24"/>
        <v>请填写</v>
      </c>
      <c r="G505" s="173" t="str">
        <f>INDEX(注册申报底表!$J:$J,MATCH('SOW-ERP导入表'!$E505,注册申报底表!$D:$D,0))</f>
        <v>A191</v>
      </c>
      <c r="H505" s="183" t="str">
        <f>INDEX(注册申报底表!K:K,MATCH('SOW-ERP导入表'!$E505,注册申报底表!$D:$D,0))</f>
        <v>申报计划书制定</v>
      </c>
      <c r="I505" s="173" t="str">
        <f>INDEX(注册申报底表!$S:$S,MATCH('SOW-ERP导入表'!$E505,注册申报底表!$D:$D,0))</f>
        <v>RAM</v>
      </c>
      <c r="J505" s="184">
        <f>SUMIF(服务费底表!$D:$D,E505,服务费底表!$AC:$AC)+SUMIF(注册申报底表!$D:$D,'SOW-ERP导入表'!E505,注册申报底表!$Z:$Z)</f>
        <v>0</v>
      </c>
      <c r="K505" s="173">
        <f>IFERROR(INDEX(服务费底表!$C:$C,MATCH('SOW-ERP导入表'!$E505,服务费底表!$D:$D,0)),0)+IFERROR(INDEX(注册申报底表!$C:$C,MATCH('SOW-ERP导入表'!$E505,注册申报底表!$D:$D,0)),0)</f>
        <v>0</v>
      </c>
      <c r="L505" s="185">
        <f t="shared" si="26"/>
        <v>0</v>
      </c>
      <c r="M505" s="184">
        <f>SUMIF(服务费底表!$D:$D,E505,服务费底表!$AG:$AG)+SUMIF(注册申报底表!$D:$D,'SOW-ERP导入表'!E505,注册申报底表!$AD:$AD)</f>
        <v>0</v>
      </c>
    </row>
    <row r="506" spans="2:13">
      <c r="B506" s="173"/>
      <c r="D506" s="173"/>
      <c r="E506" s="188" t="s">
        <v>2858</v>
      </c>
      <c r="F506" s="173" t="str">
        <f t="shared" si="24"/>
        <v>请填写</v>
      </c>
      <c r="G506" s="173" t="str">
        <f>INDEX(注册申报底表!$J:$J,MATCH('SOW-ERP导入表'!$E506,注册申报底表!$D:$D,0))</f>
        <v>A191</v>
      </c>
      <c r="H506" s="183" t="str">
        <f>INDEX(注册申报底表!K:K,MATCH('SOW-ERP导入表'!$E506,注册申报底表!$D:$D,0))</f>
        <v>申报计划书制定</v>
      </c>
      <c r="I506" s="173" t="str">
        <f>INDEX(注册申报底表!$S:$S,MATCH('SOW-ERP导入表'!$E506,注册申报底表!$D:$D,0))</f>
        <v>RAD</v>
      </c>
      <c r="J506" s="184">
        <f>SUMIF(服务费底表!$D:$D,E506,服务费底表!$AC:$AC)+SUMIF(注册申报底表!$D:$D,'SOW-ERP导入表'!E506,注册申报底表!$Z:$Z)</f>
        <v>0</v>
      </c>
      <c r="K506" s="173">
        <f>IFERROR(INDEX(服务费底表!$C:$C,MATCH('SOW-ERP导入表'!$E506,服务费底表!$D:$D,0)),0)+IFERROR(INDEX(注册申报底表!$C:$C,MATCH('SOW-ERP导入表'!$E506,注册申报底表!$D:$D,0)),0)</f>
        <v>0</v>
      </c>
      <c r="L506" s="185">
        <f t="shared" si="26"/>
        <v>0</v>
      </c>
      <c r="M506" s="184">
        <f>SUMIF(服务费底表!$D:$D,E506,服务费底表!$AG:$AG)+SUMIF(注册申报底表!$D:$D,'SOW-ERP导入表'!E506,注册申报底表!$AD:$AD)</f>
        <v>0</v>
      </c>
    </row>
    <row r="507" spans="2:13">
      <c r="B507" s="173"/>
      <c r="D507" s="173"/>
      <c r="E507" s="188" t="s">
        <v>2859</v>
      </c>
      <c r="F507" s="173" t="str">
        <f t="shared" si="24"/>
        <v>请填写</v>
      </c>
      <c r="G507" s="173" t="str">
        <f>INDEX(注册申报底表!$J:$J,MATCH('SOW-ERP导入表'!$E507,注册申报底表!$D:$D,0))</f>
        <v>A206</v>
      </c>
      <c r="H507" s="183" t="str">
        <f>INDEX(注册申报底表!K:K,MATCH('SOW-ERP导入表'!$E507,注册申报底表!$D:$D,0))</f>
        <v>非临床综述撰写M2.4</v>
      </c>
      <c r="I507" s="173" t="str">
        <f>INDEX(注册申报底表!$S:$S,MATCH('SOW-ERP导入表'!$E507,注册申报底表!$D:$D,0))</f>
        <v>RAM</v>
      </c>
      <c r="J507" s="184">
        <f>SUMIF(服务费底表!$D:$D,E507,服务费底表!$AC:$AC)+SUMIF(注册申报底表!$D:$D,'SOW-ERP导入表'!E507,注册申报底表!$Z:$Z)</f>
        <v>0</v>
      </c>
      <c r="K507" s="173">
        <f>IFERROR(INDEX(服务费底表!$C:$C,MATCH('SOW-ERP导入表'!$E507,服务费底表!$D:$D,0)),0)+IFERROR(INDEX(注册申报底表!$C:$C,MATCH('SOW-ERP导入表'!$E507,注册申报底表!$D:$D,0)),0)</f>
        <v>0</v>
      </c>
      <c r="L507" s="185">
        <f t="shared" si="26"/>
        <v>0</v>
      </c>
      <c r="M507" s="184">
        <f>SUMIF(服务费底表!$D:$D,E507,服务费底表!$AG:$AG)+SUMIF(注册申报底表!$D:$D,'SOW-ERP导入表'!E507,注册申报底表!$AD:$AD)</f>
        <v>0</v>
      </c>
    </row>
    <row r="508" spans="2:13">
      <c r="B508" s="173"/>
      <c r="D508" s="173"/>
      <c r="E508" s="188" t="s">
        <v>2860</v>
      </c>
      <c r="F508" s="173" t="str">
        <f t="shared" si="24"/>
        <v>请填写</v>
      </c>
      <c r="G508" s="173" t="str">
        <f>INDEX(注册申报底表!$J:$J,MATCH('SOW-ERP导入表'!$E508,注册申报底表!$D:$D,0))</f>
        <v>A206</v>
      </c>
      <c r="H508" s="183" t="str">
        <f>INDEX(注册申报底表!K:K,MATCH('SOW-ERP导入表'!$E508,注册申报底表!$D:$D,0))</f>
        <v>非临床综述撰写M2.4</v>
      </c>
      <c r="I508" s="173" t="str">
        <f>INDEX(注册申报底表!$S:$S,MATCH('SOW-ERP导入表'!$E508,注册申报底表!$D:$D,0))</f>
        <v>RAD</v>
      </c>
      <c r="J508" s="184">
        <f>SUMIF(服务费底表!$D:$D,E508,服务费底表!$AC:$AC)+SUMIF(注册申报底表!$D:$D,'SOW-ERP导入表'!E508,注册申报底表!$Z:$Z)</f>
        <v>0</v>
      </c>
      <c r="K508" s="173">
        <f>IFERROR(INDEX(服务费底表!$C:$C,MATCH('SOW-ERP导入表'!$E508,服务费底表!$D:$D,0)),0)+IFERROR(INDEX(注册申报底表!$C:$C,MATCH('SOW-ERP导入表'!$E508,注册申报底表!$D:$D,0)),0)</f>
        <v>0</v>
      </c>
      <c r="L508" s="185">
        <f t="shared" si="26"/>
        <v>0</v>
      </c>
      <c r="M508" s="184">
        <f>SUMIF(服务费底表!$D:$D,E508,服务费底表!$AG:$AG)+SUMIF(注册申报底表!$D:$D,'SOW-ERP导入表'!E508,注册申报底表!$AD:$AD)</f>
        <v>0</v>
      </c>
    </row>
    <row r="509" spans="2:13">
      <c r="B509" s="173"/>
      <c r="D509" s="173"/>
      <c r="E509" s="188" t="s">
        <v>2861</v>
      </c>
      <c r="F509" s="173" t="str">
        <f t="shared" si="24"/>
        <v>请填写</v>
      </c>
      <c r="G509" s="173" t="str">
        <f>INDEX(注册申报底表!$J:$J,MATCH('SOW-ERP导入表'!$E509,注册申报底表!$D:$D,0))</f>
        <v>A207</v>
      </c>
      <c r="H509" s="183" t="str">
        <f>INDEX(注册申报底表!K:K,MATCH('SOW-ERP导入表'!$E509,注册申报底表!$D:$D,0))</f>
        <v>非临床总结撰写M2.6</v>
      </c>
      <c r="I509" s="173" t="str">
        <f>INDEX(注册申报底表!$S:$S,MATCH('SOW-ERP导入表'!$E509,注册申报底表!$D:$D,0))</f>
        <v>RAM</v>
      </c>
      <c r="J509" s="184">
        <f>SUMIF(服务费底表!$D:$D,E509,服务费底表!$AC:$AC)+SUMIF(注册申报底表!$D:$D,'SOW-ERP导入表'!E509,注册申报底表!$Z:$Z)</f>
        <v>0</v>
      </c>
      <c r="K509" s="173">
        <f>IFERROR(INDEX(服务费底表!$C:$C,MATCH('SOW-ERP导入表'!$E509,服务费底表!$D:$D,0)),0)+IFERROR(INDEX(注册申报底表!$C:$C,MATCH('SOW-ERP导入表'!$E509,注册申报底表!$D:$D,0)),0)</f>
        <v>0</v>
      </c>
      <c r="L509" s="185">
        <f t="shared" si="26"/>
        <v>0</v>
      </c>
      <c r="M509" s="184">
        <f>SUMIF(服务费底表!$D:$D,E509,服务费底表!$AG:$AG)+SUMIF(注册申报底表!$D:$D,'SOW-ERP导入表'!E509,注册申报底表!$AD:$AD)</f>
        <v>0</v>
      </c>
    </row>
    <row r="510" spans="2:13">
      <c r="B510" s="173"/>
      <c r="D510" s="173"/>
      <c r="E510" s="188" t="s">
        <v>2862</v>
      </c>
      <c r="F510" s="173" t="str">
        <f t="shared" si="24"/>
        <v>请填写</v>
      </c>
      <c r="G510" s="173" t="str">
        <f>INDEX(注册申报底表!$J:$J,MATCH('SOW-ERP导入表'!$E510,注册申报底表!$D:$D,0))</f>
        <v>A207</v>
      </c>
      <c r="H510" s="183" t="str">
        <f>INDEX(注册申报底表!K:K,MATCH('SOW-ERP导入表'!$E510,注册申报底表!$D:$D,0))</f>
        <v>非临床总结撰写M2.6</v>
      </c>
      <c r="I510" s="173" t="str">
        <f>INDEX(注册申报底表!$S:$S,MATCH('SOW-ERP导入表'!$E510,注册申报底表!$D:$D,0))</f>
        <v>RAD</v>
      </c>
      <c r="J510" s="184">
        <f>SUMIF(服务费底表!$D:$D,E510,服务费底表!$AC:$AC)+SUMIF(注册申报底表!$D:$D,'SOW-ERP导入表'!E510,注册申报底表!$Z:$Z)</f>
        <v>0</v>
      </c>
      <c r="K510" s="173">
        <f>IFERROR(INDEX(服务费底表!$C:$C,MATCH('SOW-ERP导入表'!$E510,服务费底表!$D:$D,0)),0)+IFERROR(INDEX(注册申报底表!$C:$C,MATCH('SOW-ERP导入表'!$E510,注册申报底表!$D:$D,0)),0)</f>
        <v>0</v>
      </c>
      <c r="L510" s="185">
        <f t="shared" si="26"/>
        <v>0</v>
      </c>
      <c r="M510" s="184">
        <f>SUMIF(服务费底表!$D:$D,E510,服务费底表!$AG:$AG)+SUMIF(注册申报底表!$D:$D,'SOW-ERP导入表'!E510,注册申报底表!$AD:$AD)</f>
        <v>0</v>
      </c>
    </row>
    <row r="511" spans="2:13">
      <c r="B511" s="173"/>
      <c r="D511" s="173"/>
      <c r="E511" s="188" t="s">
        <v>2863</v>
      </c>
      <c r="F511" s="173" t="str">
        <f t="shared" si="24"/>
        <v>请填写</v>
      </c>
      <c r="G511" s="173" t="str">
        <f>INDEX(注册申报底表!$J:$J,MATCH('SOW-ERP导入表'!$E511,注册申报底表!$D:$D,0))</f>
        <v>A192</v>
      </c>
      <c r="H511" s="183" t="str">
        <f>INDEX(注册申报底表!K:K,MATCH('SOW-ERP导入表'!$E511,注册申报底表!$D:$D,0))</f>
        <v>CTD文件M1审核</v>
      </c>
      <c r="I511" s="173" t="str">
        <f>INDEX(注册申报底表!$S:$S,MATCH('SOW-ERP导入表'!$E511,注册申报底表!$D:$D,0))</f>
        <v>RAM</v>
      </c>
      <c r="J511" s="184">
        <f>SUMIF(服务费底表!$D:$D,E511,服务费底表!$AC:$AC)+SUMIF(注册申报底表!$D:$D,'SOW-ERP导入表'!E511,注册申报底表!$Z:$Z)</f>
        <v>0</v>
      </c>
      <c r="K511" s="173">
        <f>IFERROR(INDEX(服务费底表!$C:$C,MATCH('SOW-ERP导入表'!$E511,服务费底表!$D:$D,0)),0)+IFERROR(INDEX(注册申报底表!$C:$C,MATCH('SOW-ERP导入表'!$E511,注册申报底表!$D:$D,0)),0)</f>
        <v>0</v>
      </c>
      <c r="L511" s="185">
        <f t="shared" si="26"/>
        <v>0</v>
      </c>
      <c r="M511" s="184">
        <f>SUMIF(服务费底表!$D:$D,E511,服务费底表!$AG:$AG)+SUMIF(注册申报底表!$D:$D,'SOW-ERP导入表'!E511,注册申报底表!$AD:$AD)</f>
        <v>0</v>
      </c>
    </row>
    <row r="512" spans="2:13">
      <c r="B512" s="173"/>
      <c r="D512" s="173"/>
      <c r="E512" s="188" t="s">
        <v>2864</v>
      </c>
      <c r="F512" s="173" t="str">
        <f t="shared" si="24"/>
        <v>请填写</v>
      </c>
      <c r="G512" s="173" t="str">
        <f>INDEX(注册申报底表!$J:$J,MATCH('SOW-ERP导入表'!$E512,注册申报底表!$D:$D,0))</f>
        <v>A192</v>
      </c>
      <c r="H512" s="183" t="str">
        <f>INDEX(注册申报底表!K:K,MATCH('SOW-ERP导入表'!$E512,注册申报底表!$D:$D,0))</f>
        <v>CTD文件M1审核</v>
      </c>
      <c r="I512" s="173" t="str">
        <f>INDEX(注册申报底表!$S:$S,MATCH('SOW-ERP导入表'!$E512,注册申报底表!$D:$D,0))</f>
        <v>RAD</v>
      </c>
      <c r="J512" s="184">
        <f>SUMIF(服务费底表!$D:$D,E512,服务费底表!$AC:$AC)+SUMIF(注册申报底表!$D:$D,'SOW-ERP导入表'!E512,注册申报底表!$Z:$Z)</f>
        <v>0</v>
      </c>
      <c r="K512" s="173">
        <f>IFERROR(INDEX(服务费底表!$C:$C,MATCH('SOW-ERP导入表'!$E512,服务费底表!$D:$D,0)),0)+IFERROR(INDEX(注册申报底表!$C:$C,MATCH('SOW-ERP导入表'!$E512,注册申报底表!$D:$D,0)),0)</f>
        <v>0</v>
      </c>
      <c r="L512" s="185">
        <f t="shared" si="26"/>
        <v>0</v>
      </c>
      <c r="M512" s="184">
        <f>SUMIF(服务费底表!$D:$D,E512,服务费底表!$AG:$AG)+SUMIF(注册申报底表!$D:$D,'SOW-ERP导入表'!E512,注册申报底表!$AD:$AD)</f>
        <v>0</v>
      </c>
    </row>
    <row r="513" spans="2:13">
      <c r="B513" s="173"/>
      <c r="D513" s="173"/>
      <c r="E513" s="188" t="s">
        <v>2865</v>
      </c>
      <c r="F513" s="173" t="str">
        <f t="shared" ref="F513:F556" si="27">$F$2</f>
        <v>请填写</v>
      </c>
      <c r="G513" s="173" t="str">
        <f>INDEX(注册申报底表!$J:$J,MATCH('SOW-ERP导入表'!$E513,注册申报底表!$D:$D,0))</f>
        <v>A193</v>
      </c>
      <c r="H513" s="183" t="str">
        <f>INDEX(注册申报底表!K:K,MATCH('SOW-ERP导入表'!$E513,注册申报底表!$D:$D,0))</f>
        <v>CTD文件M2审核</v>
      </c>
      <c r="I513" s="173" t="str">
        <f>INDEX(注册申报底表!$S:$S,MATCH('SOW-ERP导入表'!$E513,注册申报底表!$D:$D,0))</f>
        <v>RAM</v>
      </c>
      <c r="J513" s="184">
        <f>SUMIF(服务费底表!$D:$D,E513,服务费底表!$AC:$AC)+SUMIF(注册申报底表!$D:$D,'SOW-ERP导入表'!E513,注册申报底表!$Z:$Z)</f>
        <v>0</v>
      </c>
      <c r="K513" s="173">
        <f>IFERROR(INDEX(服务费底表!$C:$C,MATCH('SOW-ERP导入表'!$E513,服务费底表!$D:$D,0)),0)+IFERROR(INDEX(注册申报底表!$C:$C,MATCH('SOW-ERP导入表'!$E513,注册申报底表!$D:$D,0)),0)</f>
        <v>0</v>
      </c>
      <c r="L513" s="185">
        <f t="shared" si="26"/>
        <v>0</v>
      </c>
      <c r="M513" s="184">
        <f>SUMIF(服务费底表!$D:$D,E513,服务费底表!$AG:$AG)+SUMIF(注册申报底表!$D:$D,'SOW-ERP导入表'!E513,注册申报底表!$AD:$AD)</f>
        <v>0</v>
      </c>
    </row>
    <row r="514" spans="2:13">
      <c r="B514" s="173"/>
      <c r="D514" s="173"/>
      <c r="E514" s="188" t="s">
        <v>2866</v>
      </c>
      <c r="F514" s="173" t="str">
        <f t="shared" si="27"/>
        <v>请填写</v>
      </c>
      <c r="G514" s="173" t="str">
        <f>INDEX(注册申报底表!$J:$J,MATCH('SOW-ERP导入表'!$E514,注册申报底表!$D:$D,0))</f>
        <v>A193</v>
      </c>
      <c r="H514" s="183" t="str">
        <f>INDEX(注册申报底表!K:K,MATCH('SOW-ERP导入表'!$E514,注册申报底表!$D:$D,0))</f>
        <v>CTD文件M2审核</v>
      </c>
      <c r="I514" s="173" t="str">
        <f>INDEX(注册申报底表!$S:$S,MATCH('SOW-ERP导入表'!$E514,注册申报底表!$D:$D,0))</f>
        <v>RAD</v>
      </c>
      <c r="J514" s="184">
        <f>SUMIF(服务费底表!$D:$D,E514,服务费底表!$AC:$AC)+SUMIF(注册申报底表!$D:$D,'SOW-ERP导入表'!E514,注册申报底表!$Z:$Z)</f>
        <v>0</v>
      </c>
      <c r="K514" s="173">
        <f>IFERROR(INDEX(服务费底表!$C:$C,MATCH('SOW-ERP导入表'!$E514,服务费底表!$D:$D,0)),0)+IFERROR(INDEX(注册申报底表!$C:$C,MATCH('SOW-ERP导入表'!$E514,注册申报底表!$D:$D,0)),0)</f>
        <v>0</v>
      </c>
      <c r="L514" s="185">
        <f t="shared" si="26"/>
        <v>0</v>
      </c>
      <c r="M514" s="184">
        <f>SUMIF(服务费底表!$D:$D,E514,服务费底表!$AG:$AG)+SUMIF(注册申报底表!$D:$D,'SOW-ERP导入表'!E514,注册申报底表!$AD:$AD)</f>
        <v>0</v>
      </c>
    </row>
    <row r="515" spans="2:13">
      <c r="B515" s="173"/>
      <c r="D515" s="173"/>
      <c r="E515" s="188" t="s">
        <v>2867</v>
      </c>
      <c r="F515" s="173" t="str">
        <f t="shared" si="27"/>
        <v>请填写</v>
      </c>
      <c r="G515" s="173" t="str">
        <f>INDEX(注册申报底表!$J:$J,MATCH('SOW-ERP导入表'!$E515,注册申报底表!$D:$D,0))</f>
        <v>A194</v>
      </c>
      <c r="H515" s="183" t="str">
        <f>INDEX(注册申报底表!K:K,MATCH('SOW-ERP导入表'!$E515,注册申报底表!$D:$D,0))</f>
        <v>CTD文件M3审核</v>
      </c>
      <c r="I515" s="173" t="str">
        <f>INDEX(注册申报底表!$S:$S,MATCH('SOW-ERP导入表'!$E515,注册申报底表!$D:$D,0))</f>
        <v>RAM</v>
      </c>
      <c r="J515" s="184">
        <f>SUMIF(服务费底表!$D:$D,E515,服务费底表!$AC:$AC)+SUMIF(注册申报底表!$D:$D,'SOW-ERP导入表'!E515,注册申报底表!$Z:$Z)</f>
        <v>0</v>
      </c>
      <c r="K515" s="173">
        <f>IFERROR(INDEX(服务费底表!$C:$C,MATCH('SOW-ERP导入表'!$E515,服务费底表!$D:$D,0)),0)+IFERROR(INDEX(注册申报底表!$C:$C,MATCH('SOW-ERP导入表'!$E515,注册申报底表!$D:$D,0)),0)</f>
        <v>0</v>
      </c>
      <c r="L515" s="185">
        <f t="shared" si="26"/>
        <v>0</v>
      </c>
      <c r="M515" s="184">
        <f>SUMIF(服务费底表!$D:$D,E515,服务费底表!$AG:$AG)+SUMIF(注册申报底表!$D:$D,'SOW-ERP导入表'!E515,注册申报底表!$AD:$AD)</f>
        <v>0</v>
      </c>
    </row>
    <row r="516" spans="2:13">
      <c r="B516" s="173"/>
      <c r="D516" s="173"/>
      <c r="E516" s="188" t="s">
        <v>2868</v>
      </c>
      <c r="F516" s="173" t="str">
        <f t="shared" si="27"/>
        <v>请填写</v>
      </c>
      <c r="G516" s="173" t="str">
        <f>INDEX(注册申报底表!$J:$J,MATCH('SOW-ERP导入表'!$E516,注册申报底表!$D:$D,0))</f>
        <v>A194</v>
      </c>
      <c r="H516" s="183" t="str">
        <f>INDEX(注册申报底表!K:K,MATCH('SOW-ERP导入表'!$E516,注册申报底表!$D:$D,0))</f>
        <v>CTD文件M3审核</v>
      </c>
      <c r="I516" s="173" t="str">
        <f>INDEX(注册申报底表!$S:$S,MATCH('SOW-ERP导入表'!$E516,注册申报底表!$D:$D,0))</f>
        <v>RAD</v>
      </c>
      <c r="J516" s="184">
        <f>SUMIF(服务费底表!$D:$D,E516,服务费底表!$AC:$AC)+SUMIF(注册申报底表!$D:$D,'SOW-ERP导入表'!E516,注册申报底表!$Z:$Z)</f>
        <v>0</v>
      </c>
      <c r="K516" s="173">
        <f>IFERROR(INDEX(服务费底表!$C:$C,MATCH('SOW-ERP导入表'!$E516,服务费底表!$D:$D,0)),0)+IFERROR(INDEX(注册申报底表!$C:$C,MATCH('SOW-ERP导入表'!$E516,注册申报底表!$D:$D,0)),0)</f>
        <v>0</v>
      </c>
      <c r="L516" s="185">
        <f t="shared" si="26"/>
        <v>0</v>
      </c>
      <c r="M516" s="184">
        <f>SUMIF(服务费底表!$D:$D,E516,服务费底表!$AG:$AG)+SUMIF(注册申报底表!$D:$D,'SOW-ERP导入表'!E516,注册申报底表!$AD:$AD)</f>
        <v>0</v>
      </c>
    </row>
    <row r="517" spans="2:13">
      <c r="B517" s="173"/>
      <c r="D517" s="173"/>
      <c r="E517" s="188" t="s">
        <v>2869</v>
      </c>
      <c r="F517" s="173" t="str">
        <f t="shared" si="27"/>
        <v>请填写</v>
      </c>
      <c r="G517" s="173" t="str">
        <f>INDEX(注册申报底表!$J:$J,MATCH('SOW-ERP导入表'!$E517,注册申报底表!$D:$D,0))</f>
        <v>A195</v>
      </c>
      <c r="H517" s="183" t="str">
        <f>INDEX(注册申报底表!K:K,MATCH('SOW-ERP导入表'!$E517,注册申报底表!$D:$D,0))</f>
        <v>CTD文件M4审核</v>
      </c>
      <c r="I517" s="173" t="str">
        <f>INDEX(注册申报底表!$S:$S,MATCH('SOW-ERP导入表'!$E517,注册申报底表!$D:$D,0))</f>
        <v>RAM</v>
      </c>
      <c r="J517" s="184">
        <f>SUMIF(服务费底表!$D:$D,E517,服务费底表!$AC:$AC)+SUMIF(注册申报底表!$D:$D,'SOW-ERP导入表'!E517,注册申报底表!$Z:$Z)</f>
        <v>0</v>
      </c>
      <c r="K517" s="173">
        <f>IFERROR(INDEX(服务费底表!$C:$C,MATCH('SOW-ERP导入表'!$E517,服务费底表!$D:$D,0)),0)+IFERROR(INDEX(注册申报底表!$C:$C,MATCH('SOW-ERP导入表'!$E517,注册申报底表!$D:$D,0)),0)</f>
        <v>0</v>
      </c>
      <c r="L517" s="185">
        <f t="shared" si="26"/>
        <v>0</v>
      </c>
      <c r="M517" s="184">
        <f>SUMIF(服务费底表!$D:$D,E517,服务费底表!$AG:$AG)+SUMIF(注册申报底表!$D:$D,'SOW-ERP导入表'!E517,注册申报底表!$AD:$AD)</f>
        <v>0</v>
      </c>
    </row>
    <row r="518" spans="2:13">
      <c r="B518" s="173"/>
      <c r="D518" s="173"/>
      <c r="E518" s="188" t="s">
        <v>2870</v>
      </c>
      <c r="F518" s="173" t="str">
        <f t="shared" si="27"/>
        <v>请填写</v>
      </c>
      <c r="G518" s="173" t="str">
        <f>INDEX(注册申报底表!$J:$J,MATCH('SOW-ERP导入表'!$E518,注册申报底表!$D:$D,0))</f>
        <v>A195</v>
      </c>
      <c r="H518" s="183" t="str">
        <f>INDEX(注册申报底表!K:K,MATCH('SOW-ERP导入表'!$E518,注册申报底表!$D:$D,0))</f>
        <v>CTD文件M4审核</v>
      </c>
      <c r="I518" s="173" t="str">
        <f>INDEX(注册申报底表!$S:$S,MATCH('SOW-ERP导入表'!$E518,注册申报底表!$D:$D,0))</f>
        <v>RAD</v>
      </c>
      <c r="J518" s="184">
        <f>SUMIF(服务费底表!$D:$D,E518,服务费底表!$AC:$AC)+SUMIF(注册申报底表!$D:$D,'SOW-ERP导入表'!E518,注册申报底表!$Z:$Z)</f>
        <v>0</v>
      </c>
      <c r="K518" s="173">
        <f>IFERROR(INDEX(服务费底表!$C:$C,MATCH('SOW-ERP导入表'!$E518,服务费底表!$D:$D,0)),0)+IFERROR(INDEX(注册申报底表!$C:$C,MATCH('SOW-ERP导入表'!$E518,注册申报底表!$D:$D,0)),0)</f>
        <v>0</v>
      </c>
      <c r="L518" s="185">
        <f t="shared" si="26"/>
        <v>0</v>
      </c>
      <c r="M518" s="184">
        <f>SUMIF(服务费底表!$D:$D,E518,服务费底表!$AG:$AG)+SUMIF(注册申报底表!$D:$D,'SOW-ERP导入表'!E518,注册申报底表!$AD:$AD)</f>
        <v>0</v>
      </c>
    </row>
    <row r="519" spans="2:13">
      <c r="B519" s="173"/>
      <c r="D519" s="173"/>
      <c r="E519" s="188" t="s">
        <v>2871</v>
      </c>
      <c r="F519" s="173" t="str">
        <f t="shared" si="27"/>
        <v>请填写</v>
      </c>
      <c r="G519" s="173" t="str">
        <f>INDEX(注册申报底表!$J:$J,MATCH('SOW-ERP导入表'!$E519,注册申报底表!$D:$D,0))</f>
        <v>A196</v>
      </c>
      <c r="H519" s="183" t="str">
        <f>INDEX(注册申报底表!K:K,MATCH('SOW-ERP导入表'!$E519,注册申报底表!$D:$D,0))</f>
        <v>pre-IND申请材料撰写</v>
      </c>
      <c r="I519" s="173" t="str">
        <f>INDEX(注册申报底表!$S:$S,MATCH('SOW-ERP导入表'!$E519,注册申报底表!$D:$D,0))</f>
        <v>RAM</v>
      </c>
      <c r="J519" s="184">
        <f>SUMIF(服务费底表!$D:$D,E519,服务费底表!$AC:$AC)+SUMIF(注册申报底表!$D:$D,'SOW-ERP导入表'!E519,注册申报底表!$Z:$Z)</f>
        <v>0</v>
      </c>
      <c r="K519" s="173">
        <f>IFERROR(INDEX(服务费底表!$C:$C,MATCH('SOW-ERP导入表'!$E519,服务费底表!$D:$D,0)),0)+IFERROR(INDEX(注册申报底表!$C:$C,MATCH('SOW-ERP导入表'!$E519,注册申报底表!$D:$D,0)),0)</f>
        <v>0</v>
      </c>
      <c r="L519" s="185">
        <f t="shared" si="26"/>
        <v>0</v>
      </c>
      <c r="M519" s="184">
        <f>SUMIF(服务费底表!$D:$D,E519,服务费底表!$AG:$AG)+SUMIF(注册申报底表!$D:$D,'SOW-ERP导入表'!E519,注册申报底表!$AD:$AD)</f>
        <v>0</v>
      </c>
    </row>
    <row r="520" spans="2:13">
      <c r="B520" s="173"/>
      <c r="D520" s="173"/>
      <c r="E520" s="188" t="s">
        <v>2872</v>
      </c>
      <c r="F520" s="173" t="str">
        <f t="shared" si="27"/>
        <v>请填写</v>
      </c>
      <c r="G520" s="173" t="str">
        <f>INDEX(注册申报底表!$J:$J,MATCH('SOW-ERP导入表'!$E520,注册申报底表!$D:$D,0))</f>
        <v>A196</v>
      </c>
      <c r="H520" s="183" t="str">
        <f>INDEX(注册申报底表!K:K,MATCH('SOW-ERP导入表'!$E520,注册申报底表!$D:$D,0))</f>
        <v>pre-IND申请材料撰写</v>
      </c>
      <c r="I520" s="173" t="str">
        <f>INDEX(注册申报底表!$S:$S,MATCH('SOW-ERP导入表'!$E520,注册申报底表!$D:$D,0))</f>
        <v>RAD</v>
      </c>
      <c r="J520" s="184">
        <f>SUMIF(服务费底表!$D:$D,E520,服务费底表!$AC:$AC)+SUMIF(注册申报底表!$D:$D,'SOW-ERP导入表'!E520,注册申报底表!$Z:$Z)</f>
        <v>0</v>
      </c>
      <c r="K520" s="173">
        <f>IFERROR(INDEX(服务费底表!$C:$C,MATCH('SOW-ERP导入表'!$E520,服务费底表!$D:$D,0)),0)+IFERROR(INDEX(注册申报底表!$C:$C,MATCH('SOW-ERP导入表'!$E520,注册申报底表!$D:$D,0)),0)</f>
        <v>0</v>
      </c>
      <c r="L520" s="185">
        <f t="shared" si="26"/>
        <v>0</v>
      </c>
      <c r="M520" s="184">
        <f>SUMIF(服务费底表!$D:$D,E520,服务费底表!$AG:$AG)+SUMIF(注册申报底表!$D:$D,'SOW-ERP导入表'!E520,注册申报底表!$AD:$AD)</f>
        <v>0</v>
      </c>
    </row>
    <row r="521" spans="2:13">
      <c r="B521" s="173"/>
      <c r="D521" s="173"/>
      <c r="E521" s="188" t="s">
        <v>2873</v>
      </c>
      <c r="F521" s="173" t="str">
        <f t="shared" si="27"/>
        <v>请填写</v>
      </c>
      <c r="G521" s="173" t="str">
        <f>INDEX(注册申报底表!$J:$J,MATCH('SOW-ERP导入表'!$E521,注册申报底表!$D:$D,0))</f>
        <v>A197</v>
      </c>
      <c r="H521" s="183" t="str">
        <f>INDEX(注册申报底表!K:K,MATCH('SOW-ERP导入表'!$E521,注册申报底表!$D:$D,0))</f>
        <v>pre-IND会议前与申办方沟通</v>
      </c>
      <c r="I521" s="173" t="str">
        <f>INDEX(注册申报底表!$S:$S,MATCH('SOW-ERP导入表'!$E521,注册申报底表!$D:$D,0))</f>
        <v>RAM</v>
      </c>
      <c r="J521" s="184">
        <f>SUMIF(服务费底表!$D:$D,E521,服务费底表!$AC:$AC)+SUMIF(注册申报底表!$D:$D,'SOW-ERP导入表'!E521,注册申报底表!$Z:$Z)</f>
        <v>0</v>
      </c>
      <c r="K521" s="173">
        <f>IFERROR(INDEX(服务费底表!$C:$C,MATCH('SOW-ERP导入表'!$E521,服务费底表!$D:$D,0)),0)+IFERROR(INDEX(注册申报底表!$C:$C,MATCH('SOW-ERP导入表'!$E521,注册申报底表!$D:$D,0)),0)</f>
        <v>0</v>
      </c>
      <c r="L521" s="185">
        <f t="shared" si="26"/>
        <v>0</v>
      </c>
      <c r="M521" s="184">
        <f>SUMIF(服务费底表!$D:$D,E521,服务费底表!$AG:$AG)+SUMIF(注册申报底表!$D:$D,'SOW-ERP导入表'!E521,注册申报底表!$AD:$AD)</f>
        <v>0</v>
      </c>
    </row>
    <row r="522" spans="2:13">
      <c r="B522" s="173"/>
      <c r="D522" s="173"/>
      <c r="E522" s="188" t="s">
        <v>2874</v>
      </c>
      <c r="F522" s="173" t="str">
        <f t="shared" si="27"/>
        <v>请填写</v>
      </c>
      <c r="G522" s="173" t="str">
        <f>INDEX(注册申报底表!$J:$J,MATCH('SOW-ERP导入表'!$E522,注册申报底表!$D:$D,0))</f>
        <v>A197</v>
      </c>
      <c r="H522" s="183" t="str">
        <f>INDEX(注册申报底表!K:K,MATCH('SOW-ERP导入表'!$E522,注册申报底表!$D:$D,0))</f>
        <v>pre-IND会议前与申办方沟通</v>
      </c>
      <c r="I522" s="173" t="str">
        <f>INDEX(注册申报底表!$S:$S,MATCH('SOW-ERP导入表'!$E522,注册申报底表!$D:$D,0))</f>
        <v>RAD</v>
      </c>
      <c r="J522" s="184">
        <f>SUMIF(服务费底表!$D:$D,E522,服务费底表!$AC:$AC)+SUMIF(注册申报底表!$D:$D,'SOW-ERP导入表'!E522,注册申报底表!$Z:$Z)</f>
        <v>0</v>
      </c>
      <c r="K522" s="173">
        <f>IFERROR(INDEX(服务费底表!$C:$C,MATCH('SOW-ERP导入表'!$E522,服务费底表!$D:$D,0)),0)+IFERROR(INDEX(注册申报底表!$C:$C,MATCH('SOW-ERP导入表'!$E522,注册申报底表!$D:$D,0)),0)</f>
        <v>0</v>
      </c>
      <c r="L522" s="185">
        <f t="shared" si="26"/>
        <v>0</v>
      </c>
      <c r="M522" s="184">
        <f>SUMIF(服务费底表!$D:$D,E522,服务费底表!$AG:$AG)+SUMIF(注册申报底表!$D:$D,'SOW-ERP导入表'!E522,注册申报底表!$AD:$AD)</f>
        <v>0</v>
      </c>
    </row>
    <row r="523" spans="2:13">
      <c r="B523" s="173"/>
      <c r="D523" s="173"/>
      <c r="E523" s="188" t="s">
        <v>2875</v>
      </c>
      <c r="F523" s="173" t="str">
        <f t="shared" si="27"/>
        <v>请填写</v>
      </c>
      <c r="G523" s="173" t="str">
        <f>INDEX(注册申报底表!$J:$J,MATCH('SOW-ERP导入表'!$E523,注册申报底表!$D:$D,0))</f>
        <v>A198</v>
      </c>
      <c r="H523" s="183" t="str">
        <f>INDEX(注册申报底表!K:K,MATCH('SOW-ERP导入表'!$E523,注册申报底表!$D:$D,0))</f>
        <v>参加pre-IND会议</v>
      </c>
      <c r="I523" s="173" t="str">
        <f>INDEX(注册申报底表!$S:$S,MATCH('SOW-ERP导入表'!$E523,注册申报底表!$D:$D,0))</f>
        <v>RAD</v>
      </c>
      <c r="J523" s="184">
        <f>SUMIF(服务费底表!$D:$D,E523,服务费底表!$AC:$AC)+SUMIF(注册申报底表!$D:$D,'SOW-ERP导入表'!E523,注册申报底表!$Z:$Z)</f>
        <v>0</v>
      </c>
      <c r="K523" s="173">
        <f>IFERROR(INDEX(服务费底表!$C:$C,MATCH('SOW-ERP导入表'!$E523,服务费底表!$D:$D,0)),0)+IFERROR(INDEX(注册申报底表!$C:$C,MATCH('SOW-ERP导入表'!$E523,注册申报底表!$D:$D,0)),0)</f>
        <v>0</v>
      </c>
      <c r="L523" s="185">
        <f t="shared" si="26"/>
        <v>0</v>
      </c>
      <c r="M523" s="184">
        <f>SUMIF(服务费底表!$D:$D,E523,服务费底表!$AG:$AG)+SUMIF(注册申报底表!$D:$D,'SOW-ERP导入表'!E523,注册申报底表!$AD:$AD)</f>
        <v>0</v>
      </c>
    </row>
    <row r="524" spans="2:13">
      <c r="B524" s="173"/>
      <c r="D524" s="173"/>
      <c r="E524" s="188" t="s">
        <v>2876</v>
      </c>
      <c r="F524" s="173" t="str">
        <f t="shared" si="27"/>
        <v>请填写</v>
      </c>
      <c r="G524" s="173" t="str">
        <f>INDEX(注册申报底表!$J:$J,MATCH('SOW-ERP导入表'!$E524,注册申报底表!$D:$D,0))</f>
        <v>A199</v>
      </c>
      <c r="H524" s="183" t="str">
        <f>INDEX(注册申报底表!K:K,MATCH('SOW-ERP导入表'!$E524,注册申报底表!$D:$D,0))</f>
        <v>pre-IND问题回复</v>
      </c>
      <c r="I524" s="173" t="str">
        <f>INDEX(注册申报底表!$S:$S,MATCH('SOW-ERP导入表'!$E524,注册申报底表!$D:$D,0))</f>
        <v>RAM</v>
      </c>
      <c r="J524" s="184">
        <f>SUMIF(服务费底表!$D:$D,E524,服务费底表!$AC:$AC)+SUMIF(注册申报底表!$D:$D,'SOW-ERP导入表'!E524,注册申报底表!$Z:$Z)</f>
        <v>0</v>
      </c>
      <c r="K524" s="173">
        <f>IFERROR(INDEX(服务费底表!$C:$C,MATCH('SOW-ERP导入表'!$E524,服务费底表!$D:$D,0)),0)+IFERROR(INDEX(注册申报底表!$C:$C,MATCH('SOW-ERP导入表'!$E524,注册申报底表!$D:$D,0)),0)</f>
        <v>0</v>
      </c>
      <c r="L524" s="185">
        <f t="shared" si="26"/>
        <v>0</v>
      </c>
      <c r="M524" s="184">
        <f>SUMIF(服务费底表!$D:$D,E524,服务费底表!$AG:$AG)+SUMIF(注册申报底表!$D:$D,'SOW-ERP导入表'!E524,注册申报底表!$AD:$AD)</f>
        <v>0</v>
      </c>
    </row>
    <row r="525" spans="2:13">
      <c r="B525" s="173"/>
      <c r="D525" s="173"/>
      <c r="E525" s="188" t="s">
        <v>2877</v>
      </c>
      <c r="F525" s="173" t="str">
        <f t="shared" si="27"/>
        <v>请填写</v>
      </c>
      <c r="G525" s="173" t="str">
        <f>INDEX(注册申报底表!$J:$J,MATCH('SOW-ERP导入表'!$E525,注册申报底表!$D:$D,0))</f>
        <v>A199</v>
      </c>
      <c r="H525" s="183" t="str">
        <f>INDEX(注册申报底表!K:K,MATCH('SOW-ERP导入表'!$E525,注册申报底表!$D:$D,0))</f>
        <v>pre-IND问题回复</v>
      </c>
      <c r="I525" s="173" t="str">
        <f>INDEX(注册申报底表!$S:$S,MATCH('SOW-ERP导入表'!$E525,注册申报底表!$D:$D,0))</f>
        <v>RAD</v>
      </c>
      <c r="J525" s="184">
        <f>SUMIF(服务费底表!$D:$D,E525,服务费底表!$AC:$AC)+SUMIF(注册申报底表!$D:$D,'SOW-ERP导入表'!E525,注册申报底表!$Z:$Z)</f>
        <v>0</v>
      </c>
      <c r="K525" s="173">
        <f>IFERROR(INDEX(服务费底表!$C:$C,MATCH('SOW-ERP导入表'!$E525,服务费底表!$D:$D,0)),0)+IFERROR(INDEX(注册申报底表!$C:$C,MATCH('SOW-ERP导入表'!$E525,注册申报底表!$D:$D,0)),0)</f>
        <v>0</v>
      </c>
      <c r="L525" s="185">
        <f t="shared" si="26"/>
        <v>0</v>
      </c>
      <c r="M525" s="184">
        <f>SUMIF(服务费底表!$D:$D,E525,服务费底表!$AG:$AG)+SUMIF(注册申报底表!$D:$D,'SOW-ERP导入表'!E525,注册申报底表!$AD:$AD)</f>
        <v>0</v>
      </c>
    </row>
    <row r="526" spans="2:13">
      <c r="B526" s="173"/>
      <c r="D526" s="173"/>
      <c r="E526" s="188" t="s">
        <v>2878</v>
      </c>
      <c r="F526" s="173" t="str">
        <f t="shared" si="27"/>
        <v>请填写</v>
      </c>
      <c r="G526" s="173" t="str">
        <f>INDEX(注册申报底表!$J:$J,MATCH('SOW-ERP导入表'!$E526,注册申报底表!$D:$D,0))</f>
        <v>A200</v>
      </c>
      <c r="H526" s="183" t="str">
        <f>INDEX(注册申报底表!K:K,MATCH('SOW-ERP导入表'!$E526,注册申报底表!$D:$D,0))</f>
        <v>CTD文件M1更新后二次审核</v>
      </c>
      <c r="I526" s="173" t="str">
        <f>INDEX(注册申报底表!$S:$S,MATCH('SOW-ERP导入表'!$E526,注册申报底表!$D:$D,0))</f>
        <v>RAM</v>
      </c>
      <c r="J526" s="184">
        <f>SUMIF(服务费底表!$D:$D,E526,服务费底表!$AC:$AC)+SUMIF(注册申报底表!$D:$D,'SOW-ERP导入表'!E526,注册申报底表!$Z:$Z)</f>
        <v>0</v>
      </c>
      <c r="K526" s="173">
        <f>IFERROR(INDEX(服务费底表!$C:$C,MATCH('SOW-ERP导入表'!$E526,服务费底表!$D:$D,0)),0)+IFERROR(INDEX(注册申报底表!$C:$C,MATCH('SOW-ERP导入表'!$E526,注册申报底表!$D:$D,0)),0)</f>
        <v>0</v>
      </c>
      <c r="L526" s="185">
        <f t="shared" si="26"/>
        <v>0</v>
      </c>
      <c r="M526" s="184">
        <f>SUMIF(服务费底表!$D:$D,E526,服务费底表!$AG:$AG)+SUMIF(注册申报底表!$D:$D,'SOW-ERP导入表'!E526,注册申报底表!$AD:$AD)</f>
        <v>0</v>
      </c>
    </row>
    <row r="527" spans="2:13">
      <c r="B527" s="173"/>
      <c r="D527" s="173"/>
      <c r="E527" s="188" t="s">
        <v>2879</v>
      </c>
      <c r="F527" s="173" t="str">
        <f t="shared" si="27"/>
        <v>请填写</v>
      </c>
      <c r="G527" s="173" t="str">
        <f>INDEX(注册申报底表!$J:$J,MATCH('SOW-ERP导入表'!$E527,注册申报底表!$D:$D,0))</f>
        <v>A200</v>
      </c>
      <c r="H527" s="183" t="str">
        <f>INDEX(注册申报底表!K:K,MATCH('SOW-ERP导入表'!$E527,注册申报底表!$D:$D,0))</f>
        <v>CTD文件M1更新后二次审核</v>
      </c>
      <c r="I527" s="173" t="str">
        <f>INDEX(注册申报底表!$S:$S,MATCH('SOW-ERP导入表'!$E527,注册申报底表!$D:$D,0))</f>
        <v>RAD</v>
      </c>
      <c r="J527" s="184">
        <f>SUMIF(服务费底表!$D:$D,E527,服务费底表!$AC:$AC)+SUMIF(注册申报底表!$D:$D,'SOW-ERP导入表'!E527,注册申报底表!$Z:$Z)</f>
        <v>0</v>
      </c>
      <c r="K527" s="173">
        <f>IFERROR(INDEX(服务费底表!$C:$C,MATCH('SOW-ERP导入表'!$E527,服务费底表!$D:$D,0)),0)+IFERROR(INDEX(注册申报底表!$C:$C,MATCH('SOW-ERP导入表'!$E527,注册申报底表!$D:$D,0)),0)</f>
        <v>0</v>
      </c>
      <c r="L527" s="185">
        <f t="shared" si="26"/>
        <v>0</v>
      </c>
      <c r="M527" s="184">
        <f>SUMIF(服务费底表!$D:$D,E527,服务费底表!$AG:$AG)+SUMIF(注册申报底表!$D:$D,'SOW-ERP导入表'!E527,注册申报底表!$AD:$AD)</f>
        <v>0</v>
      </c>
    </row>
    <row r="528" spans="2:13">
      <c r="B528" s="173"/>
      <c r="D528" s="173"/>
      <c r="E528" s="188" t="s">
        <v>2880</v>
      </c>
      <c r="F528" s="173" t="str">
        <f t="shared" si="27"/>
        <v>请填写</v>
      </c>
      <c r="G528" s="173" t="str">
        <f>INDEX(注册申报底表!$J:$J,MATCH('SOW-ERP导入表'!$E528,注册申报底表!$D:$D,0))</f>
        <v>A201</v>
      </c>
      <c r="H528" s="183" t="str">
        <f>INDEX(注册申报底表!K:K,MATCH('SOW-ERP导入表'!$E528,注册申报底表!$D:$D,0))</f>
        <v>CTD文件M2更新后二次审核</v>
      </c>
      <c r="I528" s="173" t="str">
        <f>INDEX(注册申报底表!$S:$S,MATCH('SOW-ERP导入表'!$E528,注册申报底表!$D:$D,0))</f>
        <v>RAM</v>
      </c>
      <c r="J528" s="184">
        <f>SUMIF(服务费底表!$D:$D,E528,服务费底表!$AC:$AC)+SUMIF(注册申报底表!$D:$D,'SOW-ERP导入表'!E528,注册申报底表!$Z:$Z)</f>
        <v>0</v>
      </c>
      <c r="K528" s="173">
        <f>IFERROR(INDEX(服务费底表!$C:$C,MATCH('SOW-ERP导入表'!$E528,服务费底表!$D:$D,0)),0)+IFERROR(INDEX(注册申报底表!$C:$C,MATCH('SOW-ERP导入表'!$E528,注册申报底表!$D:$D,0)),0)</f>
        <v>0</v>
      </c>
      <c r="L528" s="185">
        <f t="shared" si="26"/>
        <v>0</v>
      </c>
      <c r="M528" s="184">
        <f>SUMIF(服务费底表!$D:$D,E528,服务费底表!$AG:$AG)+SUMIF(注册申报底表!$D:$D,'SOW-ERP导入表'!E528,注册申报底表!$AD:$AD)</f>
        <v>0</v>
      </c>
    </row>
    <row r="529" spans="2:13">
      <c r="B529" s="173"/>
      <c r="D529" s="173"/>
      <c r="E529" s="188" t="s">
        <v>2881</v>
      </c>
      <c r="F529" s="173" t="str">
        <f t="shared" si="27"/>
        <v>请填写</v>
      </c>
      <c r="G529" s="173" t="str">
        <f>INDEX(注册申报底表!$J:$J,MATCH('SOW-ERP导入表'!$E529,注册申报底表!$D:$D,0))</f>
        <v>A201</v>
      </c>
      <c r="H529" s="183" t="str">
        <f>INDEX(注册申报底表!K:K,MATCH('SOW-ERP导入表'!$E529,注册申报底表!$D:$D,0))</f>
        <v>CTD文件M2更新后二次审核</v>
      </c>
      <c r="I529" s="173" t="str">
        <f>INDEX(注册申报底表!$S:$S,MATCH('SOW-ERP导入表'!$E529,注册申报底表!$D:$D,0))</f>
        <v>RAD</v>
      </c>
      <c r="J529" s="184">
        <f>SUMIF(服务费底表!$D:$D,E529,服务费底表!$AC:$AC)+SUMIF(注册申报底表!$D:$D,'SOW-ERP导入表'!E529,注册申报底表!$Z:$Z)</f>
        <v>0</v>
      </c>
      <c r="K529" s="173">
        <f>IFERROR(INDEX(服务费底表!$C:$C,MATCH('SOW-ERP导入表'!$E529,服务费底表!$D:$D,0)),0)+IFERROR(INDEX(注册申报底表!$C:$C,MATCH('SOW-ERP导入表'!$E529,注册申报底表!$D:$D,0)),0)</f>
        <v>0</v>
      </c>
      <c r="L529" s="185">
        <f t="shared" ref="L529:L532" si="28">IFERROR(M529/K529,0)</f>
        <v>0</v>
      </c>
      <c r="M529" s="184">
        <f>SUMIF(服务费底表!$D:$D,E529,服务费底表!$AG:$AG)+SUMIF(注册申报底表!$D:$D,'SOW-ERP导入表'!E529,注册申报底表!$AD:$AD)</f>
        <v>0</v>
      </c>
    </row>
    <row r="530" spans="2:13">
      <c r="B530" s="173"/>
      <c r="D530" s="173"/>
      <c r="E530" s="188" t="s">
        <v>2882</v>
      </c>
      <c r="F530" s="173" t="str">
        <f t="shared" si="27"/>
        <v>请填写</v>
      </c>
      <c r="G530" s="173" t="str">
        <f>INDEX(注册申报底表!$J:$J,MATCH('SOW-ERP导入表'!$E530,注册申报底表!$D:$D,0))</f>
        <v>A202</v>
      </c>
      <c r="H530" s="183" t="str">
        <f>INDEX(注册申报底表!K:K,MATCH('SOW-ERP导入表'!$E530,注册申报底表!$D:$D,0))</f>
        <v>CTD文件M3更新后二次审核</v>
      </c>
      <c r="I530" s="173" t="str">
        <f>INDEX(注册申报底表!$S:$S,MATCH('SOW-ERP导入表'!$E530,注册申报底表!$D:$D,0))</f>
        <v>RAM</v>
      </c>
      <c r="J530" s="184">
        <f>SUMIF(服务费底表!$D:$D,E530,服务费底表!$AC:$AC)+SUMIF(注册申报底表!$D:$D,'SOW-ERP导入表'!E530,注册申报底表!$Z:$Z)</f>
        <v>0</v>
      </c>
      <c r="K530" s="173">
        <f>IFERROR(INDEX(服务费底表!$C:$C,MATCH('SOW-ERP导入表'!$E530,服务费底表!$D:$D,0)),0)+IFERROR(INDEX(注册申报底表!$C:$C,MATCH('SOW-ERP导入表'!$E530,注册申报底表!$D:$D,0)),0)</f>
        <v>0</v>
      </c>
      <c r="L530" s="185">
        <f t="shared" si="28"/>
        <v>0</v>
      </c>
      <c r="M530" s="184">
        <f>SUMIF(服务费底表!$D:$D,E530,服务费底表!$AG:$AG)+SUMIF(注册申报底表!$D:$D,'SOW-ERP导入表'!E530,注册申报底表!$AD:$AD)</f>
        <v>0</v>
      </c>
    </row>
    <row r="531" spans="2:13">
      <c r="B531" s="173"/>
      <c r="D531" s="173"/>
      <c r="E531" s="188" t="s">
        <v>2883</v>
      </c>
      <c r="F531" s="173" t="str">
        <f t="shared" si="27"/>
        <v>请填写</v>
      </c>
      <c r="G531" s="173" t="str">
        <f>INDEX(注册申报底表!$J:$J,MATCH('SOW-ERP导入表'!$E531,注册申报底表!$D:$D,0))</f>
        <v>A202</v>
      </c>
      <c r="H531" s="183" t="str">
        <f>INDEX(注册申报底表!K:K,MATCH('SOW-ERP导入表'!$E531,注册申报底表!$D:$D,0))</f>
        <v>CTD文件M3更新后二次审核</v>
      </c>
      <c r="I531" s="173" t="str">
        <f>INDEX(注册申报底表!$S:$S,MATCH('SOW-ERP导入表'!$E531,注册申报底表!$D:$D,0))</f>
        <v>RAD</v>
      </c>
      <c r="J531" s="184">
        <f>SUMIF(服务费底表!$D:$D,E531,服务费底表!$AC:$AC)+SUMIF(注册申报底表!$D:$D,'SOW-ERP导入表'!E531,注册申报底表!$Z:$Z)</f>
        <v>0</v>
      </c>
      <c r="K531" s="173">
        <f>IFERROR(INDEX(服务费底表!$C:$C,MATCH('SOW-ERP导入表'!$E531,服务费底表!$D:$D,0)),0)+IFERROR(INDEX(注册申报底表!$C:$C,MATCH('SOW-ERP导入表'!$E531,注册申报底表!$D:$D,0)),0)</f>
        <v>0</v>
      </c>
      <c r="L531" s="185">
        <f t="shared" si="28"/>
        <v>0</v>
      </c>
      <c r="M531" s="184">
        <f>SUMIF(服务费底表!$D:$D,E531,服务费底表!$AG:$AG)+SUMIF(注册申报底表!$D:$D,'SOW-ERP导入表'!E531,注册申报底表!$AD:$AD)</f>
        <v>0</v>
      </c>
    </row>
    <row r="532" spans="2:13">
      <c r="B532" s="173"/>
      <c r="D532" s="173"/>
      <c r="E532" s="188" t="s">
        <v>2884</v>
      </c>
      <c r="F532" s="173" t="str">
        <f t="shared" si="27"/>
        <v>请填写</v>
      </c>
      <c r="G532" s="173" t="str">
        <f>INDEX(注册申报底表!$J:$J,MATCH('SOW-ERP导入表'!$E532,注册申报底表!$D:$D,0))</f>
        <v>A203</v>
      </c>
      <c r="H532" s="183" t="str">
        <f>INDEX(注册申报底表!K:K,MATCH('SOW-ERP导入表'!$E532,注册申报底表!$D:$D,0))</f>
        <v>CTD文件M4更新后二次审核</v>
      </c>
      <c r="I532" s="173" t="str">
        <f>INDEX(注册申报底表!$S:$S,MATCH('SOW-ERP导入表'!$E532,注册申报底表!$D:$D,0))</f>
        <v>RAM</v>
      </c>
      <c r="J532" s="184">
        <f>SUMIF(服务费底表!$D:$D,E532,服务费底表!$AC:$AC)+SUMIF(注册申报底表!$D:$D,'SOW-ERP导入表'!E532,注册申报底表!$Z:$Z)</f>
        <v>0</v>
      </c>
      <c r="K532" s="173">
        <f>IFERROR(INDEX(服务费底表!$C:$C,MATCH('SOW-ERP导入表'!$E532,服务费底表!$D:$D,0)),0)+IFERROR(INDEX(注册申报底表!$C:$C,MATCH('SOW-ERP导入表'!$E532,注册申报底表!$D:$D,0)),0)</f>
        <v>0</v>
      </c>
      <c r="L532" s="185">
        <f t="shared" si="28"/>
        <v>0</v>
      </c>
      <c r="M532" s="184">
        <f>SUMIF(服务费底表!$D:$D,E532,服务费底表!$AG:$AG)+SUMIF(注册申报底表!$D:$D,'SOW-ERP导入表'!E532,注册申报底表!$AD:$AD)</f>
        <v>0</v>
      </c>
    </row>
    <row r="533" spans="2:13">
      <c r="B533" s="173"/>
      <c r="D533" s="173"/>
      <c r="E533" s="188" t="s">
        <v>2885</v>
      </c>
      <c r="F533" s="173" t="str">
        <f t="shared" si="27"/>
        <v>请填写</v>
      </c>
      <c r="G533" s="173" t="str">
        <f>INDEX(注册申报底表!$J:$J,MATCH('SOW-ERP导入表'!$E533,注册申报底表!$D:$D,0))</f>
        <v>A203</v>
      </c>
      <c r="H533" s="183" t="str">
        <f>INDEX(注册申报底表!K:K,MATCH('SOW-ERP导入表'!$E533,注册申报底表!$D:$D,0))</f>
        <v>CTD文件M4更新后二次审核</v>
      </c>
      <c r="I533" s="173" t="str">
        <f>INDEX(注册申报底表!$S:$S,MATCH('SOW-ERP导入表'!$E533,注册申报底表!$D:$D,0))</f>
        <v>RAD</v>
      </c>
      <c r="J533" s="184">
        <f>SUMIF(服务费底表!$D:$D,E533,服务费底表!$AC:$AC)+SUMIF(注册申报底表!$D:$D,'SOW-ERP导入表'!E533,注册申报底表!$Z:$Z)</f>
        <v>0</v>
      </c>
      <c r="K533" s="173">
        <f>IFERROR(INDEX(服务费底表!$C:$C,MATCH('SOW-ERP导入表'!$E533,服务费底表!$D:$D,0)),0)+IFERROR(INDEX(注册申报底表!$C:$C,MATCH('SOW-ERP导入表'!$E533,注册申报底表!$D:$D,0)),0)</f>
        <v>0</v>
      </c>
      <c r="L533" s="185">
        <f t="shared" ref="L533:L535" si="29">IFERROR(M533/K533,0)</f>
        <v>0</v>
      </c>
      <c r="M533" s="184">
        <f>SUMIF(服务费底表!$D:$D,E533,服务费底表!$AG:$AG)+SUMIF(注册申报底表!$D:$D,'SOW-ERP导入表'!E533,注册申报底表!$AD:$AD)</f>
        <v>0</v>
      </c>
    </row>
    <row r="534" spans="2:13">
      <c r="B534" s="173"/>
      <c r="D534" s="173"/>
      <c r="E534" s="188" t="s">
        <v>2886</v>
      </c>
      <c r="F534" s="173" t="str">
        <f t="shared" si="27"/>
        <v>请填写</v>
      </c>
      <c r="G534" s="173" t="str">
        <f>INDEX(注册申报底表!$J:$J,MATCH('SOW-ERP导入表'!$E534,注册申报底表!$D:$D,0))</f>
        <v>A204</v>
      </c>
      <c r="H534" s="183" t="str">
        <f>INDEX(注册申报底表!K:K,MATCH('SOW-ERP导入表'!$E534,注册申报底表!$D:$D,0))</f>
        <v>IND递交</v>
      </c>
      <c r="I534" s="173" t="str">
        <f>INDEX(注册申报底表!$S:$S,MATCH('SOW-ERP导入表'!$E534,注册申报底表!$D:$D,0))</f>
        <v>RAM</v>
      </c>
      <c r="J534" s="184">
        <f>SUMIF(服务费底表!$D:$D,E534,服务费底表!$AC:$AC)+SUMIF(注册申报底表!$D:$D,'SOW-ERP导入表'!E534,注册申报底表!$Z:$Z)</f>
        <v>0</v>
      </c>
      <c r="K534" s="173">
        <f>IFERROR(INDEX(服务费底表!$C:$C,MATCH('SOW-ERP导入表'!$E534,服务费底表!$D:$D,0)),0)+IFERROR(INDEX(注册申报底表!$C:$C,MATCH('SOW-ERP导入表'!$E534,注册申报底表!$D:$D,0)),0)</f>
        <v>0</v>
      </c>
      <c r="L534" s="185">
        <f t="shared" ref="L534" si="30">IFERROR(M534/K534,0)</f>
        <v>0</v>
      </c>
      <c r="M534" s="184">
        <f>SUMIF(服务费底表!$D:$D,E534,服务费底表!$AG:$AG)+SUMIF(注册申报底表!$D:$D,'SOW-ERP导入表'!E534,注册申报底表!$AD:$AD)</f>
        <v>0</v>
      </c>
    </row>
    <row r="535" spans="2:13">
      <c r="B535" s="173"/>
      <c r="D535" s="173"/>
      <c r="E535" s="188" t="s">
        <v>2887</v>
      </c>
      <c r="F535" s="173" t="str">
        <f t="shared" si="27"/>
        <v>请填写</v>
      </c>
      <c r="G535" s="173" t="str">
        <f>INDEX(注册申报底表!$J:$J,MATCH('SOW-ERP导入表'!$E535,注册申报底表!$D:$D,0))</f>
        <v>A204</v>
      </c>
      <c r="H535" s="183" t="str">
        <f>INDEX(注册申报底表!K:K,MATCH('SOW-ERP导入表'!$E535,注册申报底表!$D:$D,0))</f>
        <v>IND递交</v>
      </c>
      <c r="I535" s="173" t="str">
        <f>INDEX(注册申报底表!$S:$S,MATCH('SOW-ERP导入表'!$E535,注册申报底表!$D:$D,0))</f>
        <v>RAD</v>
      </c>
      <c r="J535" s="184">
        <f>SUMIF(服务费底表!$D:$D,E535,服务费底表!$AC:$AC)+SUMIF(注册申报底表!$D:$D,'SOW-ERP导入表'!E535,注册申报底表!$Z:$Z)</f>
        <v>0</v>
      </c>
      <c r="K535" s="173">
        <f>IFERROR(INDEX(服务费底表!$C:$C,MATCH('SOW-ERP导入表'!$E535,服务费底表!$D:$D,0)),0)+IFERROR(INDEX(注册申报底表!$C:$C,MATCH('SOW-ERP导入表'!$E535,注册申报底表!$D:$D,0)),0)</f>
        <v>0</v>
      </c>
      <c r="L535" s="185">
        <f t="shared" si="29"/>
        <v>0</v>
      </c>
      <c r="M535" s="184">
        <f>SUMIF(服务费底表!$D:$D,E535,服务费底表!$AG:$AG)+SUMIF(注册申报底表!$D:$D,'SOW-ERP导入表'!E535,注册申报底表!$AD:$AD)</f>
        <v>0</v>
      </c>
    </row>
    <row r="536" spans="2:13">
      <c r="B536" s="173"/>
      <c r="D536" s="173"/>
      <c r="E536" s="188" t="s">
        <v>2888</v>
      </c>
      <c r="F536" s="173" t="str">
        <f t="shared" si="27"/>
        <v>请填写</v>
      </c>
      <c r="G536" s="173" t="str">
        <f>INDEX(注册申报底表!$J:$J,MATCH('SOW-ERP导入表'!$E536,注册申报底表!$D:$D,0))</f>
        <v>A205</v>
      </c>
      <c r="H536" s="183" t="str">
        <f>INDEX(注册申报底表!K:K,MATCH('SOW-ERP导入表'!$E536,注册申报底表!$D:$D,0))</f>
        <v>IND通知书解析</v>
      </c>
      <c r="I536" s="173" t="str">
        <f>INDEX(注册申报底表!$S:$S,MATCH('SOW-ERP导入表'!$E536,注册申报底表!$D:$D,0))</f>
        <v>RAM</v>
      </c>
      <c r="J536" s="184">
        <f>SUMIF(服务费底表!$D:$D,E536,服务费底表!$AC:$AC)+SUMIF(注册申报底表!$D:$D,'SOW-ERP导入表'!E536,注册申报底表!$Z:$Z)</f>
        <v>0</v>
      </c>
      <c r="K536" s="173">
        <f>IFERROR(INDEX(服务费底表!$C:$C,MATCH('SOW-ERP导入表'!$E536,服务费底表!$D:$D,0)),0)+IFERROR(INDEX(注册申报底表!$C:$C,MATCH('SOW-ERP导入表'!$E536,注册申报底表!$D:$D,0)),0)</f>
        <v>0</v>
      </c>
      <c r="L536" s="185">
        <f t="shared" ref="L536" si="31">IFERROR(M536/K536,0)</f>
        <v>0</v>
      </c>
      <c r="M536" s="184">
        <f>SUMIF(服务费底表!$D:$D,E536,服务费底表!$AG:$AG)+SUMIF(注册申报底表!$D:$D,'SOW-ERP导入表'!E536,注册申报底表!$AD:$AD)</f>
        <v>0</v>
      </c>
    </row>
    <row r="537" spans="2:13">
      <c r="B537" s="173"/>
      <c r="D537" s="173"/>
      <c r="E537" s="188" t="s">
        <v>2889</v>
      </c>
      <c r="F537" s="173" t="str">
        <f t="shared" si="27"/>
        <v>请填写</v>
      </c>
      <c r="G537" s="173" t="str">
        <f>INDEX(注册申报底表!$J:$J,MATCH('SOW-ERP导入表'!$E537,注册申报底表!$D:$D,0))</f>
        <v>A205</v>
      </c>
      <c r="H537" s="183" t="str">
        <f>INDEX(注册申报底表!K:K,MATCH('SOW-ERP导入表'!$E537,注册申报底表!$D:$D,0))</f>
        <v>IND通知书解析</v>
      </c>
      <c r="I537" s="173" t="str">
        <f>INDEX(注册申报底表!$S:$S,MATCH('SOW-ERP导入表'!$E537,注册申报底表!$D:$D,0))</f>
        <v>RAD</v>
      </c>
      <c r="J537" s="184">
        <f>SUMIF(服务费底表!$D:$D,E537,服务费底表!$AC:$AC)+SUMIF(注册申报底表!$D:$D,'SOW-ERP导入表'!E537,注册申报底表!$Z:$Z)</f>
        <v>0</v>
      </c>
      <c r="K537" s="173">
        <f>IFERROR(INDEX(服务费底表!$C:$C,MATCH('SOW-ERP导入表'!$E537,服务费底表!$D:$D,0)),0)+IFERROR(INDEX(注册申报底表!$C:$C,MATCH('SOW-ERP导入表'!$E537,注册申报底表!$D:$D,0)),0)</f>
        <v>0</v>
      </c>
      <c r="L537" s="185">
        <f t="shared" ref="L537:L538" si="32">IFERROR(M537/K537,0)</f>
        <v>0</v>
      </c>
      <c r="M537" s="184">
        <f>SUMIF(服务费底表!$D:$D,E537,服务费底表!$AG:$AG)+SUMIF(注册申报底表!$D:$D,'SOW-ERP导入表'!E537,注册申报底表!$AD:$AD)</f>
        <v>0</v>
      </c>
    </row>
    <row r="538" spans="2:13">
      <c r="B538" s="173"/>
      <c r="D538" s="173"/>
      <c r="E538" s="189"/>
      <c r="F538" s="173" t="str">
        <f t="shared" si="27"/>
        <v>请填写</v>
      </c>
      <c r="G538" s="187" t="s">
        <v>1751</v>
      </c>
      <c r="H538" s="183" t="str">
        <f>INDEX(其他费用明细!$D:$D,MATCH($G538,其他费用明细!$C:$C,0))</f>
        <v>EDC</v>
      </c>
      <c r="I538" s="173" t="s">
        <v>1751</v>
      </c>
      <c r="J538" s="190" t="s">
        <v>685</v>
      </c>
      <c r="K538" s="173">
        <f>IFERROR(INDEX(其他费用明细!$F:$F,MATCH('SOW-ERP导入表'!G538,其他费用明细!A:A,0)),0)</f>
        <v>16</v>
      </c>
      <c r="L538" s="184">
        <f t="shared" si="32"/>
        <v>0</v>
      </c>
      <c r="M538" s="184">
        <f>SUMIF(其他费用明细!$A:$A,'SOW-ERP导入表'!G538,其他费用明细!$I:$I)</f>
        <v>0</v>
      </c>
    </row>
    <row r="539" spans="2:13">
      <c r="B539" s="173"/>
      <c r="D539" s="173"/>
      <c r="E539" s="189"/>
      <c r="F539" s="173" t="str">
        <f t="shared" si="27"/>
        <v>请填写</v>
      </c>
      <c r="G539" s="187" t="s">
        <v>1757</v>
      </c>
      <c r="H539" s="183" t="str">
        <f>INDEX(其他费用明细!$D:$D,MATCH($G539,其他费用明细!$C:$C,0))</f>
        <v>随机发药系统 (RTSM)</v>
      </c>
      <c r="I539" s="173" t="s">
        <v>1757</v>
      </c>
      <c r="J539" s="190" t="s">
        <v>685</v>
      </c>
      <c r="K539" s="173">
        <f>IFERROR(INDEX(其他费用明细!$F:$F,MATCH('SOW-ERP导入表'!G539,其他费用明细!A:A,0)),0)</f>
        <v>0</v>
      </c>
      <c r="L539" s="184">
        <f t="shared" ref="L539:L545" si="33">IFERROR(M539/K539,0)</f>
        <v>0</v>
      </c>
      <c r="M539" s="184">
        <f>SUMIF(其他费用明细!$A:$A,'SOW-ERP导入表'!G539,其他费用明细!$I:$I)</f>
        <v>0</v>
      </c>
    </row>
    <row r="540" spans="2:13">
      <c r="B540" s="173"/>
      <c r="D540" s="173"/>
      <c r="E540" s="189"/>
      <c r="F540" s="173" t="str">
        <f t="shared" si="27"/>
        <v>请填写</v>
      </c>
      <c r="G540" s="187" t="s">
        <v>1773</v>
      </c>
      <c r="H540" s="183" t="str">
        <f>INDEX(其他费用编码对照!$C:$C,MATCH(G540,其他费用编码对照!$A:$A,0))</f>
        <v>图书资料、翻译费</v>
      </c>
      <c r="I540" s="173" t="s">
        <v>685</v>
      </c>
      <c r="J540" s="190" t="s">
        <v>685</v>
      </c>
      <c r="K540" s="189">
        <f>IF(M540&gt;0,1,0)</f>
        <v>1</v>
      </c>
      <c r="L540" s="184">
        <f t="shared" si="33"/>
        <v>15000</v>
      </c>
      <c r="M540" s="184">
        <f>SUMIF(其他费用明细!$A:$A,'SOW-ERP导入表'!G540,其他费用明细!$I:$I)</f>
        <v>15000</v>
      </c>
    </row>
    <row r="541" spans="2:13">
      <c r="B541" s="173"/>
      <c r="D541" s="173"/>
      <c r="E541" s="189"/>
      <c r="F541" s="173" t="str">
        <f t="shared" si="27"/>
        <v>请填写</v>
      </c>
      <c r="G541" s="187" t="s">
        <v>1780</v>
      </c>
      <c r="H541" s="183" t="str">
        <f>INDEX(其他费用编码对照!$C:$C,MATCH(G541,其他费用编码对照!$A:$A,0))</f>
        <v>会议费</v>
      </c>
      <c r="I541" s="173" t="s">
        <v>685</v>
      </c>
      <c r="J541" s="190" t="s">
        <v>685</v>
      </c>
      <c r="K541" s="189">
        <f t="shared" ref="K541:K556" si="34">IF(M541&gt;0,1,0)</f>
        <v>1</v>
      </c>
      <c r="L541" s="184">
        <f t="shared" si="33"/>
        <v>12000</v>
      </c>
      <c r="M541" s="184">
        <f>SUMIF(其他费用明细!$A:$A,'SOW-ERP导入表'!G541,其他费用明细!$I:$I)</f>
        <v>12000</v>
      </c>
    </row>
    <row r="542" spans="2:13">
      <c r="B542" s="173"/>
      <c r="D542" s="173"/>
      <c r="E542" s="189"/>
      <c r="F542" s="173" t="str">
        <f t="shared" si="27"/>
        <v>请填写</v>
      </c>
      <c r="G542" s="187" t="s">
        <v>1764</v>
      </c>
      <c r="H542" s="183" t="str">
        <f>INDEX(其他费用编码对照!$C:$C,MATCH(G542,其他费用编码对照!$A:$A,0))</f>
        <v>差旅费</v>
      </c>
      <c r="I542" s="173" t="s">
        <v>685</v>
      </c>
      <c r="J542" s="190" t="s">
        <v>685</v>
      </c>
      <c r="K542" s="189">
        <f t="shared" si="34"/>
        <v>1</v>
      </c>
      <c r="L542" s="184">
        <f t="shared" si="33"/>
        <v>112750</v>
      </c>
      <c r="M542" s="184">
        <f>SUMIF(其他费用明细!$A:$A,'SOW-ERP导入表'!G542,其他费用明细!$I:$I)</f>
        <v>112750</v>
      </c>
    </row>
    <row r="543" spans="2:13">
      <c r="B543" s="173"/>
      <c r="D543" s="173"/>
      <c r="E543" s="189"/>
      <c r="F543" s="173" t="str">
        <f t="shared" si="27"/>
        <v>请填写</v>
      </c>
      <c r="G543" s="187" t="s">
        <v>1882</v>
      </c>
      <c r="H543" s="183" t="str">
        <f>INDEX(其他费用编码对照!$C:$C,MATCH(G543,其他费用编码对照!$A:$A,0))</f>
        <v>商业保险费</v>
      </c>
      <c r="I543" s="173" t="s">
        <v>685</v>
      </c>
      <c r="J543" s="190" t="s">
        <v>685</v>
      </c>
      <c r="K543" s="189">
        <f t="shared" si="34"/>
        <v>0</v>
      </c>
      <c r="L543" s="184">
        <f t="shared" si="33"/>
        <v>0</v>
      </c>
      <c r="M543" s="184">
        <f>SUMIF(其他费用明细!$A:$A,'SOW-ERP导入表'!G543,其他费用明细!$I:$I)</f>
        <v>0</v>
      </c>
    </row>
    <row r="544" spans="2:13">
      <c r="B544" s="173"/>
      <c r="D544" s="173"/>
      <c r="E544" s="189"/>
      <c r="F544" s="173" t="str">
        <f t="shared" si="27"/>
        <v>请填写</v>
      </c>
      <c r="G544" s="187" t="s">
        <v>1791</v>
      </c>
      <c r="H544" s="183" t="str">
        <f>INDEX(其他费用编码对照!$C:$C,MATCH(G544,其他费用编码对照!$A:$A,0))</f>
        <v>办公费</v>
      </c>
      <c r="I544" s="173" t="s">
        <v>685</v>
      </c>
      <c r="J544" s="190" t="s">
        <v>685</v>
      </c>
      <c r="K544" s="189">
        <f t="shared" si="34"/>
        <v>1</v>
      </c>
      <c r="L544" s="184">
        <f t="shared" si="33"/>
        <v>2600</v>
      </c>
      <c r="M544" s="184">
        <f>SUMIF(其他费用明细!$A:$A,'SOW-ERP导入表'!G544,其他费用明细!$I:$I)</f>
        <v>2600</v>
      </c>
    </row>
    <row r="545" spans="2:13">
      <c r="B545" s="173"/>
      <c r="D545" s="173"/>
      <c r="E545" s="189"/>
      <c r="F545" s="173" t="str">
        <f t="shared" si="27"/>
        <v>请填写</v>
      </c>
      <c r="G545" s="187" t="s">
        <v>1887</v>
      </c>
      <c r="H545" s="183" t="str">
        <f>INDEX(其他费用编码对照!$C:$C,MATCH(G545,其他费用编码对照!$A:$A,0))</f>
        <v>运输费</v>
      </c>
      <c r="I545" s="173" t="s">
        <v>685</v>
      </c>
      <c r="J545" s="190" t="s">
        <v>685</v>
      </c>
      <c r="K545" s="189">
        <f t="shared" si="34"/>
        <v>0</v>
      </c>
      <c r="L545" s="184">
        <f t="shared" si="33"/>
        <v>0</v>
      </c>
      <c r="M545" s="184">
        <f>SUMIF(其他费用明细!$A:$A,'SOW-ERP导入表'!G545,其他费用明细!$I:$I)</f>
        <v>0</v>
      </c>
    </row>
    <row r="546" spans="2:13">
      <c r="B546" s="173"/>
      <c r="D546" s="173"/>
      <c r="E546" s="189"/>
      <c r="F546" s="173" t="str">
        <f t="shared" si="27"/>
        <v>请填写</v>
      </c>
      <c r="G546" s="187" t="s">
        <v>1788</v>
      </c>
      <c r="H546" s="183" t="str">
        <f>INDEX(其他费用编码对照!$C:$C,MATCH(G546,其他费用编码对照!$A:$A,0))</f>
        <v>快递费</v>
      </c>
      <c r="I546" s="173" t="s">
        <v>685</v>
      </c>
      <c r="J546" s="190" t="s">
        <v>685</v>
      </c>
      <c r="K546" s="189">
        <f t="shared" si="34"/>
        <v>1</v>
      </c>
      <c r="L546" s="184">
        <f t="shared" ref="L546:L548" si="35">IFERROR(M546/K546,0)</f>
        <v>5200</v>
      </c>
      <c r="M546" s="184">
        <f>SUMIF(其他费用明细!$A:$A,'SOW-ERP导入表'!G546,其他费用明细!$I:$I)</f>
        <v>5200</v>
      </c>
    </row>
    <row r="547" spans="2:13">
      <c r="B547" s="173"/>
      <c r="D547" s="173"/>
      <c r="E547" s="189"/>
      <c r="F547" s="173" t="str">
        <f t="shared" si="27"/>
        <v>请填写</v>
      </c>
      <c r="G547" s="187" t="s">
        <v>1891</v>
      </c>
      <c r="H547" s="183" t="str">
        <f>INDEX(其他费用编码对照!$C:$C,MATCH(G547,其他费用编码对照!$A:$A,0))</f>
        <v>咨询费</v>
      </c>
      <c r="I547" s="173" t="s">
        <v>685</v>
      </c>
      <c r="J547" s="190" t="s">
        <v>685</v>
      </c>
      <c r="K547" s="189">
        <f t="shared" si="34"/>
        <v>0</v>
      </c>
      <c r="L547" s="184">
        <f t="shared" si="35"/>
        <v>0</v>
      </c>
      <c r="M547" s="184">
        <f>SUMIF(其他费用明细!$A:$A,'SOW-ERP导入表'!G547,其他费用明细!$I:$I)</f>
        <v>0</v>
      </c>
    </row>
    <row r="548" spans="2:13">
      <c r="E548" s="189"/>
      <c r="F548" s="173" t="str">
        <f t="shared" si="27"/>
        <v>请填写</v>
      </c>
      <c r="G548" s="187" t="s">
        <v>1858</v>
      </c>
      <c r="H548" s="183" t="str">
        <f>INDEX(其他费用编码对照!$C:$C,MATCH(G548,其他费用编码对照!$A:$A,0))</f>
        <v>检测费</v>
      </c>
      <c r="I548" s="173" t="s">
        <v>685</v>
      </c>
      <c r="J548" s="190" t="s">
        <v>685</v>
      </c>
      <c r="K548" s="189">
        <f t="shared" si="34"/>
        <v>0</v>
      </c>
      <c r="L548" s="184">
        <f t="shared" si="35"/>
        <v>0</v>
      </c>
      <c r="M548" s="184">
        <f>SUMIF(其他费用明细!$A:$A,'SOW-ERP导入表'!G548,其他费用明细!$I:$I)</f>
        <v>0</v>
      </c>
    </row>
    <row r="549" spans="2:13">
      <c r="E549" s="189"/>
      <c r="F549" s="173" t="str">
        <f t="shared" si="27"/>
        <v>请填写</v>
      </c>
      <c r="G549" s="187" t="s">
        <v>1864</v>
      </c>
      <c r="H549" s="183" t="str">
        <f>INDEX(其他费用编码对照!$C:$C,MATCH(G549,其他费用编码对照!$A:$A,0))</f>
        <v>仪器设备租赁费</v>
      </c>
      <c r="I549" s="173" t="s">
        <v>685</v>
      </c>
      <c r="J549" s="190" t="s">
        <v>685</v>
      </c>
      <c r="K549" s="189">
        <f t="shared" si="34"/>
        <v>0</v>
      </c>
      <c r="L549" s="184">
        <f t="shared" ref="L549:L550" si="36">IFERROR(M549/K549,0)</f>
        <v>0</v>
      </c>
      <c r="M549" s="184">
        <f>SUMIF(其他费用明细!$A:$A,'SOW-ERP导入表'!G549,其他费用明细!$I:$I)</f>
        <v>0</v>
      </c>
    </row>
    <row r="550" spans="2:13">
      <c r="E550" s="189"/>
      <c r="F550" s="173" t="str">
        <f t="shared" si="27"/>
        <v>请填写</v>
      </c>
      <c r="G550" s="187" t="s">
        <v>1867</v>
      </c>
      <c r="H550" s="183" t="str">
        <f>INDEX(其他费用编码对照!$C:$C,MATCH(G550,其他费用编码对照!$A:$A,0))</f>
        <v>新产品设计费</v>
      </c>
      <c r="I550" s="173" t="s">
        <v>685</v>
      </c>
      <c r="J550" s="190" t="s">
        <v>685</v>
      </c>
      <c r="K550" s="189">
        <f t="shared" si="34"/>
        <v>0</v>
      </c>
      <c r="L550" s="184">
        <f t="shared" si="36"/>
        <v>0</v>
      </c>
      <c r="M550" s="184">
        <f>SUMIF(其他费用明细!$A:$A,'SOW-ERP导入表'!G550,其他费用明细!$I:$I)</f>
        <v>0</v>
      </c>
    </row>
    <row r="551" spans="2:13">
      <c r="E551" s="189"/>
      <c r="F551" s="173" t="str">
        <f t="shared" si="27"/>
        <v>请填写</v>
      </c>
      <c r="G551" s="187" t="s">
        <v>1839</v>
      </c>
      <c r="H551" s="183" t="str">
        <f>INDEX(其他费用编码对照!$C:$C,MATCH(G551,其他费用编码对照!$A:$A,0))</f>
        <v>招募费</v>
      </c>
      <c r="I551" s="173" t="s">
        <v>685</v>
      </c>
      <c r="J551" s="190" t="s">
        <v>685</v>
      </c>
      <c r="K551" s="189">
        <f t="shared" si="34"/>
        <v>0</v>
      </c>
      <c r="L551" s="184">
        <f t="shared" ref="L551:L552" si="37">IFERROR(M551/K551,0)</f>
        <v>0</v>
      </c>
      <c r="M551" s="184">
        <f>SUMIF(其他费用明细!$A:$A,'SOW-ERP导入表'!G551,其他费用明细!$I:$I)</f>
        <v>0</v>
      </c>
    </row>
    <row r="552" spans="2:13">
      <c r="E552" s="189"/>
      <c r="F552" s="173" t="str">
        <f t="shared" si="27"/>
        <v>请填写</v>
      </c>
      <c r="G552" s="187" t="s">
        <v>1901</v>
      </c>
      <c r="H552" s="183" t="str">
        <f>INDEX(其他费用编码对照!$C:$C,MATCH(G552,其他费用编码对照!$A:$A,0))</f>
        <v>临床试验费</v>
      </c>
      <c r="I552" s="173" t="s">
        <v>685</v>
      </c>
      <c r="J552" s="190" t="s">
        <v>685</v>
      </c>
      <c r="K552" s="189">
        <f t="shared" si="34"/>
        <v>0</v>
      </c>
      <c r="L552" s="184">
        <f t="shared" si="37"/>
        <v>0</v>
      </c>
      <c r="M552" s="184">
        <f>SUMIF(其他费用明细!$A:$A,'SOW-ERP导入表'!G552,其他费用明细!$I:$I)</f>
        <v>0</v>
      </c>
    </row>
    <row r="553" spans="2:13">
      <c r="E553" s="189"/>
      <c r="F553" s="173" t="str">
        <f t="shared" si="27"/>
        <v>请填写</v>
      </c>
      <c r="G553" s="187" t="s">
        <v>1851</v>
      </c>
      <c r="H553" s="183" t="str">
        <f>INDEX(其他费用编码对照!$C:$C,MATCH(G553,其他费用编码对照!$A:$A,0))</f>
        <v>阅片服务费</v>
      </c>
      <c r="I553" s="173" t="s">
        <v>685</v>
      </c>
      <c r="J553" s="190" t="s">
        <v>685</v>
      </c>
      <c r="K553" s="189">
        <f t="shared" si="34"/>
        <v>0</v>
      </c>
      <c r="L553" s="184">
        <f t="shared" ref="L553:L554" si="38">IFERROR(M553/K553,0)</f>
        <v>0</v>
      </c>
      <c r="M553" s="184">
        <f>SUMIF(其他费用明细!$A:$A,'SOW-ERP导入表'!G553,其他费用明细!$I:$I)</f>
        <v>0</v>
      </c>
    </row>
    <row r="554" spans="2:13">
      <c r="E554" s="189"/>
      <c r="F554" s="173" t="str">
        <f t="shared" si="27"/>
        <v>请填写</v>
      </c>
      <c r="G554" s="187" t="s">
        <v>1870</v>
      </c>
      <c r="H554" s="183" t="str">
        <f>INDEX(其他费用编码对照!$C:$C,MATCH(G554,其他费用编码对照!$A:$A,0))</f>
        <v>软件使用费</v>
      </c>
      <c r="I554" s="173" t="s">
        <v>685</v>
      </c>
      <c r="J554" s="190" t="s">
        <v>685</v>
      </c>
      <c r="K554" s="189">
        <f t="shared" si="34"/>
        <v>0</v>
      </c>
      <c r="L554" s="184">
        <f t="shared" si="38"/>
        <v>0</v>
      </c>
      <c r="M554" s="184">
        <f>SUMIF(其他费用明细!$A:$A,'SOW-ERP导入表'!G554,其他费用明细!$I:$I)</f>
        <v>0</v>
      </c>
    </row>
    <row r="555" spans="2:13">
      <c r="E555" s="189"/>
      <c r="F555" s="173" t="str">
        <f t="shared" si="27"/>
        <v>请填写</v>
      </c>
      <c r="G555" s="187" t="s">
        <v>1826</v>
      </c>
      <c r="H555" s="183" t="str">
        <f>INDEX(其他费用编码对照!$C:$C,MATCH(G555,其他费用编码对照!$A:$A,0))</f>
        <v>SMO 费用</v>
      </c>
      <c r="I555" s="173" t="s">
        <v>685</v>
      </c>
      <c r="J555" s="190" t="s">
        <v>685</v>
      </c>
      <c r="K555" s="189">
        <f t="shared" si="34"/>
        <v>0</v>
      </c>
      <c r="L555" s="184">
        <f t="shared" ref="L555" si="39">IFERROR(M555/K555,0)</f>
        <v>0</v>
      </c>
      <c r="M555" s="184">
        <f>SUMIF(其他费用明细!$A:$A,'SOW-ERP导入表'!G555,其他费用明细!$I:$I)</f>
        <v>0</v>
      </c>
    </row>
    <row r="556" spans="2:13">
      <c r="B556"/>
      <c r="E556" s="189"/>
      <c r="F556" s="173" t="str">
        <f t="shared" si="27"/>
        <v>请填写</v>
      </c>
      <c r="G556" s="187" t="s">
        <v>1794</v>
      </c>
      <c r="H556" s="183" t="str">
        <f>INDEX(其他费用编码对照!$C:$C,MATCH(G556,其他费用编码对照!$A:$A,0))</f>
        <v>其他</v>
      </c>
      <c r="I556" s="173" t="s">
        <v>685</v>
      </c>
      <c r="J556" s="190" t="s">
        <v>685</v>
      </c>
      <c r="K556" s="189">
        <f t="shared" si="34"/>
        <v>0</v>
      </c>
      <c r="L556" s="184">
        <f t="shared" ref="L556" si="40">IFERROR(M556/K556,0)</f>
        <v>0</v>
      </c>
      <c r="M556" s="184">
        <f>SUMIF(其他费用明细!$A:$A,'SOW-ERP导入表'!G556,其他费用明细!$I:$I)</f>
        <v>0</v>
      </c>
    </row>
    <row r="557" spans="2:13">
      <c r="B557"/>
      <c r="E557"/>
    </row>
    <row r="558" spans="2:13">
      <c r="B558"/>
      <c r="E558"/>
    </row>
    <row r="559" spans="2:13">
      <c r="B559"/>
      <c r="E559"/>
    </row>
    <row r="560" spans="2:13">
      <c r="B560"/>
      <c r="E560"/>
    </row>
    <row r="561" spans="2:5">
      <c r="B561"/>
      <c r="E561"/>
    </row>
    <row r="562" spans="2:5">
      <c r="B562"/>
      <c r="E562"/>
    </row>
    <row r="563" spans="2:5">
      <c r="B563"/>
      <c r="E563"/>
    </row>
    <row r="564" spans="2:5">
      <c r="B564"/>
      <c r="E564"/>
    </row>
    <row r="565" spans="2:5">
      <c r="B565"/>
      <c r="E565"/>
    </row>
    <row r="566" spans="2:5">
      <c r="B566"/>
      <c r="E566"/>
    </row>
    <row r="567" spans="2:5">
      <c r="B567"/>
      <c r="E567"/>
    </row>
    <row r="568" spans="2:5">
      <c r="B568"/>
      <c r="E568"/>
    </row>
    <row r="569" spans="2:5">
      <c r="B569"/>
      <c r="E569"/>
    </row>
    <row r="570" spans="2:5">
      <c r="B570"/>
      <c r="E570"/>
    </row>
    <row r="571" spans="2:5">
      <c r="B571"/>
      <c r="E571"/>
    </row>
    <row r="572" spans="2:5">
      <c r="B572"/>
      <c r="E572"/>
    </row>
    <row r="573" spans="2:5">
      <c r="B573"/>
      <c r="E573"/>
    </row>
    <row r="574" spans="2:5">
      <c r="B574"/>
      <c r="E574"/>
    </row>
    <row r="575" spans="2:5">
      <c r="B575"/>
      <c r="E575"/>
    </row>
    <row r="576" spans="2:5">
      <c r="B576"/>
      <c r="E576"/>
    </row>
    <row r="577" spans="2:5">
      <c r="B577"/>
      <c r="E577"/>
    </row>
    <row r="578" spans="2:5">
      <c r="B578"/>
      <c r="E578"/>
    </row>
    <row r="579" spans="2:5">
      <c r="B579"/>
      <c r="E579"/>
    </row>
    <row r="580" spans="2:5">
      <c r="B580"/>
      <c r="E580"/>
    </row>
    <row r="581" spans="2:5">
      <c r="B581"/>
      <c r="E581"/>
    </row>
    <row r="582" spans="2:5">
      <c r="B582"/>
      <c r="E582"/>
    </row>
    <row r="583" spans="2:5">
      <c r="B583"/>
      <c r="E583"/>
    </row>
    <row r="584" spans="2:5">
      <c r="B584"/>
      <c r="E584"/>
    </row>
    <row r="585" spans="2:5">
      <c r="B585"/>
      <c r="E585"/>
    </row>
    <row r="586" spans="2:5">
      <c r="B586"/>
      <c r="E586"/>
    </row>
    <row r="587" spans="2:5">
      <c r="B587"/>
      <c r="E587"/>
    </row>
    <row r="588" spans="2:5">
      <c r="B588"/>
      <c r="E588"/>
    </row>
    <row r="589" spans="2:5">
      <c r="B589"/>
      <c r="E589"/>
    </row>
    <row r="590" spans="2:5">
      <c r="B590"/>
      <c r="E590"/>
    </row>
    <row r="591" spans="2:5">
      <c r="B591"/>
      <c r="E591"/>
    </row>
    <row r="592" spans="2:5">
      <c r="B592"/>
      <c r="E592"/>
    </row>
    <row r="593" spans="2:5">
      <c r="B593"/>
      <c r="E593"/>
    </row>
    <row r="594" spans="2:5">
      <c r="B594"/>
      <c r="E594"/>
    </row>
    <row r="595" spans="2:5">
      <c r="B595"/>
      <c r="E595"/>
    </row>
    <row r="596" spans="2:5">
      <c r="B596"/>
      <c r="E596"/>
    </row>
    <row r="597" spans="2:5">
      <c r="B597"/>
      <c r="E597"/>
    </row>
    <row r="598" spans="2:5">
      <c r="B598"/>
      <c r="E598"/>
    </row>
    <row r="599" spans="2:5">
      <c r="B599"/>
      <c r="E599"/>
    </row>
    <row r="600" spans="2:5">
      <c r="B600"/>
      <c r="E600"/>
    </row>
    <row r="601" spans="2:5">
      <c r="B601"/>
      <c r="E601"/>
    </row>
    <row r="602" spans="2:5">
      <c r="B602"/>
      <c r="E602"/>
    </row>
    <row r="603" spans="2:5">
      <c r="B603"/>
      <c r="E603"/>
    </row>
    <row r="604" spans="2:5">
      <c r="B604"/>
      <c r="E604"/>
    </row>
    <row r="605" spans="2:5">
      <c r="B605"/>
      <c r="E605"/>
    </row>
    <row r="606" spans="2:5">
      <c r="B606"/>
      <c r="E606"/>
    </row>
    <row r="607" spans="2:5">
      <c r="B607"/>
      <c r="E607"/>
    </row>
    <row r="608" spans="2:5">
      <c r="B608"/>
      <c r="E608"/>
    </row>
    <row r="609" spans="2:5">
      <c r="B609"/>
      <c r="E609"/>
    </row>
    <row r="610" spans="2:5">
      <c r="B610"/>
      <c r="E610"/>
    </row>
    <row r="611" spans="2:5">
      <c r="B611"/>
      <c r="E611"/>
    </row>
    <row r="612" spans="2:5">
      <c r="B612"/>
      <c r="E612"/>
    </row>
    <row r="613" spans="2:5">
      <c r="B613"/>
      <c r="E613"/>
    </row>
    <row r="614" spans="2:5">
      <c r="B614"/>
      <c r="E614"/>
    </row>
    <row r="615" spans="2:5">
      <c r="B615"/>
      <c r="E615"/>
    </row>
    <row r="616" spans="2:5">
      <c r="B616"/>
      <c r="E616"/>
    </row>
    <row r="617" spans="2:5">
      <c r="B617"/>
      <c r="E617"/>
    </row>
    <row r="618" spans="2:5">
      <c r="B618"/>
      <c r="E618"/>
    </row>
    <row r="619" spans="2:5">
      <c r="B619"/>
      <c r="E619"/>
    </row>
    <row r="620" spans="2:5">
      <c r="B620"/>
      <c r="E620"/>
    </row>
    <row r="621" spans="2:5">
      <c r="B621"/>
      <c r="E621"/>
    </row>
    <row r="622" spans="2:5">
      <c r="B622"/>
      <c r="E622"/>
    </row>
    <row r="623" spans="2:5">
      <c r="B623"/>
      <c r="E623"/>
    </row>
    <row r="624" spans="2:5">
      <c r="B624"/>
      <c r="E624"/>
    </row>
    <row r="625" spans="2:5">
      <c r="B625"/>
      <c r="E625"/>
    </row>
    <row r="626" spans="2:5">
      <c r="B626"/>
      <c r="E626"/>
    </row>
    <row r="627" spans="2:5">
      <c r="B627"/>
      <c r="E627"/>
    </row>
    <row r="628" spans="2:5">
      <c r="B628"/>
      <c r="E628"/>
    </row>
    <row r="629" spans="2:5">
      <c r="B629"/>
      <c r="E629"/>
    </row>
    <row r="630" spans="2:5">
      <c r="B630"/>
      <c r="E630"/>
    </row>
    <row r="631" spans="2:5">
      <c r="B631"/>
      <c r="E631"/>
    </row>
    <row r="632" spans="2:5">
      <c r="B632"/>
      <c r="E632"/>
    </row>
    <row r="633" spans="2:5">
      <c r="B633"/>
      <c r="E633"/>
    </row>
    <row r="634" spans="2:5">
      <c r="B634"/>
      <c r="E634"/>
    </row>
    <row r="635" spans="2:5">
      <c r="B635"/>
      <c r="E635"/>
    </row>
    <row r="636" spans="2:5">
      <c r="B636"/>
      <c r="E636"/>
    </row>
    <row r="637" spans="2:5">
      <c r="B637"/>
      <c r="E637"/>
    </row>
    <row r="638" spans="2:5">
      <c r="B638"/>
      <c r="E638"/>
    </row>
    <row r="639" spans="2:5">
      <c r="B639"/>
      <c r="E639"/>
    </row>
    <row r="640" spans="2:5">
      <c r="B640"/>
      <c r="E640"/>
    </row>
    <row r="641" spans="2:5">
      <c r="B641"/>
      <c r="E641"/>
    </row>
    <row r="642" spans="2:5">
      <c r="B642"/>
      <c r="E642"/>
    </row>
    <row r="643" spans="2:5">
      <c r="B643"/>
      <c r="E643"/>
    </row>
    <row r="644" spans="2:5">
      <c r="B644"/>
      <c r="E644"/>
    </row>
    <row r="645" spans="2:5">
      <c r="B645"/>
      <c r="E645"/>
    </row>
    <row r="646" spans="2:5">
      <c r="B646"/>
      <c r="E646"/>
    </row>
    <row r="647" spans="2:5">
      <c r="B647"/>
      <c r="E647"/>
    </row>
    <row r="648" spans="2:5">
      <c r="B648"/>
      <c r="E648"/>
    </row>
    <row r="649" spans="2:5">
      <c r="B649"/>
      <c r="E649"/>
    </row>
    <row r="650" spans="2:5">
      <c r="B650"/>
      <c r="E650"/>
    </row>
    <row r="651" spans="2:5">
      <c r="B651"/>
      <c r="E651"/>
    </row>
    <row r="652" spans="2:5">
      <c r="B652"/>
      <c r="E652"/>
    </row>
    <row r="653" spans="2:5">
      <c r="B653"/>
      <c r="E653"/>
    </row>
    <row r="654" spans="2:5">
      <c r="B654"/>
      <c r="E654"/>
    </row>
    <row r="655" spans="2:5">
      <c r="B655"/>
      <c r="E655"/>
    </row>
    <row r="656" spans="2:5">
      <c r="B656"/>
      <c r="E656"/>
    </row>
    <row r="657" spans="2:5">
      <c r="B657"/>
      <c r="E657"/>
    </row>
    <row r="658" spans="2:5">
      <c r="B658"/>
      <c r="E658"/>
    </row>
    <row r="659" spans="2:5">
      <c r="B659"/>
      <c r="E659"/>
    </row>
    <row r="660" spans="2:5">
      <c r="B660"/>
      <c r="E660"/>
    </row>
    <row r="661" spans="2:5">
      <c r="B661"/>
      <c r="E661"/>
    </row>
    <row r="662" spans="2:5">
      <c r="B662"/>
      <c r="E662"/>
    </row>
    <row r="663" spans="2:5">
      <c r="B663"/>
      <c r="E663"/>
    </row>
    <row r="664" spans="2:5">
      <c r="B664"/>
      <c r="E664"/>
    </row>
    <row r="665" spans="2:5">
      <c r="B665"/>
      <c r="E665"/>
    </row>
    <row r="666" spans="2:5">
      <c r="B666"/>
      <c r="E666"/>
    </row>
    <row r="667" spans="2:5">
      <c r="B667"/>
      <c r="E667"/>
    </row>
    <row r="668" spans="2:5">
      <c r="B668"/>
      <c r="E668"/>
    </row>
    <row r="669" spans="2:5">
      <c r="B669"/>
      <c r="E669"/>
    </row>
    <row r="670" spans="2:5">
      <c r="B670"/>
      <c r="E670"/>
    </row>
    <row r="671" spans="2:5">
      <c r="B671"/>
      <c r="E671"/>
    </row>
    <row r="672" spans="2:5">
      <c r="B672"/>
      <c r="E672"/>
    </row>
    <row r="673" spans="2:5">
      <c r="B673"/>
      <c r="E673"/>
    </row>
    <row r="674" spans="2:5">
      <c r="B674"/>
      <c r="E674"/>
    </row>
    <row r="675" spans="2:5">
      <c r="B675"/>
      <c r="E675"/>
    </row>
    <row r="676" spans="2:5">
      <c r="B676"/>
      <c r="E676"/>
    </row>
    <row r="677" spans="2:5">
      <c r="B677"/>
      <c r="E677"/>
    </row>
    <row r="678" spans="2:5">
      <c r="B678"/>
      <c r="E678"/>
    </row>
    <row r="679" spans="2:5">
      <c r="B679"/>
      <c r="E679"/>
    </row>
    <row r="680" spans="2:5">
      <c r="B680"/>
      <c r="E680"/>
    </row>
    <row r="681" spans="2:5">
      <c r="B681"/>
      <c r="E681"/>
    </row>
    <row r="682" spans="2:5">
      <c r="B682"/>
      <c r="E682"/>
    </row>
    <row r="683" spans="2:5">
      <c r="B683"/>
      <c r="E683"/>
    </row>
    <row r="684" spans="2:5">
      <c r="B684"/>
      <c r="E684"/>
    </row>
    <row r="685" spans="2:5">
      <c r="B685"/>
      <c r="E685"/>
    </row>
    <row r="686" spans="2:5">
      <c r="B686"/>
      <c r="E686"/>
    </row>
    <row r="687" spans="2:5">
      <c r="B687"/>
      <c r="E687"/>
    </row>
    <row r="688" spans="2:5">
      <c r="B688"/>
      <c r="E688"/>
    </row>
    <row r="689" spans="2:5">
      <c r="B689"/>
      <c r="E689"/>
    </row>
    <row r="690" spans="2:5">
      <c r="B690"/>
      <c r="E690"/>
    </row>
    <row r="691" spans="2:5">
      <c r="B691"/>
      <c r="E691"/>
    </row>
    <row r="692" spans="2:5">
      <c r="B692"/>
      <c r="E692"/>
    </row>
    <row r="693" spans="2:5">
      <c r="B693"/>
      <c r="E693"/>
    </row>
    <row r="694" spans="2:5">
      <c r="B694"/>
      <c r="E694"/>
    </row>
    <row r="695" spans="2:5">
      <c r="B695"/>
      <c r="E695"/>
    </row>
    <row r="696" spans="2:5">
      <c r="B696"/>
      <c r="E696"/>
    </row>
    <row r="697" spans="2:5">
      <c r="B697"/>
      <c r="E697"/>
    </row>
    <row r="698" spans="2:5">
      <c r="B698"/>
      <c r="E698"/>
    </row>
    <row r="699" spans="2:5">
      <c r="B699"/>
      <c r="E699"/>
    </row>
    <row r="700" spans="2:5">
      <c r="B700"/>
      <c r="E700"/>
    </row>
    <row r="701" spans="2:5">
      <c r="B701"/>
      <c r="E701"/>
    </row>
    <row r="702" spans="2:5">
      <c r="B702"/>
      <c r="E702"/>
    </row>
    <row r="703" spans="2:5">
      <c r="B703"/>
      <c r="E703"/>
    </row>
    <row r="704" spans="2:5">
      <c r="B704"/>
      <c r="E704"/>
    </row>
    <row r="705" spans="2:5">
      <c r="B705"/>
      <c r="E705"/>
    </row>
    <row r="706" spans="2:5">
      <c r="B706"/>
      <c r="E706"/>
    </row>
    <row r="707" spans="2:5">
      <c r="B707"/>
      <c r="E707"/>
    </row>
    <row r="708" spans="2:5">
      <c r="B708"/>
      <c r="E708"/>
    </row>
    <row r="709" spans="2:5">
      <c r="B709"/>
      <c r="E709"/>
    </row>
    <row r="710" spans="2:5">
      <c r="B710"/>
      <c r="E710"/>
    </row>
    <row r="711" spans="2:5">
      <c r="B711"/>
      <c r="E711"/>
    </row>
    <row r="712" spans="2:5">
      <c r="B712"/>
      <c r="E712"/>
    </row>
    <row r="713" spans="2:5">
      <c r="B713"/>
      <c r="E713"/>
    </row>
    <row r="714" spans="2:5">
      <c r="B714"/>
      <c r="E714"/>
    </row>
    <row r="715" spans="2:5">
      <c r="B715"/>
      <c r="E715"/>
    </row>
    <row r="716" spans="2:5">
      <c r="B716"/>
      <c r="E716"/>
    </row>
    <row r="717" spans="2:5">
      <c r="B717"/>
      <c r="E717"/>
    </row>
    <row r="718" spans="2:5">
      <c r="B718"/>
      <c r="E718"/>
    </row>
    <row r="719" spans="2:5">
      <c r="B719"/>
      <c r="E719"/>
    </row>
    <row r="720" spans="2:5">
      <c r="B720"/>
      <c r="E720"/>
    </row>
    <row r="721" spans="2:5">
      <c r="B721"/>
      <c r="E721"/>
    </row>
    <row r="722" spans="2:5">
      <c r="B722"/>
      <c r="E722"/>
    </row>
    <row r="723" spans="2:5">
      <c r="B723"/>
      <c r="E723"/>
    </row>
    <row r="724" spans="2:5">
      <c r="B724"/>
      <c r="E724"/>
    </row>
    <row r="725" spans="2:5">
      <c r="B725"/>
      <c r="E725"/>
    </row>
    <row r="726" spans="2:5">
      <c r="B726"/>
      <c r="E726"/>
    </row>
    <row r="727" spans="2:5">
      <c r="B727"/>
      <c r="E727"/>
    </row>
    <row r="728" spans="2:5">
      <c r="B728"/>
      <c r="E728"/>
    </row>
    <row r="729" spans="2:5">
      <c r="B729"/>
      <c r="E729"/>
    </row>
    <row r="730" spans="2:5">
      <c r="B730"/>
      <c r="E730"/>
    </row>
    <row r="731" spans="2:5">
      <c r="B731"/>
      <c r="E731"/>
    </row>
    <row r="732" spans="2:5">
      <c r="B732"/>
      <c r="E732"/>
    </row>
    <row r="733" spans="2:5">
      <c r="B733"/>
      <c r="E733"/>
    </row>
    <row r="734" spans="2:5">
      <c r="B734"/>
      <c r="E734"/>
    </row>
    <row r="735" spans="2:5">
      <c r="B735"/>
      <c r="E735"/>
    </row>
    <row r="736" spans="2:5">
      <c r="B736"/>
      <c r="E736"/>
    </row>
    <row r="737" spans="2:5">
      <c r="B737"/>
      <c r="E737"/>
    </row>
    <row r="738" spans="2:5">
      <c r="B738"/>
      <c r="E738"/>
    </row>
    <row r="739" spans="2:5">
      <c r="B739"/>
      <c r="E739"/>
    </row>
    <row r="740" spans="2:5">
      <c r="B740"/>
      <c r="E740"/>
    </row>
    <row r="741" spans="2:5">
      <c r="B741"/>
      <c r="E741"/>
    </row>
    <row r="742" spans="2:5">
      <c r="B742"/>
      <c r="E742"/>
    </row>
    <row r="743" spans="2:5">
      <c r="B743"/>
      <c r="E743"/>
    </row>
    <row r="744" spans="2:5">
      <c r="B744"/>
      <c r="E744"/>
    </row>
    <row r="745" spans="2:5">
      <c r="B745"/>
      <c r="E745"/>
    </row>
    <row r="746" spans="2:5">
      <c r="B746"/>
      <c r="E746"/>
    </row>
    <row r="747" spans="2:5">
      <c r="B747"/>
      <c r="E747"/>
    </row>
    <row r="748" spans="2:5">
      <c r="B748"/>
      <c r="E748"/>
    </row>
    <row r="749" spans="2:5">
      <c r="B749"/>
      <c r="E749"/>
    </row>
    <row r="750" spans="2:5">
      <c r="B750"/>
      <c r="E750"/>
    </row>
    <row r="751" spans="2:5">
      <c r="B751"/>
      <c r="E751"/>
    </row>
    <row r="752" spans="2:5">
      <c r="B752"/>
      <c r="E752"/>
    </row>
    <row r="753" spans="2:5">
      <c r="B753"/>
      <c r="E753"/>
    </row>
    <row r="754" spans="2:5">
      <c r="B754"/>
      <c r="E754"/>
    </row>
    <row r="755" spans="2:5">
      <c r="B755"/>
      <c r="E755"/>
    </row>
    <row r="756" spans="2:5">
      <c r="B756"/>
      <c r="E756"/>
    </row>
    <row r="757" spans="2:5">
      <c r="B757"/>
      <c r="E757"/>
    </row>
    <row r="758" spans="2:5">
      <c r="B758"/>
      <c r="E758"/>
    </row>
    <row r="759" spans="2:5">
      <c r="B759"/>
      <c r="E759"/>
    </row>
    <row r="760" spans="2:5">
      <c r="B760"/>
      <c r="E760"/>
    </row>
    <row r="761" spans="2:5">
      <c r="B761"/>
      <c r="E761"/>
    </row>
    <row r="762" spans="2:5">
      <c r="B762"/>
      <c r="E762"/>
    </row>
    <row r="763" spans="2:5">
      <c r="B763"/>
      <c r="E763"/>
    </row>
    <row r="764" spans="2:5">
      <c r="B764"/>
      <c r="E764"/>
    </row>
    <row r="765" spans="2:5">
      <c r="B765"/>
      <c r="E765"/>
    </row>
    <row r="766" spans="2:5">
      <c r="B766"/>
      <c r="E766"/>
    </row>
    <row r="767" spans="2:5">
      <c r="B767"/>
      <c r="E767"/>
    </row>
    <row r="768" spans="2:5">
      <c r="B768"/>
      <c r="E768"/>
    </row>
    <row r="769" spans="2:5">
      <c r="B769"/>
      <c r="E769"/>
    </row>
    <row r="770" spans="2:5">
      <c r="B770"/>
      <c r="E770"/>
    </row>
    <row r="771" spans="2:5">
      <c r="B771"/>
      <c r="E771"/>
    </row>
    <row r="772" spans="2:5">
      <c r="B772"/>
      <c r="E772"/>
    </row>
    <row r="773" spans="2:5">
      <c r="B773"/>
      <c r="E773"/>
    </row>
    <row r="774" spans="2:5">
      <c r="B774"/>
      <c r="E774"/>
    </row>
    <row r="775" spans="2:5">
      <c r="B775"/>
      <c r="E775"/>
    </row>
    <row r="776" spans="2:5">
      <c r="B776"/>
      <c r="E776"/>
    </row>
    <row r="777" spans="2:5">
      <c r="B777"/>
      <c r="E777"/>
    </row>
    <row r="778" spans="2:5">
      <c r="B778"/>
      <c r="E778"/>
    </row>
    <row r="779" spans="2:5">
      <c r="B779"/>
      <c r="E779"/>
    </row>
    <row r="780" spans="2:5">
      <c r="B780"/>
      <c r="E780"/>
    </row>
    <row r="781" spans="2:5">
      <c r="B781"/>
      <c r="E781"/>
    </row>
    <row r="782" spans="2:5">
      <c r="B782"/>
      <c r="E782"/>
    </row>
    <row r="783" spans="2:5">
      <c r="B783"/>
      <c r="E783"/>
    </row>
    <row r="784" spans="2:5">
      <c r="B784"/>
      <c r="E784"/>
    </row>
    <row r="785" spans="2:5">
      <c r="B785"/>
      <c r="E785"/>
    </row>
    <row r="786" spans="2:5">
      <c r="B786"/>
      <c r="E786"/>
    </row>
    <row r="787" spans="2:5">
      <c r="B787"/>
      <c r="E787"/>
    </row>
    <row r="788" spans="2:5">
      <c r="B788"/>
      <c r="E788"/>
    </row>
    <row r="789" spans="2:5">
      <c r="B789"/>
      <c r="E789"/>
    </row>
    <row r="790" spans="2:5">
      <c r="B790"/>
      <c r="E790"/>
    </row>
    <row r="791" spans="2:5">
      <c r="B791"/>
      <c r="E791"/>
    </row>
    <row r="792" spans="2:5">
      <c r="B792"/>
      <c r="E792"/>
    </row>
    <row r="793" spans="2:5">
      <c r="B793"/>
      <c r="E793"/>
    </row>
    <row r="794" spans="2:5">
      <c r="B794"/>
      <c r="E794"/>
    </row>
    <row r="795" spans="2:5">
      <c r="B795"/>
      <c r="E795"/>
    </row>
    <row r="796" spans="2:5">
      <c r="B796"/>
      <c r="E796"/>
    </row>
    <row r="797" spans="2:5">
      <c r="B797"/>
      <c r="E797"/>
    </row>
    <row r="798" spans="2:5">
      <c r="B798"/>
      <c r="E798"/>
    </row>
    <row r="799" spans="2:5">
      <c r="B799"/>
      <c r="E799"/>
    </row>
    <row r="800" spans="2:5">
      <c r="B800"/>
      <c r="E800"/>
    </row>
    <row r="801" spans="2:5">
      <c r="B801"/>
      <c r="E801"/>
    </row>
    <row r="802" spans="2:5">
      <c r="B802"/>
      <c r="E802"/>
    </row>
    <row r="803" spans="2:5">
      <c r="B803"/>
      <c r="E803"/>
    </row>
    <row r="804" spans="2:5">
      <c r="B804"/>
      <c r="E804"/>
    </row>
    <row r="805" spans="2:5">
      <c r="B805"/>
      <c r="E805"/>
    </row>
    <row r="806" spans="2:5">
      <c r="B806"/>
      <c r="E806"/>
    </row>
    <row r="807" spans="2:5">
      <c r="B807"/>
      <c r="E807"/>
    </row>
    <row r="808" spans="2:5">
      <c r="B808"/>
      <c r="E808"/>
    </row>
    <row r="809" spans="2:5">
      <c r="B809"/>
      <c r="E809"/>
    </row>
    <row r="810" spans="2:5">
      <c r="B810"/>
      <c r="E810"/>
    </row>
    <row r="811" spans="2:5">
      <c r="B811"/>
      <c r="E811"/>
    </row>
    <row r="812" spans="2:5">
      <c r="B812"/>
      <c r="E812"/>
    </row>
    <row r="813" spans="2:5">
      <c r="B813"/>
      <c r="E813"/>
    </row>
    <row r="814" spans="2:5">
      <c r="B814"/>
      <c r="E814"/>
    </row>
    <row r="815" spans="2:5">
      <c r="B815"/>
      <c r="E815"/>
    </row>
    <row r="816" spans="2:5">
      <c r="B816"/>
      <c r="E816"/>
    </row>
    <row r="817" spans="2:5">
      <c r="B817"/>
      <c r="E817"/>
    </row>
    <row r="818" spans="2:5">
      <c r="B818"/>
      <c r="E818"/>
    </row>
    <row r="819" spans="2:5">
      <c r="B819"/>
      <c r="E819"/>
    </row>
    <row r="820" spans="2:5">
      <c r="B820"/>
      <c r="E820"/>
    </row>
    <row r="821" spans="2:5">
      <c r="B821"/>
      <c r="E821"/>
    </row>
    <row r="822" spans="2:5">
      <c r="B822"/>
      <c r="E822"/>
    </row>
    <row r="823" spans="2:5">
      <c r="B823"/>
      <c r="E823"/>
    </row>
    <row r="824" spans="2:5">
      <c r="B824"/>
      <c r="E824"/>
    </row>
    <row r="825" spans="2:5">
      <c r="B825"/>
      <c r="E825"/>
    </row>
    <row r="826" spans="2:5">
      <c r="B826"/>
      <c r="E826"/>
    </row>
    <row r="827" spans="2:5">
      <c r="B827"/>
      <c r="E827"/>
    </row>
    <row r="828" spans="2:5">
      <c r="B828"/>
      <c r="E828"/>
    </row>
    <row r="829" spans="2:5">
      <c r="B829"/>
      <c r="E829"/>
    </row>
    <row r="830" spans="2:5">
      <c r="B830"/>
      <c r="E830"/>
    </row>
    <row r="831" spans="2:5">
      <c r="B831"/>
      <c r="E831"/>
    </row>
    <row r="832" spans="2:5">
      <c r="B832"/>
      <c r="E832"/>
    </row>
    <row r="833" spans="2:5">
      <c r="B833"/>
      <c r="E833"/>
    </row>
    <row r="834" spans="2:5">
      <c r="B834"/>
      <c r="E834"/>
    </row>
    <row r="835" spans="2:5">
      <c r="B835"/>
      <c r="E835"/>
    </row>
    <row r="836" spans="2:5">
      <c r="B836"/>
      <c r="E836"/>
    </row>
    <row r="837" spans="2:5">
      <c r="B837"/>
      <c r="E837"/>
    </row>
    <row r="838" spans="2:5">
      <c r="B838"/>
      <c r="E838"/>
    </row>
    <row r="839" spans="2:5">
      <c r="B839"/>
      <c r="E839"/>
    </row>
    <row r="840" spans="2:5">
      <c r="B840"/>
      <c r="E840"/>
    </row>
    <row r="841" spans="2:5">
      <c r="B841"/>
      <c r="E841"/>
    </row>
    <row r="842" spans="2:5">
      <c r="B842"/>
      <c r="E842"/>
    </row>
    <row r="843" spans="2:5">
      <c r="B843"/>
      <c r="E843"/>
    </row>
    <row r="844" spans="2:5">
      <c r="B844"/>
      <c r="E844"/>
    </row>
    <row r="845" spans="2:5">
      <c r="B845"/>
      <c r="E845"/>
    </row>
    <row r="846" spans="2:5">
      <c r="B846"/>
      <c r="E846"/>
    </row>
    <row r="847" spans="2:5">
      <c r="B847"/>
      <c r="E847"/>
    </row>
    <row r="848" spans="2:5">
      <c r="B848"/>
      <c r="E848"/>
    </row>
    <row r="849" spans="2:5">
      <c r="B849"/>
      <c r="E849"/>
    </row>
    <row r="850" spans="2:5">
      <c r="B850"/>
      <c r="E850"/>
    </row>
    <row r="851" spans="2:5">
      <c r="B851"/>
      <c r="E851"/>
    </row>
    <row r="852" spans="2:5">
      <c r="B852"/>
      <c r="E852"/>
    </row>
    <row r="853" spans="2:5">
      <c r="B853"/>
      <c r="E853"/>
    </row>
    <row r="854" spans="2:5">
      <c r="B854"/>
      <c r="E854"/>
    </row>
    <row r="855" spans="2:5">
      <c r="B855"/>
      <c r="E855"/>
    </row>
    <row r="856" spans="2:5">
      <c r="B856"/>
      <c r="E856"/>
    </row>
    <row r="857" spans="2:5">
      <c r="B857"/>
    </row>
    <row r="858" spans="2:5">
      <c r="B858"/>
    </row>
    <row r="859" spans="2:5">
      <c r="B859"/>
    </row>
    <row r="860" spans="2:5">
      <c r="B860"/>
    </row>
    <row r="861" spans="2:5">
      <c r="B861"/>
    </row>
    <row r="862" spans="2:5">
      <c r="B862"/>
    </row>
    <row r="863" spans="2:5">
      <c r="B863"/>
    </row>
    <row r="864" spans="2:5">
      <c r="B864"/>
    </row>
    <row r="865" spans="2:2">
      <c r="B865"/>
    </row>
    <row r="866" spans="2:2">
      <c r="B866"/>
    </row>
    <row r="867" spans="2:2">
      <c r="B867"/>
    </row>
    <row r="868" spans="2:2">
      <c r="B868"/>
    </row>
    <row r="869" spans="2:2">
      <c r="B869"/>
    </row>
    <row r="870" spans="2:2">
      <c r="B870"/>
    </row>
  </sheetData>
  <autoFilter xmlns:etc="http://www.wps.cn/officeDocument/2017/etCustomData" ref="E1:O556" etc:filterBottomFollowUsedRange="0">
    <extLst/>
  </autoFilter>
  <conditionalFormatting sqref="O1">
    <cfRule type="containsText" dxfId="80" priority="3" operator="between" text="有差">
      <formula>NOT(ISERROR(SEARCH("有差",O1)))</formula>
    </cfRule>
  </conditionalFormatting>
  <conditionalFormatting sqref="E857:E1048576 E1:E556">
    <cfRule type="duplicateValues" dxfId="72" priority="132"/>
  </conditionalFormatting>
  <pageMargins left="0.7" right="0.7" top="0.75" bottom="0.75" header="0.3" footer="0.3"/>
  <pageSetup paperSize="9" orientation="portrait" horizontalDpi="1200" verticalDpi="1200"/>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tabColor theme="1"/>
  </sheetPr>
  <dimension ref="A1:T386"/>
  <sheetViews>
    <sheetView zoomScale="70" zoomScaleNormal="70" topLeftCell="A19" workbookViewId="0">
      <selection activeCell="B31" sqref="B31"/>
    </sheetView>
  </sheetViews>
  <sheetFormatPr defaultColWidth="8.88888888888889" defaultRowHeight="15"/>
  <cols>
    <col min="1" max="1" width="8.88888888888889" style="128" customWidth="1" outlineLevel="1"/>
    <col min="2" max="3" width="12.2222222222222" style="128" customWidth="1" outlineLevel="1"/>
    <col min="4" max="4" width="8.66666666666667" style="128" customWidth="1" outlineLevel="1"/>
    <col min="5" max="5" width="19.3333333333333" style="128" customWidth="1" outlineLevel="1"/>
    <col min="6" max="6" width="8.77777777777778" style="128" customWidth="1"/>
    <col min="7" max="7" width="22.3333333333333" style="128" customWidth="1"/>
    <col min="8" max="8" width="8.33333333333333" style="128" customWidth="1" outlineLevel="1"/>
    <col min="9" max="9" width="27.2222222222222" style="128" customWidth="1"/>
    <col min="10" max="10" width="21.4444444444444" style="128" customWidth="1" outlineLevel="1"/>
    <col min="11" max="11" width="9.77777777777778" style="128" customWidth="1"/>
    <col min="12" max="20" width="13.2222222222222" style="156" customWidth="1"/>
    <col min="21" max="16384" width="8.88888888888889" style="128"/>
  </cols>
  <sheetData>
    <row r="1" s="154" customFormat="1" ht="15.6" spans="1:20">
      <c r="K1" s="157"/>
      <c r="L1" s="158"/>
      <c r="M1" s="158"/>
      <c r="N1" s="158"/>
      <c r="O1" s="158"/>
      <c r="P1" s="158"/>
      <c r="Q1" s="158"/>
      <c r="R1" s="158"/>
      <c r="S1" s="158"/>
      <c r="T1" s="158"/>
    </row>
    <row r="2" s="155" customFormat="1" ht="36.6" customHeight="1" spans="1:20">
      <c r="A2" s="159" t="s">
        <v>1148</v>
      </c>
      <c r="B2" s="159" t="s">
        <v>1151</v>
      </c>
      <c r="C2" s="159" t="s">
        <v>1152</v>
      </c>
      <c r="D2" s="159" t="s">
        <v>1155</v>
      </c>
      <c r="E2" s="159" t="s">
        <v>1156</v>
      </c>
      <c r="F2" s="159" t="s">
        <v>88</v>
      </c>
      <c r="G2" s="159" t="s">
        <v>1157</v>
      </c>
      <c r="H2" s="159" t="s">
        <v>1158</v>
      </c>
      <c r="I2" s="159" t="s">
        <v>1159</v>
      </c>
      <c r="J2" s="160" t="s">
        <v>747</v>
      </c>
      <c r="K2" s="159" t="s">
        <v>1161</v>
      </c>
      <c r="L2" s="161" t="s">
        <v>2890</v>
      </c>
      <c r="M2" s="161" t="s">
        <v>2891</v>
      </c>
      <c r="N2" s="161" t="s">
        <v>2892</v>
      </c>
      <c r="O2" s="161" t="s">
        <v>2893</v>
      </c>
      <c r="P2" s="161" t="s">
        <v>2894</v>
      </c>
      <c r="Q2" s="161" t="s">
        <v>2895</v>
      </c>
      <c r="R2" s="161" t="s">
        <v>2896</v>
      </c>
      <c r="S2" s="161" t="s">
        <v>613</v>
      </c>
      <c r="T2" s="161" t="s">
        <v>1900</v>
      </c>
    </row>
    <row r="3" ht="27" customHeight="1" spans="1:20">
      <c r="A3" s="154" t="str">
        <f>INDEX('Rate Card'!$A:$A,MATCH(数统二级标签!$K3,'Rate Card'!$F:$F,0))</f>
        <v>数统</v>
      </c>
      <c r="B3" s="154" t="str">
        <f>F3&amp;K3</f>
        <v>A001ST</v>
      </c>
      <c r="C3" s="154" t="str">
        <f>H3&amp;K3</f>
        <v>T0001ST</v>
      </c>
      <c r="D3" s="128" t="s">
        <v>916</v>
      </c>
      <c r="E3" s="128" t="str">
        <f>INDEX(二三级标准!$Q:$Q,MATCH(数统二级标签!D3,二三级标准!$O:$O,0))</f>
        <v>研究文件撰写和审核</v>
      </c>
      <c r="F3" s="128" t="s">
        <v>91</v>
      </c>
      <c r="G3" s="128" t="str">
        <f>INDEX(二三级标准!C:C,MATCH(数统二级标签!F3,二三级标准!$B:$B,0))</f>
        <v>方案撰写</v>
      </c>
      <c r="H3" s="128" t="s">
        <v>1175</v>
      </c>
      <c r="I3" s="128" t="str">
        <f>INDEX(二三级标准!$M:$M,MATCH(数统二级标签!$H3,二三级标准!$L:$L,0))</f>
        <v>方案摘要撰写</v>
      </c>
      <c r="J3" s="132" t="s">
        <v>2897</v>
      </c>
      <c r="K3" s="128" t="s">
        <v>639</v>
      </c>
      <c r="L3" s="156">
        <v>6</v>
      </c>
      <c r="M3" s="156">
        <v>6</v>
      </c>
      <c r="N3" s="156">
        <v>5.2</v>
      </c>
      <c r="O3" s="156">
        <v>6</v>
      </c>
      <c r="P3" s="156">
        <v>12</v>
      </c>
      <c r="Q3" s="156">
        <v>12</v>
      </c>
      <c r="R3" s="156">
        <v>6</v>
      </c>
      <c r="S3" s="156">
        <v>6</v>
      </c>
      <c r="T3" s="156">
        <v>6</v>
      </c>
    </row>
    <row r="4" ht="27" customHeight="1" spans="1:20">
      <c r="A4" s="154" t="str">
        <f>INDEX('Rate Card'!$A:$A,MATCH(数统二级标签!$K4,'Rate Card'!$F:$F,0))</f>
        <v>数统</v>
      </c>
      <c r="B4" s="154" t="str">
        <f t="shared" ref="B4:B77" si="0">F4&amp;K4</f>
        <v>A001STM</v>
      </c>
      <c r="C4" s="154" t="str">
        <f t="shared" ref="C4:C77" si="1">H4&amp;K4</f>
        <v>T0002STM</v>
      </c>
      <c r="D4" s="128" t="s">
        <v>916</v>
      </c>
      <c r="E4" s="128" t="str">
        <f>INDEX(二三级标准!$Q:$Q,MATCH(数统二级标签!D4,二三级标准!$O:$O,0))</f>
        <v>研究文件撰写和审核</v>
      </c>
      <c r="F4" s="128" t="s">
        <v>91</v>
      </c>
      <c r="G4" s="128" t="str">
        <f>INDEX(二三级标准!C:C,MATCH(数统二级标签!F4,二三级标准!$B:$B,0))</f>
        <v>方案撰写</v>
      </c>
      <c r="H4" s="128" t="s">
        <v>1177</v>
      </c>
      <c r="I4" s="128" t="str">
        <f>INDEX(二三级标准!$M:$M,MATCH(数统二级标签!$H4,二三级标准!$L:$L,0))</f>
        <v>方案摘要审核</v>
      </c>
      <c r="J4" s="132" t="s">
        <v>2897</v>
      </c>
      <c r="K4" s="128" t="s">
        <v>642</v>
      </c>
      <c r="L4" s="156">
        <v>3</v>
      </c>
      <c r="M4" s="156">
        <v>3</v>
      </c>
      <c r="N4" s="156">
        <v>2</v>
      </c>
      <c r="O4" s="156">
        <v>1.5</v>
      </c>
      <c r="P4" s="156">
        <v>3</v>
      </c>
      <c r="Q4" s="156">
        <v>3</v>
      </c>
      <c r="R4" s="156">
        <v>1.5</v>
      </c>
      <c r="S4" s="156">
        <v>3</v>
      </c>
      <c r="T4" s="156">
        <v>3</v>
      </c>
    </row>
    <row r="5" ht="27" customHeight="1" spans="1:20">
      <c r="A5" s="154" t="str">
        <f>INDEX('Rate Card'!$A:$A,MATCH(数统二级标签!$K5,'Rate Card'!$F:$F,0))</f>
        <v>数统</v>
      </c>
      <c r="B5" s="154" t="str">
        <f t="shared" si="0"/>
        <v>A001STM</v>
      </c>
      <c r="C5" s="154" t="str">
        <f t="shared" si="1"/>
        <v>T0005STM</v>
      </c>
      <c r="D5" s="128" t="s">
        <v>916</v>
      </c>
      <c r="E5" s="128" t="str">
        <f>INDEX(二三级标准!$Q:$Q,MATCH(数统二级标签!D5,二三级标准!$O:$O,0))</f>
        <v>研究文件撰写和审核</v>
      </c>
      <c r="F5" s="128" t="s">
        <v>91</v>
      </c>
      <c r="G5" s="128" t="str">
        <f>INDEX(二三级标准!C:C,MATCH(数统二级标签!F5,二三级标准!$B:$B,0))</f>
        <v>方案撰写</v>
      </c>
      <c r="H5" s="128" t="s">
        <v>1180</v>
      </c>
      <c r="I5" s="128" t="str">
        <f>INDEX(二三级标准!$M:$M,MATCH(数统二级标签!$H5,二三级标准!$L:$L,0))</f>
        <v>方案全文审核</v>
      </c>
      <c r="J5" s="128" t="s">
        <v>2898</v>
      </c>
      <c r="K5" s="128" t="s">
        <v>642</v>
      </c>
      <c r="L5" s="156">
        <v>3</v>
      </c>
      <c r="M5" s="156">
        <v>3</v>
      </c>
      <c r="N5" s="156">
        <v>4</v>
      </c>
      <c r="O5" s="156">
        <v>3</v>
      </c>
      <c r="P5" s="156">
        <v>12</v>
      </c>
      <c r="Q5" s="156">
        <v>12</v>
      </c>
      <c r="R5" s="156">
        <v>3</v>
      </c>
      <c r="S5" s="156">
        <v>6</v>
      </c>
      <c r="T5" s="156">
        <v>6</v>
      </c>
    </row>
    <row r="6" ht="27" customHeight="1" spans="1:20">
      <c r="A6" s="154" t="str">
        <f>INDEX('Rate Card'!$A:$A,MATCH(数统二级标签!$K6,'Rate Card'!$F:$F,0))</f>
        <v>数统</v>
      </c>
      <c r="B6" s="154" t="str">
        <f t="shared" si="0"/>
        <v>A001STM</v>
      </c>
      <c r="C6" s="154" t="str">
        <f t="shared" si="1"/>
        <v>T0007STM</v>
      </c>
      <c r="D6" s="128" t="s">
        <v>916</v>
      </c>
      <c r="E6" s="128" t="str">
        <f>INDEX(二三级标准!$Q:$Q,MATCH(数统二级标签!D6,二三级标准!$O:$O,0))</f>
        <v>研究文件撰写和审核</v>
      </c>
      <c r="F6" s="128" t="s">
        <v>91</v>
      </c>
      <c r="G6" s="128" t="str">
        <f>INDEX(二三级标准!C:C,MATCH(数统二级标签!F6,二三级标准!$B:$B,0))</f>
        <v>方案撰写</v>
      </c>
      <c r="H6" s="128" t="s">
        <v>1182</v>
      </c>
      <c r="I6" s="128" t="str">
        <f>INDEX(二三级标准!$M:$M,MATCH(数统二级标签!$H6,二三级标准!$L:$L,0))</f>
        <v>方案讨论后方案审阅</v>
      </c>
      <c r="J6" s="132" t="s">
        <v>2897</v>
      </c>
      <c r="K6" s="128" t="s">
        <v>642</v>
      </c>
      <c r="L6" s="156">
        <v>3</v>
      </c>
      <c r="M6" s="156">
        <v>3</v>
      </c>
      <c r="N6" s="156">
        <v>2</v>
      </c>
      <c r="O6" s="156">
        <v>1.5</v>
      </c>
      <c r="P6" s="156">
        <v>3</v>
      </c>
      <c r="Q6" s="156">
        <v>3</v>
      </c>
      <c r="R6" s="156">
        <v>3</v>
      </c>
      <c r="S6" s="156">
        <v>3</v>
      </c>
      <c r="T6" s="156">
        <v>3</v>
      </c>
    </row>
    <row r="7" ht="27" customHeight="1" spans="1:20">
      <c r="A7" s="154" t="str">
        <f>INDEX('Rate Card'!$A:$A,MATCH(数统二级标签!$K7,'Rate Card'!$F:$F,0))</f>
        <v>数统</v>
      </c>
      <c r="B7" s="154" t="str">
        <f t="shared" si="0"/>
        <v>A002DM</v>
      </c>
      <c r="C7" s="154" t="str">
        <f t="shared" si="1"/>
        <v>T0008DM</v>
      </c>
      <c r="D7" s="128" t="s">
        <v>916</v>
      </c>
      <c r="E7" s="128" t="str">
        <f>INDEX(二三级标准!$Q:$Q,MATCH(数统二级标签!D7,二三级标准!$O:$O,0))</f>
        <v>研究文件撰写和审核</v>
      </c>
      <c r="F7" s="128" t="s">
        <v>94</v>
      </c>
      <c r="G7" s="128" t="str">
        <f>INDEX(二三级标准!C:C,MATCH(数统二级标签!F7,二三级标准!$B:$B,0))</f>
        <v>撰写CRF</v>
      </c>
      <c r="H7" s="128" t="s">
        <v>2899</v>
      </c>
      <c r="I7" s="128" t="str">
        <f>INDEX(二三级标准!$M:$M,MATCH(数统二级标签!$H7,二三级标准!$L:$L,0))</f>
        <v>熟悉项目资料</v>
      </c>
      <c r="J7" s="128" t="s">
        <v>2898</v>
      </c>
      <c r="K7" s="128" t="s">
        <v>631</v>
      </c>
      <c r="L7" s="162">
        <v>0.8</v>
      </c>
      <c r="M7" s="156">
        <v>0.8</v>
      </c>
      <c r="N7" s="156">
        <v>0.65</v>
      </c>
      <c r="O7" s="156">
        <v>0.75</v>
      </c>
      <c r="P7" s="156">
        <v>1.125</v>
      </c>
      <c r="Q7" s="156">
        <v>2.25</v>
      </c>
      <c r="R7" s="156">
        <v>0.75</v>
      </c>
      <c r="S7" s="156">
        <v>0.75</v>
      </c>
      <c r="T7" s="156">
        <v>0.75</v>
      </c>
    </row>
    <row r="8" ht="27" customHeight="1" spans="1:20">
      <c r="A8" s="154" t="str">
        <f>INDEX('Rate Card'!$A:$A,MATCH(数统二级标签!$K8,'Rate Card'!$F:$F,0))</f>
        <v>数统</v>
      </c>
      <c r="B8" s="154" t="str">
        <f t="shared" si="0"/>
        <v>A002DM</v>
      </c>
      <c r="C8" s="154" t="str">
        <f t="shared" si="1"/>
        <v>T0009DM</v>
      </c>
      <c r="D8" s="128" t="s">
        <v>916</v>
      </c>
      <c r="E8" s="128" t="str">
        <f>INDEX(二三级标准!$Q:$Q,MATCH(数统二级标签!D8,二三级标准!$O:$O,0))</f>
        <v>研究文件撰写和审核</v>
      </c>
      <c r="F8" s="128" t="s">
        <v>94</v>
      </c>
      <c r="G8" s="128" t="str">
        <f>INDEX(二三级标准!C:C,MATCH(数统二级标签!F8,二三级标准!$B:$B,0))</f>
        <v>撰写CRF</v>
      </c>
      <c r="H8" s="128" t="s">
        <v>1186</v>
      </c>
      <c r="I8" s="128" t="str">
        <f>INDEX(二三级标准!$M:$M,MATCH(数统二级标签!$H8,二三级标准!$L:$L,0))</f>
        <v>起草CRF唯一页页面</v>
      </c>
      <c r="J8" s="128" t="s">
        <v>2898</v>
      </c>
      <c r="K8" s="128" t="s">
        <v>631</v>
      </c>
      <c r="L8" s="162">
        <v>0.6</v>
      </c>
      <c r="M8" s="156">
        <v>0.6</v>
      </c>
      <c r="N8" s="156">
        <v>0.52</v>
      </c>
      <c r="O8" s="156">
        <v>0.75</v>
      </c>
      <c r="P8" s="156">
        <v>0.5625</v>
      </c>
      <c r="Q8" s="156">
        <v>0.75</v>
      </c>
      <c r="R8" s="156">
        <v>0.6</v>
      </c>
      <c r="S8" s="156">
        <v>0.6</v>
      </c>
      <c r="T8" s="156">
        <v>0.6</v>
      </c>
    </row>
    <row r="9" ht="27" customHeight="1" spans="1:20">
      <c r="A9" s="154" t="str">
        <f>INDEX('Rate Card'!$A:$A,MATCH(数统二级标签!$K9,'Rate Card'!$F:$F,0))</f>
        <v>数统</v>
      </c>
      <c r="B9" s="154" t="str">
        <f t="shared" si="0"/>
        <v>A002DM</v>
      </c>
      <c r="C9" s="154" t="str">
        <f t="shared" si="1"/>
        <v>T0010DM</v>
      </c>
      <c r="D9" s="128" t="s">
        <v>916</v>
      </c>
      <c r="E9" s="128" t="str">
        <f>INDEX(二三级标准!$Q:$Q,MATCH(数统二级标签!D9,二三级标准!$O:$O,0))</f>
        <v>研究文件撰写和审核</v>
      </c>
      <c r="F9" s="128" t="s">
        <v>94</v>
      </c>
      <c r="G9" s="128" t="str">
        <f>INDEX(二三级标准!C:C,MATCH(数统二级标签!F9,二三级标准!$B:$B,0))</f>
        <v>撰写CRF</v>
      </c>
      <c r="H9" s="128" t="s">
        <v>1188</v>
      </c>
      <c r="I9" s="128" t="str">
        <f>INDEX(二三级标准!$M:$M,MATCH(数统二级标签!$H9,二三级标准!$L:$L,0))</f>
        <v>起草CRF设计说明</v>
      </c>
      <c r="J9" s="128" t="s">
        <v>2898</v>
      </c>
      <c r="K9" s="128" t="s">
        <v>631</v>
      </c>
      <c r="L9" s="156">
        <v>8</v>
      </c>
      <c r="M9" s="156">
        <v>8</v>
      </c>
      <c r="N9" s="156">
        <v>10</v>
      </c>
      <c r="O9" s="156">
        <v>9</v>
      </c>
      <c r="P9" s="156">
        <v>9</v>
      </c>
      <c r="Q9" s="156">
        <v>15</v>
      </c>
      <c r="R9" s="156">
        <v>7.5</v>
      </c>
      <c r="S9" s="156">
        <v>8</v>
      </c>
      <c r="T9" s="156">
        <v>12</v>
      </c>
    </row>
    <row r="10" ht="27" customHeight="1" spans="1:20">
      <c r="A10" s="154" t="str">
        <f>INDEX('Rate Card'!$A:$A,MATCH(数统二级标签!$K10,'Rate Card'!$F:$F,0))</f>
        <v>数统</v>
      </c>
      <c r="B10" s="154" t="str">
        <f t="shared" si="0"/>
        <v>A002LDM</v>
      </c>
      <c r="C10" s="154" t="str">
        <f t="shared" si="1"/>
        <v>T0011LDM</v>
      </c>
      <c r="D10" s="128" t="s">
        <v>916</v>
      </c>
      <c r="E10" s="128" t="str">
        <f>INDEX(二三级标准!$Q:$Q,MATCH(数统二级标签!D10,二三级标准!$O:$O,0))</f>
        <v>研究文件撰写和审核</v>
      </c>
      <c r="F10" s="128" t="s">
        <v>94</v>
      </c>
      <c r="G10" s="128" t="str">
        <f>INDEX(二三级标准!C:C,MATCH(数统二级标签!F10,二三级标准!$B:$B,0))</f>
        <v>撰写CRF</v>
      </c>
      <c r="H10" s="128" t="s">
        <v>1189</v>
      </c>
      <c r="I10" s="128" t="str">
        <f>INDEX(二三级标准!$M:$M,MATCH(数统二级标签!$H10,二三级标准!$L:$L,0))</f>
        <v>CRF审阅</v>
      </c>
      <c r="J10" s="128" t="s">
        <v>2898</v>
      </c>
      <c r="K10" s="128" t="s">
        <v>633</v>
      </c>
      <c r="L10" s="162">
        <v>4</v>
      </c>
      <c r="M10" s="156">
        <v>4</v>
      </c>
      <c r="N10" s="156">
        <v>4</v>
      </c>
      <c r="O10" s="156">
        <v>4.5</v>
      </c>
      <c r="P10" s="156">
        <v>4.5</v>
      </c>
      <c r="Q10" s="156">
        <v>6</v>
      </c>
      <c r="R10" s="156">
        <v>4.5</v>
      </c>
      <c r="S10" s="156">
        <v>6</v>
      </c>
      <c r="T10" s="156">
        <v>6</v>
      </c>
    </row>
    <row r="11" ht="27" customHeight="1" spans="1:20">
      <c r="A11" s="154" t="str">
        <f>INDEX('Rate Card'!$A:$A,MATCH(数统二级标签!$K11,'Rate Card'!$F:$F,0))</f>
        <v>数统</v>
      </c>
      <c r="B11" s="154" t="str">
        <f t="shared" si="0"/>
        <v>A002ST</v>
      </c>
      <c r="C11" s="154" t="str">
        <f t="shared" si="1"/>
        <v>T0011ST</v>
      </c>
      <c r="D11" s="128" t="s">
        <v>916</v>
      </c>
      <c r="E11" s="128" t="str">
        <f>INDEX(二三级标准!$Q:$Q,MATCH(数统二级标签!D11,二三级标准!$O:$O,0))</f>
        <v>研究文件撰写和审核</v>
      </c>
      <c r="F11" s="128" t="s">
        <v>94</v>
      </c>
      <c r="G11" s="128" t="str">
        <f>INDEX(二三级标准!C:C,MATCH(数统二级标签!F11,二三级标准!$B:$B,0))</f>
        <v>撰写CRF</v>
      </c>
      <c r="H11" s="128" t="s">
        <v>1189</v>
      </c>
      <c r="I11" s="128" t="str">
        <f>INDEX(二三级标准!$M:$M,MATCH(数统二级标签!$H11,二三级标准!$L:$L,0))</f>
        <v>CRF审阅</v>
      </c>
      <c r="K11" s="128" t="s">
        <v>639</v>
      </c>
      <c r="L11" s="162">
        <v>3</v>
      </c>
      <c r="M11" s="156">
        <v>3</v>
      </c>
      <c r="N11" s="156">
        <v>2</v>
      </c>
      <c r="O11" s="156">
        <v>2</v>
      </c>
      <c r="P11" s="156">
        <v>2</v>
      </c>
      <c r="Q11" s="156">
        <v>6</v>
      </c>
      <c r="R11" s="156">
        <v>2</v>
      </c>
      <c r="S11" s="156">
        <v>2</v>
      </c>
      <c r="T11" s="156">
        <v>2</v>
      </c>
    </row>
    <row r="12" s="132" customFormat="1" ht="27" customHeight="1" spans="1:20">
      <c r="A12" s="163" t="str">
        <f>INDEX('Rate Card'!$A:$A,MATCH(数统二级标签!$K12,'Rate Card'!$F:$F,0))</f>
        <v>数统</v>
      </c>
      <c r="B12" s="163" t="str">
        <f t="shared" si="0"/>
        <v>A002SAM</v>
      </c>
      <c r="C12" s="163" t="str">
        <f t="shared" si="1"/>
        <v>T0011SAM</v>
      </c>
      <c r="D12" s="132" t="s">
        <v>916</v>
      </c>
      <c r="E12" s="132" t="str">
        <f>INDEX(二三级标准!$Q:$Q,MATCH(数统二级标签!D12,二三级标准!$O:$O,0))</f>
        <v>研究文件撰写和审核</v>
      </c>
      <c r="F12" s="132" t="s">
        <v>94</v>
      </c>
      <c r="G12" s="132" t="str">
        <f>INDEX(二三级标准!C:C,MATCH(数统二级标签!F12,二三级标准!$B:$B,0))</f>
        <v>撰写CRF</v>
      </c>
      <c r="H12" s="132" t="s">
        <v>1189</v>
      </c>
      <c r="I12" s="132" t="str">
        <f>INDEX(二三级标准!$M:$M,MATCH(数统二级标签!$H12,二三级标准!$L:$L,0))</f>
        <v>CRF审阅</v>
      </c>
      <c r="J12" s="132" t="s">
        <v>2900</v>
      </c>
      <c r="K12" s="132" t="s">
        <v>638</v>
      </c>
      <c r="L12" s="164">
        <v>1</v>
      </c>
      <c r="M12" s="164">
        <v>1</v>
      </c>
      <c r="N12" s="164">
        <v>1</v>
      </c>
      <c r="O12" s="164">
        <v>1</v>
      </c>
      <c r="P12" s="164">
        <v>1</v>
      </c>
      <c r="Q12" s="164">
        <v>3</v>
      </c>
      <c r="R12" s="164">
        <v>1</v>
      </c>
      <c r="S12" s="164">
        <v>1</v>
      </c>
      <c r="T12" s="164">
        <v>1</v>
      </c>
    </row>
    <row r="13" ht="27" customHeight="1" spans="1:20">
      <c r="A13" s="154" t="str">
        <f>INDEX('Rate Card'!$A:$A,MATCH(数统二级标签!$K13,'Rate Card'!$F:$F,0))</f>
        <v>数统</v>
      </c>
      <c r="B13" s="154" t="str">
        <f t="shared" si="0"/>
        <v>A002LDM</v>
      </c>
      <c r="C13" s="154" t="str">
        <f t="shared" si="1"/>
        <v>T0012LDM</v>
      </c>
      <c r="D13" s="128" t="s">
        <v>916</v>
      </c>
      <c r="E13" s="128" t="str">
        <f>INDEX(二三级标准!$Q:$Q,MATCH(数统二级标签!D13,二三级标准!$O:$O,0))</f>
        <v>研究文件撰写和审核</v>
      </c>
      <c r="F13" s="128" t="s">
        <v>94</v>
      </c>
      <c r="G13" s="128" t="str">
        <f>INDEX(二三级标准!C:C,MATCH(数统二级标签!F13,二三级标准!$B:$B,0))</f>
        <v>撰写CRF</v>
      </c>
      <c r="H13" s="128" t="s">
        <v>2901</v>
      </c>
      <c r="I13" s="128" t="str">
        <f>INDEX(二三级标准!$M:$M,MATCH(数统二级标签!$H13,二三级标准!$L:$L,0))</f>
        <v>CRF审核会议召开</v>
      </c>
      <c r="K13" s="128" t="s">
        <v>633</v>
      </c>
      <c r="L13" s="156">
        <v>2</v>
      </c>
      <c r="M13" s="156">
        <v>2</v>
      </c>
      <c r="N13" s="156">
        <v>2</v>
      </c>
      <c r="O13" s="156">
        <v>2</v>
      </c>
      <c r="P13" s="156">
        <v>2</v>
      </c>
      <c r="Q13" s="156">
        <v>2</v>
      </c>
      <c r="R13" s="156">
        <v>2</v>
      </c>
      <c r="S13" s="156">
        <v>2</v>
      </c>
      <c r="T13" s="156">
        <v>2</v>
      </c>
    </row>
    <row r="14" ht="27" customHeight="1" spans="1:20">
      <c r="A14" s="154" t="str">
        <f>INDEX('Rate Card'!$A:$A,MATCH(数统二级标签!$K14,'Rate Card'!$F:$F,0))</f>
        <v>数统</v>
      </c>
      <c r="B14" s="154" t="str">
        <f t="shared" si="0"/>
        <v>A003ST</v>
      </c>
      <c r="C14" s="154" t="str">
        <f t="shared" si="1"/>
        <v>T0015ST</v>
      </c>
      <c r="D14" s="128" t="s">
        <v>916</v>
      </c>
      <c r="E14" s="128" t="str">
        <f>INDEX(二三级标准!$Q:$Q,MATCH(数统二级标签!D14,二三级标准!$O:$O,0))</f>
        <v>研究文件撰写和审核</v>
      </c>
      <c r="F14" s="128" t="s">
        <v>96</v>
      </c>
      <c r="G14" s="128" t="str">
        <f>INDEX(二三级标准!C:C,MATCH(数统二级标签!F14,二三级标准!$B:$B,0))</f>
        <v>方案版本更新</v>
      </c>
      <c r="H14" s="128" t="s">
        <v>1191</v>
      </c>
      <c r="I14" s="128" t="str">
        <f>INDEX(二三级标准!$M:$M,MATCH(数统二级标签!$H14,二三级标准!$L:$L,0))</f>
        <v>执行期方案修订审阅</v>
      </c>
      <c r="J14" s="132" t="s">
        <v>2897</v>
      </c>
      <c r="K14" s="128" t="s">
        <v>639</v>
      </c>
      <c r="L14" s="156">
        <v>0.75</v>
      </c>
      <c r="M14" s="156">
        <v>0.5</v>
      </c>
      <c r="N14" s="156">
        <v>0.5</v>
      </c>
      <c r="O14" s="156">
        <v>0.75</v>
      </c>
      <c r="P14" s="156">
        <v>0.75</v>
      </c>
      <c r="Q14" s="156">
        <v>0.75</v>
      </c>
      <c r="R14" s="156">
        <v>0.75</v>
      </c>
      <c r="S14" s="156">
        <v>0.75</v>
      </c>
      <c r="T14" s="156">
        <v>0.75</v>
      </c>
    </row>
    <row r="15" ht="27" customHeight="1" spans="1:20">
      <c r="A15" s="154" t="str">
        <f>INDEX('Rate Card'!$A:$A,MATCH(数统二级标签!$K15,'Rate Card'!$F:$F,0))</f>
        <v>数统</v>
      </c>
      <c r="B15" s="154" t="str">
        <f t="shared" si="0"/>
        <v>A008LDM</v>
      </c>
      <c r="C15" s="154" t="str">
        <f t="shared" si="1"/>
        <v>T0026LDM</v>
      </c>
      <c r="D15" s="128" t="s">
        <v>917</v>
      </c>
      <c r="E15" s="128" t="str">
        <f>INDEX(二三级标准!$Q:$Q,MATCH(数统二级标签!D15,二三级标准!$O:$O,0))</f>
        <v>试验准备</v>
      </c>
      <c r="F15" s="128" t="s">
        <v>110</v>
      </c>
      <c r="G15" s="128" t="str">
        <f>INDEX(二三级标准!C:C,MATCH(数统二级标签!F15,二三级标准!$B:$B,0))</f>
        <v>召开客户启动会</v>
      </c>
      <c r="H15" s="128" t="s">
        <v>1203</v>
      </c>
      <c r="I15" s="128" t="str">
        <f>INDEX(二三级标准!$M:$M,MATCH(数统二级标签!$H15,二三级标准!$L:$L,0))</f>
        <v>参加客户启动会</v>
      </c>
      <c r="K15" s="128" t="s">
        <v>633</v>
      </c>
      <c r="L15" s="156">
        <v>2</v>
      </c>
      <c r="M15" s="156">
        <v>2</v>
      </c>
      <c r="N15" s="156">
        <v>2</v>
      </c>
      <c r="O15" s="156">
        <v>2</v>
      </c>
      <c r="P15" s="156">
        <v>2</v>
      </c>
      <c r="Q15" s="156">
        <v>2</v>
      </c>
      <c r="R15" s="156">
        <v>2</v>
      </c>
      <c r="S15" s="156">
        <v>2</v>
      </c>
      <c r="T15" s="156">
        <v>2</v>
      </c>
    </row>
    <row r="16" ht="27" customHeight="1" spans="1:20">
      <c r="A16" s="154" t="str">
        <f>INDEX('Rate Card'!$A:$A,MATCH(数统二级标签!$K16,'Rate Card'!$F:$F,0))</f>
        <v>数统</v>
      </c>
      <c r="B16" s="154" t="str">
        <f t="shared" si="0"/>
        <v>A008ST</v>
      </c>
      <c r="C16" s="154" t="str">
        <f t="shared" si="1"/>
        <v>T0026ST</v>
      </c>
      <c r="D16" s="128" t="s">
        <v>917</v>
      </c>
      <c r="E16" s="128" t="str">
        <f>INDEX(二三级标准!$Q:$Q,MATCH(数统二级标签!D16,二三级标准!$O:$O,0))</f>
        <v>试验准备</v>
      </c>
      <c r="F16" s="128" t="s">
        <v>110</v>
      </c>
      <c r="G16" s="128" t="str">
        <f>INDEX(二三级标准!C:C,MATCH(数统二级标签!F16,二三级标准!$B:$B,0))</f>
        <v>召开客户启动会</v>
      </c>
      <c r="H16" s="128" t="s">
        <v>1203</v>
      </c>
      <c r="I16" s="128" t="str">
        <f>INDEX(二三级标准!$M:$M,MATCH(数统二级标签!$H16,二三级标准!$L:$L,0))</f>
        <v>参加客户启动会</v>
      </c>
      <c r="K16" s="128" t="s">
        <v>639</v>
      </c>
      <c r="L16" s="156">
        <v>2</v>
      </c>
      <c r="M16" s="156">
        <v>1</v>
      </c>
      <c r="N16" s="156">
        <v>2</v>
      </c>
      <c r="O16" s="156">
        <v>2</v>
      </c>
      <c r="P16" s="156">
        <v>2</v>
      </c>
      <c r="Q16" s="156">
        <v>2</v>
      </c>
      <c r="R16" s="156">
        <v>2</v>
      </c>
      <c r="S16" s="156">
        <v>2</v>
      </c>
      <c r="T16" s="156">
        <v>2</v>
      </c>
    </row>
    <row r="17" ht="27" customHeight="1" spans="1:20">
      <c r="A17" s="154" t="str">
        <f>INDEX('Rate Card'!$A:$A,MATCH(数统二级标签!$K17,'Rate Card'!$F:$F,0))</f>
        <v>数统</v>
      </c>
      <c r="B17" s="154" t="str">
        <f t="shared" si="0"/>
        <v>A009LDM</v>
      </c>
      <c r="C17" s="154" t="str">
        <f t="shared" si="1"/>
        <v>T0028LDM</v>
      </c>
      <c r="D17" s="128" t="s">
        <v>917</v>
      </c>
      <c r="E17" s="128" t="str">
        <f>INDEX(二三级标准!$Q:$Q,MATCH(数统二级标签!D17,二三级标准!$O:$O,0))</f>
        <v>试验准备</v>
      </c>
      <c r="F17" s="128" t="s">
        <v>113</v>
      </c>
      <c r="G17" s="128" t="str">
        <f>INDEX(二三级标准!C:C,MATCH(数统二级标签!F17,二三级标准!$B:$B,0))</f>
        <v>方案培训</v>
      </c>
      <c r="H17" s="128" t="s">
        <v>1208</v>
      </c>
      <c r="I17" s="128" t="str">
        <f>INDEX(二三级标准!$M:$M,MATCH(数统二级标签!$H17,二三级标准!$L:$L,0))</f>
        <v>参加方案培训</v>
      </c>
      <c r="K17" s="128" t="s">
        <v>633</v>
      </c>
      <c r="L17" s="156">
        <v>2</v>
      </c>
      <c r="M17" s="156">
        <v>2</v>
      </c>
      <c r="N17" s="156">
        <v>2</v>
      </c>
      <c r="O17" s="156">
        <v>2</v>
      </c>
      <c r="P17" s="156">
        <v>2</v>
      </c>
      <c r="Q17" s="156">
        <v>2</v>
      </c>
      <c r="R17" s="156">
        <v>2</v>
      </c>
      <c r="S17" s="156">
        <v>2</v>
      </c>
      <c r="T17" s="156">
        <v>2</v>
      </c>
    </row>
    <row r="18" ht="27" customHeight="1" spans="1:20">
      <c r="A18" s="154" t="str">
        <f>INDEX('Rate Card'!$A:$A,MATCH(数统二级标签!$K18,'Rate Card'!$F:$F,0))</f>
        <v>数统</v>
      </c>
      <c r="B18" s="154" t="str">
        <f t="shared" si="0"/>
        <v>A009ST</v>
      </c>
      <c r="C18" s="154" t="str">
        <f t="shared" si="1"/>
        <v>T0028ST</v>
      </c>
      <c r="D18" s="128" t="s">
        <v>917</v>
      </c>
      <c r="E18" s="128" t="str">
        <f>INDEX(二三级标准!$Q:$Q,MATCH(数统二级标签!D18,二三级标准!$O:$O,0))</f>
        <v>试验准备</v>
      </c>
      <c r="F18" s="128" t="s">
        <v>113</v>
      </c>
      <c r="G18" s="128" t="str">
        <f>INDEX(二三级标准!C:C,MATCH(数统二级标签!F18,二三级标准!$B:$B,0))</f>
        <v>方案培训</v>
      </c>
      <c r="H18" s="128" t="s">
        <v>1208</v>
      </c>
      <c r="I18" s="128" t="str">
        <f>INDEX(二三级标准!$M:$M,MATCH(数统二级标签!$H18,二三级标准!$L:$L,0))</f>
        <v>参加方案培训</v>
      </c>
      <c r="J18" s="132" t="s">
        <v>2897</v>
      </c>
      <c r="K18" s="128" t="s">
        <v>639</v>
      </c>
      <c r="L18" s="156">
        <v>2</v>
      </c>
      <c r="M18" s="156">
        <v>2</v>
      </c>
      <c r="N18" s="156">
        <v>2</v>
      </c>
      <c r="O18" s="156">
        <v>2</v>
      </c>
      <c r="P18" s="156">
        <v>2</v>
      </c>
      <c r="Q18" s="156">
        <v>2</v>
      </c>
      <c r="R18" s="156">
        <v>2</v>
      </c>
      <c r="S18" s="156">
        <v>2</v>
      </c>
      <c r="T18" s="156">
        <v>2</v>
      </c>
    </row>
    <row r="19" ht="27" customHeight="1" spans="1:20">
      <c r="A19" s="154" t="str">
        <f>INDEX('Rate Card'!$A:$A,MATCH(数统二级标签!$K19,'Rate Card'!$F:$F,0))</f>
        <v>数统</v>
      </c>
      <c r="B19" s="154" t="str">
        <f t="shared" si="0"/>
        <v>A013LDM</v>
      </c>
      <c r="C19" s="154" t="str">
        <f t="shared" si="1"/>
        <v>T0609LDM</v>
      </c>
      <c r="D19" s="128" t="s">
        <v>917</v>
      </c>
      <c r="E19" s="128" t="str">
        <f>INDEX(二三级标准!$Q:$Q,MATCH(数统二级标签!D19,二三级标准!$O:$O,0))</f>
        <v>试验准备</v>
      </c>
      <c r="F19" s="128" t="s">
        <v>123</v>
      </c>
      <c r="G19" s="128" t="str">
        <f>INDEX(二三级标准!C:C,MATCH(数统二级标签!F19,二三级标准!$B:$B,0))</f>
        <v>首次伦理文件准备和递交</v>
      </c>
      <c r="H19" s="128" t="s">
        <v>1218</v>
      </c>
      <c r="I19" s="128" t="str">
        <f>INDEX(二三级标准!$M:$M,MATCH(数统二级标签!$H19,二三级标准!$L:$L,0))</f>
        <v>首次伦理资料准备(Mock CRF)</v>
      </c>
      <c r="J19" s="128" t="s">
        <v>2902</v>
      </c>
      <c r="K19" s="128" t="s">
        <v>633</v>
      </c>
      <c r="L19" s="156">
        <v>4</v>
      </c>
      <c r="M19" s="156">
        <v>2</v>
      </c>
      <c r="N19" s="156">
        <v>4</v>
      </c>
      <c r="O19" s="156">
        <v>4</v>
      </c>
      <c r="P19" s="156">
        <v>4</v>
      </c>
      <c r="Q19" s="156">
        <v>4</v>
      </c>
      <c r="R19" s="156">
        <v>4</v>
      </c>
      <c r="S19" s="156">
        <v>4</v>
      </c>
      <c r="T19" s="156">
        <v>4</v>
      </c>
    </row>
    <row r="20" ht="27" customHeight="1" spans="1:20">
      <c r="A20" s="154" t="str">
        <f>INDEX('Rate Card'!$A:$A,MATCH(数统二级标签!$K20,'Rate Card'!$F:$F,0))</f>
        <v>数统</v>
      </c>
      <c r="B20" s="154" t="str">
        <f t="shared" si="0"/>
        <v>A025ST</v>
      </c>
      <c r="C20" s="154" t="str">
        <f t="shared" si="1"/>
        <v>T0062ST</v>
      </c>
      <c r="D20" s="128" t="s">
        <v>919</v>
      </c>
      <c r="E20" s="128" t="str">
        <f>INDEX(二三级标准!$Q:$Q,MATCH(数统二级标签!D20,二三级标准!$O:$O,0))</f>
        <v>召开研究者会议</v>
      </c>
      <c r="F20" s="128" t="s">
        <v>151</v>
      </c>
      <c r="G20" s="128" t="str">
        <f>INDEX(二三级标准!C:C,MATCH(数统二级标签!F20,二三级标准!$B:$B,0))</f>
        <v>召开方案讨论会</v>
      </c>
      <c r="H20" s="128" t="s">
        <v>1239</v>
      </c>
      <c r="I20" s="128" t="str">
        <f>INDEX(二三级标准!$M:$M,MATCH(数统二级标签!$H20,二三级标准!$L:$L,0))</f>
        <v>参加方案讨论会</v>
      </c>
      <c r="K20" s="128" t="s">
        <v>639</v>
      </c>
      <c r="L20" s="156">
        <v>2</v>
      </c>
      <c r="M20" s="156">
        <v>2</v>
      </c>
      <c r="N20" s="156">
        <v>2</v>
      </c>
      <c r="O20" s="156">
        <v>2</v>
      </c>
      <c r="P20" s="156">
        <v>2</v>
      </c>
      <c r="Q20" s="156">
        <v>2</v>
      </c>
      <c r="R20" s="156">
        <v>2</v>
      </c>
      <c r="S20" s="156">
        <v>2</v>
      </c>
      <c r="T20" s="156">
        <v>2</v>
      </c>
    </row>
    <row r="21" ht="27" customHeight="1" spans="1:20">
      <c r="A21" s="154" t="str">
        <f>INDEX('Rate Card'!$A:$A,MATCH(数统二级标签!$K21,'Rate Card'!$F:$F,0))</f>
        <v>数统</v>
      </c>
      <c r="B21" s="154" t="str">
        <f t="shared" si="0"/>
        <v>A026ST</v>
      </c>
      <c r="C21" s="154" t="str">
        <f t="shared" si="1"/>
        <v>T0064ST</v>
      </c>
      <c r="D21" s="128" t="s">
        <v>919</v>
      </c>
      <c r="E21" s="128" t="str">
        <f>INDEX(二三级标准!$Q:$Q,MATCH(数统二级标签!D21,二三级标准!$O:$O,0))</f>
        <v>召开研究者会议</v>
      </c>
      <c r="F21" s="128" t="s">
        <v>154</v>
      </c>
      <c r="G21" s="128" t="str">
        <f>INDEX(二三级标准!C:C,MATCH(数统二级标签!F21,二三级标准!$B:$B,0))</f>
        <v>召开首次研究者会</v>
      </c>
      <c r="H21" s="128" t="s">
        <v>1241</v>
      </c>
      <c r="I21" s="128" t="str">
        <f>INDEX(二三级标准!$M:$M,MATCH(数统二级标签!$H21,二三级标准!$L:$L,0))</f>
        <v>参加首次研究者会</v>
      </c>
      <c r="K21" s="128" t="s">
        <v>639</v>
      </c>
      <c r="L21" s="156">
        <v>2</v>
      </c>
      <c r="M21" s="156">
        <v>2</v>
      </c>
      <c r="N21" s="156">
        <v>2</v>
      </c>
      <c r="O21" s="156">
        <v>2</v>
      </c>
      <c r="P21" s="156">
        <v>2</v>
      </c>
      <c r="Q21" s="156">
        <v>2</v>
      </c>
      <c r="R21" s="156">
        <v>2</v>
      </c>
      <c r="S21" s="156">
        <v>2</v>
      </c>
      <c r="T21" s="156">
        <v>2</v>
      </c>
    </row>
    <row r="22" ht="27" customHeight="1" spans="1:20">
      <c r="A22" s="154" t="str">
        <f>INDEX('Rate Card'!$A:$A,MATCH(数统二级标签!$K22,'Rate Card'!$F:$F,0))</f>
        <v>数统</v>
      </c>
      <c r="B22" s="154" t="str">
        <f t="shared" si="0"/>
        <v>A028DM</v>
      </c>
      <c r="C22" s="154" t="str">
        <f t="shared" si="1"/>
        <v>T0069DM</v>
      </c>
      <c r="D22" s="128" t="s">
        <v>919</v>
      </c>
      <c r="E22" s="128" t="str">
        <f>INDEX(二三级标准!$Q:$Q,MATCH(数统二级标签!D22,二三级标准!$O:$O,0))</f>
        <v>召开研究者会议</v>
      </c>
      <c r="F22" s="128" t="s">
        <v>159</v>
      </c>
      <c r="G22" s="128" t="str">
        <f>INDEX(二三级标准!C:C,MATCH(数统二级标签!F22,二三级标准!$B:$B,0))</f>
        <v>召开SRC/SMC会</v>
      </c>
      <c r="H22" s="128" t="s">
        <v>1245</v>
      </c>
      <c r="I22" s="128" t="str">
        <f>INDEX(二三级标准!$M:$M,MATCH(数统二级标签!$H22,二三级标准!$L:$L,0))</f>
        <v>SRC/SMC数据清理和导出</v>
      </c>
      <c r="K22" s="128" t="s">
        <v>631</v>
      </c>
      <c r="L22" s="156">
        <v>2</v>
      </c>
      <c r="M22" s="156">
        <v>2</v>
      </c>
      <c r="N22" s="156">
        <v>1.3</v>
      </c>
      <c r="O22" s="156">
        <v>1.5</v>
      </c>
      <c r="P22" s="156">
        <v>2.25</v>
      </c>
      <c r="Q22" s="156">
        <v>3</v>
      </c>
      <c r="R22" s="156">
        <v>1.5</v>
      </c>
      <c r="S22" s="156">
        <v>1.5</v>
      </c>
      <c r="T22" s="156">
        <v>1.5</v>
      </c>
    </row>
    <row r="23" ht="27" customHeight="1" spans="1:20">
      <c r="A23" s="154" t="str">
        <f>INDEX('Rate Card'!$A:$A,MATCH(数统二级标签!$K23,'Rate Card'!$F:$F,0))</f>
        <v>数统</v>
      </c>
      <c r="B23" s="154" t="str">
        <f t="shared" si="0"/>
        <v>A028SA</v>
      </c>
      <c r="C23" s="154" t="str">
        <f t="shared" si="1"/>
        <v>T0070SA</v>
      </c>
      <c r="D23" s="128" t="s">
        <v>919</v>
      </c>
      <c r="E23" s="128" t="str">
        <f>INDEX(二三级标准!$Q:$Q,MATCH(数统二级标签!D23,二三级标准!$O:$O,0))</f>
        <v>召开研究者会议</v>
      </c>
      <c r="F23" s="128" t="s">
        <v>159</v>
      </c>
      <c r="G23" s="128" t="str">
        <f>INDEX(二三级标准!C:C,MATCH(数统二级标签!F23,二三级标准!$B:$B,0))</f>
        <v>召开SRC/SMC会</v>
      </c>
      <c r="H23" s="128" t="s">
        <v>2903</v>
      </c>
      <c r="I23" s="128" t="str">
        <f>INDEX(二三级标准!$M:$M,MATCH(数统二级标签!$H23,二三级标准!$L:$L,0))</f>
        <v>产生SRC/SMC统计TFLs</v>
      </c>
      <c r="J23" s="128" t="s">
        <v>2904</v>
      </c>
      <c r="K23" s="128" t="s">
        <v>635</v>
      </c>
      <c r="L23" s="162">
        <v>1</v>
      </c>
      <c r="M23" s="156">
        <v>1</v>
      </c>
      <c r="N23" s="156">
        <v>1.3</v>
      </c>
      <c r="O23" s="156">
        <v>1.5</v>
      </c>
      <c r="P23" s="156">
        <v>1.5</v>
      </c>
      <c r="Q23" s="156">
        <v>1.5</v>
      </c>
      <c r="R23" s="156">
        <v>1.5</v>
      </c>
      <c r="S23" s="156">
        <v>1.5</v>
      </c>
      <c r="T23" s="156">
        <v>1.5</v>
      </c>
    </row>
    <row r="24" ht="27" customHeight="1" spans="1:20">
      <c r="A24" s="154" t="str">
        <f>INDEX('Rate Card'!$A:$A,MATCH(数统二级标签!$K24,'Rate Card'!$F:$F,0))</f>
        <v>数统</v>
      </c>
      <c r="B24" s="154" t="str">
        <f t="shared" si="0"/>
        <v>A028SA</v>
      </c>
      <c r="C24" s="154" t="str">
        <f t="shared" si="1"/>
        <v>T0071SA</v>
      </c>
      <c r="D24" s="128" t="s">
        <v>919</v>
      </c>
      <c r="E24" s="128" t="str">
        <f>INDEX(二三级标准!$Q:$Q,MATCH(数统二级标签!D24,二三级标准!$O:$O,0))</f>
        <v>召开研究者会议</v>
      </c>
      <c r="F24" s="128" t="s">
        <v>159</v>
      </c>
      <c r="G24" s="128" t="str">
        <f>INDEX(二三级标准!C:C,MATCH(数统二级标签!F24,二三级标准!$B:$B,0))</f>
        <v>召开SRC/SMC会</v>
      </c>
      <c r="H24" s="128" t="s">
        <v>2905</v>
      </c>
      <c r="I24" s="128" t="str">
        <f>INDEX(二三级标准!$M:$M,MATCH(数统二级标签!$H24,二三级标准!$L:$L,0))</f>
        <v>验证SRC/SMC统计TFLs</v>
      </c>
      <c r="J24" s="128" t="s">
        <v>2904</v>
      </c>
      <c r="K24" s="128" t="s">
        <v>635</v>
      </c>
      <c r="L24" s="162">
        <v>1</v>
      </c>
      <c r="M24" s="156">
        <v>1</v>
      </c>
      <c r="N24" s="156">
        <v>1.3</v>
      </c>
      <c r="O24" s="156">
        <v>1.5</v>
      </c>
      <c r="P24" s="156">
        <v>1.5</v>
      </c>
      <c r="Q24" s="156">
        <v>1.5</v>
      </c>
      <c r="R24" s="156">
        <v>1.5</v>
      </c>
      <c r="S24" s="156">
        <v>1.5</v>
      </c>
      <c r="T24" s="156">
        <v>1.5</v>
      </c>
    </row>
    <row r="25" ht="27" customHeight="1" spans="1:20">
      <c r="A25" s="154" t="str">
        <f>INDEX('Rate Card'!$A:$A,MATCH(数统二级标签!$K25,'Rate Card'!$F:$F,0))</f>
        <v>数统</v>
      </c>
      <c r="B25" s="154" t="str">
        <f t="shared" si="0"/>
        <v>A028SAM</v>
      </c>
      <c r="C25" s="154" t="str">
        <f t="shared" si="1"/>
        <v>T0072SAM</v>
      </c>
      <c r="D25" s="128" t="s">
        <v>919</v>
      </c>
      <c r="E25" s="128" t="str">
        <f>INDEX(二三级标准!$Q:$Q,MATCH(数统二级标签!D25,二三级标准!$O:$O,0))</f>
        <v>召开研究者会议</v>
      </c>
      <c r="F25" s="128" t="s">
        <v>159</v>
      </c>
      <c r="G25" s="128" t="str">
        <f>INDEX(二三级标准!C:C,MATCH(数统二级标签!F25,二三级标准!$B:$B,0))</f>
        <v>召开SRC/SMC会</v>
      </c>
      <c r="H25" s="128" t="s">
        <v>1246</v>
      </c>
      <c r="I25" s="128" t="str">
        <f>INDEX(二三级标准!$M:$M,MATCH(数统二级标签!$H25,二三级标准!$L:$L,0))</f>
        <v>运行SRC/SMC统计TFLs</v>
      </c>
      <c r="J25" s="128" t="s">
        <v>2904</v>
      </c>
      <c r="K25" s="128" t="s">
        <v>638</v>
      </c>
      <c r="L25" s="162">
        <v>8</v>
      </c>
      <c r="M25" s="156">
        <v>8</v>
      </c>
      <c r="N25" s="156">
        <v>5.2</v>
      </c>
      <c r="O25" s="156">
        <v>6</v>
      </c>
      <c r="P25" s="156">
        <v>6</v>
      </c>
      <c r="Q25" s="156">
        <v>6</v>
      </c>
      <c r="R25" s="156">
        <v>6</v>
      </c>
      <c r="S25" s="156">
        <v>6</v>
      </c>
      <c r="T25" s="156">
        <v>6</v>
      </c>
    </row>
    <row r="26" ht="27" customHeight="1" spans="1:20">
      <c r="A26" s="163" t="str">
        <f>INDEX('Rate Card'!$A:$A,MATCH(数统二级标签!$K26,'Rate Card'!$F:$F,0))</f>
        <v>数统</v>
      </c>
      <c r="B26" s="154" t="str">
        <f t="shared" si="0"/>
        <v>A028ST</v>
      </c>
      <c r="C26" s="154" t="str">
        <f t="shared" si="1"/>
        <v>T0073ST</v>
      </c>
      <c r="D26" s="132" t="s">
        <v>919</v>
      </c>
      <c r="E26" s="132" t="str">
        <f>INDEX(二三级标准!$Q:$Q,MATCH(数统二级标签!D26,二三级标准!$O:$O,0))</f>
        <v>召开研究者会议</v>
      </c>
      <c r="F26" s="132" t="s">
        <v>159</v>
      </c>
      <c r="G26" s="132" t="str">
        <f>INDEX(二三级标准!C:C,MATCH(数统二级标签!F26,二三级标准!$B:$B,0))</f>
        <v>召开SRC/SMC会</v>
      </c>
      <c r="H26" s="132" t="s">
        <v>2906</v>
      </c>
      <c r="I26" s="132" t="str">
        <f>INDEX(二三级标准!$M:$M,MATCH(数统二级标签!$H26,二三级标准!$L:$L,0))</f>
        <v>审核SRC/SMC统计TLFs</v>
      </c>
      <c r="J26" s="132" t="s">
        <v>2907</v>
      </c>
      <c r="K26" s="132" t="s">
        <v>639</v>
      </c>
      <c r="M26" s="156">
        <v>0</v>
      </c>
    </row>
    <row r="27" ht="27" customHeight="1" spans="1:20">
      <c r="A27" s="163" t="str">
        <f>INDEX('Rate Card'!$A:$A,MATCH(数统二级标签!$K27,'Rate Card'!$F:$F,0))</f>
        <v>数统</v>
      </c>
      <c r="B27" s="154" t="str">
        <f t="shared" ref="B27:B30" si="2">F27&amp;K27</f>
        <v>A052LDM</v>
      </c>
      <c r="C27" s="154" t="str">
        <f t="shared" ref="C27:C30" si="3">H27&amp;K27</f>
        <v>T0133LDM</v>
      </c>
      <c r="D27" s="128" t="s">
        <v>921</v>
      </c>
      <c r="E27" s="128" t="str">
        <f>INDEX(二三级标准!$Q:$Q,MATCH(数统二级标签!D27,二三级标准!$O:$O,0))</f>
        <v>项目管理</v>
      </c>
      <c r="F27" s="128" t="s">
        <v>209</v>
      </c>
      <c r="G27" s="128" t="str">
        <f>INDEX(二三级标准!C:C,MATCH(数统二级标签!F27,二三级标准!$B:$B,0))</f>
        <v>项目管理计划PMP撰写</v>
      </c>
      <c r="H27" s="128" t="s">
        <v>1306</v>
      </c>
      <c r="I27" s="128" t="str">
        <f>INDEX(二三级标准!$M:$M,MATCH(数统二级标签!$H27,二三级标准!$L:$L,0))</f>
        <v>服务范围和时间计划撰写和审核</v>
      </c>
      <c r="J27" s="132"/>
      <c r="K27" s="128" t="s">
        <v>633</v>
      </c>
      <c r="L27" s="156">
        <v>2</v>
      </c>
      <c r="M27" s="156">
        <v>2</v>
      </c>
    </row>
    <row r="28" ht="27" customHeight="1" spans="1:20">
      <c r="A28" s="163" t="str">
        <f>INDEX('Rate Card'!$A:$A,MATCH(数统二级标签!$K28,'Rate Card'!$F:$F,0))</f>
        <v>数统</v>
      </c>
      <c r="B28" s="154" t="str">
        <f t="shared" si="2"/>
        <v>A052LDM</v>
      </c>
      <c r="C28" s="154" t="str">
        <f t="shared" si="3"/>
        <v>T0135LDM</v>
      </c>
      <c r="D28" s="128" t="s">
        <v>922</v>
      </c>
      <c r="E28" s="128" t="str">
        <f>INDEX(二三级标准!$Q:$Q,MATCH(数统二级标签!D28,二三级标准!$O:$O,0))</f>
        <v>医学监查</v>
      </c>
      <c r="F28" s="128" t="s">
        <v>209</v>
      </c>
      <c r="G28" s="128" t="str">
        <f>INDEX(二三级标准!C:C,MATCH(数统二级标签!F28,二三级标准!$B:$B,0))</f>
        <v>项目管理计划PMP撰写</v>
      </c>
      <c r="H28" s="128" t="s">
        <v>1308</v>
      </c>
      <c r="I28" s="128" t="str">
        <f>INDEX(二三级标准!$M:$M,MATCH(数统二级标签!$H28,二三级标准!$L:$L,0))</f>
        <v>沟通管理计划撰写和审核</v>
      </c>
      <c r="J28" s="132"/>
      <c r="K28" s="128" t="s">
        <v>633</v>
      </c>
      <c r="L28" s="156">
        <v>2</v>
      </c>
      <c r="M28" s="156">
        <v>2</v>
      </c>
    </row>
    <row r="29" ht="27" customHeight="1" spans="1:20">
      <c r="A29" s="163" t="str">
        <f>INDEX('Rate Card'!$A:$A,MATCH(数统二级标签!$K29,'Rate Card'!$F:$F,0))</f>
        <v>数统</v>
      </c>
      <c r="B29" s="154" t="str">
        <f t="shared" si="2"/>
        <v>A052LDM</v>
      </c>
      <c r="C29" s="154" t="str">
        <f t="shared" si="3"/>
        <v>T0136LDM</v>
      </c>
      <c r="D29" s="128" t="s">
        <v>923</v>
      </c>
      <c r="E29" s="128" t="str">
        <f>INDEX(二三级标准!$Q:$Q,MATCH(数统二级标签!D29,二三级标准!$O:$O,0))</f>
        <v>数据管理</v>
      </c>
      <c r="F29" s="128" t="s">
        <v>209</v>
      </c>
      <c r="G29" s="128" t="str">
        <f>INDEX(二三级标准!C:C,MATCH(数统二级标签!F29,二三级标准!$B:$B,0))</f>
        <v>项目管理计划PMP撰写</v>
      </c>
      <c r="H29" s="128" t="s">
        <v>1309</v>
      </c>
      <c r="I29" s="128" t="str">
        <f>INDEX(二三级标准!$M:$M,MATCH(数统二级标签!$H29,二三级标准!$L:$L,0))</f>
        <v>风险管理计划撰写和审核</v>
      </c>
      <c r="J29" s="132"/>
      <c r="K29" s="128" t="s">
        <v>633</v>
      </c>
      <c r="L29" s="156">
        <v>2</v>
      </c>
      <c r="M29" s="156">
        <v>2</v>
      </c>
    </row>
    <row r="30" ht="27" customHeight="1" spans="1:20">
      <c r="A30" s="163" t="str">
        <f>INDEX('Rate Card'!$A:$A,MATCH(数统二级标签!$K30,'Rate Card'!$F:$F,0))</f>
        <v>数统</v>
      </c>
      <c r="B30" s="154" t="str">
        <f t="shared" si="2"/>
        <v>A052LDM</v>
      </c>
      <c r="C30" s="154" t="str">
        <f t="shared" si="3"/>
        <v>T0137LDM</v>
      </c>
      <c r="D30" s="128" t="s">
        <v>924</v>
      </c>
      <c r="E30" s="128" t="str">
        <f>INDEX(二三级标准!$Q:$Q,MATCH(数统二级标签!D30,二三级标准!$O:$O,0))</f>
        <v>生物统计及分析</v>
      </c>
      <c r="F30" s="128" t="s">
        <v>209</v>
      </c>
      <c r="G30" s="128" t="str">
        <f>INDEX(二三级标准!C:C,MATCH(数统二级标签!F30,二三级标准!$B:$B,0))</f>
        <v>项目管理计划PMP撰写</v>
      </c>
      <c r="H30" s="128" t="s">
        <v>1310</v>
      </c>
      <c r="I30" s="128" t="str">
        <f>INDEX(二三级标准!$M:$M,MATCH(数统二级标签!$H30,二三级标准!$L:$L,0))</f>
        <v>文件管理计划撰写和审核</v>
      </c>
      <c r="J30" s="132"/>
      <c r="K30" s="128" t="s">
        <v>633</v>
      </c>
      <c r="L30" s="156">
        <v>2</v>
      </c>
      <c r="M30" s="156">
        <v>2</v>
      </c>
    </row>
    <row r="31" ht="27" customHeight="1" spans="1:20">
      <c r="A31" s="154" t="str">
        <f>INDEX('Rate Card'!$A:$A,MATCH(数统二级标签!$K31,'Rate Card'!$F:$F,0))</f>
        <v>数统</v>
      </c>
      <c r="B31" s="154" t="str">
        <f t="shared" si="0"/>
        <v>A066LDM</v>
      </c>
      <c r="C31" s="154" t="str">
        <f t="shared" si="1"/>
        <v>T0158LDM</v>
      </c>
      <c r="D31" s="128" t="s">
        <v>921</v>
      </c>
      <c r="E31" s="128" t="str">
        <f>INDEX(二三级标准!$Q:$Q,MATCH(数统二级标签!D31,二三级标准!$O:$O,0))</f>
        <v>项目管理</v>
      </c>
      <c r="F31" s="128" t="s">
        <v>237</v>
      </c>
      <c r="G31" s="128" t="str">
        <f>INDEX(二三级标准!C:C,MATCH(数统二级标签!F31,二三级标准!$B:$B,0))</f>
        <v>召开客户电话会</v>
      </c>
      <c r="H31" s="128" t="s">
        <v>1330</v>
      </c>
      <c r="I31" s="128" t="str">
        <f>INDEX(二三级标准!$M:$M,MATCH(数统二级标签!$H31,二三级标准!$L:$L,0))</f>
        <v>参加客户电话会</v>
      </c>
      <c r="K31" s="128" t="s">
        <v>633</v>
      </c>
      <c r="L31" s="156">
        <v>1</v>
      </c>
      <c r="M31" s="156">
        <v>1</v>
      </c>
      <c r="N31" s="156">
        <v>1</v>
      </c>
      <c r="O31" s="156">
        <v>1</v>
      </c>
      <c r="P31" s="156">
        <v>1</v>
      </c>
      <c r="Q31" s="156">
        <v>1</v>
      </c>
      <c r="R31" s="156">
        <v>1</v>
      </c>
      <c r="S31" s="156">
        <v>1</v>
      </c>
      <c r="T31" s="156">
        <v>1</v>
      </c>
    </row>
    <row r="32" ht="27" customHeight="1" spans="1:20">
      <c r="A32" s="154" t="str">
        <f>INDEX('Rate Card'!$A:$A,MATCH(数统二级标签!$K32,'Rate Card'!$F:$F,0))</f>
        <v>数统</v>
      </c>
      <c r="B32" s="154" t="str">
        <f t="shared" si="0"/>
        <v>A066ST</v>
      </c>
      <c r="C32" s="154" t="str">
        <f t="shared" si="1"/>
        <v>T0158ST</v>
      </c>
      <c r="D32" s="128" t="s">
        <v>921</v>
      </c>
      <c r="E32" s="128" t="str">
        <f>INDEX(二三级标准!$Q:$Q,MATCH(数统二级标签!D32,二三级标准!$O:$O,0))</f>
        <v>项目管理</v>
      </c>
      <c r="F32" s="128" t="s">
        <v>237</v>
      </c>
      <c r="G32" s="128" t="str">
        <f>INDEX(二三级标准!C:C,MATCH(数统二级标签!F32,二三级标准!$B:$B,0))</f>
        <v>召开客户电话会</v>
      </c>
      <c r="H32" s="128" t="s">
        <v>1330</v>
      </c>
      <c r="I32" s="128" t="str">
        <f>INDEX(二三级标准!$M:$M,MATCH(数统二级标签!$H32,二三级标准!$L:$L,0))</f>
        <v>参加客户电话会</v>
      </c>
      <c r="K32" s="128" t="s">
        <v>639</v>
      </c>
      <c r="L32" s="156">
        <v>0</v>
      </c>
      <c r="M32" s="156">
        <v>1</v>
      </c>
      <c r="N32" s="156">
        <v>0</v>
      </c>
      <c r="O32" s="156">
        <v>0</v>
      </c>
      <c r="P32" s="156">
        <v>0</v>
      </c>
      <c r="Q32" s="156">
        <v>0</v>
      </c>
      <c r="R32" s="156">
        <v>0</v>
      </c>
      <c r="S32" s="156">
        <v>0</v>
      </c>
      <c r="T32" s="156">
        <v>0</v>
      </c>
    </row>
    <row r="33" ht="27" customHeight="1" spans="1:20">
      <c r="A33" s="154" t="str">
        <f>INDEX('Rate Card'!$A:$A,MATCH(数统二级标签!$K33,'Rate Card'!$F:$F,0))</f>
        <v>数统</v>
      </c>
      <c r="B33" s="154" t="str">
        <f t="shared" si="0"/>
        <v>A069LDM</v>
      </c>
      <c r="C33" s="154" t="str">
        <f t="shared" si="1"/>
        <v>T0162LDM</v>
      </c>
      <c r="D33" s="128" t="s">
        <v>921</v>
      </c>
      <c r="E33" s="128" t="str">
        <f>INDEX(二三级标准!$Q:$Q,MATCH(数统二级标签!D33,二三级标准!$O:$O,0))</f>
        <v>项目管理</v>
      </c>
      <c r="F33" s="128" t="s">
        <v>243</v>
      </c>
      <c r="G33" s="128" t="str">
        <f>INDEX(二三级标准!C:C,MATCH(数统二级标签!F33,二三级标准!$B:$B,0))</f>
        <v>召开项目电话会</v>
      </c>
      <c r="H33" s="128" t="s">
        <v>1334</v>
      </c>
      <c r="I33" s="128" t="str">
        <f>INDEX(二三级标准!$M:$M,MATCH(数统二级标签!$H33,二三级标准!$L:$L,0))</f>
        <v>参加项目电话会</v>
      </c>
      <c r="K33" s="128" t="s">
        <v>633</v>
      </c>
      <c r="L33" s="156">
        <v>1</v>
      </c>
      <c r="M33" s="156">
        <v>1</v>
      </c>
      <c r="N33" s="156">
        <v>1</v>
      </c>
      <c r="O33" s="156">
        <v>1</v>
      </c>
      <c r="P33" s="156">
        <v>1</v>
      </c>
      <c r="Q33" s="156">
        <v>1</v>
      </c>
      <c r="R33" s="156">
        <v>1</v>
      </c>
      <c r="S33" s="156">
        <v>1</v>
      </c>
      <c r="T33" s="156">
        <v>1</v>
      </c>
    </row>
    <row r="34" ht="27" customHeight="1" spans="1:20">
      <c r="A34" s="154" t="str">
        <f>INDEX('Rate Card'!$A:$A,MATCH(数统二级标签!$K34,'Rate Card'!$F:$F,0))</f>
        <v>数统</v>
      </c>
      <c r="B34" s="154" t="str">
        <f t="shared" si="0"/>
        <v>A069ST</v>
      </c>
      <c r="C34" s="154" t="str">
        <f t="shared" si="1"/>
        <v>T0162ST</v>
      </c>
      <c r="D34" s="128" t="s">
        <v>921</v>
      </c>
      <c r="E34" s="128" t="str">
        <f>INDEX(二三级标准!$Q:$Q,MATCH(数统二级标签!D34,二三级标准!$O:$O,0))</f>
        <v>项目管理</v>
      </c>
      <c r="F34" s="128" t="s">
        <v>243</v>
      </c>
      <c r="G34" s="128" t="str">
        <f>INDEX(二三级标准!C:C,MATCH(数统二级标签!F34,二三级标准!$B:$B,0))</f>
        <v>召开项目电话会</v>
      </c>
      <c r="H34" s="128" t="s">
        <v>1334</v>
      </c>
      <c r="I34" s="128" t="str">
        <f>INDEX(二三级标准!$M:$M,MATCH(数统二级标签!$H34,二三级标准!$L:$L,0))</f>
        <v>参加项目电话会</v>
      </c>
      <c r="K34" s="128" t="s">
        <v>639</v>
      </c>
      <c r="L34" s="156">
        <v>0</v>
      </c>
      <c r="M34" s="156">
        <v>1</v>
      </c>
      <c r="N34" s="156">
        <v>0</v>
      </c>
      <c r="O34" s="156">
        <v>0</v>
      </c>
      <c r="P34" s="156">
        <v>0</v>
      </c>
      <c r="Q34" s="156">
        <v>0</v>
      </c>
      <c r="R34" s="156">
        <v>0</v>
      </c>
      <c r="S34" s="156">
        <v>0</v>
      </c>
      <c r="T34" s="156">
        <v>0</v>
      </c>
    </row>
    <row r="35" ht="27" customHeight="1" spans="1:20">
      <c r="A35" s="154" t="str">
        <f>INDEX('Rate Card'!$A:$A,MATCH(数统二级标签!$K35,'Rate Card'!$F:$F,0))</f>
        <v>数统</v>
      </c>
      <c r="B35" s="154" t="str">
        <f t="shared" si="0"/>
        <v>A081SA</v>
      </c>
      <c r="C35" s="154" t="str">
        <f t="shared" si="1"/>
        <v>T0185SA</v>
      </c>
      <c r="D35" s="128" t="s">
        <v>922</v>
      </c>
      <c r="E35" s="128" t="str">
        <f>INDEX(二三级标准!$Q:$Q,MATCH(数统二级标签!D35,二三级标准!$O:$O,0))</f>
        <v>医学监查</v>
      </c>
      <c r="F35" s="128" t="s">
        <v>267</v>
      </c>
      <c r="G35" s="128" t="str">
        <f>INDEX(二三级标准!C:C,MATCH(数统二级标签!F35,二三级标准!$B:$B,0))</f>
        <v>医学监查报告撰写</v>
      </c>
      <c r="H35" s="128" t="s">
        <v>2908</v>
      </c>
      <c r="I35" s="128" t="str">
        <f>INDEX(二三级标准!$M:$M,MATCH(数统二级标签!$H35,二三级标准!$L:$L,0))</f>
        <v>产生MMR统计TFLs</v>
      </c>
      <c r="J35" s="128" t="s">
        <v>2904</v>
      </c>
      <c r="K35" s="128" t="s">
        <v>635</v>
      </c>
      <c r="L35" s="162">
        <v>1</v>
      </c>
      <c r="M35" s="156">
        <v>1</v>
      </c>
      <c r="N35" s="156">
        <v>1.3</v>
      </c>
      <c r="O35" s="156">
        <v>1.5</v>
      </c>
      <c r="P35" s="156">
        <v>1.5</v>
      </c>
      <c r="Q35" s="156">
        <v>1.5</v>
      </c>
      <c r="R35" s="156">
        <v>1.5</v>
      </c>
      <c r="S35" s="156">
        <v>1.5</v>
      </c>
      <c r="T35" s="156">
        <v>1.5</v>
      </c>
    </row>
    <row r="36" ht="27" customHeight="1" spans="1:20">
      <c r="A36" s="154" t="str">
        <f>INDEX('Rate Card'!$A:$A,MATCH(数统二级标签!$K36,'Rate Card'!$F:$F,0))</f>
        <v>数统</v>
      </c>
      <c r="B36" s="154" t="str">
        <f t="shared" si="0"/>
        <v>A081SA</v>
      </c>
      <c r="C36" s="154" t="str">
        <f t="shared" si="1"/>
        <v>T0186SA</v>
      </c>
      <c r="D36" s="128" t="s">
        <v>922</v>
      </c>
      <c r="E36" s="128" t="str">
        <f>INDEX(二三级标准!$Q:$Q,MATCH(数统二级标签!D36,二三级标准!$O:$O,0))</f>
        <v>医学监查</v>
      </c>
      <c r="F36" s="128" t="s">
        <v>267</v>
      </c>
      <c r="G36" s="128" t="str">
        <f>INDEX(二三级标准!C:C,MATCH(数统二级标签!F36,二三级标准!$B:$B,0))</f>
        <v>医学监查报告撰写</v>
      </c>
      <c r="H36" s="128" t="s">
        <v>2909</v>
      </c>
      <c r="I36" s="128" t="str">
        <f>INDEX(二三级标准!$M:$M,MATCH(数统二级标签!$H36,二三级标准!$L:$L,0))</f>
        <v>验证MMR统计TFLs</v>
      </c>
      <c r="J36" s="128" t="s">
        <v>2904</v>
      </c>
      <c r="K36" s="128" t="s">
        <v>635</v>
      </c>
      <c r="L36" s="162">
        <v>1</v>
      </c>
      <c r="M36" s="156">
        <v>1</v>
      </c>
      <c r="N36" s="156">
        <v>1.3</v>
      </c>
      <c r="O36" s="156">
        <v>1.5</v>
      </c>
      <c r="P36" s="156">
        <v>1.5</v>
      </c>
      <c r="Q36" s="156">
        <v>1.5</v>
      </c>
      <c r="R36" s="156">
        <v>1.5</v>
      </c>
      <c r="S36" s="156">
        <v>1.5</v>
      </c>
      <c r="T36" s="156">
        <v>1.5</v>
      </c>
    </row>
    <row r="37" ht="27" customHeight="1" spans="1:20">
      <c r="A37" s="154" t="str">
        <f>INDEX('Rate Card'!$A:$A,MATCH(数统二级标签!$K37,'Rate Card'!$F:$F,0))</f>
        <v>数统</v>
      </c>
      <c r="B37" s="154" t="str">
        <f t="shared" si="0"/>
        <v>A081SAM</v>
      </c>
      <c r="C37" s="154" t="str">
        <f t="shared" si="1"/>
        <v>T0187SAM</v>
      </c>
      <c r="D37" s="128" t="s">
        <v>922</v>
      </c>
      <c r="E37" s="128" t="str">
        <f>INDEX(二三级标准!$Q:$Q,MATCH(数统二级标签!D37,二三级标准!$O:$O,0))</f>
        <v>医学监查</v>
      </c>
      <c r="F37" s="128" t="s">
        <v>267</v>
      </c>
      <c r="G37" s="128" t="str">
        <f>INDEX(二三级标准!C:C,MATCH(数统二级标签!F37,二三级标准!$B:$B,0))</f>
        <v>医学监查报告撰写</v>
      </c>
      <c r="H37" s="128" t="s">
        <v>1361</v>
      </c>
      <c r="I37" s="128" t="str">
        <f>INDEX(二三级标准!$M:$M,MATCH(数统二级标签!$H37,二三级标准!$L:$L,0))</f>
        <v>运行MMR统计TFLs</v>
      </c>
      <c r="J37" s="128" t="s">
        <v>2904</v>
      </c>
      <c r="K37" s="128" t="s">
        <v>638</v>
      </c>
      <c r="L37" s="162">
        <v>8</v>
      </c>
      <c r="M37" s="156">
        <v>8</v>
      </c>
      <c r="N37" s="156">
        <v>5.2</v>
      </c>
      <c r="O37" s="156">
        <v>6</v>
      </c>
      <c r="P37" s="156">
        <v>8</v>
      </c>
      <c r="Q37" s="156">
        <v>8</v>
      </c>
      <c r="R37" s="156">
        <v>6</v>
      </c>
      <c r="S37" s="156">
        <v>6</v>
      </c>
      <c r="T37" s="156">
        <v>6</v>
      </c>
    </row>
    <row r="38" ht="27" customHeight="1" spans="1:20">
      <c r="A38" s="163" t="str">
        <f>INDEX('Rate Card'!$A:$A,MATCH(数统二级标签!$K38,'Rate Card'!$F:$F,0))</f>
        <v>数统</v>
      </c>
      <c r="B38" s="154" t="str">
        <f t="shared" si="0"/>
        <v>A081ST</v>
      </c>
      <c r="C38" s="154" t="str">
        <f t="shared" si="1"/>
        <v>T0188ST</v>
      </c>
      <c r="D38" s="132" t="s">
        <v>922</v>
      </c>
      <c r="E38" s="132" t="str">
        <f>INDEX(二三级标准!$Q:$Q,MATCH(数统二级标签!D38,二三级标准!$O:$O,0))</f>
        <v>医学监查</v>
      </c>
      <c r="F38" s="132" t="s">
        <v>267</v>
      </c>
      <c r="G38" s="132" t="str">
        <f>INDEX(二三级标准!C:C,MATCH(数统二级标签!F38,二三级标准!$B:$B,0))</f>
        <v>医学监查报告撰写</v>
      </c>
      <c r="H38" s="132" t="s">
        <v>2910</v>
      </c>
      <c r="I38" s="132" t="str">
        <f>INDEX(二三级标准!$M:$M,MATCH(数统二级标签!$H38,二三级标准!$L:$L,0))</f>
        <v>审核MMR统计TFLs</v>
      </c>
      <c r="J38" s="132" t="s">
        <v>2907</v>
      </c>
      <c r="K38" s="132" t="s">
        <v>639</v>
      </c>
      <c r="M38" s="156">
        <v>0</v>
      </c>
    </row>
    <row r="39" ht="27" customHeight="1" spans="1:20">
      <c r="A39" s="154" t="str">
        <f>INDEX('Rate Card'!$A:$A,MATCH(数统二级标签!$K39,'Rate Card'!$F:$F,0))</f>
        <v>数统</v>
      </c>
      <c r="B39" s="154" t="str">
        <f t="shared" si="0"/>
        <v>A085DM</v>
      </c>
      <c r="C39" s="154" t="str">
        <f t="shared" si="1"/>
        <v>T0195DM</v>
      </c>
      <c r="D39" s="128" t="s">
        <v>923</v>
      </c>
      <c r="E39" s="128" t="str">
        <f>INDEX(二三级标准!$Q:$Q,MATCH(数统二级标签!D39,二三级标准!$O:$O,0))</f>
        <v>数据管理</v>
      </c>
      <c r="F39" s="128" t="s">
        <v>275</v>
      </c>
      <c r="G39" s="128" t="str">
        <f>INDEX(二三级标准!C:C,MATCH(数统二级标签!F39,二三级标准!$B:$B,0))</f>
        <v>撰写数据管理文档</v>
      </c>
      <c r="H39" s="128" t="s">
        <v>2911</v>
      </c>
      <c r="I39" s="128" t="str">
        <f>INDEX(二三级标准!$M:$M,MATCH(数统二级标签!$H39,二三级标准!$L:$L,0))</f>
        <v>DMP起草与定稿</v>
      </c>
      <c r="K39" s="128" t="s">
        <v>631</v>
      </c>
      <c r="L39" s="156">
        <v>8</v>
      </c>
      <c r="M39" s="156">
        <v>8</v>
      </c>
      <c r="N39" s="156">
        <v>8</v>
      </c>
      <c r="O39" s="156">
        <v>7.5</v>
      </c>
      <c r="P39" s="156">
        <v>9</v>
      </c>
      <c r="Q39" s="156">
        <v>15</v>
      </c>
      <c r="R39" s="156">
        <v>12</v>
      </c>
      <c r="S39" s="156">
        <v>12</v>
      </c>
      <c r="T39" s="156">
        <v>12</v>
      </c>
    </row>
    <row r="40" ht="27" customHeight="1" spans="1:20">
      <c r="A40" s="154" t="str">
        <f>INDEX('Rate Card'!$A:$A,MATCH(数统二级标签!$K40,'Rate Card'!$F:$F,0))</f>
        <v>数统</v>
      </c>
      <c r="B40" s="154" t="str">
        <f t="shared" si="0"/>
        <v>A085LDM</v>
      </c>
      <c r="C40" s="154" t="str">
        <f t="shared" si="1"/>
        <v>T0196LDM</v>
      </c>
      <c r="D40" s="128" t="s">
        <v>923</v>
      </c>
      <c r="E40" s="128" t="str">
        <f>INDEX(二三级标准!$Q:$Q,MATCH(数统二级标签!D40,二三级标准!$O:$O,0))</f>
        <v>数据管理</v>
      </c>
      <c r="F40" s="128" t="s">
        <v>275</v>
      </c>
      <c r="G40" s="128" t="str">
        <f>INDEX(二三级标准!C:C,MATCH(数统二级标签!F40,二三级标准!$B:$B,0))</f>
        <v>撰写数据管理文档</v>
      </c>
      <c r="H40" s="128" t="s">
        <v>2912</v>
      </c>
      <c r="I40" s="128" t="str">
        <f>INDEX(二三级标准!$M:$M,MATCH(数统二级标签!$H40,二三级标准!$L:$L,0))</f>
        <v>DMP审核</v>
      </c>
      <c r="K40" s="128" t="s">
        <v>633</v>
      </c>
      <c r="L40" s="156">
        <v>2</v>
      </c>
      <c r="M40" s="156">
        <v>2</v>
      </c>
      <c r="N40" s="156">
        <v>2</v>
      </c>
      <c r="O40" s="156">
        <v>1.5</v>
      </c>
      <c r="P40" s="156">
        <v>2.25</v>
      </c>
      <c r="Q40" s="156">
        <v>3</v>
      </c>
      <c r="R40" s="156">
        <v>3</v>
      </c>
      <c r="S40" s="156">
        <v>3</v>
      </c>
      <c r="T40" s="156">
        <v>3</v>
      </c>
    </row>
    <row r="41" ht="27" customHeight="1" spans="1:20">
      <c r="A41" s="154" t="str">
        <f>INDEX('Rate Card'!$A:$A,MATCH(数统二级标签!$K41,'Rate Card'!$F:$F,0))</f>
        <v>数统</v>
      </c>
      <c r="B41" s="154" t="str">
        <f t="shared" si="0"/>
        <v>A085DBP</v>
      </c>
      <c r="C41" s="154" t="str">
        <f t="shared" si="1"/>
        <v>T0196DBP</v>
      </c>
      <c r="D41" s="128" t="s">
        <v>923</v>
      </c>
      <c r="E41" s="128" t="str">
        <f>INDEX(二三级标准!$Q:$Q,MATCH(数统二级标签!D41,二三级标准!$O:$O,0))</f>
        <v>数据管理</v>
      </c>
      <c r="F41" s="128" t="s">
        <v>275</v>
      </c>
      <c r="G41" s="128" t="str">
        <f>INDEX(二三级标准!C:C,MATCH(数统二级标签!F41,二三级标准!$B:$B,0))</f>
        <v>撰写数据管理文档</v>
      </c>
      <c r="H41" s="128" t="s">
        <v>2912</v>
      </c>
      <c r="I41" s="128" t="str">
        <f>INDEX(二三级标准!$M:$M,MATCH(数统二级标签!$H41,二三级标准!$L:$L,0))</f>
        <v>DMP审核</v>
      </c>
      <c r="J41" s="132" t="s">
        <v>2913</v>
      </c>
      <c r="K41" s="128" t="s">
        <v>629</v>
      </c>
      <c r="L41" s="156">
        <v>0</v>
      </c>
      <c r="M41" s="156">
        <v>0</v>
      </c>
      <c r="N41" s="156">
        <v>1</v>
      </c>
      <c r="O41" s="156">
        <v>0.75</v>
      </c>
      <c r="P41" s="156">
        <v>1.125</v>
      </c>
      <c r="Q41" s="156">
        <v>1.5</v>
      </c>
      <c r="R41" s="156">
        <v>1.5</v>
      </c>
      <c r="S41" s="156">
        <v>1.5</v>
      </c>
      <c r="T41" s="156">
        <v>1.5</v>
      </c>
    </row>
    <row r="42" ht="27" customHeight="1" spans="1:20">
      <c r="A42" s="154" t="str">
        <f>INDEX('Rate Card'!$A:$A,MATCH(数统二级标签!$K42,'Rate Card'!$F:$F,0))</f>
        <v>数统</v>
      </c>
      <c r="B42" s="154" t="str">
        <f t="shared" si="0"/>
        <v>A085DM</v>
      </c>
      <c r="C42" s="154" t="str">
        <f t="shared" si="1"/>
        <v>T0197DM</v>
      </c>
      <c r="D42" s="128" t="s">
        <v>923</v>
      </c>
      <c r="E42" s="128" t="str">
        <f>INDEX(二三级标准!$Q:$Q,MATCH(数统二级标签!D42,二三级标准!$O:$O,0))</f>
        <v>数据管理</v>
      </c>
      <c r="F42" s="128" t="s">
        <v>275</v>
      </c>
      <c r="G42" s="128" t="str">
        <f>INDEX(二三级标准!C:C,MATCH(数统二级标签!F42,二三级标准!$B:$B,0))</f>
        <v>撰写数据管理文档</v>
      </c>
      <c r="H42" s="128" t="s">
        <v>2914</v>
      </c>
      <c r="I42" s="128" t="str">
        <f>INDEX(二三级标准!$M:$M,MATCH(数统二级标签!$H42,二三级标准!$L:$L,0))</f>
        <v>CCG起草和定稿</v>
      </c>
      <c r="J42" s="128" t="s">
        <v>2904</v>
      </c>
      <c r="K42" s="128" t="s">
        <v>631</v>
      </c>
      <c r="L42" s="162">
        <v>16</v>
      </c>
      <c r="M42" s="156">
        <v>16</v>
      </c>
      <c r="N42" s="156">
        <v>13.65</v>
      </c>
      <c r="O42" s="156">
        <v>12</v>
      </c>
      <c r="P42" s="156">
        <v>13.5</v>
      </c>
      <c r="Q42" s="156">
        <v>18</v>
      </c>
      <c r="R42" s="156">
        <v>12</v>
      </c>
      <c r="S42" s="156">
        <v>20</v>
      </c>
      <c r="T42" s="156">
        <v>15.75</v>
      </c>
    </row>
    <row r="43" ht="27" customHeight="1" spans="1:20">
      <c r="A43" s="154" t="str">
        <f>INDEX('Rate Card'!$A:$A,MATCH(数统二级标签!$K43,'Rate Card'!$F:$F,0))</f>
        <v>数统</v>
      </c>
      <c r="B43" s="154" t="str">
        <f t="shared" si="0"/>
        <v>A085LDM</v>
      </c>
      <c r="C43" s="154" t="str">
        <f t="shared" si="1"/>
        <v>T0198LDM</v>
      </c>
      <c r="D43" s="128" t="s">
        <v>923</v>
      </c>
      <c r="E43" s="128" t="str">
        <f>INDEX(二三级标准!$Q:$Q,MATCH(数统二级标签!D43,二三级标准!$O:$O,0))</f>
        <v>数据管理</v>
      </c>
      <c r="F43" s="128" t="s">
        <v>275</v>
      </c>
      <c r="G43" s="128" t="str">
        <f>INDEX(二三级标准!C:C,MATCH(数统二级标签!F43,二三级标准!$B:$B,0))</f>
        <v>撰写数据管理文档</v>
      </c>
      <c r="H43" s="128" t="s">
        <v>2915</v>
      </c>
      <c r="I43" s="128" t="str">
        <f>INDEX(二三级标准!$M:$M,MATCH(数统二级标签!$H43,二三级标准!$L:$L,0))</f>
        <v>CCG审核</v>
      </c>
      <c r="J43" s="128" t="s">
        <v>2904</v>
      </c>
      <c r="K43" s="128" t="s">
        <v>633</v>
      </c>
      <c r="L43" s="162">
        <v>4</v>
      </c>
      <c r="M43" s="156">
        <v>4</v>
      </c>
      <c r="N43" s="156">
        <v>2.5</v>
      </c>
      <c r="O43" s="156">
        <v>3</v>
      </c>
      <c r="P43" s="156">
        <v>3.375</v>
      </c>
      <c r="Q43" s="156">
        <v>6</v>
      </c>
      <c r="R43" s="156">
        <v>3</v>
      </c>
      <c r="S43" s="156">
        <v>4</v>
      </c>
      <c r="T43" s="156">
        <v>3.75</v>
      </c>
    </row>
    <row r="44" ht="27" customHeight="1" spans="1:20">
      <c r="A44" s="154" t="str">
        <f>INDEX('Rate Card'!$A:$A,MATCH(数统二级标签!$K44,'Rate Card'!$F:$F,0))</f>
        <v>数统</v>
      </c>
      <c r="B44" s="154" t="str">
        <f t="shared" si="0"/>
        <v>A085DM</v>
      </c>
      <c r="C44" s="154" t="str">
        <f t="shared" si="1"/>
        <v>T0199DM</v>
      </c>
      <c r="D44" s="128" t="s">
        <v>923</v>
      </c>
      <c r="E44" s="128" t="str">
        <f>INDEX(二三级标准!$Q:$Q,MATCH(数统二级标签!D44,二三级标准!$O:$O,0))</f>
        <v>数据管理</v>
      </c>
      <c r="F44" s="128" t="s">
        <v>275</v>
      </c>
      <c r="G44" s="128" t="str">
        <f>INDEX(二三级标准!C:C,MATCH(数统二级标签!F44,二三级标准!$B:$B,0))</f>
        <v>撰写数据管理文档</v>
      </c>
      <c r="H44" s="128" t="s">
        <v>2916</v>
      </c>
      <c r="I44" s="128" t="str">
        <f>INDEX(二三级标准!$M:$M,MATCH(数统二级标签!$H44,二三级标准!$L:$L,0))</f>
        <v>DVP起草和定稿</v>
      </c>
      <c r="J44" s="128" t="s">
        <v>2904</v>
      </c>
      <c r="K44" s="128" t="s">
        <v>631</v>
      </c>
      <c r="L44" s="162">
        <v>0.05</v>
      </c>
      <c r="M44" s="156">
        <v>0.05</v>
      </c>
      <c r="N44" s="156">
        <v>0.0975</v>
      </c>
      <c r="O44" s="156">
        <v>0.1125</v>
      </c>
      <c r="P44" s="156">
        <v>0.1125</v>
      </c>
      <c r="Q44" s="156">
        <v>0.1875</v>
      </c>
      <c r="R44" s="156">
        <v>0.1125</v>
      </c>
      <c r="S44" s="156">
        <v>0.1125</v>
      </c>
      <c r="T44" s="156">
        <v>0.1125</v>
      </c>
    </row>
    <row r="45" ht="27" customHeight="1" spans="1:20">
      <c r="A45" s="154" t="str">
        <f>INDEX('Rate Card'!$A:$A,MATCH(数统二级标签!$K45,'Rate Card'!$F:$F,0))</f>
        <v>数统</v>
      </c>
      <c r="B45" s="154" t="str">
        <f t="shared" si="0"/>
        <v>A085LDM</v>
      </c>
      <c r="C45" s="154" t="str">
        <f t="shared" si="1"/>
        <v>T0200LDM</v>
      </c>
      <c r="D45" s="128" t="s">
        <v>923</v>
      </c>
      <c r="E45" s="128" t="str">
        <f>INDEX(二三级标准!$Q:$Q,MATCH(数统二级标签!D45,二三级标准!$O:$O,0))</f>
        <v>数据管理</v>
      </c>
      <c r="F45" s="128" t="s">
        <v>275</v>
      </c>
      <c r="G45" s="128" t="str">
        <f>INDEX(二三级标准!C:C,MATCH(数统二级标签!F45,二三级标准!$B:$B,0))</f>
        <v>撰写数据管理文档</v>
      </c>
      <c r="H45" s="128" t="s">
        <v>2917</v>
      </c>
      <c r="I45" s="128" t="str">
        <f>INDEX(二三级标准!$M:$M,MATCH(数统二级标签!$H45,二三级标准!$L:$L,0))</f>
        <v>DVP审核</v>
      </c>
      <c r="J45" s="128" t="s">
        <v>2904</v>
      </c>
      <c r="K45" s="128" t="s">
        <v>633</v>
      </c>
      <c r="L45" s="162">
        <v>0.015</v>
      </c>
      <c r="M45" s="156">
        <v>0.015</v>
      </c>
      <c r="N45" s="156">
        <v>0.025</v>
      </c>
      <c r="O45" s="156">
        <v>0.0375</v>
      </c>
      <c r="P45" s="156">
        <v>0.028125</v>
      </c>
      <c r="Q45" s="156">
        <v>0.0375</v>
      </c>
      <c r="R45" s="156">
        <v>0.0375</v>
      </c>
      <c r="S45" s="156">
        <v>0.0375</v>
      </c>
      <c r="T45" s="156">
        <v>0.0375</v>
      </c>
    </row>
    <row r="46" ht="27" customHeight="1" spans="1:20">
      <c r="A46" s="154" t="str">
        <f>INDEX('Rate Card'!$A:$A,MATCH(数统二级标签!$K46,'Rate Card'!$F:$F,0))</f>
        <v>数统</v>
      </c>
      <c r="B46" s="154" t="str">
        <f t="shared" si="0"/>
        <v>A085DBP</v>
      </c>
      <c r="C46" s="154" t="str">
        <f t="shared" si="1"/>
        <v>T0200DBP</v>
      </c>
      <c r="D46" s="128" t="s">
        <v>923</v>
      </c>
      <c r="E46" s="128" t="str">
        <f>INDEX(二三级标准!$Q:$Q,MATCH(数统二级标签!D46,二三级标准!$O:$O,0))</f>
        <v>数据管理</v>
      </c>
      <c r="F46" s="128" t="s">
        <v>275</v>
      </c>
      <c r="G46" s="128" t="str">
        <f>INDEX(二三级标准!C:C,MATCH(数统二级标签!F46,二三级标准!$B:$B,0))</f>
        <v>撰写数据管理文档</v>
      </c>
      <c r="H46" s="128" t="s">
        <v>2917</v>
      </c>
      <c r="I46" s="128" t="str">
        <f>INDEX(二三级标准!$M:$M,MATCH(数统二级标签!$H46,二三级标准!$L:$L,0))</f>
        <v>DVP审核</v>
      </c>
      <c r="J46" s="128" t="s">
        <v>2904</v>
      </c>
      <c r="K46" s="128" t="s">
        <v>629</v>
      </c>
      <c r="L46" s="162">
        <v>0.008</v>
      </c>
      <c r="M46" s="156">
        <v>0.008</v>
      </c>
      <c r="N46" s="156">
        <v>0.025</v>
      </c>
      <c r="O46" s="156">
        <v>0.0375</v>
      </c>
      <c r="P46" s="156">
        <v>0.028125</v>
      </c>
      <c r="Q46" s="156">
        <v>0.075</v>
      </c>
      <c r="R46" s="156">
        <v>0.0375</v>
      </c>
      <c r="S46" s="156">
        <v>0.0375</v>
      </c>
      <c r="T46" s="156">
        <v>0.0375</v>
      </c>
    </row>
    <row r="47" s="132" customFormat="1" ht="27" customHeight="1" spans="1:20">
      <c r="A47" s="163" t="str">
        <f>INDEX('Rate Card'!$A:$A,MATCH(数统二级标签!$K47,'Rate Card'!$F:$F,0))</f>
        <v>数统</v>
      </c>
      <c r="B47" s="154" t="str">
        <f t="shared" si="0"/>
        <v>A085ST</v>
      </c>
      <c r="C47" s="154" t="str">
        <f t="shared" si="1"/>
        <v>T0200ST</v>
      </c>
      <c r="D47" s="132" t="s">
        <v>923</v>
      </c>
      <c r="E47" s="132" t="str">
        <f>INDEX(二三级标准!$Q:$Q,MATCH(数统二级标签!D47,二三级标准!$O:$O,0))</f>
        <v>数据管理</v>
      </c>
      <c r="F47" s="132" t="s">
        <v>275</v>
      </c>
      <c r="G47" s="132" t="str">
        <f>INDEX(二三级标准!C:C,MATCH(数统二级标签!F47,二三级标准!$B:$B,0))</f>
        <v>撰写数据管理文档</v>
      </c>
      <c r="H47" s="132" t="s">
        <v>2917</v>
      </c>
      <c r="I47" s="132" t="str">
        <f>INDEX(二三级标准!$M:$M,MATCH(数统二级标签!$H47,二三级标准!$L:$L,0))</f>
        <v>DVP审核</v>
      </c>
      <c r="J47" s="132" t="s">
        <v>2907</v>
      </c>
      <c r="K47" s="132" t="s">
        <v>639</v>
      </c>
      <c r="L47" s="156"/>
      <c r="M47" s="156">
        <v>0</v>
      </c>
      <c r="N47" s="156"/>
      <c r="O47" s="156"/>
      <c r="P47" s="156"/>
      <c r="Q47" s="156"/>
      <c r="R47" s="156"/>
      <c r="S47" s="156"/>
      <c r="T47" s="156"/>
    </row>
    <row r="48" ht="27" customHeight="1" spans="1:20">
      <c r="A48" s="154" t="str">
        <f>INDEX('Rate Card'!$A:$A,MATCH(数统二级标签!$K48,'Rate Card'!$F:$F,0))</f>
        <v>数统</v>
      </c>
      <c r="B48" s="154" t="str">
        <f t="shared" si="0"/>
        <v>A085LDM</v>
      </c>
      <c r="C48" s="154" t="str">
        <f t="shared" si="1"/>
        <v>T0201LDM</v>
      </c>
      <c r="D48" s="128" t="s">
        <v>923</v>
      </c>
      <c r="E48" s="128" t="str">
        <f>INDEX(二三级标准!$Q:$Q,MATCH(数统二级标签!D48,二三级标准!$O:$O,0))</f>
        <v>数据管理</v>
      </c>
      <c r="F48" s="128" t="s">
        <v>275</v>
      </c>
      <c r="G48" s="128" t="str">
        <f>INDEX(二三级标准!C:C,MATCH(数统二级标签!F48,二三级标准!$B:$B,0))</f>
        <v>撰写数据管理文档</v>
      </c>
      <c r="H48" s="128" t="s">
        <v>2918</v>
      </c>
      <c r="I48" s="128" t="str">
        <f>INDEX(二三级标准!$M:$M,MATCH(数统二级标签!$H48,二三级标准!$L:$L,0))</f>
        <v>召开DVP审核会议</v>
      </c>
      <c r="K48" s="128" t="s">
        <v>633</v>
      </c>
      <c r="L48" s="156">
        <v>2</v>
      </c>
      <c r="M48" s="156">
        <v>2</v>
      </c>
      <c r="N48" s="156">
        <v>2</v>
      </c>
      <c r="O48" s="156">
        <v>2</v>
      </c>
      <c r="P48" s="156">
        <v>2</v>
      </c>
      <c r="Q48" s="156">
        <v>2</v>
      </c>
      <c r="R48" s="156">
        <v>2</v>
      </c>
      <c r="S48" s="156">
        <v>2</v>
      </c>
      <c r="T48" s="156">
        <v>2</v>
      </c>
    </row>
    <row r="49" ht="27" customHeight="1" spans="1:20">
      <c r="A49" s="154" t="str">
        <f>INDEX('Rate Card'!$A:$A,MATCH(数统二级标签!$K49,'Rate Card'!$F:$F,0))</f>
        <v>数统</v>
      </c>
      <c r="B49" s="154" t="str">
        <f t="shared" ref="B49:B53" si="4">F49&amp;K49</f>
        <v>A085DM</v>
      </c>
      <c r="C49" s="154" t="str">
        <f t="shared" ref="C49:C53" si="5">H49&amp;K49</f>
        <v>T0610DM</v>
      </c>
      <c r="D49" s="128" t="s">
        <v>923</v>
      </c>
      <c r="E49" s="128" t="str">
        <f>INDEX(二三级标准!$Q:$Q,MATCH(数统二级标签!D49,二三级标准!$O:$O,0))</f>
        <v>数据管理</v>
      </c>
      <c r="F49" s="128" t="s">
        <v>275</v>
      </c>
      <c r="G49" s="128" t="str">
        <f>INDEX(二三级标准!C:C,MATCH(数统二级标签!F49,二三级标准!$B:$B,0))</f>
        <v>撰写数据管理文档</v>
      </c>
      <c r="H49" s="128" t="s">
        <v>2919</v>
      </c>
      <c r="I49" s="128" t="str">
        <f>INDEX(二三级标准!$M:$M,MATCH(数统二级标签!$H49,二三级标准!$L:$L,0))</f>
        <v>人工审核计划起草和定稿（SAS）</v>
      </c>
      <c r="J49" s="128" t="s">
        <v>2902</v>
      </c>
      <c r="K49" s="128" t="s">
        <v>631</v>
      </c>
      <c r="L49" s="156">
        <v>0.15</v>
      </c>
      <c r="M49" s="156">
        <v>0.15</v>
      </c>
    </row>
    <row r="50" ht="27" customHeight="1" spans="1:20">
      <c r="A50" s="154" t="str">
        <f>INDEX('Rate Card'!$A:$A,MATCH(数统二级标签!$K50,'Rate Card'!$F:$F,0))</f>
        <v>数统</v>
      </c>
      <c r="B50" s="154" t="str">
        <f t="shared" si="4"/>
        <v>A085LDM</v>
      </c>
      <c r="C50" s="154" t="str">
        <f t="shared" si="5"/>
        <v>T0611LDM</v>
      </c>
      <c r="D50" s="128" t="s">
        <v>923</v>
      </c>
      <c r="E50" s="128" t="str">
        <f>INDEX(二三级标准!$Q:$Q,MATCH(数统二级标签!D50,二三级标准!$O:$O,0))</f>
        <v>数据管理</v>
      </c>
      <c r="F50" s="128" t="s">
        <v>275</v>
      </c>
      <c r="G50" s="128" t="str">
        <f>INDEX(二三级标准!C:C,MATCH(数统二级标签!F50,二三级标准!$B:$B,0))</f>
        <v>撰写数据管理文档</v>
      </c>
      <c r="H50" s="128" t="s">
        <v>2920</v>
      </c>
      <c r="I50" s="128" t="str">
        <f>INDEX(二三级标准!$M:$M,MATCH(数统二级标签!$H50,二三级标准!$L:$L,0))</f>
        <v>人工审核计划审核（SAS）</v>
      </c>
      <c r="J50" s="128" t="s">
        <v>2902</v>
      </c>
      <c r="K50" s="128" t="s">
        <v>633</v>
      </c>
      <c r="L50" s="156">
        <v>0.05</v>
      </c>
      <c r="M50" s="156">
        <v>0.05</v>
      </c>
    </row>
    <row r="51" ht="27" customHeight="1" spans="1:20">
      <c r="A51" s="154" t="str">
        <f>INDEX('Rate Card'!$A:$A,MATCH(数统二级标签!$K51,'Rate Card'!$F:$F,0))</f>
        <v>数统</v>
      </c>
      <c r="B51" s="154" t="str">
        <f t="shared" si="4"/>
        <v>A085LDM</v>
      </c>
      <c r="C51" s="154" t="str">
        <f t="shared" si="5"/>
        <v>T0611LDM</v>
      </c>
      <c r="D51" s="128" t="s">
        <v>923</v>
      </c>
      <c r="E51" s="128" t="str">
        <f>INDEX(二三级标准!$Q:$Q,MATCH(数统二级标签!D51,二三级标准!$O:$O,0))</f>
        <v>数据管理</v>
      </c>
      <c r="F51" s="128" t="s">
        <v>275</v>
      </c>
      <c r="G51" s="128" t="str">
        <f>INDEX(二三级标准!C:C,MATCH(数统二级标签!F51,二三级标准!$B:$B,0))</f>
        <v>撰写数据管理文档</v>
      </c>
      <c r="H51" s="128" t="s">
        <v>2920</v>
      </c>
      <c r="I51" s="128" t="str">
        <f>INDEX(二三级标准!$M:$M,MATCH(数统二级标签!$H51,二三级标准!$L:$L,0))</f>
        <v>人工审核计划审核（SAS）</v>
      </c>
      <c r="J51" s="128" t="s">
        <v>2902</v>
      </c>
      <c r="K51" s="128" t="s">
        <v>633</v>
      </c>
      <c r="L51" s="156">
        <v>0.015</v>
      </c>
      <c r="M51" s="156">
        <v>0.015</v>
      </c>
    </row>
    <row r="52" ht="27" customHeight="1" spans="1:20">
      <c r="A52" s="154" t="str">
        <f>INDEX('Rate Card'!$A:$A,MATCH(数统二级标签!$K52,'Rate Card'!$F:$F,0))</f>
        <v>数统</v>
      </c>
      <c r="B52" s="154" t="str">
        <f t="shared" si="4"/>
        <v>A085DM</v>
      </c>
      <c r="C52" s="154" t="str">
        <f t="shared" si="5"/>
        <v>T0612DM</v>
      </c>
      <c r="D52" s="128" t="s">
        <v>923</v>
      </c>
      <c r="E52" s="128" t="str">
        <f>INDEX(二三级标准!$Q:$Q,MATCH(数统二级标签!D52,二三级标准!$O:$O,0))</f>
        <v>数据管理</v>
      </c>
      <c r="F52" s="128" t="s">
        <v>275</v>
      </c>
      <c r="G52" s="128" t="str">
        <f>INDEX(二三级标准!C:C,MATCH(数统二级标签!F52,二三级标准!$B:$B,0))</f>
        <v>撰写数据管理文档</v>
      </c>
      <c r="H52" s="128" t="s">
        <v>2921</v>
      </c>
      <c r="I52" s="128" t="str">
        <f>INDEX(二三级标准!$M:$M,MATCH(数统二级标签!$H52,二三级标准!$L:$L,0))</f>
        <v>人工审核计划起草和定稿（非SAS）</v>
      </c>
      <c r="J52" s="128" t="s">
        <v>2902</v>
      </c>
      <c r="K52" s="128" t="s">
        <v>631</v>
      </c>
      <c r="L52" s="156">
        <v>0.15</v>
      </c>
      <c r="M52" s="156">
        <v>0.15</v>
      </c>
    </row>
    <row r="53" ht="27" customHeight="1" spans="1:20">
      <c r="A53" s="154" t="str">
        <f>INDEX('Rate Card'!$A:$A,MATCH(数统二级标签!$K53,'Rate Card'!$F:$F,0))</f>
        <v>数统</v>
      </c>
      <c r="B53" s="154" t="str">
        <f t="shared" si="4"/>
        <v>A085LDM</v>
      </c>
      <c r="C53" s="154" t="str">
        <f t="shared" si="5"/>
        <v>T0613LDM</v>
      </c>
      <c r="D53" s="128" t="s">
        <v>923</v>
      </c>
      <c r="E53" s="128" t="str">
        <f>INDEX(二三级标准!$Q:$Q,MATCH(数统二级标签!D53,二三级标准!$O:$O,0))</f>
        <v>数据管理</v>
      </c>
      <c r="F53" s="128" t="s">
        <v>275</v>
      </c>
      <c r="G53" s="128" t="str">
        <f>INDEX(二三级标准!C:C,MATCH(数统二级标签!F53,二三级标准!$B:$B,0))</f>
        <v>撰写数据管理文档</v>
      </c>
      <c r="H53" s="128" t="s">
        <v>2922</v>
      </c>
      <c r="I53" s="128" t="str">
        <f>INDEX(二三级标准!$M:$M,MATCH(数统二级标签!$H53,二三级标准!$L:$L,0))</f>
        <v>人工审核计划审核（非SAS）</v>
      </c>
      <c r="J53" s="128" t="s">
        <v>2902</v>
      </c>
      <c r="K53" s="128" t="s">
        <v>633</v>
      </c>
      <c r="L53" s="156">
        <v>0.05</v>
      </c>
      <c r="M53" s="156">
        <v>0.05</v>
      </c>
    </row>
    <row r="54" ht="27" customHeight="1" spans="1:20">
      <c r="A54" s="154" t="str">
        <f>INDEX('Rate Card'!$A:$A,MATCH(数统二级标签!$K54,'Rate Card'!$F:$F,0))</f>
        <v>数统</v>
      </c>
      <c r="B54" s="154" t="str">
        <f t="shared" si="0"/>
        <v>A085LDM</v>
      </c>
      <c r="C54" s="154" t="str">
        <f t="shared" si="1"/>
        <v>T0202LDM</v>
      </c>
      <c r="D54" s="128" t="s">
        <v>923</v>
      </c>
      <c r="E54" s="128" t="str">
        <f>INDEX(二三级标准!$Q:$Q,MATCH(数统二级标签!D54,二三级标准!$O:$O,0))</f>
        <v>数据管理</v>
      </c>
      <c r="F54" s="128" t="s">
        <v>275</v>
      </c>
      <c r="G54" s="128" t="str">
        <f>INDEX(二三级标准!C:C,MATCH(数统二级标签!F54,二三级标准!$B:$B,0))</f>
        <v>撰写数据管理文档</v>
      </c>
      <c r="H54" s="128" t="s">
        <v>2923</v>
      </c>
      <c r="I54" s="128" t="str">
        <f>INDEX(二三级标准!$M:$M,MATCH(数统二级标签!$H54,二三级标准!$L:$L,0))</f>
        <v>SAE一致性核查计划起草和定稿</v>
      </c>
      <c r="K54" s="128" t="s">
        <v>633</v>
      </c>
      <c r="L54" s="156">
        <v>2</v>
      </c>
      <c r="M54" s="156">
        <v>2</v>
      </c>
      <c r="N54" s="156">
        <v>2.6</v>
      </c>
      <c r="O54" s="156">
        <v>3</v>
      </c>
      <c r="P54" s="156">
        <v>2.25</v>
      </c>
      <c r="Q54" s="156">
        <v>3</v>
      </c>
      <c r="R54" s="156">
        <v>3</v>
      </c>
      <c r="S54" s="156">
        <v>3</v>
      </c>
      <c r="T54" s="156">
        <v>3</v>
      </c>
    </row>
    <row r="55" ht="27" customHeight="1" spans="1:20">
      <c r="A55" s="154" t="str">
        <f>INDEX('Rate Card'!$A:$A,MATCH(数统二级标签!$K55,'Rate Card'!$F:$F,0))</f>
        <v>数统</v>
      </c>
      <c r="B55" s="154" t="str">
        <f t="shared" si="0"/>
        <v>A085LDM</v>
      </c>
      <c r="C55" s="154" t="str">
        <f t="shared" si="1"/>
        <v>T0204LDM</v>
      </c>
      <c r="D55" s="128" t="s">
        <v>923</v>
      </c>
      <c r="E55" s="128" t="str">
        <f>INDEX(二三级标准!$Q:$Q,MATCH(数统二级标签!D55,二三级标准!$O:$O,0))</f>
        <v>数据管理</v>
      </c>
      <c r="F55" s="128" t="s">
        <v>275</v>
      </c>
      <c r="G55" s="128" t="str">
        <f>INDEX(二三级标准!C:C,MATCH(数统二级标签!F55,二三级标准!$B:$B,0))</f>
        <v>撰写数据管理文档</v>
      </c>
      <c r="H55" s="128" t="s">
        <v>2924</v>
      </c>
      <c r="I55" s="128" t="str">
        <f>INDEX(二三级标准!$M:$M,MATCH(数统二级标签!$H55,二三级标准!$L:$L,0))</f>
        <v>医学编码计划起草和定稿</v>
      </c>
      <c r="K55" s="128" t="s">
        <v>633</v>
      </c>
      <c r="L55" s="156">
        <v>1</v>
      </c>
      <c r="M55" s="156">
        <v>1</v>
      </c>
      <c r="N55" s="156">
        <v>1.3</v>
      </c>
      <c r="O55" s="156">
        <v>1.5</v>
      </c>
      <c r="P55" s="156">
        <v>2.25</v>
      </c>
      <c r="Q55" s="156">
        <v>4.5</v>
      </c>
      <c r="R55" s="156">
        <v>1.5</v>
      </c>
      <c r="S55" s="156">
        <v>1.5</v>
      </c>
      <c r="T55" s="156">
        <v>1.5</v>
      </c>
    </row>
    <row r="56" ht="27" customHeight="1" spans="1:20">
      <c r="A56" s="154" t="e">
        <f>INDEX('Rate Card'!$A:$A,MATCH(数统二级标签!$K56,'Rate Card'!$F:$F,0))</f>
        <v>#N/A</v>
      </c>
      <c r="B56" s="154" t="str">
        <f t="shared" si="0"/>
        <v>A085Coder</v>
      </c>
      <c r="C56" s="154" t="str">
        <f t="shared" si="1"/>
        <v>T0205Coder</v>
      </c>
      <c r="D56" s="128" t="s">
        <v>923</v>
      </c>
      <c r="E56" s="128" t="str">
        <f>INDEX(二三级标准!$Q:$Q,MATCH(数统二级标签!D56,二三级标准!$O:$O,0))</f>
        <v>数据管理</v>
      </c>
      <c r="F56" s="128" t="s">
        <v>275</v>
      </c>
      <c r="G56" s="128" t="str">
        <f>INDEX(二三级标准!C:C,MATCH(数统二级标签!F56,二三级标准!$B:$B,0))</f>
        <v>撰写数据管理文档</v>
      </c>
      <c r="H56" s="128" t="s">
        <v>2925</v>
      </c>
      <c r="I56" s="128" t="str">
        <f>INDEX(二三级标准!$M:$M,MATCH(数统二级标签!$H56,二三级标准!$L:$L,0))</f>
        <v>医学编码计划审核</v>
      </c>
      <c r="K56" s="128" t="s">
        <v>627</v>
      </c>
      <c r="L56" s="156">
        <v>0.5</v>
      </c>
      <c r="M56" s="156">
        <v>0.5</v>
      </c>
      <c r="N56" s="156">
        <v>0.5</v>
      </c>
      <c r="O56" s="156">
        <v>0.75</v>
      </c>
      <c r="P56" s="156">
        <v>0.5625</v>
      </c>
      <c r="Q56" s="156">
        <v>1.5</v>
      </c>
      <c r="R56" s="156">
        <v>0.75</v>
      </c>
      <c r="S56" s="156">
        <v>0.75</v>
      </c>
      <c r="T56" s="156">
        <v>0.75</v>
      </c>
    </row>
    <row r="57" ht="27" customHeight="1" spans="1:20">
      <c r="A57" s="154" t="e">
        <f>INDEX('Rate Card'!$A:$A,MATCH(数统二级标签!$K57,'Rate Card'!$F:$F,0))</f>
        <v>#N/A</v>
      </c>
      <c r="B57" s="154" t="str">
        <f t="shared" si="0"/>
        <v>A085Coder</v>
      </c>
      <c r="C57" s="154" t="str">
        <f t="shared" si="1"/>
        <v>T0206Coder</v>
      </c>
      <c r="D57" s="128" t="s">
        <v>923</v>
      </c>
      <c r="E57" s="128" t="str">
        <f>INDEX(二三级标准!$Q:$Q,MATCH(数统二级标签!D57,二三级标准!$O:$O,0))</f>
        <v>数据管理</v>
      </c>
      <c r="F57" s="128" t="s">
        <v>275</v>
      </c>
      <c r="G57" s="128" t="str">
        <f>INDEX(二三级标准!C:C,MATCH(数统二级标签!F57,二三级标准!$B:$B,0))</f>
        <v>撰写数据管理文档</v>
      </c>
      <c r="H57" s="128" t="s">
        <v>2926</v>
      </c>
      <c r="I57" s="128" t="str">
        <f>INDEX(二三级标准!$M:$M,MATCH(数统二级标签!$H57,二三级标准!$L:$L,0))</f>
        <v>医学编码规范起草和定稿</v>
      </c>
      <c r="K57" s="128" t="s">
        <v>627</v>
      </c>
      <c r="L57" s="156">
        <v>1</v>
      </c>
      <c r="M57" s="156">
        <v>1</v>
      </c>
      <c r="N57" s="156">
        <v>1.3</v>
      </c>
      <c r="O57" s="156">
        <v>1.5</v>
      </c>
      <c r="P57" s="156">
        <v>1.125</v>
      </c>
      <c r="Q57" s="156">
        <v>1.5</v>
      </c>
      <c r="R57" s="156">
        <v>1.5</v>
      </c>
      <c r="S57" s="156">
        <v>1.5</v>
      </c>
      <c r="T57" s="156">
        <v>1.5</v>
      </c>
    </row>
    <row r="58" ht="27" customHeight="1" spans="1:20">
      <c r="A58" s="154" t="str">
        <f>INDEX('Rate Card'!$A:$A,MATCH(数统二级标签!$K58,'Rate Card'!$F:$F,0))</f>
        <v>数统</v>
      </c>
      <c r="B58" s="154" t="str">
        <f t="shared" si="0"/>
        <v>A085LDM</v>
      </c>
      <c r="C58" s="154" t="str">
        <f t="shared" si="1"/>
        <v>T0207LDM</v>
      </c>
      <c r="D58" s="128" t="s">
        <v>923</v>
      </c>
      <c r="E58" s="128" t="str">
        <f>INDEX(二三级标准!$Q:$Q,MATCH(数统二级标签!D58,二三级标准!$O:$O,0))</f>
        <v>数据管理</v>
      </c>
      <c r="F58" s="128" t="s">
        <v>275</v>
      </c>
      <c r="G58" s="128" t="str">
        <f>INDEX(二三级标准!C:C,MATCH(数统二级标签!F58,二三级标准!$B:$B,0))</f>
        <v>撰写数据管理文档</v>
      </c>
      <c r="H58" s="128" t="s">
        <v>2927</v>
      </c>
      <c r="I58" s="128" t="str">
        <f>INDEX(二三级标准!$M:$M,MATCH(数统二级标签!$H58,二三级标准!$L:$L,0))</f>
        <v>医学编码规范审核</v>
      </c>
      <c r="K58" s="128" t="s">
        <v>633</v>
      </c>
      <c r="L58" s="156">
        <v>0.5</v>
      </c>
      <c r="M58" s="156">
        <v>0.5</v>
      </c>
      <c r="N58" s="156">
        <v>0.5</v>
      </c>
      <c r="O58" s="156">
        <v>0.75</v>
      </c>
      <c r="P58" s="156">
        <v>0.5625</v>
      </c>
      <c r="Q58" s="156">
        <v>0.75</v>
      </c>
      <c r="R58" s="156">
        <v>0.75</v>
      </c>
      <c r="S58" s="156">
        <v>0.75</v>
      </c>
      <c r="T58" s="156">
        <v>0.75</v>
      </c>
    </row>
    <row r="59" ht="27" customHeight="1" spans="1:20">
      <c r="A59" s="154" t="str">
        <f>INDEX('Rate Card'!$A:$A,MATCH(数统二级标签!$K59,'Rate Card'!$F:$F,0))</f>
        <v>数统</v>
      </c>
      <c r="B59" s="154" t="str">
        <f t="shared" si="0"/>
        <v>A086DBP</v>
      </c>
      <c r="C59" s="154" t="str">
        <f t="shared" si="1"/>
        <v>T0208DBP</v>
      </c>
      <c r="D59" s="128" t="s">
        <v>923</v>
      </c>
      <c r="E59" s="128" t="str">
        <f>INDEX(二三级标准!$Q:$Q,MATCH(数统二级标签!D59,二三级标准!$O:$O,0))</f>
        <v>数据管理</v>
      </c>
      <c r="F59" s="128" t="s">
        <v>277</v>
      </c>
      <c r="G59" s="128" t="str">
        <f>INDEX(二三级标准!C:C,MATCH(数统二级标签!F59,二三级标准!$B:$B,0))</f>
        <v>搭建数据库界面</v>
      </c>
      <c r="H59" s="128" t="s">
        <v>1385</v>
      </c>
      <c r="I59" s="128" t="str">
        <f>INDEX(二三级标准!$M:$M,MATCH(数统二级标签!$H59,二三级标准!$L:$L,0))</f>
        <v>URL架构搭建和配置</v>
      </c>
      <c r="J59" s="128" t="s">
        <v>2904</v>
      </c>
      <c r="K59" s="128" t="s">
        <v>629</v>
      </c>
      <c r="L59" s="156">
        <v>4</v>
      </c>
      <c r="M59" s="156">
        <v>4</v>
      </c>
      <c r="N59" s="156">
        <v>7.8</v>
      </c>
      <c r="O59" s="156">
        <v>9</v>
      </c>
      <c r="P59" s="156">
        <v>6.75</v>
      </c>
      <c r="Q59" s="156">
        <v>9</v>
      </c>
      <c r="R59" s="156">
        <v>9</v>
      </c>
      <c r="S59" s="156">
        <v>9</v>
      </c>
      <c r="T59" s="156">
        <v>9</v>
      </c>
    </row>
    <row r="60" ht="27" customHeight="1" spans="1:20">
      <c r="A60" s="154" t="str">
        <f>INDEX('Rate Card'!$A:$A,MATCH(数统二级标签!$K60,'Rate Card'!$F:$F,0))</f>
        <v>数统</v>
      </c>
      <c r="B60" s="154" t="str">
        <f t="shared" si="0"/>
        <v>A086DBP</v>
      </c>
      <c r="C60" s="154" t="str">
        <f t="shared" si="1"/>
        <v>T0209DBP</v>
      </c>
      <c r="D60" s="128" t="s">
        <v>923</v>
      </c>
      <c r="E60" s="128" t="str">
        <f>INDEX(二三级标准!$Q:$Q,MATCH(数统二级标签!D60,二三级标准!$O:$O,0))</f>
        <v>数据管理</v>
      </c>
      <c r="F60" s="128" t="s">
        <v>277</v>
      </c>
      <c r="G60" s="128" t="str">
        <f>INDEX(二三级标准!C:C,MATCH(数统二级标签!F60,二三级标准!$B:$B,0))</f>
        <v>搭建数据库界面</v>
      </c>
      <c r="H60" s="128" t="s">
        <v>2928</v>
      </c>
      <c r="I60" s="128" t="str">
        <f>INDEX(二三级标准!$M:$M,MATCH(数统二级标签!$H60,二三级标准!$L:$L,0))</f>
        <v>URL项目层级架构搭建</v>
      </c>
      <c r="J60" s="128" t="s">
        <v>2904</v>
      </c>
      <c r="K60" s="128" t="s">
        <v>629</v>
      </c>
      <c r="L60" s="156">
        <v>2</v>
      </c>
      <c r="M60" s="156">
        <v>2</v>
      </c>
      <c r="N60" s="156">
        <v>2.6</v>
      </c>
      <c r="O60" s="156">
        <v>3</v>
      </c>
      <c r="P60" s="156">
        <v>2.25</v>
      </c>
      <c r="Q60" s="156">
        <v>3</v>
      </c>
      <c r="R60" s="156">
        <v>3</v>
      </c>
      <c r="S60" s="156">
        <v>3</v>
      </c>
      <c r="T60" s="156">
        <v>3</v>
      </c>
    </row>
    <row r="61" ht="27" customHeight="1" spans="1:20">
      <c r="A61" s="154" t="str">
        <f>INDEX('Rate Card'!$A:$A,MATCH(数统二级标签!$K61,'Rate Card'!$F:$F,0))</f>
        <v>数统</v>
      </c>
      <c r="B61" s="154" t="str">
        <f t="shared" si="0"/>
        <v>A086DBP</v>
      </c>
      <c r="C61" s="154" t="str">
        <f t="shared" si="1"/>
        <v>T0210DBP</v>
      </c>
      <c r="D61" s="128" t="s">
        <v>923</v>
      </c>
      <c r="E61" s="128" t="str">
        <f>INDEX(二三级标准!$Q:$Q,MATCH(数统二级标签!D61,二三级标准!$O:$O,0))</f>
        <v>数据管理</v>
      </c>
      <c r="F61" s="128" t="s">
        <v>277</v>
      </c>
      <c r="G61" s="128" t="str">
        <f>INDEX(二三级标准!C:C,MATCH(数统二级标签!F61,二三级标准!$B:$B,0))</f>
        <v>搭建数据库界面</v>
      </c>
      <c r="H61" s="128" t="s">
        <v>1389</v>
      </c>
      <c r="I61" s="128" t="str">
        <f>INDEX(二三级标准!$M:$M,MATCH(数统二级标签!$H61,二三级标准!$L:$L,0))</f>
        <v>衍生变量与动态设置</v>
      </c>
      <c r="K61" s="128" t="s">
        <v>629</v>
      </c>
      <c r="L61" s="156">
        <v>6</v>
      </c>
      <c r="M61" s="156">
        <v>0.5</v>
      </c>
      <c r="N61" s="156">
        <v>7.8</v>
      </c>
      <c r="O61" s="156">
        <v>7.5</v>
      </c>
      <c r="P61" s="156">
        <v>6.75</v>
      </c>
      <c r="Q61" s="156">
        <v>12</v>
      </c>
      <c r="R61" s="156">
        <v>9</v>
      </c>
      <c r="S61" s="156">
        <v>9</v>
      </c>
      <c r="T61" s="156">
        <v>9</v>
      </c>
    </row>
    <row r="62" ht="27" customHeight="1" spans="1:20">
      <c r="A62" s="154" t="str">
        <f>INDEX('Rate Card'!$A:$A,MATCH(数统二级标签!$K62,'Rate Card'!$F:$F,0))</f>
        <v>数统</v>
      </c>
      <c r="B62" s="154" t="str">
        <f t="shared" si="0"/>
        <v>A086DBP</v>
      </c>
      <c r="C62" s="154" t="str">
        <f t="shared" si="1"/>
        <v>T0211DBP</v>
      </c>
      <c r="D62" s="128" t="s">
        <v>923</v>
      </c>
      <c r="E62" s="128" t="str">
        <f>INDEX(二三级标准!$Q:$Q,MATCH(数统二级标签!D62,二三级标准!$O:$O,0))</f>
        <v>数据管理</v>
      </c>
      <c r="F62" s="128" t="s">
        <v>277</v>
      </c>
      <c r="G62" s="128" t="str">
        <f>INDEX(二三级标准!C:C,MATCH(数统二级标签!F62,二三级标准!$B:$B,0))</f>
        <v>搭建数据库界面</v>
      </c>
      <c r="H62" s="128" t="s">
        <v>2929</v>
      </c>
      <c r="I62" s="128" t="str">
        <f>INDEX(二三级标准!$M:$M,MATCH(数统二级标签!$H62,二三级标准!$L:$L,0))</f>
        <v>创建唯一页页面</v>
      </c>
      <c r="K62" s="128" t="s">
        <v>629</v>
      </c>
      <c r="L62" s="156">
        <v>0.5</v>
      </c>
      <c r="M62" s="156">
        <v>0.25</v>
      </c>
      <c r="N62" s="156">
        <v>0.65</v>
      </c>
      <c r="O62" s="156">
        <v>0.6</v>
      </c>
      <c r="P62" s="156">
        <v>0.5625</v>
      </c>
      <c r="Q62" s="156">
        <v>0.75</v>
      </c>
      <c r="R62" s="156">
        <v>0.6</v>
      </c>
      <c r="S62" s="156">
        <v>0.8</v>
      </c>
      <c r="T62" s="156">
        <v>0.75</v>
      </c>
    </row>
    <row r="63" ht="27" customHeight="1" spans="1:20">
      <c r="A63" s="154" t="str">
        <f>INDEX('Rate Card'!$A:$A,MATCH(数统二级标签!$K63,'Rate Card'!$F:$F,0))</f>
        <v>数统</v>
      </c>
      <c r="B63" s="154" t="str">
        <f t="shared" si="0"/>
        <v>A086DBP</v>
      </c>
      <c r="C63" s="154" t="str">
        <f t="shared" si="1"/>
        <v>T0212DBP</v>
      </c>
      <c r="D63" s="128" t="s">
        <v>923</v>
      </c>
      <c r="E63" s="128" t="str">
        <f>INDEX(二三级标准!$Q:$Q,MATCH(数统二级标签!D63,二三级标准!$O:$O,0))</f>
        <v>数据管理</v>
      </c>
      <c r="F63" s="128" t="s">
        <v>277</v>
      </c>
      <c r="G63" s="128" t="str">
        <f>INDEX(二三级标准!C:C,MATCH(数统二级标签!F63,二三级标准!$B:$B,0))</f>
        <v>搭建数据库界面</v>
      </c>
      <c r="H63" s="128" t="s">
        <v>2930</v>
      </c>
      <c r="I63" s="128" t="str">
        <f>INDEX(二三级标准!$M:$M,MATCH(数统二级标签!$H63,二三级标准!$L:$L,0))</f>
        <v>创建重复页页面</v>
      </c>
      <c r="J63" s="128" t="s">
        <v>2904</v>
      </c>
      <c r="K63" s="128" t="s">
        <v>629</v>
      </c>
      <c r="L63" s="156">
        <v>0.25</v>
      </c>
      <c r="M63" s="156">
        <v>0.05</v>
      </c>
      <c r="N63" s="156">
        <v>0.13</v>
      </c>
      <c r="O63" s="156">
        <v>0.15</v>
      </c>
      <c r="P63" s="156">
        <v>0.1125</v>
      </c>
      <c r="Q63" s="156">
        <v>0.375</v>
      </c>
      <c r="R63" s="156">
        <v>0.15</v>
      </c>
      <c r="S63" s="156">
        <v>0.15</v>
      </c>
      <c r="T63" s="156">
        <v>0.15</v>
      </c>
    </row>
    <row r="64" ht="27" customHeight="1" spans="1:20">
      <c r="A64" s="154" t="str">
        <f>INDEX('Rate Card'!$A:$A,MATCH(数统二级标签!$K64,'Rate Card'!$F:$F,0))</f>
        <v>数统</v>
      </c>
      <c r="B64" s="154" t="str">
        <f t="shared" si="0"/>
        <v>A086DBP</v>
      </c>
      <c r="C64" s="154" t="str">
        <f t="shared" si="1"/>
        <v>T0213DBP</v>
      </c>
      <c r="D64" s="128" t="s">
        <v>923</v>
      </c>
      <c r="E64" s="128" t="str">
        <f>INDEX(二三级标准!$Q:$Q,MATCH(数统二级标签!D64,二三级标准!$O:$O,0))</f>
        <v>数据管理</v>
      </c>
      <c r="F64" s="128" t="s">
        <v>277</v>
      </c>
      <c r="G64" s="128" t="str">
        <f>INDEX(二三级标准!C:C,MATCH(数统二级标签!F64,二三级标准!$B:$B,0))</f>
        <v>搭建数据库界面</v>
      </c>
      <c r="H64" s="128" t="s">
        <v>2931</v>
      </c>
      <c r="I64" s="128" t="str">
        <f>INDEX(二三级标准!$M:$M,MATCH(数统二级标签!$H64,二三级标准!$L:$L,0))</f>
        <v>eCRF唯一页页面验证</v>
      </c>
      <c r="J64" s="128" t="s">
        <v>2904</v>
      </c>
      <c r="K64" s="128" t="s">
        <v>629</v>
      </c>
      <c r="L64" s="156">
        <v>0.05</v>
      </c>
      <c r="M64" s="156">
        <v>0.05</v>
      </c>
      <c r="N64" s="156">
        <v>0.13</v>
      </c>
      <c r="O64" s="156">
        <v>0.1125</v>
      </c>
      <c r="P64" s="156">
        <v>0.1125</v>
      </c>
      <c r="Q64" s="156">
        <v>0.15</v>
      </c>
      <c r="R64" s="156">
        <v>0.1125</v>
      </c>
      <c r="S64" s="156">
        <v>0.15</v>
      </c>
      <c r="T64" s="156">
        <v>0.15</v>
      </c>
    </row>
    <row r="65" ht="27" customHeight="1" spans="1:20">
      <c r="A65" s="154" t="str">
        <f>INDEX('Rate Card'!$A:$A,MATCH(数统二级标签!$K65,'Rate Card'!$F:$F,0))</f>
        <v>数统</v>
      </c>
      <c r="B65" s="154" t="str">
        <f t="shared" si="0"/>
        <v>A086DBP</v>
      </c>
      <c r="C65" s="154" t="str">
        <f t="shared" si="1"/>
        <v>T0214DBP</v>
      </c>
      <c r="D65" s="128" t="s">
        <v>923</v>
      </c>
      <c r="E65" s="128" t="str">
        <f>INDEX(二三级标准!$Q:$Q,MATCH(数统二级标签!D65,二三级标准!$O:$O,0))</f>
        <v>数据管理</v>
      </c>
      <c r="F65" s="128" t="s">
        <v>277</v>
      </c>
      <c r="G65" s="128" t="str">
        <f>INDEX(二三级标准!C:C,MATCH(数统二级标签!F65,二三级标准!$B:$B,0))</f>
        <v>搭建数据库界面</v>
      </c>
      <c r="H65" s="128" t="s">
        <v>2932</v>
      </c>
      <c r="I65" s="128" t="str">
        <f>INDEX(二三级标准!$M:$M,MATCH(数统二级标签!$H65,二三级标准!$L:$L,0))</f>
        <v>eCRF重复页页面验证</v>
      </c>
      <c r="K65" s="128" t="s">
        <v>629</v>
      </c>
      <c r="L65" s="156">
        <v>0.05</v>
      </c>
      <c r="M65" s="156">
        <v>0.2</v>
      </c>
      <c r="N65" s="156">
        <v>0.065</v>
      </c>
      <c r="O65" s="156">
        <v>0.075</v>
      </c>
      <c r="P65" s="156">
        <v>0.05625</v>
      </c>
      <c r="Q65" s="156">
        <v>0.075</v>
      </c>
      <c r="R65" s="156">
        <v>0.075</v>
      </c>
      <c r="S65" s="156">
        <v>0.075</v>
      </c>
      <c r="T65" s="156">
        <v>0.075</v>
      </c>
    </row>
    <row r="66" ht="27" customHeight="1" spans="1:20">
      <c r="A66" s="154" t="str">
        <f>INDEX('Rate Card'!$A:$A,MATCH(数统二级标签!$K66,'Rate Card'!$F:$F,0))</f>
        <v>数统</v>
      </c>
      <c r="B66" s="154" t="str">
        <f t="shared" si="0"/>
        <v>A086DM</v>
      </c>
      <c r="C66" s="154" t="str">
        <f t="shared" si="1"/>
        <v>T0215DM</v>
      </c>
      <c r="D66" s="128" t="s">
        <v>923</v>
      </c>
      <c r="E66" s="128" t="str">
        <f>INDEX(二三级标准!$Q:$Q,MATCH(数统二级标签!D66,二三级标准!$O:$O,0))</f>
        <v>数据管理</v>
      </c>
      <c r="F66" s="128" t="s">
        <v>277</v>
      </c>
      <c r="G66" s="128" t="str">
        <f>INDEX(二三级标准!C:C,MATCH(数统二级标签!F66,二三级标准!$B:$B,0))</f>
        <v>搭建数据库界面</v>
      </c>
      <c r="H66" s="128" t="s">
        <v>2933</v>
      </c>
      <c r="I66" s="128" t="str">
        <f>INDEX(二三级标准!$M:$M,MATCH(数统二级标签!$H66,二三级标准!$L:$L,0))</f>
        <v>eCRF唯一页页面测试</v>
      </c>
      <c r="K66" s="128" t="s">
        <v>631</v>
      </c>
      <c r="L66" s="156">
        <v>0.2</v>
      </c>
      <c r="M66" s="156">
        <v>0.2</v>
      </c>
      <c r="N66" s="156">
        <v>0.195</v>
      </c>
      <c r="O66" s="156">
        <v>0.15</v>
      </c>
      <c r="P66" s="156">
        <v>0.16875</v>
      </c>
      <c r="Q66" s="156">
        <v>0.225</v>
      </c>
      <c r="R66" s="156">
        <v>0.15</v>
      </c>
      <c r="S66" s="156">
        <v>0.2</v>
      </c>
      <c r="T66" s="156">
        <v>0.225</v>
      </c>
    </row>
    <row r="67" ht="27" customHeight="1" spans="1:20">
      <c r="A67" s="154" t="str">
        <f>INDEX('Rate Card'!$A:$A,MATCH(数统二级标签!$K67,'Rate Card'!$F:$F,0))</f>
        <v>数统</v>
      </c>
      <c r="B67" s="154" t="str">
        <f t="shared" si="0"/>
        <v>A086DM</v>
      </c>
      <c r="C67" s="154" t="str">
        <f t="shared" si="1"/>
        <v>T0216DM</v>
      </c>
      <c r="D67" s="128" t="s">
        <v>923</v>
      </c>
      <c r="E67" s="128" t="str">
        <f>INDEX(二三级标准!$Q:$Q,MATCH(数统二级标签!D67,二三级标准!$O:$O,0))</f>
        <v>数据管理</v>
      </c>
      <c r="F67" s="128" t="s">
        <v>277</v>
      </c>
      <c r="G67" s="128" t="str">
        <f>INDEX(二三级标准!C:C,MATCH(数统二级标签!F67,二三级标准!$B:$B,0))</f>
        <v>搭建数据库界面</v>
      </c>
      <c r="H67" s="128" t="s">
        <v>2934</v>
      </c>
      <c r="I67" s="128" t="str">
        <f>INDEX(二三级标准!$M:$M,MATCH(数统二级标签!$H67,二三级标准!$L:$L,0))</f>
        <v>eCRF重复页页面测试</v>
      </c>
      <c r="K67" s="128" t="s">
        <v>631</v>
      </c>
      <c r="L67" s="156">
        <v>0.2</v>
      </c>
      <c r="M67" s="156">
        <v>6</v>
      </c>
      <c r="N67" s="156">
        <v>0.13</v>
      </c>
      <c r="O67" s="156">
        <v>0.075</v>
      </c>
      <c r="P67" s="156">
        <v>0.1125</v>
      </c>
      <c r="Q67" s="156">
        <v>0.15</v>
      </c>
      <c r="R67" s="156">
        <v>0.075</v>
      </c>
      <c r="S67" s="156">
        <v>0.1</v>
      </c>
      <c r="T67" s="156">
        <v>0.15</v>
      </c>
    </row>
    <row r="68" ht="27" customHeight="1" spans="1:20">
      <c r="A68" s="154" t="str">
        <f>INDEX('Rate Card'!$A:$A,MATCH(数统二级标签!$K68,'Rate Card'!$F:$F,0))</f>
        <v>数统</v>
      </c>
      <c r="B68" s="154" t="str">
        <f t="shared" si="0"/>
        <v>A086DBP</v>
      </c>
      <c r="C68" s="154" t="str">
        <f t="shared" si="1"/>
        <v>T0217DBP</v>
      </c>
      <c r="D68" s="128" t="s">
        <v>923</v>
      </c>
      <c r="E68" s="128" t="str">
        <f>INDEX(二三级标准!$Q:$Q,MATCH(数统二级标签!D68,二三级标准!$O:$O,0))</f>
        <v>数据管理</v>
      </c>
      <c r="F68" s="128" t="s">
        <v>277</v>
      </c>
      <c r="G68" s="128" t="str">
        <f>INDEX(二三级标准!C:C,MATCH(数统二级标签!F68,二三级标准!$B:$B,0))</f>
        <v>搭建数据库界面</v>
      </c>
      <c r="H68" s="128" t="s">
        <v>1390</v>
      </c>
      <c r="I68" s="128" t="str">
        <f>INDEX(二三级标准!$M:$M,MATCH(数统二级标签!$H68,二三级标准!$L:$L,0))</f>
        <v>EDC功能模块搭建(编码、实验室等)</v>
      </c>
      <c r="K68" s="128" t="s">
        <v>629</v>
      </c>
      <c r="L68" s="156">
        <v>4</v>
      </c>
      <c r="M68" s="156">
        <v>4</v>
      </c>
      <c r="N68" s="156">
        <v>3.9</v>
      </c>
      <c r="O68" s="156">
        <v>3</v>
      </c>
      <c r="P68" s="156">
        <v>3.375</v>
      </c>
      <c r="Q68" s="156">
        <v>6</v>
      </c>
      <c r="R68" s="156">
        <v>4.5</v>
      </c>
      <c r="S68" s="156">
        <v>4</v>
      </c>
      <c r="T68" s="156">
        <v>4.5</v>
      </c>
    </row>
    <row r="69" ht="27" customHeight="1" spans="1:20">
      <c r="A69" s="154" t="str">
        <f>INDEX('Rate Card'!$A:$A,MATCH(数统二级标签!$K69,'Rate Card'!$F:$F,0))</f>
        <v>数统</v>
      </c>
      <c r="B69" s="154" t="str">
        <f t="shared" si="0"/>
        <v>A086DM</v>
      </c>
      <c r="C69" s="154" t="str">
        <f t="shared" si="1"/>
        <v>T0218DM</v>
      </c>
      <c r="D69" s="128" t="s">
        <v>923</v>
      </c>
      <c r="E69" s="128" t="str">
        <f>INDEX(二三级标准!$Q:$Q,MATCH(数统二级标签!D69,二三级标准!$O:$O,0))</f>
        <v>数据管理</v>
      </c>
      <c r="F69" s="128" t="s">
        <v>277</v>
      </c>
      <c r="G69" s="128" t="str">
        <f>INDEX(二三级标准!C:C,MATCH(数统二级标签!F69,二三级标准!$B:$B,0))</f>
        <v>搭建数据库界面</v>
      </c>
      <c r="H69" s="128" t="s">
        <v>1391</v>
      </c>
      <c r="I69" s="128" t="str">
        <f>INDEX(二三级标准!$M:$M,MATCH(数统二级标签!$H69,二三级标准!$L:$L,0))</f>
        <v>EDC功能模块测试(编码、实验室等)</v>
      </c>
      <c r="K69" s="128" t="s">
        <v>631</v>
      </c>
      <c r="L69" s="156">
        <v>2</v>
      </c>
      <c r="M69" s="156">
        <v>2</v>
      </c>
      <c r="N69" s="156">
        <v>1.3</v>
      </c>
      <c r="O69" s="156">
        <v>1.5</v>
      </c>
      <c r="P69" s="156">
        <v>1.6875</v>
      </c>
      <c r="Q69" s="156">
        <v>3</v>
      </c>
      <c r="R69" s="156">
        <v>2.25</v>
      </c>
      <c r="S69" s="156">
        <v>1.5</v>
      </c>
      <c r="T69" s="156">
        <v>1.5</v>
      </c>
    </row>
    <row r="70" ht="27" customHeight="1" spans="1:20">
      <c r="A70" s="154" t="str">
        <f>INDEX('Rate Card'!$A:$A,MATCH(数统二级标签!$K70,'Rate Card'!$F:$F,0))</f>
        <v>数统</v>
      </c>
      <c r="B70" s="154" t="str">
        <f t="shared" si="0"/>
        <v>A086DM</v>
      </c>
      <c r="C70" s="154" t="str">
        <f t="shared" si="1"/>
        <v>T0219DM</v>
      </c>
      <c r="D70" s="128" t="s">
        <v>923</v>
      </c>
      <c r="E70" s="128" t="str">
        <f>INDEX(二三级标准!$Q:$Q,MATCH(数统二级标签!D70,二三级标准!$O:$O,0))</f>
        <v>数据管理</v>
      </c>
      <c r="F70" s="128" t="s">
        <v>277</v>
      </c>
      <c r="G70" s="128" t="str">
        <f>INDEX(二三级标准!C:C,MATCH(数统二级标签!F70,二三级标准!$B:$B,0))</f>
        <v>搭建数据库界面</v>
      </c>
      <c r="H70" s="128" t="s">
        <v>2935</v>
      </c>
      <c r="I70" s="128" t="str">
        <f>INDEX(二三级标准!$M:$M,MATCH(数统二级标签!$H70,二三级标准!$L:$L,0))</f>
        <v>EDC与其他系统对接搭建</v>
      </c>
      <c r="K70" s="128" t="s">
        <v>631</v>
      </c>
      <c r="L70" s="156">
        <v>3</v>
      </c>
      <c r="M70" s="156">
        <v>3</v>
      </c>
      <c r="N70" s="156">
        <v>3</v>
      </c>
      <c r="O70" s="156">
        <v>3</v>
      </c>
      <c r="P70" s="156">
        <v>2.25</v>
      </c>
      <c r="Q70" s="156">
        <v>4.5</v>
      </c>
      <c r="R70" s="156">
        <v>3</v>
      </c>
      <c r="S70" s="156">
        <v>3</v>
      </c>
      <c r="T70" s="156">
        <v>3</v>
      </c>
    </row>
    <row r="71" ht="27" customHeight="1" spans="1:20">
      <c r="A71" s="154" t="str">
        <f>INDEX('Rate Card'!$A:$A,MATCH(数统二级标签!$K71,'Rate Card'!$F:$F,0))</f>
        <v>数统</v>
      </c>
      <c r="B71" s="154" t="str">
        <f t="shared" si="0"/>
        <v>A086DM</v>
      </c>
      <c r="C71" s="154" t="str">
        <f t="shared" si="1"/>
        <v>T0220DM</v>
      </c>
      <c r="D71" s="128" t="s">
        <v>923</v>
      </c>
      <c r="E71" s="128" t="str">
        <f>INDEX(二三级标准!$Q:$Q,MATCH(数统二级标签!D71,二三级标准!$O:$O,0))</f>
        <v>数据管理</v>
      </c>
      <c r="F71" s="128" t="s">
        <v>277</v>
      </c>
      <c r="G71" s="128" t="str">
        <f>INDEX(二三级标准!C:C,MATCH(数统二级标签!F71,二三级标准!$B:$B,0))</f>
        <v>搭建数据库界面</v>
      </c>
      <c r="H71" s="128" t="s">
        <v>2936</v>
      </c>
      <c r="I71" s="128" t="str">
        <f>INDEX(二三级标准!$M:$M,MATCH(数统二级标签!$H71,二三级标准!$L:$L,0))</f>
        <v>EDC与其他系统对接测试</v>
      </c>
      <c r="K71" s="128" t="s">
        <v>631</v>
      </c>
      <c r="L71" s="156">
        <v>1.5</v>
      </c>
      <c r="M71" s="156">
        <v>1.5</v>
      </c>
      <c r="N71" s="156">
        <v>1.5</v>
      </c>
      <c r="O71" s="156">
        <v>1.5</v>
      </c>
      <c r="P71" s="156">
        <v>1.125</v>
      </c>
      <c r="Q71" s="156">
        <v>2.25</v>
      </c>
      <c r="R71" s="156">
        <v>1.5</v>
      </c>
      <c r="S71" s="156">
        <v>1.5</v>
      </c>
      <c r="T71" s="156">
        <v>1.5</v>
      </c>
    </row>
    <row r="72" ht="27" customHeight="1" spans="1:20">
      <c r="A72" s="154" t="str">
        <f>INDEX('Rate Card'!$A:$A,MATCH(数统二级标签!$K72,'Rate Card'!$F:$F,0))</f>
        <v>数统</v>
      </c>
      <c r="B72" s="154" t="str">
        <f t="shared" si="0"/>
        <v>A086DM</v>
      </c>
      <c r="C72" s="154" t="str">
        <f t="shared" si="1"/>
        <v>T0221DM</v>
      </c>
      <c r="D72" s="128" t="s">
        <v>923</v>
      </c>
      <c r="E72" s="128" t="str">
        <f>INDEX(二三级标准!$Q:$Q,MATCH(数统二级标签!D72,二三级标准!$O:$O,0))</f>
        <v>数据管理</v>
      </c>
      <c r="F72" s="128" t="s">
        <v>277</v>
      </c>
      <c r="G72" s="128" t="str">
        <f>INDEX(二三级标准!C:C,MATCH(数统二级标签!F72,二三级标准!$B:$B,0))</f>
        <v>搭建数据库界面</v>
      </c>
      <c r="H72" s="128" t="s">
        <v>1392</v>
      </c>
      <c r="I72" s="128" t="str">
        <f>INDEX(二三级标准!$M:$M,MATCH(数统二级标签!$H72,二三级标准!$L:$L,0))</f>
        <v>数据库上线前检查</v>
      </c>
      <c r="K72" s="128" t="s">
        <v>631</v>
      </c>
      <c r="L72" s="162">
        <v>1</v>
      </c>
      <c r="M72" s="156">
        <v>1</v>
      </c>
      <c r="N72" s="156">
        <v>0.65</v>
      </c>
      <c r="O72" s="156">
        <v>0.75</v>
      </c>
      <c r="P72" s="156">
        <v>0.5625</v>
      </c>
      <c r="Q72" s="156">
        <v>0.75</v>
      </c>
      <c r="R72" s="156">
        <v>0.75</v>
      </c>
      <c r="S72" s="156">
        <v>0.75</v>
      </c>
      <c r="T72" s="156">
        <v>0.75</v>
      </c>
    </row>
    <row r="73" ht="27" customHeight="1" spans="1:20">
      <c r="A73" s="154" t="str">
        <f>INDEX('Rate Card'!$A:$A,MATCH(数统二级标签!$K73,'Rate Card'!$F:$F,0))</f>
        <v>数统</v>
      </c>
      <c r="B73" s="154" t="str">
        <f t="shared" si="0"/>
        <v>A086DBP</v>
      </c>
      <c r="C73" s="154" t="str">
        <f t="shared" si="1"/>
        <v>T0222DBP</v>
      </c>
      <c r="D73" s="128" t="s">
        <v>923</v>
      </c>
      <c r="E73" s="128" t="str">
        <f>INDEX(二三级标准!$Q:$Q,MATCH(数统二级标签!D73,二三级标准!$O:$O,0))</f>
        <v>数据管理</v>
      </c>
      <c r="F73" s="128" t="s">
        <v>277</v>
      </c>
      <c r="G73" s="128" t="str">
        <f>INDEX(二三级标准!C:C,MATCH(数统二级标签!F73,二三级标准!$B:$B,0))</f>
        <v>搭建数据库界面</v>
      </c>
      <c r="H73" s="128" t="s">
        <v>1393</v>
      </c>
      <c r="I73" s="128" t="str">
        <f>INDEX(二三级标准!$M:$M,MATCH(数统二级标签!$H73,二三级标准!$L:$L,0))</f>
        <v>数据库上线操作</v>
      </c>
      <c r="K73" s="128" t="s">
        <v>629</v>
      </c>
      <c r="L73" s="156">
        <v>1</v>
      </c>
      <c r="M73" s="156">
        <v>4</v>
      </c>
      <c r="N73" s="156">
        <v>0.65</v>
      </c>
      <c r="O73" s="156">
        <v>0.75</v>
      </c>
      <c r="P73" s="156">
        <v>0.5625</v>
      </c>
      <c r="Q73" s="156">
        <v>0.75</v>
      </c>
      <c r="R73" s="156">
        <v>0.75</v>
      </c>
      <c r="S73" s="156">
        <v>0.75</v>
      </c>
      <c r="T73" s="156">
        <v>0.75</v>
      </c>
    </row>
    <row r="74" ht="27" customHeight="1" spans="1:20">
      <c r="A74" s="154" t="str">
        <f>INDEX('Rate Card'!$A:$A,MATCH(数统二级标签!$K74,'Rate Card'!$F:$F,0))</f>
        <v>数统</v>
      </c>
      <c r="B74" s="154" t="str">
        <f t="shared" si="0"/>
        <v>A086LDM</v>
      </c>
      <c r="C74" s="154" t="str">
        <f t="shared" si="1"/>
        <v>T0223LDM</v>
      </c>
      <c r="D74" s="128" t="s">
        <v>923</v>
      </c>
      <c r="E74" s="128" t="str">
        <f>INDEX(二三级标准!$Q:$Q,MATCH(数统二级标签!D74,二三级标准!$O:$O,0))</f>
        <v>数据管理</v>
      </c>
      <c r="F74" s="128" t="s">
        <v>277</v>
      </c>
      <c r="G74" s="128" t="str">
        <f>INDEX(二三级标准!C:C,MATCH(数统二级标签!F74,二三级标准!$B:$B,0))</f>
        <v>搭建数据库界面</v>
      </c>
      <c r="H74" s="128" t="s">
        <v>1394</v>
      </c>
      <c r="I74" s="128" t="str">
        <f>INDEX(二三级标准!$M:$M,MATCH(数统二级标签!$H74,二三级标准!$L:$L,0))</f>
        <v>EDC培训</v>
      </c>
      <c r="K74" s="128" t="s">
        <v>633</v>
      </c>
      <c r="L74" s="156">
        <v>2</v>
      </c>
      <c r="M74" s="156">
        <v>2</v>
      </c>
      <c r="N74" s="156">
        <v>2</v>
      </c>
      <c r="O74" s="156">
        <v>2</v>
      </c>
      <c r="P74" s="156">
        <v>2</v>
      </c>
      <c r="Q74" s="156">
        <v>2</v>
      </c>
      <c r="R74" s="156">
        <v>2</v>
      </c>
      <c r="S74" s="156">
        <v>2</v>
      </c>
      <c r="T74" s="156">
        <v>2</v>
      </c>
    </row>
    <row r="75" s="132" customFormat="1" ht="27" customHeight="1" spans="1:20">
      <c r="A75" s="163" t="str">
        <f>INDEX('Rate Card'!$A:$A,MATCH(数统二级标签!$K75,'Rate Card'!$F:$F,0))</f>
        <v>数统</v>
      </c>
      <c r="B75" s="163" t="str">
        <f t="shared" si="0"/>
        <v>A086ST</v>
      </c>
      <c r="C75" s="163" t="str">
        <f t="shared" si="1"/>
        <v>T0223ST</v>
      </c>
      <c r="D75" s="132" t="s">
        <v>923</v>
      </c>
      <c r="E75" s="132" t="str">
        <f>INDEX(二三级标准!$Q:$Q,MATCH(数统二级标签!D75,二三级标准!$O:$O,0))</f>
        <v>数据管理</v>
      </c>
      <c r="F75" s="132" t="s">
        <v>277</v>
      </c>
      <c r="G75" s="132" t="str">
        <f>INDEX(二三级标准!C:C,MATCH(数统二级标签!F75,二三级标准!$B:$B,0))</f>
        <v>搭建数据库界面</v>
      </c>
      <c r="H75" s="132" t="s">
        <v>1394</v>
      </c>
      <c r="I75" s="132" t="str">
        <f>INDEX(二三级标准!$M:$M,MATCH(数统二级标签!$H75,二三级标准!$L:$L,0))</f>
        <v>EDC培训</v>
      </c>
      <c r="J75" s="132" t="s">
        <v>2937</v>
      </c>
      <c r="K75" s="132" t="s">
        <v>639</v>
      </c>
      <c r="L75" s="164">
        <v>0</v>
      </c>
      <c r="M75" s="164">
        <v>0</v>
      </c>
      <c r="N75" s="164">
        <v>1</v>
      </c>
      <c r="O75" s="164">
        <v>1</v>
      </c>
      <c r="P75" s="164">
        <v>1</v>
      </c>
      <c r="Q75" s="164">
        <v>1</v>
      </c>
      <c r="R75" s="164">
        <v>1</v>
      </c>
      <c r="S75" s="164">
        <v>1</v>
      </c>
      <c r="T75" s="164">
        <v>1</v>
      </c>
    </row>
    <row r="76" ht="27" customHeight="1" spans="1:20">
      <c r="A76" s="154" t="str">
        <f>INDEX('Rate Card'!$A:$A,MATCH(数统二级标签!$K76,'Rate Card'!$F:$F,0))</f>
        <v>数统</v>
      </c>
      <c r="B76" s="154" t="str">
        <f t="shared" si="0"/>
        <v>A087DBP</v>
      </c>
      <c r="C76" s="154" t="str">
        <f t="shared" si="1"/>
        <v>T0224DBP</v>
      </c>
      <c r="D76" s="128" t="s">
        <v>923</v>
      </c>
      <c r="E76" s="128" t="str">
        <f>INDEX(二三级标准!$Q:$Q,MATCH(数统二级标签!D76,二三级标准!$O:$O,0))</f>
        <v>数据管理</v>
      </c>
      <c r="F76" s="128" t="s">
        <v>279</v>
      </c>
      <c r="G76" s="128" t="str">
        <f>INDEX(二三级标准!C:C,MATCH(数统二级标签!F76,二三级标准!$B:$B,0))</f>
        <v>设置数据核查程序</v>
      </c>
      <c r="H76" s="128" t="s">
        <v>1395</v>
      </c>
      <c r="I76" s="128" t="str">
        <f>INDEX(二三级标准!$M:$M,MATCH(数统二级标签!$H76,二三级标准!$L:$L,0))</f>
        <v>逻辑核查系统程序编程</v>
      </c>
      <c r="K76" s="128" t="s">
        <v>629</v>
      </c>
      <c r="L76" s="156">
        <v>0.08</v>
      </c>
      <c r="M76" s="156">
        <v>0.08</v>
      </c>
      <c r="N76" s="156">
        <v>0.065</v>
      </c>
      <c r="O76" s="156">
        <v>0.075</v>
      </c>
      <c r="P76" s="156">
        <v>0.084375</v>
      </c>
      <c r="Q76" s="156">
        <v>0.1125</v>
      </c>
      <c r="R76" s="156">
        <v>0.075</v>
      </c>
      <c r="S76" s="156">
        <v>0.075</v>
      </c>
      <c r="T76" s="156">
        <v>0.075</v>
      </c>
    </row>
    <row r="77" ht="27" customHeight="1" spans="1:20">
      <c r="A77" s="154" t="str">
        <f>INDEX('Rate Card'!$A:$A,MATCH(数统二级标签!$K77,'Rate Card'!$F:$F,0))</f>
        <v>数统</v>
      </c>
      <c r="B77" s="154" t="str">
        <f t="shared" si="0"/>
        <v>A087DBP</v>
      </c>
      <c r="C77" s="154" t="str">
        <f t="shared" si="1"/>
        <v>T0225DBP</v>
      </c>
      <c r="D77" s="128" t="s">
        <v>923</v>
      </c>
      <c r="E77" s="128" t="str">
        <f>INDEX(二三级标准!$Q:$Q,MATCH(数统二级标签!D77,二三级标准!$O:$O,0))</f>
        <v>数据管理</v>
      </c>
      <c r="F77" s="128" t="s">
        <v>279</v>
      </c>
      <c r="G77" s="128" t="str">
        <f>INDEX(二三级标准!C:C,MATCH(数统二级标签!F77,二三级标准!$B:$B,0))</f>
        <v>设置数据核查程序</v>
      </c>
      <c r="H77" s="128" t="s">
        <v>1396</v>
      </c>
      <c r="I77" s="128" t="str">
        <f>INDEX(二三级标准!$M:$M,MATCH(数统二级标签!$H77,二三级标准!$L:$L,0))</f>
        <v>逻辑核查系统程序验证</v>
      </c>
      <c r="K77" s="128" t="s">
        <v>629</v>
      </c>
      <c r="L77" s="156">
        <v>0.015</v>
      </c>
      <c r="M77" s="156">
        <v>0.015</v>
      </c>
      <c r="N77" s="156">
        <v>0.0325</v>
      </c>
      <c r="O77" s="156">
        <v>0.0375</v>
      </c>
      <c r="P77" s="156">
        <v>0.028125</v>
      </c>
      <c r="Q77" s="156">
        <v>0.075</v>
      </c>
      <c r="R77" s="156">
        <v>0.0375</v>
      </c>
      <c r="S77" s="156">
        <v>0.0375</v>
      </c>
      <c r="T77" s="156">
        <v>0.0375</v>
      </c>
    </row>
    <row r="78" ht="27" customHeight="1" spans="1:20">
      <c r="A78" s="154" t="str">
        <f>INDEX('Rate Card'!$A:$A,MATCH(数统二级标签!$K78,'Rate Card'!$F:$F,0))</f>
        <v>数统</v>
      </c>
      <c r="B78" s="154" t="str">
        <f t="shared" ref="B78:B146" si="6">F78&amp;K78</f>
        <v>A087DM</v>
      </c>
      <c r="C78" s="154" t="str">
        <f t="shared" ref="C78:C146" si="7">H78&amp;K78</f>
        <v>T0226DM</v>
      </c>
      <c r="D78" s="128" t="s">
        <v>923</v>
      </c>
      <c r="E78" s="128" t="str">
        <f>INDEX(二三级标准!$Q:$Q,MATCH(数统二级标签!D78,二三级标准!$O:$O,0))</f>
        <v>数据管理</v>
      </c>
      <c r="F78" s="128" t="s">
        <v>279</v>
      </c>
      <c r="G78" s="128" t="str">
        <f>INDEX(二三级标准!C:C,MATCH(数统二级标签!F78,二三级标准!$B:$B,0))</f>
        <v>设置数据核查程序</v>
      </c>
      <c r="H78" s="128" t="s">
        <v>1397</v>
      </c>
      <c r="I78" s="128" t="str">
        <f>INDEX(二三级标准!$M:$M,MATCH(数统二级标签!$H78,二三级标准!$L:$L,0))</f>
        <v>逻辑核查系统程序测试</v>
      </c>
      <c r="J78" s="128" t="s">
        <v>2904</v>
      </c>
      <c r="K78" s="128" t="s">
        <v>631</v>
      </c>
      <c r="L78" s="162">
        <v>0.2</v>
      </c>
      <c r="M78" s="156">
        <v>0.2</v>
      </c>
      <c r="N78" s="156">
        <v>0.0975</v>
      </c>
      <c r="O78" s="156">
        <v>0.1125</v>
      </c>
      <c r="P78" s="156">
        <v>0.084375</v>
      </c>
      <c r="Q78" s="156">
        <v>0.1125</v>
      </c>
      <c r="R78" s="156">
        <v>0.1125</v>
      </c>
      <c r="S78" s="156">
        <v>0.1125</v>
      </c>
      <c r="T78" s="156">
        <v>0.1125</v>
      </c>
    </row>
    <row r="79" ht="27" customHeight="1" spans="1:20">
      <c r="A79" s="154" t="str">
        <f>INDEX('Rate Card'!$A:$A,MATCH(数统二级标签!$K79,'Rate Card'!$F:$F,0))</f>
        <v>数统</v>
      </c>
      <c r="B79" s="154" t="str">
        <f t="shared" si="6"/>
        <v>A087DBP</v>
      </c>
      <c r="C79" s="154" t="str">
        <f t="shared" si="7"/>
        <v>T0227DBP</v>
      </c>
      <c r="D79" s="128" t="s">
        <v>923</v>
      </c>
      <c r="E79" s="128" t="str">
        <f>INDEX(二三级标准!$Q:$Q,MATCH(数统二级标签!D79,二三级标准!$O:$O,0))</f>
        <v>数据管理</v>
      </c>
      <c r="F79" s="128" t="s">
        <v>279</v>
      </c>
      <c r="G79" s="128" t="str">
        <f>INDEX(二三级标准!C:C,MATCH(数统二级标签!F79,二三级标准!$B:$B,0))</f>
        <v>设置数据核查程序</v>
      </c>
      <c r="H79" s="128" t="s">
        <v>2938</v>
      </c>
      <c r="I79" s="128" t="str">
        <f>INDEX(二三级标准!$M:$M,MATCH(数统二级标签!$H79,二三级标准!$L:$L,0))</f>
        <v>逻辑核查程序测试后的调整</v>
      </c>
      <c r="K79" s="128" t="s">
        <v>629</v>
      </c>
      <c r="L79" s="156">
        <v>0.08</v>
      </c>
      <c r="M79" s="156">
        <v>0.08</v>
      </c>
      <c r="N79" s="156">
        <v>0.065</v>
      </c>
      <c r="O79" s="156">
        <v>0.075</v>
      </c>
      <c r="P79" s="156">
        <v>0.05625</v>
      </c>
      <c r="Q79" s="156">
        <v>0.075</v>
      </c>
      <c r="R79" s="156">
        <v>0.075</v>
      </c>
      <c r="S79" s="156">
        <v>0.075</v>
      </c>
      <c r="T79" s="156">
        <v>0.075</v>
      </c>
    </row>
    <row r="80" ht="27" customHeight="1" spans="1:20">
      <c r="A80" s="154" t="str">
        <f>INDEX('Rate Card'!$A:$A,MATCH(数统二级标签!$K80,'Rate Card'!$F:$F,0))</f>
        <v>数统</v>
      </c>
      <c r="B80" s="154" t="str">
        <f t="shared" si="6"/>
        <v>A087DBP</v>
      </c>
      <c r="C80" s="154" t="str">
        <f t="shared" si="7"/>
        <v>T0228DBP</v>
      </c>
      <c r="D80" s="128" t="s">
        <v>923</v>
      </c>
      <c r="E80" s="128" t="str">
        <f>INDEX(二三级标准!$Q:$Q,MATCH(数统二级标签!D80,二三级标准!$O:$O,0))</f>
        <v>数据管理</v>
      </c>
      <c r="F80" s="128" t="s">
        <v>279</v>
      </c>
      <c r="G80" s="128" t="str">
        <f>INDEX(二三级标准!C:C,MATCH(数统二级标签!F80,二三级标准!$B:$B,0))</f>
        <v>设置数据核查程序</v>
      </c>
      <c r="H80" s="128" t="s">
        <v>2939</v>
      </c>
      <c r="I80" s="128" t="str">
        <f>INDEX(二三级标准!$M:$M,MATCH(数统二级标签!$H80,二三级标准!$L:$L,0))</f>
        <v>人工审核线下列表编程(SAS)</v>
      </c>
      <c r="J80" s="128" t="s">
        <v>2904</v>
      </c>
      <c r="K80" s="128" t="s">
        <v>629</v>
      </c>
      <c r="L80" s="156">
        <v>0.15</v>
      </c>
      <c r="M80" s="156">
        <v>0.15</v>
      </c>
      <c r="N80" s="156">
        <v>0.375</v>
      </c>
      <c r="O80" s="156">
        <v>0.375</v>
      </c>
      <c r="P80" s="156">
        <v>0.28125</v>
      </c>
      <c r="Q80" s="156">
        <v>0.525</v>
      </c>
      <c r="R80" s="156">
        <v>0.375</v>
      </c>
      <c r="S80" s="156">
        <v>0.375</v>
      </c>
      <c r="T80" s="156">
        <v>0.375</v>
      </c>
    </row>
    <row r="81" ht="27" customHeight="1" spans="1:20">
      <c r="A81" s="154" t="str">
        <f>INDEX('Rate Card'!$A:$A,MATCH(数统二级标签!$K81,'Rate Card'!$F:$F,0))</f>
        <v>数统</v>
      </c>
      <c r="B81" s="154" t="str">
        <f t="shared" si="6"/>
        <v>A087DM</v>
      </c>
      <c r="C81" s="154" t="str">
        <f t="shared" si="7"/>
        <v>T0229DM</v>
      </c>
      <c r="D81" s="128" t="s">
        <v>923</v>
      </c>
      <c r="E81" s="128" t="str">
        <f>INDEX(二三级标准!$Q:$Q,MATCH(数统二级标签!D81,二三级标准!$O:$O,0))</f>
        <v>数据管理</v>
      </c>
      <c r="F81" s="128" t="s">
        <v>279</v>
      </c>
      <c r="G81" s="128" t="str">
        <f>INDEX(二三级标准!C:C,MATCH(数统二级标签!F81,二三级标准!$B:$B,0))</f>
        <v>设置数据核查程序</v>
      </c>
      <c r="H81" s="128" t="s">
        <v>2940</v>
      </c>
      <c r="I81" s="128" t="str">
        <f>INDEX(二三级标准!$M:$M,MATCH(数统二级标签!$H81,二三级标准!$L:$L,0))</f>
        <v>人工审核线下列表测试(SAS)</v>
      </c>
      <c r="K81" s="128" t="s">
        <v>631</v>
      </c>
      <c r="L81" s="156">
        <v>0.1</v>
      </c>
      <c r="M81" s="156">
        <v>0.1</v>
      </c>
      <c r="N81" s="156">
        <v>0.15</v>
      </c>
      <c r="O81" s="156">
        <v>0.15</v>
      </c>
      <c r="P81" s="156">
        <v>0.1125</v>
      </c>
      <c r="Q81" s="156">
        <v>0.225</v>
      </c>
      <c r="R81" s="156">
        <v>0.15</v>
      </c>
      <c r="S81" s="156">
        <v>0.15</v>
      </c>
      <c r="T81" s="156">
        <v>0.15</v>
      </c>
    </row>
    <row r="82" ht="27" customHeight="1" spans="1:20">
      <c r="A82" s="154" t="str">
        <f>INDEX('Rate Card'!$A:$A,MATCH(数统二级标签!$K82,'Rate Card'!$F:$F,0))</f>
        <v>数统</v>
      </c>
      <c r="B82" s="154" t="str">
        <f t="shared" si="6"/>
        <v>A088LDM</v>
      </c>
      <c r="C82" s="154" t="str">
        <f t="shared" si="7"/>
        <v>T0230LDM</v>
      </c>
      <c r="D82" s="128" t="s">
        <v>923</v>
      </c>
      <c r="E82" s="128" t="str">
        <f>INDEX(二三级标准!$Q:$Q,MATCH(数统二级标签!D82,二三级标准!$O:$O,0))</f>
        <v>数据管理</v>
      </c>
      <c r="F82" s="128" t="s">
        <v>281</v>
      </c>
      <c r="G82" s="128" t="str">
        <f>INDEX(二三级标准!C:C,MATCH(数统二级标签!F82,二三级标准!$B:$B,0))</f>
        <v>用户接受性测试(UAT)</v>
      </c>
      <c r="H82" s="128" t="s">
        <v>1398</v>
      </c>
      <c r="I82" s="128" t="str">
        <f>INDEX(二三级标准!$M:$M,MATCH(数统二级标签!$H82,二三级标准!$L:$L,0))</f>
        <v>面向项目组的UAT培训(UAT会议)</v>
      </c>
      <c r="K82" s="128" t="s">
        <v>633</v>
      </c>
      <c r="L82" s="156">
        <v>2</v>
      </c>
      <c r="M82" s="156">
        <v>2</v>
      </c>
      <c r="N82" s="156">
        <v>2</v>
      </c>
      <c r="O82" s="156">
        <v>2</v>
      </c>
      <c r="P82" s="156">
        <v>2</v>
      </c>
      <c r="Q82" s="156">
        <v>2</v>
      </c>
      <c r="R82" s="156">
        <v>2</v>
      </c>
      <c r="S82" s="156">
        <v>2</v>
      </c>
      <c r="T82" s="156">
        <v>2</v>
      </c>
    </row>
    <row r="83" s="132" customFormat="1" ht="27" customHeight="1" spans="1:20">
      <c r="A83" s="163" t="str">
        <f>INDEX('Rate Card'!$A:$A,MATCH(数统二级标签!$K83,'Rate Card'!$F:$F,0))</f>
        <v>数统</v>
      </c>
      <c r="B83" s="163" t="str">
        <f t="shared" si="6"/>
        <v>A088DBP</v>
      </c>
      <c r="C83" s="163" t="str">
        <f t="shared" si="7"/>
        <v>T0230DBP</v>
      </c>
      <c r="D83" s="132" t="s">
        <v>923</v>
      </c>
      <c r="E83" s="132" t="str">
        <f>INDEX(二三级标准!$Q:$Q,MATCH(数统二级标签!D83,二三级标准!$O:$O,0))</f>
        <v>数据管理</v>
      </c>
      <c r="F83" s="132" t="s">
        <v>281</v>
      </c>
      <c r="G83" s="132" t="str">
        <f>INDEX(二三级标准!C:C,MATCH(数统二级标签!F83,二三级标准!$B:$B,0))</f>
        <v>用户接受性测试(UAT)</v>
      </c>
      <c r="H83" s="132" t="s">
        <v>1398</v>
      </c>
      <c r="I83" s="132" t="str">
        <f>INDEX(二三级标准!$M:$M,MATCH(数统二级标签!$H83,二三级标准!$L:$L,0))</f>
        <v>面向项目组的UAT培训(UAT会议)</v>
      </c>
      <c r="J83" s="132" t="s">
        <v>2937</v>
      </c>
      <c r="K83" s="132" t="s">
        <v>629</v>
      </c>
      <c r="L83" s="164">
        <v>0</v>
      </c>
      <c r="M83" s="164">
        <v>0</v>
      </c>
      <c r="N83" s="164">
        <v>2</v>
      </c>
      <c r="O83" s="164">
        <v>2</v>
      </c>
      <c r="P83" s="164">
        <v>2</v>
      </c>
      <c r="Q83" s="164">
        <v>2</v>
      </c>
      <c r="R83" s="164">
        <v>2</v>
      </c>
      <c r="S83" s="164">
        <v>2</v>
      </c>
      <c r="T83" s="164">
        <v>2</v>
      </c>
    </row>
    <row r="84" ht="27" customHeight="1" spans="1:20">
      <c r="A84" s="154" t="str">
        <f>INDEX('Rate Card'!$A:$A,MATCH(数统二级标签!$K84,'Rate Card'!$F:$F,0))</f>
        <v>数统</v>
      </c>
      <c r="B84" s="154" t="str">
        <f t="shared" si="6"/>
        <v>A088DBP</v>
      </c>
      <c r="C84" s="154" t="str">
        <f t="shared" si="7"/>
        <v>T0231DBP</v>
      </c>
      <c r="D84" s="128" t="s">
        <v>923</v>
      </c>
      <c r="E84" s="128" t="str">
        <f>INDEX(二三级标准!$Q:$Q,MATCH(数统二级标签!D84,二三级标准!$O:$O,0))</f>
        <v>数据管理</v>
      </c>
      <c r="F84" s="128" t="s">
        <v>281</v>
      </c>
      <c r="G84" s="128" t="str">
        <f>INDEX(二三级标准!C:C,MATCH(数统二级标签!F84,二三级标准!$B:$B,0))</f>
        <v>用户接受性测试(UAT)</v>
      </c>
      <c r="H84" s="128" t="s">
        <v>1399</v>
      </c>
      <c r="I84" s="128" t="str">
        <f>INDEX(二三级标准!$M:$M,MATCH(数统二级标签!$H84,二三级标准!$L:$L,0))</f>
        <v>项目组UAT测试后的EDC调整</v>
      </c>
      <c r="K84" s="128" t="s">
        <v>629</v>
      </c>
      <c r="L84" s="156">
        <v>2</v>
      </c>
      <c r="M84" s="156">
        <v>2</v>
      </c>
      <c r="N84" s="156">
        <v>1.95</v>
      </c>
      <c r="O84" s="156">
        <v>2.25</v>
      </c>
      <c r="P84" s="156">
        <v>2.25</v>
      </c>
      <c r="Q84" s="156">
        <v>4.5</v>
      </c>
      <c r="R84" s="156">
        <v>2.25</v>
      </c>
      <c r="S84" s="156">
        <v>2.25</v>
      </c>
      <c r="T84" s="156">
        <v>2.25</v>
      </c>
    </row>
    <row r="85" ht="27" customHeight="1" spans="1:20">
      <c r="A85" s="154" t="str">
        <f>INDEX('Rate Card'!$A:$A,MATCH(数统二级标签!$K85,'Rate Card'!$F:$F,0))</f>
        <v>数统</v>
      </c>
      <c r="B85" s="154" t="str">
        <f t="shared" si="6"/>
        <v>A088DM</v>
      </c>
      <c r="C85" s="154" t="str">
        <f t="shared" si="7"/>
        <v>T0232DM</v>
      </c>
      <c r="D85" s="128" t="s">
        <v>923</v>
      </c>
      <c r="E85" s="128" t="str">
        <f>INDEX(二三级标准!$Q:$Q,MATCH(数统二级标签!D85,二三级标准!$O:$O,0))</f>
        <v>数据管理</v>
      </c>
      <c r="F85" s="128" t="s">
        <v>281</v>
      </c>
      <c r="G85" s="128" t="str">
        <f>INDEX(二三级标准!C:C,MATCH(数统二级标签!F85,二三级标准!$B:$B,0))</f>
        <v>用户接受性测试(UAT)</v>
      </c>
      <c r="H85" s="128" t="s">
        <v>1400</v>
      </c>
      <c r="I85" s="128" t="str">
        <f>INDEX(二三级标准!$M:$M,MATCH(数统二级标签!$H85,二三级标准!$L:$L,0))</f>
        <v>UAT测试计划/报告</v>
      </c>
      <c r="K85" s="128" t="s">
        <v>631</v>
      </c>
      <c r="L85" s="156">
        <v>2</v>
      </c>
      <c r="M85" s="156">
        <v>2</v>
      </c>
      <c r="N85" s="156">
        <v>3</v>
      </c>
      <c r="O85" s="156">
        <v>3</v>
      </c>
      <c r="P85" s="156">
        <v>2.25</v>
      </c>
      <c r="Q85" s="156">
        <v>3</v>
      </c>
      <c r="R85" s="156">
        <v>3</v>
      </c>
      <c r="S85" s="156">
        <v>3</v>
      </c>
      <c r="T85" s="156">
        <v>3</v>
      </c>
    </row>
    <row r="86" ht="27" customHeight="1" spans="1:20">
      <c r="A86" s="154" t="str">
        <f>INDEX('Rate Card'!$A:$A,MATCH(数统二级标签!$K86,'Rate Card'!$F:$F,0))</f>
        <v>数统</v>
      </c>
      <c r="B86" s="154" t="str">
        <f t="shared" si="6"/>
        <v>A089DBP</v>
      </c>
      <c r="C86" s="154" t="str">
        <f t="shared" si="7"/>
        <v>T0233DBP</v>
      </c>
      <c r="D86" s="128" t="s">
        <v>923</v>
      </c>
      <c r="E86" s="128" t="str">
        <f>INDEX(二三级标准!$Q:$Q,MATCH(数统二级标签!D86,二三级标准!$O:$O,0))</f>
        <v>数据管理</v>
      </c>
      <c r="F86" s="128" t="s">
        <v>283</v>
      </c>
      <c r="G86" s="128" t="str">
        <f>INDEX(二三级标准!C:C,MATCH(数统二级标签!F86,二三级标准!$B:$B,0))</f>
        <v>搭建随机发药系统</v>
      </c>
      <c r="H86" s="128" t="s">
        <v>1401</v>
      </c>
      <c r="I86" s="128" t="str">
        <f>INDEX(二三级标准!$M:$M,MATCH(数统二级标签!$H86,二三级标准!$L:$L,0))</f>
        <v>RTSM系统数据库搭建</v>
      </c>
      <c r="J86" s="128" t="s">
        <v>2904</v>
      </c>
      <c r="K86" s="128" t="s">
        <v>629</v>
      </c>
      <c r="L86" s="162">
        <v>24</v>
      </c>
      <c r="M86" s="156">
        <v>24</v>
      </c>
      <c r="N86" s="156">
        <v>18</v>
      </c>
      <c r="O86" s="156">
        <v>18</v>
      </c>
      <c r="P86" s="156">
        <v>13.5</v>
      </c>
      <c r="Q86" s="156">
        <v>18</v>
      </c>
      <c r="R86" s="156">
        <v>18</v>
      </c>
      <c r="S86" s="156">
        <v>18</v>
      </c>
      <c r="T86" s="156">
        <v>18</v>
      </c>
    </row>
    <row r="87" ht="27" customHeight="1" spans="1:20">
      <c r="A87" s="154" t="str">
        <f>INDEX('Rate Card'!$A:$A,MATCH(数统二级标签!$K87,'Rate Card'!$F:$F,0))</f>
        <v>数统</v>
      </c>
      <c r="B87" s="154" t="str">
        <f t="shared" si="6"/>
        <v>A089DBP</v>
      </c>
      <c r="C87" s="154" t="str">
        <f t="shared" si="7"/>
        <v>T0234DBP</v>
      </c>
      <c r="D87" s="128" t="s">
        <v>923</v>
      </c>
      <c r="E87" s="128" t="str">
        <f>INDEX(二三级标准!$Q:$Q,MATCH(数统二级标签!D87,二三级标准!$O:$O,0))</f>
        <v>数据管理</v>
      </c>
      <c r="F87" s="128" t="s">
        <v>283</v>
      </c>
      <c r="G87" s="128" t="str">
        <f>INDEX(二三级标准!C:C,MATCH(数统二级标签!F87,二三级标准!$B:$B,0))</f>
        <v>搭建随机发药系统</v>
      </c>
      <c r="H87" s="128" t="s">
        <v>1402</v>
      </c>
      <c r="I87" s="128" t="str">
        <f>INDEX(二三级标准!$M:$M,MATCH(数统二级标签!$H87,二三级标准!$L:$L,0))</f>
        <v>RTSM系统内部测试</v>
      </c>
      <c r="K87" s="128" t="s">
        <v>629</v>
      </c>
      <c r="L87" s="156">
        <v>6</v>
      </c>
      <c r="M87" s="156">
        <v>6</v>
      </c>
      <c r="N87" s="156">
        <v>6</v>
      </c>
      <c r="O87" s="156">
        <v>6</v>
      </c>
      <c r="P87" s="156">
        <v>4.5</v>
      </c>
      <c r="Q87" s="156">
        <v>6</v>
      </c>
      <c r="R87" s="156">
        <v>6</v>
      </c>
      <c r="S87" s="156">
        <v>6</v>
      </c>
      <c r="T87" s="156">
        <v>6</v>
      </c>
    </row>
    <row r="88" ht="27" customHeight="1" spans="1:20">
      <c r="A88" s="154" t="str">
        <f>INDEX('Rate Card'!$A:$A,MATCH(数统二级标签!$K88,'Rate Card'!$F:$F,0))</f>
        <v>数统</v>
      </c>
      <c r="B88" s="154" t="str">
        <f t="shared" si="6"/>
        <v>A089LDM</v>
      </c>
      <c r="C88" s="154" t="str">
        <f t="shared" si="7"/>
        <v>T0235LDM</v>
      </c>
      <c r="D88" s="128" t="s">
        <v>923</v>
      </c>
      <c r="E88" s="128" t="str">
        <f>INDEX(二三级标准!$Q:$Q,MATCH(数统二级标签!D88,二三级标准!$O:$O,0))</f>
        <v>数据管理</v>
      </c>
      <c r="F88" s="128" t="s">
        <v>283</v>
      </c>
      <c r="G88" s="128" t="str">
        <f>INDEX(二三级标准!C:C,MATCH(数统二级标签!F88,二三级标准!$B:$B,0))</f>
        <v>搭建随机发药系统</v>
      </c>
      <c r="H88" s="128" t="s">
        <v>1403</v>
      </c>
      <c r="I88" s="128" t="str">
        <f>INDEX(二三级标准!$M:$M,MATCH(数统二级标签!$H88,二三级标准!$L:$L,0))</f>
        <v>RTSM系统项目组测试前培训</v>
      </c>
      <c r="J88" s="128" t="s">
        <v>2904</v>
      </c>
      <c r="K88" s="128" t="s">
        <v>633</v>
      </c>
      <c r="L88" s="162">
        <v>0.5</v>
      </c>
      <c r="M88" s="156">
        <v>0.5</v>
      </c>
      <c r="N88" s="156">
        <v>2</v>
      </c>
      <c r="O88" s="156">
        <v>2</v>
      </c>
      <c r="P88" s="156">
        <v>2</v>
      </c>
      <c r="Q88" s="156">
        <v>2</v>
      </c>
      <c r="R88" s="156">
        <v>2</v>
      </c>
      <c r="S88" s="156">
        <v>2</v>
      </c>
      <c r="T88" s="156">
        <v>2</v>
      </c>
    </row>
    <row r="89" ht="27" customHeight="1" spans="1:20">
      <c r="A89" s="154" t="str">
        <f>INDEX('Rate Card'!$A:$A,MATCH(数统二级标签!$K89,'Rate Card'!$F:$F,0))</f>
        <v>数统</v>
      </c>
      <c r="B89" s="154" t="str">
        <f t="shared" si="6"/>
        <v>A089DBP</v>
      </c>
      <c r="C89" s="154" t="str">
        <f t="shared" si="7"/>
        <v>T0235DBP</v>
      </c>
      <c r="D89" s="128" t="s">
        <v>923</v>
      </c>
      <c r="E89" s="128" t="str">
        <f>INDEX(二三级标准!$Q:$Q,MATCH(数统二级标签!D89,二三级标准!$O:$O,0))</f>
        <v>数据管理</v>
      </c>
      <c r="F89" s="128" t="s">
        <v>283</v>
      </c>
      <c r="G89" s="128" t="str">
        <f>INDEX(二三级标准!C:C,MATCH(数统二级标签!F89,二三级标准!$B:$B,0))</f>
        <v>搭建随机发药系统</v>
      </c>
      <c r="H89" s="128" t="s">
        <v>1403</v>
      </c>
      <c r="I89" s="128" t="str">
        <f>INDEX(二三级标准!$M:$M,MATCH(数统二级标签!$H89,二三级标准!$L:$L,0))</f>
        <v>RTSM系统项目组测试前培训</v>
      </c>
      <c r="J89" s="128" t="s">
        <v>2941</v>
      </c>
      <c r="K89" s="128" t="s">
        <v>629</v>
      </c>
      <c r="L89" s="156">
        <v>2</v>
      </c>
      <c r="M89" s="156">
        <v>2</v>
      </c>
      <c r="N89" s="156">
        <v>2</v>
      </c>
      <c r="O89" s="156">
        <v>2</v>
      </c>
      <c r="P89" s="156">
        <v>2</v>
      </c>
      <c r="Q89" s="156">
        <v>2</v>
      </c>
      <c r="R89" s="156">
        <v>2</v>
      </c>
      <c r="S89" s="156">
        <v>2</v>
      </c>
      <c r="T89" s="156">
        <v>2</v>
      </c>
    </row>
    <row r="90" ht="27" customHeight="1" spans="1:20">
      <c r="A90" s="154" t="str">
        <f>INDEX('Rate Card'!$A:$A,MATCH(数统二级标签!$K90,'Rate Card'!$F:$F,0))</f>
        <v>数统</v>
      </c>
      <c r="B90" s="154" t="str">
        <f t="shared" si="6"/>
        <v>A089ST</v>
      </c>
      <c r="C90" s="154" t="str">
        <f t="shared" si="7"/>
        <v>T0235ST</v>
      </c>
      <c r="D90" s="128" t="s">
        <v>923</v>
      </c>
      <c r="E90" s="128" t="str">
        <f>INDEX(二三级标准!$Q:$Q,MATCH(数统二级标签!D90,二三级标准!$O:$O,0))</f>
        <v>数据管理</v>
      </c>
      <c r="F90" s="128" t="s">
        <v>283</v>
      </c>
      <c r="G90" s="128" t="str">
        <f>INDEX(二三级标准!C:C,MATCH(数统二级标签!F90,二三级标准!$B:$B,0))</f>
        <v>搭建随机发药系统</v>
      </c>
      <c r="H90" s="128" t="s">
        <v>1403</v>
      </c>
      <c r="I90" s="128" t="str">
        <f>INDEX(二三级标准!$M:$M,MATCH(数统二级标签!$H90,二三级标准!$L:$L,0))</f>
        <v>RTSM系统项目组测试前培训</v>
      </c>
      <c r="J90" s="128" t="s">
        <v>2904</v>
      </c>
      <c r="K90" s="128" t="s">
        <v>639</v>
      </c>
      <c r="L90" s="162">
        <v>0</v>
      </c>
      <c r="M90" s="156">
        <v>0.5</v>
      </c>
      <c r="N90" s="156">
        <v>2</v>
      </c>
      <c r="O90" s="156">
        <v>2</v>
      </c>
      <c r="P90" s="156">
        <v>2</v>
      </c>
      <c r="Q90" s="156">
        <v>2</v>
      </c>
      <c r="R90" s="156">
        <v>2</v>
      </c>
      <c r="S90" s="156">
        <v>2</v>
      </c>
      <c r="T90" s="156">
        <v>2</v>
      </c>
    </row>
    <row r="91" ht="27" customHeight="1" spans="1:20">
      <c r="A91" s="154" t="str">
        <f>INDEX('Rate Card'!$A:$A,MATCH(数统二级标签!$K91,'Rate Card'!$F:$F,0))</f>
        <v>数统</v>
      </c>
      <c r="B91" s="154" t="str">
        <f t="shared" si="6"/>
        <v>A089LDM</v>
      </c>
      <c r="C91" s="154" t="str">
        <f t="shared" si="7"/>
        <v>T0236LDM</v>
      </c>
      <c r="D91" s="128" t="s">
        <v>923</v>
      </c>
      <c r="E91" s="128" t="str">
        <f>INDEX(二三级标准!$Q:$Q,MATCH(数统二级标签!D91,二三级标准!$O:$O,0))</f>
        <v>数据管理</v>
      </c>
      <c r="F91" s="128" t="s">
        <v>283</v>
      </c>
      <c r="G91" s="128" t="str">
        <f>INDEX(二三级标准!C:C,MATCH(数统二级标签!F91,二三级标准!$B:$B,0))</f>
        <v>搭建随机发药系统</v>
      </c>
      <c r="H91" s="128" t="s">
        <v>1404</v>
      </c>
      <c r="I91" s="128" t="str">
        <f>INDEX(二三级标准!$M:$M,MATCH(数统二级标签!$H91,二三级标准!$L:$L,0))</f>
        <v>RTSM系统项目组测试后的系统调整</v>
      </c>
      <c r="J91" s="132" t="s">
        <v>2937</v>
      </c>
      <c r="K91" s="128" t="s">
        <v>633</v>
      </c>
      <c r="L91" s="156">
        <v>0</v>
      </c>
      <c r="M91" s="156">
        <v>0</v>
      </c>
      <c r="N91" s="156">
        <v>2.25</v>
      </c>
      <c r="O91" s="156">
        <v>2.25</v>
      </c>
      <c r="P91" s="156">
        <v>1.6875</v>
      </c>
      <c r="Q91" s="156">
        <v>2.25</v>
      </c>
      <c r="R91" s="156">
        <v>2.25</v>
      </c>
      <c r="S91" s="156">
        <v>2.25</v>
      </c>
      <c r="T91" s="156">
        <v>2.25</v>
      </c>
    </row>
    <row r="92" ht="27" customHeight="1" spans="1:20">
      <c r="A92" s="154" t="str">
        <f>INDEX('Rate Card'!$A:$A,MATCH(数统二级标签!$K92,'Rate Card'!$F:$F,0))</f>
        <v>数统</v>
      </c>
      <c r="B92" s="154" t="str">
        <f t="shared" si="6"/>
        <v>A089DBP</v>
      </c>
      <c r="C92" s="154" t="str">
        <f t="shared" si="7"/>
        <v>T0236DBP</v>
      </c>
      <c r="D92" s="128" t="s">
        <v>923</v>
      </c>
      <c r="E92" s="128" t="str">
        <f>INDEX(二三级标准!$Q:$Q,MATCH(数统二级标签!D92,二三级标准!$O:$O,0))</f>
        <v>数据管理</v>
      </c>
      <c r="F92" s="128" t="s">
        <v>283</v>
      </c>
      <c r="G92" s="128" t="str">
        <f>INDEX(二三级标准!C:C,MATCH(数统二级标签!F92,二三级标准!$B:$B,0))</f>
        <v>搭建随机发药系统</v>
      </c>
      <c r="H92" s="128" t="s">
        <v>1404</v>
      </c>
      <c r="I92" s="128" t="str">
        <f>INDEX(二三级标准!$M:$M,MATCH(数统二级标签!$H92,二三级标准!$L:$L,0))</f>
        <v>RTSM系统项目组测试后的系统调整</v>
      </c>
      <c r="J92" s="128" t="s">
        <v>2904</v>
      </c>
      <c r="K92" s="128" t="s">
        <v>629</v>
      </c>
      <c r="L92" s="156">
        <v>6</v>
      </c>
      <c r="M92" s="156">
        <v>6</v>
      </c>
      <c r="N92" s="156">
        <v>2.25</v>
      </c>
      <c r="O92" s="156">
        <v>2.25</v>
      </c>
      <c r="P92" s="156">
        <v>1.6875</v>
      </c>
      <c r="Q92" s="156">
        <v>2.25</v>
      </c>
      <c r="R92" s="156">
        <v>2.25</v>
      </c>
      <c r="S92" s="156">
        <v>2.25</v>
      </c>
      <c r="T92" s="156">
        <v>2.25</v>
      </c>
    </row>
    <row r="93" ht="27" customHeight="1" spans="1:20">
      <c r="A93" s="154" t="str">
        <f>INDEX('Rate Card'!$A:$A,MATCH(数统二级标签!$K93,'Rate Card'!$F:$F,0))</f>
        <v>数统</v>
      </c>
      <c r="B93" s="154" t="str">
        <f t="shared" si="6"/>
        <v>A089ST</v>
      </c>
      <c r="C93" s="154" t="str">
        <f t="shared" si="7"/>
        <v>T0237ST</v>
      </c>
      <c r="D93" s="128" t="s">
        <v>923</v>
      </c>
      <c r="E93" s="128" t="str">
        <f>INDEX(二三级标准!$Q:$Q,MATCH(数统二级标签!D93,二三级标准!$O:$O,0))</f>
        <v>数据管理</v>
      </c>
      <c r="F93" s="128" t="s">
        <v>283</v>
      </c>
      <c r="G93" s="128" t="str">
        <f>INDEX(二三级标准!C:C,MATCH(数统二级标签!F93,二三级标准!$B:$B,0))</f>
        <v>搭建随机发药系统</v>
      </c>
      <c r="H93" s="128" t="s">
        <v>1405</v>
      </c>
      <c r="I93" s="128" t="str">
        <f>INDEX(二三级标准!$M:$M,MATCH(数统二级标签!$H93,二三级标准!$L:$L,0))</f>
        <v>RTSM系统数据库测试</v>
      </c>
      <c r="J93" s="128" t="s">
        <v>2904</v>
      </c>
      <c r="K93" s="128" t="s">
        <v>639</v>
      </c>
      <c r="L93" s="156">
        <v>0</v>
      </c>
      <c r="M93" s="156">
        <v>1</v>
      </c>
      <c r="N93" s="156">
        <v>1.5</v>
      </c>
      <c r="O93" s="156">
        <v>1.5</v>
      </c>
      <c r="P93" s="156">
        <v>1.5</v>
      </c>
      <c r="Q93" s="156">
        <v>1.5</v>
      </c>
      <c r="R93" s="156">
        <v>1.5</v>
      </c>
      <c r="S93" s="156">
        <v>1.5</v>
      </c>
      <c r="T93" s="156">
        <v>1.5</v>
      </c>
    </row>
    <row r="94" ht="27" customHeight="1" spans="1:20">
      <c r="A94" s="154" t="str">
        <f>INDEX('Rate Card'!$A:$A,MATCH(数统二级标签!$K94,'Rate Card'!$F:$F,0))</f>
        <v>数统</v>
      </c>
      <c r="B94" s="154" t="str">
        <f t="shared" si="6"/>
        <v>A089ST</v>
      </c>
      <c r="C94" s="154" t="str">
        <f t="shared" si="7"/>
        <v>T0238ST</v>
      </c>
      <c r="D94" s="128" t="s">
        <v>923</v>
      </c>
      <c r="E94" s="128" t="str">
        <f>INDEX(二三级标准!$Q:$Q,MATCH(数统二级标签!D94,二三级标准!$O:$O,0))</f>
        <v>数据管理</v>
      </c>
      <c r="F94" s="128" t="s">
        <v>283</v>
      </c>
      <c r="G94" s="128" t="str">
        <f>INDEX(二三级标准!C:C,MATCH(数统二级标签!F94,二三级标准!$B:$B,0))</f>
        <v>搭建随机发药系统</v>
      </c>
      <c r="H94" s="128" t="s">
        <v>2942</v>
      </c>
      <c r="I94" s="128" t="str">
        <f>INDEX(二三级标准!$M:$M,MATCH(数统二级标签!$H94,二三级标准!$L:$L,0))</f>
        <v>RTSM系统数据库项目组成员测试</v>
      </c>
      <c r="J94" s="128" t="s">
        <v>2904</v>
      </c>
      <c r="K94" s="128" t="s">
        <v>639</v>
      </c>
      <c r="L94" s="156">
        <v>0</v>
      </c>
      <c r="M94" s="156">
        <v>1</v>
      </c>
      <c r="N94" s="156">
        <v>1.5</v>
      </c>
      <c r="O94" s="156">
        <v>1.5</v>
      </c>
      <c r="P94" s="156">
        <v>1.5</v>
      </c>
      <c r="Q94" s="156">
        <v>1.5</v>
      </c>
      <c r="R94" s="156">
        <v>1.5</v>
      </c>
      <c r="S94" s="156">
        <v>1.5</v>
      </c>
      <c r="T94" s="156">
        <v>1.5</v>
      </c>
    </row>
    <row r="95" ht="27" customHeight="1" spans="1:20">
      <c r="A95" s="154" t="str">
        <f>INDEX('Rate Card'!$A:$A,MATCH(数统二级标签!$K95,'Rate Card'!$F:$F,0))</f>
        <v>数统</v>
      </c>
      <c r="B95" s="154" t="str">
        <f t="shared" ref="B95" si="8">F95&amp;K95</f>
        <v>A089DBP</v>
      </c>
      <c r="C95" s="154" t="str">
        <f t="shared" ref="C95" si="9">H95&amp;K95</f>
        <v>T0614DBP</v>
      </c>
      <c r="D95" s="128" t="s">
        <v>923</v>
      </c>
      <c r="E95" s="128" t="str">
        <f>INDEX(二三级标准!$Q:$Q,MATCH(数统二级标签!D95,二三级标准!$O:$O,0))</f>
        <v>数据管理</v>
      </c>
      <c r="F95" s="128" t="s">
        <v>283</v>
      </c>
      <c r="G95" s="128" t="str">
        <f>INDEX(二三级标准!C:C,MATCH(数统二级标签!F95,二三级标准!$B:$B,0))</f>
        <v>搭建随机发药系统</v>
      </c>
      <c r="H95" s="128" t="s">
        <v>1406</v>
      </c>
      <c r="I95" s="128" t="str">
        <f>INDEX(二三级标准!$M:$M,MATCH(数统二级标签!$H95,二三级标准!$L:$L,0))</f>
        <v>RTSM系统数据库上线操作</v>
      </c>
      <c r="J95" s="128" t="s">
        <v>2902</v>
      </c>
      <c r="K95" s="128" t="s">
        <v>629</v>
      </c>
      <c r="L95" s="162">
        <v>1</v>
      </c>
      <c r="M95" s="156">
        <v>1</v>
      </c>
      <c r="N95" s="156">
        <v>1.5</v>
      </c>
      <c r="O95" s="156">
        <v>1.5</v>
      </c>
      <c r="P95" s="156">
        <v>1.5</v>
      </c>
      <c r="Q95" s="156">
        <v>1.5</v>
      </c>
      <c r="R95" s="156">
        <v>1.5</v>
      </c>
      <c r="S95" s="156">
        <v>1.5</v>
      </c>
      <c r="T95" s="156">
        <v>1.5</v>
      </c>
    </row>
    <row r="96" s="132" customFormat="1" ht="27" customHeight="1" spans="1:20">
      <c r="A96" s="163" t="str">
        <f>INDEX('Rate Card'!$A:$A,MATCH(数统二级标签!$K96,'Rate Card'!$F:$F,0))</f>
        <v>数统</v>
      </c>
      <c r="B96" s="163" t="str">
        <f t="shared" si="6"/>
        <v>A089DBP</v>
      </c>
      <c r="C96" s="163" t="str">
        <f t="shared" si="7"/>
        <v>T0239DBP</v>
      </c>
      <c r="D96" s="132" t="s">
        <v>923</v>
      </c>
      <c r="E96" s="132" t="str">
        <f>INDEX(二三级标准!$Q:$Q,MATCH(数统二级标签!D96,二三级标准!$O:$O,0))</f>
        <v>数据管理</v>
      </c>
      <c r="F96" s="132" t="s">
        <v>283</v>
      </c>
      <c r="G96" s="132" t="str">
        <f>INDEX(二三级标准!C:C,MATCH(数统二级标签!F96,二三级标准!$B:$B,0))</f>
        <v>搭建随机发药系统</v>
      </c>
      <c r="H96" s="132" t="s">
        <v>2943</v>
      </c>
      <c r="I96" s="132" t="str">
        <f>INDEX(二三级标准!$M:$M,MATCH(数统二级标签!$H96,二三级标准!$L:$L,0))</f>
        <v>发药系统设置</v>
      </c>
      <c r="J96" s="132" t="s">
        <v>2937</v>
      </c>
      <c r="K96" s="132" t="s">
        <v>629</v>
      </c>
      <c r="L96" s="164">
        <v>0</v>
      </c>
      <c r="M96" s="164">
        <v>0</v>
      </c>
      <c r="N96" s="164">
        <v>12</v>
      </c>
      <c r="O96" s="164">
        <v>12</v>
      </c>
      <c r="P96" s="164">
        <v>9</v>
      </c>
      <c r="Q96" s="164">
        <v>12</v>
      </c>
      <c r="R96" s="164">
        <v>12</v>
      </c>
      <c r="S96" s="164">
        <v>12</v>
      </c>
      <c r="T96" s="164">
        <v>12</v>
      </c>
    </row>
    <row r="97" s="132" customFormat="1" ht="27" customHeight="1" spans="1:20">
      <c r="A97" s="163" t="str">
        <f>INDEX('Rate Card'!$A:$A,MATCH(数统二级标签!$K97,'Rate Card'!$F:$F,0))</f>
        <v>数统</v>
      </c>
      <c r="B97" s="163" t="str">
        <f t="shared" si="6"/>
        <v>A089ST</v>
      </c>
      <c r="C97" s="163" t="str">
        <f t="shared" si="7"/>
        <v>T0239ST</v>
      </c>
      <c r="D97" s="132" t="s">
        <v>923</v>
      </c>
      <c r="E97" s="132" t="str">
        <f>INDEX(二三级标准!$Q:$Q,MATCH(数统二级标签!D97,二三级标准!$O:$O,0))</f>
        <v>数据管理</v>
      </c>
      <c r="F97" s="132" t="s">
        <v>283</v>
      </c>
      <c r="G97" s="132" t="str">
        <f>INDEX(二三级标准!C:C,MATCH(数统二级标签!F97,二三级标准!$B:$B,0))</f>
        <v>搭建随机发药系统</v>
      </c>
      <c r="H97" s="132" t="s">
        <v>2943</v>
      </c>
      <c r="I97" s="132" t="str">
        <f>INDEX(二三级标准!$M:$M,MATCH(数统二级标签!$H97,二三级标准!$L:$L,0))</f>
        <v>发药系统设置</v>
      </c>
      <c r="J97" s="132" t="s">
        <v>2937</v>
      </c>
      <c r="K97" s="132" t="s">
        <v>639</v>
      </c>
      <c r="L97" s="164">
        <v>0</v>
      </c>
      <c r="M97" s="164">
        <v>0</v>
      </c>
      <c r="N97" s="164">
        <v>9</v>
      </c>
      <c r="O97" s="164">
        <v>9</v>
      </c>
      <c r="P97" s="164">
        <v>9</v>
      </c>
      <c r="Q97" s="164">
        <v>12</v>
      </c>
      <c r="R97" s="164">
        <v>9</v>
      </c>
      <c r="S97" s="164">
        <v>9</v>
      </c>
      <c r="T97" s="164">
        <v>9</v>
      </c>
    </row>
    <row r="98" s="132" customFormat="1" ht="27" customHeight="1" spans="1:20">
      <c r="A98" s="163" t="str">
        <f>INDEX('Rate Card'!$A:$A,MATCH(数统二级标签!$K98,'Rate Card'!$F:$F,0))</f>
        <v>数统</v>
      </c>
      <c r="B98" s="163" t="str">
        <f t="shared" si="6"/>
        <v>A089DBP</v>
      </c>
      <c r="C98" s="163" t="str">
        <f t="shared" si="7"/>
        <v>T0240DBP</v>
      </c>
      <c r="D98" s="132" t="s">
        <v>923</v>
      </c>
      <c r="E98" s="132" t="str">
        <f>INDEX(二三级标准!$Q:$Q,MATCH(数统二级标签!D98,二三级标准!$O:$O,0))</f>
        <v>数据管理</v>
      </c>
      <c r="F98" s="132" t="s">
        <v>283</v>
      </c>
      <c r="G98" s="132" t="str">
        <f>INDEX(二三级标准!C:C,MATCH(数统二级标签!F98,二三级标准!$B:$B,0))</f>
        <v>搭建随机发药系统</v>
      </c>
      <c r="H98" s="132" t="s">
        <v>2944</v>
      </c>
      <c r="I98" s="132" t="str">
        <f>INDEX(二三级标准!$M:$M,MATCH(数统二级标签!$H98,二三级标准!$L:$L,0))</f>
        <v>发药系统设置质控</v>
      </c>
      <c r="J98" s="132" t="s">
        <v>2937</v>
      </c>
      <c r="K98" s="132" t="s">
        <v>629</v>
      </c>
      <c r="L98" s="164">
        <v>0</v>
      </c>
      <c r="M98" s="164">
        <v>0</v>
      </c>
      <c r="N98" s="164">
        <v>3</v>
      </c>
      <c r="O98" s="164">
        <v>3</v>
      </c>
      <c r="P98" s="164">
        <v>2.25</v>
      </c>
      <c r="Q98" s="164">
        <v>3</v>
      </c>
      <c r="R98" s="164">
        <v>3</v>
      </c>
      <c r="S98" s="164">
        <v>3</v>
      </c>
      <c r="T98" s="164">
        <v>3</v>
      </c>
    </row>
    <row r="99" s="132" customFormat="1" ht="27" customHeight="1" spans="1:20">
      <c r="A99" s="163" t="str">
        <f>INDEX('Rate Card'!$A:$A,MATCH(数统二级标签!$K99,'Rate Card'!$F:$F,0))</f>
        <v>数统</v>
      </c>
      <c r="B99" s="163" t="str">
        <f t="shared" si="6"/>
        <v>A089DM</v>
      </c>
      <c r="C99" s="163" t="str">
        <f t="shared" si="7"/>
        <v>T0241DM</v>
      </c>
      <c r="D99" s="132" t="s">
        <v>923</v>
      </c>
      <c r="E99" s="132" t="str">
        <f>INDEX(二三级标准!$Q:$Q,MATCH(数统二级标签!D99,二三级标准!$O:$O,0))</f>
        <v>数据管理</v>
      </c>
      <c r="F99" s="132" t="s">
        <v>283</v>
      </c>
      <c r="G99" s="132" t="str">
        <f>INDEX(二三级标准!C:C,MATCH(数统二级标签!F99,二三级标准!$B:$B,0))</f>
        <v>搭建随机发药系统</v>
      </c>
      <c r="H99" s="132" t="s">
        <v>2945</v>
      </c>
      <c r="I99" s="132" t="str">
        <f>INDEX(二三级标准!$M:$M,MATCH(数统二级标签!$H99,二三级标准!$L:$L,0))</f>
        <v>发药系统内部测试</v>
      </c>
      <c r="J99" s="132" t="s">
        <v>2937</v>
      </c>
      <c r="K99" s="132" t="s">
        <v>631</v>
      </c>
      <c r="L99" s="164">
        <v>0</v>
      </c>
      <c r="M99" s="164">
        <v>0</v>
      </c>
      <c r="N99" s="164">
        <v>1.5</v>
      </c>
      <c r="O99" s="164">
        <v>1.5</v>
      </c>
      <c r="P99" s="164">
        <v>1.125</v>
      </c>
      <c r="Q99" s="164">
        <v>1.5</v>
      </c>
      <c r="R99" s="164">
        <v>1.5</v>
      </c>
      <c r="S99" s="164">
        <v>1.5</v>
      </c>
      <c r="T99" s="164">
        <v>1.5</v>
      </c>
    </row>
    <row r="100" s="132" customFormat="1" ht="27" customHeight="1" spans="1:20">
      <c r="A100" s="163" t="str">
        <f>INDEX('Rate Card'!$A:$A,MATCH(数统二级标签!$K100,'Rate Card'!$F:$F,0))</f>
        <v>数统</v>
      </c>
      <c r="B100" s="163" t="str">
        <f t="shared" si="6"/>
        <v>A089LDM</v>
      </c>
      <c r="C100" s="163" t="str">
        <f t="shared" si="7"/>
        <v>T0241LDM</v>
      </c>
      <c r="D100" s="132" t="s">
        <v>923</v>
      </c>
      <c r="E100" s="132" t="str">
        <f>INDEX(二三级标准!$Q:$Q,MATCH(数统二级标签!D100,二三级标准!$O:$O,0))</f>
        <v>数据管理</v>
      </c>
      <c r="F100" s="132" t="s">
        <v>283</v>
      </c>
      <c r="G100" s="132" t="str">
        <f>INDEX(二三级标准!C:C,MATCH(数统二级标签!F100,二三级标准!$B:$B,0))</f>
        <v>搭建随机发药系统</v>
      </c>
      <c r="H100" s="132" t="s">
        <v>2945</v>
      </c>
      <c r="I100" s="132" t="str">
        <f>INDEX(二三级标准!$M:$M,MATCH(数统二级标签!$H100,二三级标准!$L:$L,0))</f>
        <v>发药系统内部测试</v>
      </c>
      <c r="J100" s="132" t="s">
        <v>2937</v>
      </c>
      <c r="K100" s="132" t="s">
        <v>633</v>
      </c>
      <c r="L100" s="164">
        <v>0</v>
      </c>
      <c r="M100" s="164">
        <v>0</v>
      </c>
      <c r="N100" s="164">
        <v>0.75</v>
      </c>
      <c r="O100" s="164">
        <v>0.75</v>
      </c>
      <c r="P100" s="164">
        <v>0.5625</v>
      </c>
      <c r="Q100" s="164">
        <v>0.75</v>
      </c>
      <c r="R100" s="164">
        <v>0.75</v>
      </c>
      <c r="S100" s="164">
        <v>0.75</v>
      </c>
      <c r="T100" s="164">
        <v>0.75</v>
      </c>
    </row>
    <row r="101" s="132" customFormat="1" ht="27" customHeight="1" spans="1:20">
      <c r="A101" s="163" t="str">
        <f>INDEX('Rate Card'!$A:$A,MATCH(数统二级标签!$K101,'Rate Card'!$F:$F,0))</f>
        <v>数统</v>
      </c>
      <c r="B101" s="163" t="str">
        <f t="shared" si="6"/>
        <v>A089ST</v>
      </c>
      <c r="C101" s="163" t="str">
        <f t="shared" si="7"/>
        <v>T0241ST</v>
      </c>
      <c r="D101" s="132" t="s">
        <v>923</v>
      </c>
      <c r="E101" s="132" t="str">
        <f>INDEX(二三级标准!$Q:$Q,MATCH(数统二级标签!D101,二三级标准!$O:$O,0))</f>
        <v>数据管理</v>
      </c>
      <c r="F101" s="132" t="s">
        <v>283</v>
      </c>
      <c r="G101" s="132" t="str">
        <f>INDEX(二三级标准!C:C,MATCH(数统二级标签!F101,二三级标准!$B:$B,0))</f>
        <v>搭建随机发药系统</v>
      </c>
      <c r="H101" s="132" t="s">
        <v>2945</v>
      </c>
      <c r="I101" s="132" t="str">
        <f>INDEX(二三级标准!$M:$M,MATCH(数统二级标签!$H101,二三级标准!$L:$L,0))</f>
        <v>发药系统内部测试</v>
      </c>
      <c r="J101" s="132" t="s">
        <v>2937</v>
      </c>
      <c r="K101" s="132" t="s">
        <v>639</v>
      </c>
      <c r="L101" s="164">
        <v>0</v>
      </c>
      <c r="M101" s="164">
        <v>0</v>
      </c>
      <c r="N101" s="164">
        <v>0.75</v>
      </c>
      <c r="O101" s="164">
        <v>0.75</v>
      </c>
      <c r="P101" s="164">
        <v>0.75</v>
      </c>
      <c r="Q101" s="164">
        <v>0.75</v>
      </c>
      <c r="R101" s="164">
        <v>0.75</v>
      </c>
      <c r="S101" s="164">
        <v>0.75</v>
      </c>
      <c r="T101" s="164">
        <v>0.75</v>
      </c>
    </row>
    <row r="102" s="132" customFormat="1" ht="27" customHeight="1" spans="1:20">
      <c r="A102" s="163" t="str">
        <f>INDEX('Rate Card'!$A:$A,MATCH(数统二级标签!$K102,'Rate Card'!$F:$F,0))</f>
        <v>数统</v>
      </c>
      <c r="B102" s="163" t="str">
        <f t="shared" si="6"/>
        <v>A089LDM</v>
      </c>
      <c r="C102" s="163" t="str">
        <f t="shared" si="7"/>
        <v>T0242LDM</v>
      </c>
      <c r="D102" s="132" t="s">
        <v>923</v>
      </c>
      <c r="E102" s="132" t="str">
        <f>INDEX(二三级标准!$Q:$Q,MATCH(数统二级标签!D102,二三级标准!$O:$O,0))</f>
        <v>数据管理</v>
      </c>
      <c r="F102" s="132" t="s">
        <v>283</v>
      </c>
      <c r="G102" s="132" t="str">
        <f>INDEX(二三级标准!C:C,MATCH(数统二级标签!F102,二三级标准!$B:$B,0))</f>
        <v>搭建随机发药系统</v>
      </c>
      <c r="H102" s="132" t="s">
        <v>2946</v>
      </c>
      <c r="I102" s="132" t="str">
        <f>INDEX(二三级标准!$M:$M,MATCH(数统二级标签!$H102,二三级标准!$L:$L,0))</f>
        <v>发药系统项目组测试前培训</v>
      </c>
      <c r="J102" s="132" t="s">
        <v>2937</v>
      </c>
      <c r="K102" s="132" t="s">
        <v>633</v>
      </c>
      <c r="L102" s="164">
        <v>0</v>
      </c>
      <c r="M102" s="164">
        <v>0</v>
      </c>
      <c r="N102" s="164">
        <v>2</v>
      </c>
      <c r="O102" s="164">
        <v>2</v>
      </c>
      <c r="P102" s="164">
        <v>2</v>
      </c>
      <c r="Q102" s="164">
        <v>2</v>
      </c>
      <c r="R102" s="164">
        <v>2</v>
      </c>
      <c r="S102" s="164">
        <v>2</v>
      </c>
      <c r="T102" s="164">
        <v>2</v>
      </c>
    </row>
    <row r="103" s="132" customFormat="1" ht="27" customHeight="1" spans="1:20">
      <c r="A103" s="163" t="str">
        <f>INDEX('Rate Card'!$A:$A,MATCH(数统二级标签!$K103,'Rate Card'!$F:$F,0))</f>
        <v>数统</v>
      </c>
      <c r="B103" s="163" t="str">
        <f t="shared" si="6"/>
        <v>A089DBP</v>
      </c>
      <c r="C103" s="163" t="str">
        <f t="shared" si="7"/>
        <v>T0242DBP</v>
      </c>
      <c r="D103" s="132" t="s">
        <v>923</v>
      </c>
      <c r="E103" s="132" t="str">
        <f>INDEX(二三级标准!$Q:$Q,MATCH(数统二级标签!D103,二三级标准!$O:$O,0))</f>
        <v>数据管理</v>
      </c>
      <c r="F103" s="132" t="s">
        <v>283</v>
      </c>
      <c r="G103" s="132" t="str">
        <f>INDEX(二三级标准!C:C,MATCH(数统二级标签!F103,二三级标准!$B:$B,0))</f>
        <v>搭建随机发药系统</v>
      </c>
      <c r="H103" s="132" t="s">
        <v>2946</v>
      </c>
      <c r="I103" s="132" t="str">
        <f>INDEX(二三级标准!$M:$M,MATCH(数统二级标签!$H103,二三级标准!$L:$L,0))</f>
        <v>发药系统项目组测试前培训</v>
      </c>
      <c r="J103" s="132" t="s">
        <v>2937</v>
      </c>
      <c r="K103" s="132" t="s">
        <v>629</v>
      </c>
      <c r="L103" s="164">
        <v>0</v>
      </c>
      <c r="M103" s="164">
        <v>0</v>
      </c>
      <c r="N103" s="164">
        <v>2</v>
      </c>
      <c r="O103" s="164">
        <v>2</v>
      </c>
      <c r="P103" s="164">
        <v>2</v>
      </c>
      <c r="Q103" s="164">
        <v>2</v>
      </c>
      <c r="R103" s="164">
        <v>2</v>
      </c>
      <c r="S103" s="164">
        <v>2</v>
      </c>
      <c r="T103" s="164">
        <v>2</v>
      </c>
    </row>
    <row r="104" s="132" customFormat="1" ht="27" customHeight="1" spans="1:20">
      <c r="A104" s="163" t="str">
        <f>INDEX('Rate Card'!$A:$A,MATCH(数统二级标签!$K104,'Rate Card'!$F:$F,0))</f>
        <v>数统</v>
      </c>
      <c r="B104" s="163" t="str">
        <f t="shared" si="6"/>
        <v>A089ST</v>
      </c>
      <c r="C104" s="163" t="str">
        <f t="shared" si="7"/>
        <v>T0242ST</v>
      </c>
      <c r="D104" s="132" t="s">
        <v>923</v>
      </c>
      <c r="E104" s="132" t="str">
        <f>INDEX(二三级标准!$Q:$Q,MATCH(数统二级标签!D104,二三级标准!$O:$O,0))</f>
        <v>数据管理</v>
      </c>
      <c r="F104" s="132" t="s">
        <v>283</v>
      </c>
      <c r="G104" s="132" t="str">
        <f>INDEX(二三级标准!C:C,MATCH(数统二级标签!F104,二三级标准!$B:$B,0))</f>
        <v>搭建随机发药系统</v>
      </c>
      <c r="H104" s="132" t="s">
        <v>2946</v>
      </c>
      <c r="I104" s="132" t="str">
        <f>INDEX(二三级标准!$M:$M,MATCH(数统二级标签!$H104,二三级标准!$L:$L,0))</f>
        <v>发药系统项目组测试前培训</v>
      </c>
      <c r="J104" s="132" t="s">
        <v>2937</v>
      </c>
      <c r="K104" s="132" t="s">
        <v>639</v>
      </c>
      <c r="L104" s="164">
        <v>0</v>
      </c>
      <c r="M104" s="164">
        <v>0</v>
      </c>
      <c r="N104" s="164">
        <v>2</v>
      </c>
      <c r="O104" s="164">
        <v>2</v>
      </c>
      <c r="P104" s="164">
        <v>2</v>
      </c>
      <c r="Q104" s="164">
        <v>2</v>
      </c>
      <c r="R104" s="164">
        <v>2</v>
      </c>
      <c r="S104" s="164">
        <v>2</v>
      </c>
      <c r="T104" s="164">
        <v>2</v>
      </c>
    </row>
    <row r="105" s="132" customFormat="1" ht="27" customHeight="1" spans="1:20">
      <c r="A105" s="163" t="str">
        <f>INDEX('Rate Card'!$A:$A,MATCH(数统二级标签!$K105,'Rate Card'!$F:$F,0))</f>
        <v>数统</v>
      </c>
      <c r="B105" s="163" t="str">
        <f t="shared" si="6"/>
        <v>A089LDM</v>
      </c>
      <c r="C105" s="163" t="str">
        <f t="shared" si="7"/>
        <v>T0243LDM</v>
      </c>
      <c r="D105" s="132" t="s">
        <v>923</v>
      </c>
      <c r="E105" s="132" t="str">
        <f>INDEX(二三级标准!$Q:$Q,MATCH(数统二级标签!D105,二三级标准!$O:$O,0))</f>
        <v>数据管理</v>
      </c>
      <c r="F105" s="132" t="s">
        <v>283</v>
      </c>
      <c r="G105" s="132" t="str">
        <f>INDEX(二三级标准!C:C,MATCH(数统二级标签!F105,二三级标准!$B:$B,0))</f>
        <v>搭建随机发药系统</v>
      </c>
      <c r="H105" s="132" t="s">
        <v>2947</v>
      </c>
      <c r="I105" s="132" t="str">
        <f>INDEX(二三级标准!$M:$M,MATCH(数统二级标签!$H105,二三级标准!$L:$L,0))</f>
        <v>发药系统项目组测试后的系统调整</v>
      </c>
      <c r="J105" s="132" t="s">
        <v>2937</v>
      </c>
      <c r="K105" s="132" t="s">
        <v>633</v>
      </c>
      <c r="L105" s="164">
        <v>0</v>
      </c>
      <c r="M105" s="164">
        <v>0</v>
      </c>
      <c r="N105" s="164">
        <v>3</v>
      </c>
      <c r="O105" s="164">
        <v>3</v>
      </c>
      <c r="P105" s="164">
        <v>2.25</v>
      </c>
      <c r="Q105" s="164">
        <v>3</v>
      </c>
      <c r="R105" s="164">
        <v>3</v>
      </c>
      <c r="S105" s="164">
        <v>3</v>
      </c>
      <c r="T105" s="164">
        <v>3</v>
      </c>
    </row>
    <row r="106" s="132" customFormat="1" ht="27" customHeight="1" spans="1:20">
      <c r="A106" s="163" t="str">
        <f>INDEX('Rate Card'!$A:$A,MATCH(数统二级标签!$K106,'Rate Card'!$F:$F,0))</f>
        <v>数统</v>
      </c>
      <c r="B106" s="163" t="str">
        <f t="shared" si="6"/>
        <v>A089DBP</v>
      </c>
      <c r="C106" s="163" t="str">
        <f t="shared" si="7"/>
        <v>T0243DBP</v>
      </c>
      <c r="D106" s="132" t="s">
        <v>923</v>
      </c>
      <c r="E106" s="132" t="str">
        <f>INDEX(二三级标准!$Q:$Q,MATCH(数统二级标签!D106,二三级标准!$O:$O,0))</f>
        <v>数据管理</v>
      </c>
      <c r="F106" s="132" t="s">
        <v>283</v>
      </c>
      <c r="G106" s="132" t="str">
        <f>INDEX(二三级标准!C:C,MATCH(数统二级标签!F106,二三级标准!$B:$B,0))</f>
        <v>搭建随机发药系统</v>
      </c>
      <c r="H106" s="132" t="s">
        <v>2947</v>
      </c>
      <c r="I106" s="132" t="str">
        <f>INDEX(二三级标准!$M:$M,MATCH(数统二级标签!$H106,二三级标准!$L:$L,0))</f>
        <v>发药系统项目组测试后的系统调整</v>
      </c>
      <c r="J106" s="132" t="s">
        <v>2937</v>
      </c>
      <c r="K106" s="132" t="s">
        <v>629</v>
      </c>
      <c r="L106" s="164">
        <v>0</v>
      </c>
      <c r="M106" s="164">
        <v>0</v>
      </c>
      <c r="N106" s="164">
        <v>3</v>
      </c>
      <c r="O106" s="164">
        <v>3</v>
      </c>
      <c r="P106" s="164">
        <v>2.25</v>
      </c>
      <c r="Q106" s="164">
        <v>3</v>
      </c>
      <c r="R106" s="164">
        <v>3</v>
      </c>
      <c r="S106" s="164">
        <v>3</v>
      </c>
      <c r="T106" s="164">
        <v>3</v>
      </c>
    </row>
    <row r="107" ht="27" customHeight="1" spans="1:20">
      <c r="A107" s="154" t="str">
        <f>INDEX('Rate Card'!$A:$A,MATCH(数统二级标签!$K107,'Rate Card'!$F:$F,0))</f>
        <v>数统</v>
      </c>
      <c r="B107" s="154" t="str">
        <f t="shared" si="6"/>
        <v>A090DM</v>
      </c>
      <c r="C107" s="154" t="str">
        <f t="shared" si="7"/>
        <v>T0244DM</v>
      </c>
      <c r="D107" s="128" t="s">
        <v>923</v>
      </c>
      <c r="E107" s="128" t="str">
        <f>INDEX(二三级标准!$Q:$Q,MATCH(数统二级标签!D107,二三级标准!$O:$O,0))</f>
        <v>数据管理</v>
      </c>
      <c r="F107" s="128" t="s">
        <v>285</v>
      </c>
      <c r="G107" s="128" t="str">
        <f>INDEX(二三级标准!C:C,MATCH(数统二级标签!F107,二三级标准!$B:$B,0))</f>
        <v>系统自动质疑管理</v>
      </c>
      <c r="H107" s="128" t="s">
        <v>1407</v>
      </c>
      <c r="I107" s="128" t="str">
        <f>INDEX(二三级标准!$M:$M,MATCH(数统二级标签!$H107,二三级标准!$L:$L,0))</f>
        <v>EDC内触发的自动质疑管理</v>
      </c>
      <c r="J107" s="128" t="s">
        <v>2904</v>
      </c>
      <c r="K107" s="128" t="s">
        <v>631</v>
      </c>
      <c r="L107" s="162">
        <v>0.05</v>
      </c>
      <c r="M107" s="156">
        <v>0.05</v>
      </c>
      <c r="N107" s="156">
        <v>0.0325</v>
      </c>
      <c r="O107" s="156">
        <v>0.0375</v>
      </c>
      <c r="P107" s="156">
        <v>0.028125</v>
      </c>
      <c r="Q107" s="156">
        <v>0.0375</v>
      </c>
      <c r="R107" s="156">
        <v>0.0375</v>
      </c>
      <c r="S107" s="156">
        <v>0.0375</v>
      </c>
      <c r="T107" s="156">
        <v>0.0375</v>
      </c>
    </row>
    <row r="108" ht="27" customHeight="1" spans="1:20">
      <c r="A108" s="154" t="str">
        <f>INDEX('Rate Card'!$A:$A,MATCH(数统二级标签!$K108,'Rate Card'!$F:$F,0))</f>
        <v>数统</v>
      </c>
      <c r="B108" s="154" t="str">
        <f t="shared" si="6"/>
        <v>A090DM</v>
      </c>
      <c r="C108" s="154" t="str">
        <f t="shared" si="7"/>
        <v>T0245DM</v>
      </c>
      <c r="D108" s="128" t="s">
        <v>923</v>
      </c>
      <c r="E108" s="128" t="str">
        <f>INDEX(二三级标准!$Q:$Q,MATCH(数统二级标签!D108,二三级标准!$O:$O,0))</f>
        <v>数据管理</v>
      </c>
      <c r="F108" s="128" t="s">
        <v>285</v>
      </c>
      <c r="G108" s="128" t="str">
        <f>INDEX(二三级标准!C:C,MATCH(数统二级标签!F108,二三级标准!$B:$B,0))</f>
        <v>系统自动质疑管理</v>
      </c>
      <c r="H108" s="128" t="s">
        <v>2948</v>
      </c>
      <c r="I108" s="128" t="str">
        <f>INDEX(二三级标准!$M:$M,MATCH(数统二级标签!$H108,二三级标准!$L:$L,0))</f>
        <v>批量数据定期清理</v>
      </c>
      <c r="J108" s="128" t="s">
        <v>2904</v>
      </c>
      <c r="K108" s="128" t="s">
        <v>631</v>
      </c>
      <c r="L108" s="162">
        <v>8</v>
      </c>
      <c r="M108" s="156">
        <v>8</v>
      </c>
      <c r="N108" s="156">
        <v>6</v>
      </c>
      <c r="O108" s="156">
        <v>6</v>
      </c>
      <c r="P108" s="156">
        <v>9</v>
      </c>
      <c r="Q108" s="156">
        <v>18</v>
      </c>
      <c r="R108" s="156">
        <v>6</v>
      </c>
      <c r="S108" s="156">
        <v>6</v>
      </c>
      <c r="T108" s="156">
        <v>6</v>
      </c>
    </row>
    <row r="109" ht="27" customHeight="1" spans="1:20">
      <c r="A109" s="154" t="str">
        <f>INDEX('Rate Card'!$A:$A,MATCH(数统二级标签!$K109,'Rate Card'!$F:$F,0))</f>
        <v>数统</v>
      </c>
      <c r="B109" s="154" t="str">
        <f t="shared" si="6"/>
        <v>A091LDM</v>
      </c>
      <c r="C109" s="154" t="str">
        <f t="shared" si="7"/>
        <v>T0246LDM</v>
      </c>
      <c r="D109" s="128" t="s">
        <v>923</v>
      </c>
      <c r="E109" s="128" t="str">
        <f>INDEX(二三级标准!$Q:$Q,MATCH(数统二级标签!D109,二三级标准!$O:$O,0))</f>
        <v>数据管理</v>
      </c>
      <c r="F109" s="128" t="s">
        <v>287</v>
      </c>
      <c r="G109" s="128" t="str">
        <f>INDEX(二三级标准!C:C,MATCH(数统二级标签!F109,二三级标准!$B:$B,0))</f>
        <v>实施质疑管理_人工审核质疑</v>
      </c>
      <c r="H109" s="128" t="s">
        <v>2949</v>
      </c>
      <c r="I109" s="128" t="str">
        <f>INDEX(二三级标准!$M:$M,MATCH(数统二级标签!$H109,二三级标准!$L:$L,0))</f>
        <v>召开期中数据清理会议</v>
      </c>
      <c r="K109" s="128" t="s">
        <v>633</v>
      </c>
      <c r="L109" s="156">
        <v>2</v>
      </c>
      <c r="M109" s="156">
        <v>2</v>
      </c>
      <c r="N109" s="156">
        <v>2</v>
      </c>
      <c r="O109" s="156">
        <v>2</v>
      </c>
      <c r="P109" s="156">
        <v>2</v>
      </c>
      <c r="Q109" s="156">
        <v>2</v>
      </c>
      <c r="R109" s="156">
        <v>2</v>
      </c>
      <c r="S109" s="156">
        <v>2</v>
      </c>
      <c r="T109" s="156">
        <v>2</v>
      </c>
    </row>
    <row r="110" ht="27" customHeight="1" spans="1:20">
      <c r="A110" s="154" t="str">
        <f>INDEX('Rate Card'!$A:$A,MATCH(数统二级标签!$K110,'Rate Card'!$F:$F,0))</f>
        <v>数统</v>
      </c>
      <c r="B110" s="154" t="str">
        <f t="shared" si="6"/>
        <v>A091DBP</v>
      </c>
      <c r="C110" s="154" t="str">
        <f t="shared" si="7"/>
        <v>T0247DBP</v>
      </c>
      <c r="D110" s="128" t="s">
        <v>923</v>
      </c>
      <c r="E110" s="128" t="str">
        <f>INDEX(二三级标准!$Q:$Q,MATCH(数统二级标签!D110,二三级标准!$O:$O,0))</f>
        <v>数据管理</v>
      </c>
      <c r="F110" s="128" t="s">
        <v>287</v>
      </c>
      <c r="G110" s="128" t="str">
        <f>INDEX(二三级标准!C:C,MATCH(数统二级标签!F110,二三级标准!$B:$B,0))</f>
        <v>实施质疑管理_人工审核质疑</v>
      </c>
      <c r="H110" s="128" t="s">
        <v>2950</v>
      </c>
      <c r="I110" s="128" t="str">
        <f>INDEX(二三级标准!$M:$M,MATCH(数统二级标签!$H110,二三级标准!$L:$L,0))</f>
        <v>人工数据线下列表运行(SAS)</v>
      </c>
      <c r="J110" s="128" t="s">
        <v>2904</v>
      </c>
      <c r="K110" s="128" t="s">
        <v>629</v>
      </c>
      <c r="L110" s="162">
        <v>0.2</v>
      </c>
      <c r="M110" s="156">
        <v>0.2</v>
      </c>
      <c r="N110" s="156">
        <v>0.15</v>
      </c>
      <c r="O110" s="156">
        <v>0.15</v>
      </c>
      <c r="P110" s="156">
        <v>0.1125</v>
      </c>
      <c r="Q110" s="156">
        <v>0.15</v>
      </c>
      <c r="R110" s="156">
        <v>0.15</v>
      </c>
      <c r="S110" s="156">
        <v>0.15</v>
      </c>
      <c r="T110" s="156">
        <v>0.15</v>
      </c>
    </row>
    <row r="111" ht="27" customHeight="1" spans="1:20">
      <c r="A111" s="154" t="str">
        <f>INDEX('Rate Card'!$A:$A,MATCH(数统二级标签!$K111,'Rate Card'!$F:$F,0))</f>
        <v>数统</v>
      </c>
      <c r="B111" s="154" t="str">
        <f t="shared" si="6"/>
        <v>A091DM</v>
      </c>
      <c r="C111" s="154" t="str">
        <f t="shared" si="7"/>
        <v>T0248DM</v>
      </c>
      <c r="D111" s="128" t="s">
        <v>923</v>
      </c>
      <c r="E111" s="128" t="str">
        <f>INDEX(二三级标准!$Q:$Q,MATCH(数统二级标签!D111,二三级标准!$O:$O,0))</f>
        <v>数据管理</v>
      </c>
      <c r="F111" s="128" t="s">
        <v>287</v>
      </c>
      <c r="G111" s="128" t="str">
        <f>INDEX(二三级标准!C:C,MATCH(数统二级标签!F111,二三级标准!$B:$B,0))</f>
        <v>实施质疑管理_人工审核质疑</v>
      </c>
      <c r="H111" s="128" t="s">
        <v>2951</v>
      </c>
      <c r="I111" s="128" t="str">
        <f>INDEX(二三级标准!$M:$M,MATCH(数统二级标签!$H111,二三级标准!$L:$L,0))</f>
        <v>人工数据线下列表抽取(非SAS)</v>
      </c>
      <c r="K111" s="128" t="s">
        <v>631</v>
      </c>
      <c r="L111" s="156">
        <v>0.05</v>
      </c>
      <c r="M111" s="156">
        <v>0.05</v>
      </c>
      <c r="N111" s="156">
        <v>0.065</v>
      </c>
      <c r="O111" s="156">
        <v>0.075</v>
      </c>
      <c r="P111" s="156">
        <v>0.05625</v>
      </c>
      <c r="Q111" s="156">
        <v>0.075</v>
      </c>
      <c r="R111" s="156">
        <v>0.075</v>
      </c>
      <c r="S111" s="156">
        <v>0.075</v>
      </c>
      <c r="T111" s="156">
        <v>0.075</v>
      </c>
    </row>
    <row r="112" ht="27" customHeight="1" spans="1:20">
      <c r="A112" s="154" t="str">
        <f>INDEX('Rate Card'!$A:$A,MATCH(数统二级标签!$K112,'Rate Card'!$F:$F,0))</f>
        <v>数统</v>
      </c>
      <c r="B112" s="154" t="str">
        <f t="shared" si="6"/>
        <v>A091DM</v>
      </c>
      <c r="C112" s="154" t="str">
        <f t="shared" si="7"/>
        <v>T0249DM</v>
      </c>
      <c r="D112" s="128" t="s">
        <v>923</v>
      </c>
      <c r="E112" s="128" t="str">
        <f>INDEX(二三级标准!$Q:$Q,MATCH(数统二级标签!D112,二三级标准!$O:$O,0))</f>
        <v>数据管理</v>
      </c>
      <c r="F112" s="128" t="s">
        <v>287</v>
      </c>
      <c r="G112" s="128" t="str">
        <f>INDEX(二三级标准!C:C,MATCH(数统二级标签!F112,二三级标准!$B:$B,0))</f>
        <v>实施质疑管理_人工审核质疑</v>
      </c>
      <c r="H112" s="128" t="s">
        <v>2952</v>
      </c>
      <c r="I112" s="128" t="str">
        <f>INDEX(二三级标准!$M:$M,MATCH(数统二级标签!$H112,二三级标准!$L:$L,0))</f>
        <v>人工数据列表审核</v>
      </c>
      <c r="K112" s="128" t="s">
        <v>631</v>
      </c>
      <c r="L112" s="162">
        <v>8</v>
      </c>
      <c r="M112" s="156">
        <v>8</v>
      </c>
      <c r="N112" s="156">
        <v>2</v>
      </c>
      <c r="O112" s="156">
        <v>1.5</v>
      </c>
      <c r="P112" s="156">
        <v>0.225</v>
      </c>
      <c r="Q112" s="156">
        <v>0.375</v>
      </c>
      <c r="R112" s="156">
        <v>0.3</v>
      </c>
      <c r="S112" s="156">
        <v>2</v>
      </c>
      <c r="T112" s="156">
        <v>2</v>
      </c>
    </row>
    <row r="113" ht="27" customHeight="1" spans="1:20">
      <c r="A113" s="154" t="str">
        <f>INDEX('Rate Card'!$A:$A,MATCH(数统二级标签!$K113,'Rate Card'!$F:$F,0))</f>
        <v>数统</v>
      </c>
      <c r="B113" s="154" t="str">
        <f t="shared" ref="B113" si="10">F113&amp;K113</f>
        <v>A091DM</v>
      </c>
      <c r="C113" s="154" t="str">
        <f t="shared" ref="C113" si="11">H113&amp;K113</f>
        <v>T0616DM</v>
      </c>
      <c r="D113" s="128" t="s">
        <v>923</v>
      </c>
      <c r="E113" s="128" t="str">
        <f>INDEX(二三级标准!$Q:$Q,MATCH(数统二级标签!D113,二三级标准!$O:$O,0))</f>
        <v>数据管理</v>
      </c>
      <c r="F113" s="128" t="s">
        <v>287</v>
      </c>
      <c r="G113" s="128" t="str">
        <f>INDEX(二三级标准!C:C,MATCH(数统二级标签!F113,二三级标准!$B:$B,0))</f>
        <v>实施质疑管理_人工审核质疑</v>
      </c>
      <c r="H113" s="128" t="s">
        <v>2953</v>
      </c>
      <c r="I113" s="128" t="str">
        <f>INDEX(二三级标准!$M:$M,MATCH(数统二级标签!$H113,二三级标准!$L:$L,0))</f>
        <v>人工线下审核（非SAS）</v>
      </c>
      <c r="J113" s="128" t="s">
        <v>2902</v>
      </c>
      <c r="K113" s="128" t="s">
        <v>631</v>
      </c>
      <c r="L113" s="162">
        <v>4</v>
      </c>
      <c r="M113" s="156">
        <v>4</v>
      </c>
      <c r="N113" s="156">
        <v>2</v>
      </c>
      <c r="O113" s="156">
        <v>1.5</v>
      </c>
      <c r="P113" s="156">
        <v>0.225</v>
      </c>
      <c r="Q113" s="156">
        <v>0.375</v>
      </c>
      <c r="R113" s="156">
        <v>0.3</v>
      </c>
      <c r="S113" s="156">
        <v>2</v>
      </c>
      <c r="T113" s="156">
        <v>2</v>
      </c>
    </row>
    <row r="114" ht="27" customHeight="1" spans="1:20">
      <c r="A114" s="154" t="str">
        <f>INDEX('Rate Card'!$A:$A,MATCH(数统二级标签!$K114,'Rate Card'!$F:$F,0))</f>
        <v>数统</v>
      </c>
      <c r="B114" s="154" t="str">
        <f t="shared" si="6"/>
        <v>A091DM</v>
      </c>
      <c r="C114" s="154" t="str">
        <f t="shared" si="7"/>
        <v>T0250DM</v>
      </c>
      <c r="D114" s="128" t="s">
        <v>923</v>
      </c>
      <c r="E114" s="128" t="str">
        <f>INDEX(二三级标准!$Q:$Q,MATCH(数统二级标签!D114,二三级标准!$O:$O,0))</f>
        <v>数据管理</v>
      </c>
      <c r="F114" s="128" t="s">
        <v>287</v>
      </c>
      <c r="G114" s="128" t="str">
        <f>INDEX(二三级标准!C:C,MATCH(数统二级标签!F114,二三级标准!$B:$B,0))</f>
        <v>实施质疑管理_人工审核质疑</v>
      </c>
      <c r="H114" s="128" t="s">
        <v>2954</v>
      </c>
      <c r="I114" s="128" t="str">
        <f>INDEX(二三级标准!$M:$M,MATCH(数统二级标签!$H114,二三级标准!$L:$L,0))</f>
        <v>人工审核的手动质疑管理</v>
      </c>
      <c r="K114" s="128" t="s">
        <v>631</v>
      </c>
      <c r="L114" s="156">
        <v>0.08</v>
      </c>
      <c r="M114" s="156">
        <v>0.08</v>
      </c>
      <c r="N114" s="156">
        <v>0.065</v>
      </c>
      <c r="O114" s="156">
        <v>0.075</v>
      </c>
      <c r="P114" s="156">
        <v>0.05625</v>
      </c>
      <c r="Q114" s="156">
        <v>0.075</v>
      </c>
      <c r="R114" s="156">
        <v>0.075</v>
      </c>
      <c r="S114" s="156">
        <v>0.075</v>
      </c>
      <c r="T114" s="156">
        <v>0.075</v>
      </c>
    </row>
    <row r="115" ht="27" customHeight="1" spans="1:20">
      <c r="A115" s="154" t="str">
        <f>INDEX('Rate Card'!$A:$A,MATCH(数统二级标签!$K115,'Rate Card'!$F:$F,0))</f>
        <v>数统</v>
      </c>
      <c r="B115" s="154" t="str">
        <f t="shared" ref="B115" si="12">F115&amp;K115</f>
        <v>A091DM</v>
      </c>
      <c r="C115" s="154" t="str">
        <f t="shared" ref="C115" si="13">H115&amp;K115</f>
        <v>T0615DM</v>
      </c>
      <c r="D115" s="128" t="s">
        <v>923</v>
      </c>
      <c r="E115" s="128" t="str">
        <f>INDEX(二三级标准!$Q:$Q,MATCH(数统二级标签!D115,二三级标准!$O:$O,0))</f>
        <v>数据管理</v>
      </c>
      <c r="F115" s="128" t="s">
        <v>287</v>
      </c>
      <c r="G115" s="128" t="str">
        <f>INDEX(二三级标准!C:C,MATCH(数统二级标签!F115,二三级标准!$B:$B,0))</f>
        <v>实施质疑管理_人工审核质疑</v>
      </c>
      <c r="H115" s="128" t="s">
        <v>2955</v>
      </c>
      <c r="I115" s="128" t="str">
        <f>INDEX(二三级标准!$M:$M,MATCH(数统二级标签!$H115,二三级标准!$L:$L,0))</f>
        <v>其他职能发现的数据问题质疑管理（统计）</v>
      </c>
      <c r="J115" s="128" t="s">
        <v>2902</v>
      </c>
      <c r="K115" s="128" t="s">
        <v>631</v>
      </c>
      <c r="L115" s="156">
        <v>0.08</v>
      </c>
      <c r="M115" s="156">
        <v>0.08</v>
      </c>
    </row>
    <row r="116" ht="27" customHeight="1" spans="1:20">
      <c r="A116" s="154" t="str">
        <f>INDEX('Rate Card'!$A:$A,MATCH(数统二级标签!$K116,'Rate Card'!$F:$F,0))</f>
        <v>数统</v>
      </c>
      <c r="B116" s="154" t="str">
        <f t="shared" si="6"/>
        <v>A092LDM</v>
      </c>
      <c r="C116" s="154" t="str">
        <f t="shared" si="7"/>
        <v>T0251LDM</v>
      </c>
      <c r="D116" s="128" t="s">
        <v>923</v>
      </c>
      <c r="E116" s="128" t="str">
        <f>INDEX(二三级标准!$Q:$Q,MATCH(数统二级标签!D116,二三级标准!$O:$O,0))</f>
        <v>数据管理</v>
      </c>
      <c r="F116" s="128" t="s">
        <v>289</v>
      </c>
      <c r="G116" s="128" t="str">
        <f>INDEX(二三级标准!C:C,MATCH(数统二级标签!F116,二三级标准!$B:$B,0))</f>
        <v>核查外部数据一致性</v>
      </c>
      <c r="H116" s="128" t="s">
        <v>2956</v>
      </c>
      <c r="I116" s="128" t="str">
        <f>INDEX(二三级标准!$M:$M,MATCH(数统二级标签!$H116,二三级标准!$L:$L,0))</f>
        <v>DTA起草和定稿</v>
      </c>
      <c r="J116" s="128" t="s">
        <v>2904</v>
      </c>
      <c r="K116" s="128" t="s">
        <v>633</v>
      </c>
      <c r="L116" s="162">
        <v>5</v>
      </c>
      <c r="M116" s="156">
        <v>5</v>
      </c>
      <c r="N116" s="156">
        <v>3.9</v>
      </c>
      <c r="O116" s="156">
        <v>4.5</v>
      </c>
      <c r="P116" s="156">
        <v>3.375</v>
      </c>
      <c r="Q116" s="156">
        <v>4.5</v>
      </c>
      <c r="R116" s="156">
        <v>4.5</v>
      </c>
      <c r="S116" s="156">
        <v>4.5</v>
      </c>
      <c r="T116" s="156">
        <v>4.5</v>
      </c>
    </row>
    <row r="117" ht="27" customHeight="1" spans="1:20">
      <c r="A117" s="154" t="str">
        <f>INDEX('Rate Card'!$A:$A,MATCH(数统二级标签!$K117,'Rate Card'!$F:$F,0))</f>
        <v>数统</v>
      </c>
      <c r="B117" s="154" t="str">
        <f t="shared" si="6"/>
        <v>A092SAM</v>
      </c>
      <c r="C117" s="154" t="str">
        <f t="shared" si="7"/>
        <v>T0252SAM</v>
      </c>
      <c r="D117" s="128" t="s">
        <v>923</v>
      </c>
      <c r="E117" s="128" t="str">
        <f>INDEX(二三级标准!$Q:$Q,MATCH(数统二级标签!D117,二三级标准!$O:$O,0))</f>
        <v>数据管理</v>
      </c>
      <c r="F117" s="128" t="s">
        <v>289</v>
      </c>
      <c r="G117" s="128" t="str">
        <f>INDEX(二三级标准!C:C,MATCH(数统二级标签!F117,二三级标准!$B:$B,0))</f>
        <v>核查外部数据一致性</v>
      </c>
      <c r="H117" s="128" t="s">
        <v>2957</v>
      </c>
      <c r="I117" s="128" t="str">
        <f>INDEX(二三级标准!$M:$M,MATCH(数统二级标签!$H117,二三级标准!$L:$L,0))</f>
        <v>DTA审核和传输测试</v>
      </c>
      <c r="J117" s="128" t="s">
        <v>2958</v>
      </c>
      <c r="K117" s="128" t="s">
        <v>638</v>
      </c>
      <c r="L117" s="156">
        <v>0.15</v>
      </c>
      <c r="M117" s="156">
        <v>0.5</v>
      </c>
    </row>
    <row r="118" s="132" customFormat="1" ht="27" customHeight="1" spans="1:20">
      <c r="A118" s="163" t="str">
        <f>INDEX('Rate Card'!$A:$A,MATCH(数统二级标签!$K118,'Rate Card'!$F:$F,0))</f>
        <v>数统</v>
      </c>
      <c r="B118" s="163" t="str">
        <f t="shared" si="6"/>
        <v>A092DBP</v>
      </c>
      <c r="C118" s="163" t="str">
        <f t="shared" si="7"/>
        <v>T0253DBP</v>
      </c>
      <c r="D118" s="132" t="s">
        <v>923</v>
      </c>
      <c r="E118" s="132" t="str">
        <f>INDEX(二三级标准!$Q:$Q,MATCH(数统二级标签!D118,二三级标准!$O:$O,0))</f>
        <v>数据管理</v>
      </c>
      <c r="F118" s="132" t="s">
        <v>289</v>
      </c>
      <c r="G118" s="132" t="str">
        <f>INDEX(二三级标准!C:C,MATCH(数统二级标签!F118,二三级标准!$B:$B,0))</f>
        <v>核查外部数据一致性</v>
      </c>
      <c r="H118" s="132" t="s">
        <v>2959</v>
      </c>
      <c r="I118" s="132" t="str">
        <f>INDEX(二三级标准!$M:$M,MATCH(数统二级标签!$H118,二三级标准!$L:$L,0))</f>
        <v>传输测试</v>
      </c>
      <c r="J118" s="132" t="s">
        <v>2937</v>
      </c>
      <c r="K118" s="132" t="s">
        <v>629</v>
      </c>
      <c r="L118" s="164">
        <v>0</v>
      </c>
      <c r="M118" s="164">
        <v>0</v>
      </c>
      <c r="N118" s="164">
        <v>1.5</v>
      </c>
      <c r="O118" s="164">
        <v>1.5</v>
      </c>
      <c r="P118" s="164">
        <v>1.125</v>
      </c>
      <c r="Q118" s="164">
        <v>1.5</v>
      </c>
      <c r="R118" s="164">
        <v>1.5</v>
      </c>
      <c r="S118" s="164">
        <v>1.5</v>
      </c>
      <c r="T118" s="164">
        <v>1.5</v>
      </c>
    </row>
    <row r="119" ht="27" customHeight="1" spans="1:20">
      <c r="A119" s="154" t="str">
        <f>INDEX('Rate Card'!$A:$A,MATCH(数统二级标签!$K119,'Rate Card'!$F:$F,0))</f>
        <v>数统</v>
      </c>
      <c r="B119" s="154" t="str">
        <f t="shared" si="6"/>
        <v>A092DBP</v>
      </c>
      <c r="C119" s="154" t="str">
        <f t="shared" si="7"/>
        <v>T0254DBP</v>
      </c>
      <c r="D119" s="128" t="s">
        <v>923</v>
      </c>
      <c r="E119" s="128" t="str">
        <f>INDEX(二三级标准!$Q:$Q,MATCH(数统二级标签!D119,二三级标准!$O:$O,0))</f>
        <v>数据管理</v>
      </c>
      <c r="F119" s="128" t="s">
        <v>289</v>
      </c>
      <c r="G119" s="128" t="str">
        <f>INDEX(二三级标准!C:C,MATCH(数统二级标签!F119,二三级标准!$B:$B,0))</f>
        <v>核查外部数据一致性</v>
      </c>
      <c r="H119" s="128" t="s">
        <v>2960</v>
      </c>
      <c r="I119" s="128" t="str">
        <f>INDEX(二三级标准!$M:$M,MATCH(数统二级标签!$H119,二三级标准!$L:$L,0))</f>
        <v>外部数据一致性核查报表编程说明</v>
      </c>
      <c r="K119" s="128" t="s">
        <v>629</v>
      </c>
      <c r="L119" s="162">
        <v>1</v>
      </c>
      <c r="M119" s="156">
        <v>1</v>
      </c>
      <c r="N119" s="156">
        <v>1.5</v>
      </c>
      <c r="O119" s="156">
        <v>1.5</v>
      </c>
      <c r="P119" s="156">
        <v>1.125</v>
      </c>
      <c r="Q119" s="156">
        <v>1.5</v>
      </c>
      <c r="R119" s="156">
        <v>1.5</v>
      </c>
      <c r="S119" s="156">
        <v>1.5</v>
      </c>
      <c r="T119" s="156">
        <v>1.5</v>
      </c>
    </row>
    <row r="120" ht="27" customHeight="1" spans="1:20">
      <c r="A120" s="154" t="str">
        <f>INDEX('Rate Card'!$A:$A,MATCH(数统二级标签!$K120,'Rate Card'!$F:$F,0))</f>
        <v>数统</v>
      </c>
      <c r="B120" s="154" t="str">
        <f t="shared" si="6"/>
        <v>A092DM</v>
      </c>
      <c r="C120" s="154" t="str">
        <f t="shared" si="7"/>
        <v>T0255DM</v>
      </c>
      <c r="D120" s="128" t="s">
        <v>923</v>
      </c>
      <c r="E120" s="128" t="str">
        <f>INDEX(二三级标准!$Q:$Q,MATCH(数统二级标签!D120,二三级标准!$O:$O,0))</f>
        <v>数据管理</v>
      </c>
      <c r="F120" s="128" t="s">
        <v>289</v>
      </c>
      <c r="G120" s="128" t="str">
        <f>INDEX(二三级标准!C:C,MATCH(数统二级标签!F120,二三级标准!$B:$B,0))</f>
        <v>核查外部数据一致性</v>
      </c>
      <c r="H120" s="128" t="s">
        <v>2961</v>
      </c>
      <c r="I120" s="128" t="str">
        <f>INDEX(二三级标准!$M:$M,MATCH(数统二级标签!$H120,二三级标准!$L:$L,0))</f>
        <v>外部数据一致性核查报表测试(SAS)</v>
      </c>
      <c r="K120" s="128" t="s">
        <v>631</v>
      </c>
      <c r="L120" s="156">
        <v>1</v>
      </c>
      <c r="M120" s="156">
        <v>1</v>
      </c>
      <c r="N120" s="156">
        <v>1.5</v>
      </c>
      <c r="O120" s="156">
        <v>1.5</v>
      </c>
      <c r="P120" s="156">
        <v>1.125</v>
      </c>
      <c r="Q120" s="156">
        <v>1.5</v>
      </c>
      <c r="R120" s="156">
        <v>1.5</v>
      </c>
      <c r="S120" s="156">
        <v>1.5</v>
      </c>
      <c r="T120" s="156">
        <v>1.5</v>
      </c>
    </row>
    <row r="121" ht="27" customHeight="1" spans="1:20">
      <c r="A121" s="154" t="str">
        <f>INDEX('Rate Card'!$A:$A,MATCH(数统二级标签!$K121,'Rate Card'!$F:$F,0))</f>
        <v>数统</v>
      </c>
      <c r="B121" s="154" t="str">
        <f t="shared" si="6"/>
        <v>A092DBP</v>
      </c>
      <c r="C121" s="154" t="str">
        <f t="shared" si="7"/>
        <v>T0256DBP</v>
      </c>
      <c r="D121" s="128" t="s">
        <v>923</v>
      </c>
      <c r="E121" s="128" t="str">
        <f>INDEX(二三级标准!$Q:$Q,MATCH(数统二级标签!D121,二三级标准!$O:$O,0))</f>
        <v>数据管理</v>
      </c>
      <c r="F121" s="128" t="s">
        <v>289</v>
      </c>
      <c r="G121" s="128" t="str">
        <f>INDEX(二三级标准!C:C,MATCH(数统二级标签!F121,二三级标准!$B:$B,0))</f>
        <v>核查外部数据一致性</v>
      </c>
      <c r="H121" s="128" t="s">
        <v>2962</v>
      </c>
      <c r="I121" s="128" t="str">
        <f>INDEX(二三级标准!$M:$M,MATCH(数统二级标签!$H121,二三级标准!$L:$L,0))</f>
        <v>外部数据一致性核查报表运行(SAS)</v>
      </c>
      <c r="K121" s="128" t="s">
        <v>629</v>
      </c>
      <c r="L121" s="162">
        <v>0.2</v>
      </c>
      <c r="M121" s="156">
        <v>0.2</v>
      </c>
      <c r="N121" s="156">
        <v>0.75</v>
      </c>
      <c r="O121" s="156">
        <v>0.75</v>
      </c>
      <c r="P121" s="156">
        <v>0.28125</v>
      </c>
      <c r="Q121" s="156">
        <v>0.75</v>
      </c>
      <c r="R121" s="156">
        <v>0.75</v>
      </c>
      <c r="S121" s="156">
        <v>0.75</v>
      </c>
      <c r="T121" s="156">
        <v>0.75</v>
      </c>
    </row>
    <row r="122" ht="27" customHeight="1" spans="1:20">
      <c r="A122" s="154" t="str">
        <f>INDEX('Rate Card'!$A:$A,MATCH(数统二级标签!$K122,'Rate Card'!$F:$F,0))</f>
        <v>数统</v>
      </c>
      <c r="B122" s="154" t="str">
        <f t="shared" si="6"/>
        <v>A092DM</v>
      </c>
      <c r="C122" s="154" t="str">
        <f t="shared" si="7"/>
        <v>T0257DM</v>
      </c>
      <c r="D122" s="128" t="s">
        <v>923</v>
      </c>
      <c r="E122" s="128" t="str">
        <f>INDEX(二三级标准!$Q:$Q,MATCH(数统二级标签!D122,二三级标准!$O:$O,0))</f>
        <v>数据管理</v>
      </c>
      <c r="F122" s="128" t="s">
        <v>289</v>
      </c>
      <c r="G122" s="128" t="str">
        <f>INDEX(二三级标准!C:C,MATCH(数统二级标签!F122,二三级标准!$B:$B,0))</f>
        <v>核查外部数据一致性</v>
      </c>
      <c r="H122" s="128" t="s">
        <v>2963</v>
      </c>
      <c r="I122" s="128" t="str">
        <f>INDEX(二三级标准!$M:$M,MATCH(数统二级标签!$H122,二三级标准!$L:$L,0))</f>
        <v>外部数据一致性核查报表审核</v>
      </c>
      <c r="K122" s="128" t="s">
        <v>631</v>
      </c>
      <c r="L122" s="156">
        <v>2</v>
      </c>
      <c r="M122" s="156">
        <v>2</v>
      </c>
      <c r="N122" s="156">
        <v>2</v>
      </c>
      <c r="O122" s="156">
        <v>1.5</v>
      </c>
      <c r="P122" s="156">
        <v>0.28125</v>
      </c>
      <c r="Q122" s="156">
        <v>0.75</v>
      </c>
      <c r="R122" s="156">
        <v>0.75</v>
      </c>
      <c r="S122" s="156">
        <v>2</v>
      </c>
      <c r="T122" s="156">
        <v>2</v>
      </c>
    </row>
    <row r="123" ht="27" customHeight="1" spans="1:20">
      <c r="A123" s="154" t="str">
        <f>INDEX('Rate Card'!$A:$A,MATCH(数统二级标签!$K123,'Rate Card'!$F:$F,0))</f>
        <v>数统</v>
      </c>
      <c r="B123" s="154" t="str">
        <f t="shared" ref="B123" si="14">F123&amp;K123</f>
        <v>A092DM</v>
      </c>
      <c r="C123" s="154" t="str">
        <f t="shared" ref="C123" si="15">H123&amp;K123</f>
        <v>T0617DM</v>
      </c>
      <c r="D123" s="128" t="s">
        <v>923</v>
      </c>
      <c r="E123" s="128" t="str">
        <f>INDEX(二三级标准!$Q:$Q,MATCH(数统二级标签!D123,二三级标准!$O:$O,0))</f>
        <v>数据管理</v>
      </c>
      <c r="F123" s="128" t="s">
        <v>289</v>
      </c>
      <c r="G123" s="128" t="str">
        <f>INDEX(二三级标准!C:C,MATCH(数统二级标签!F123,二三级标准!$B:$B,0))</f>
        <v>核查外部数据一致性</v>
      </c>
      <c r="H123" s="128" t="s">
        <v>2964</v>
      </c>
      <c r="I123" s="128" t="str">
        <f>INDEX(二三级标准!$M:$M,MATCH(数统二级标签!$H123,二三级标准!$L:$L,0))</f>
        <v>外部数据一致性人工审核</v>
      </c>
      <c r="J123" s="128" t="s">
        <v>2902</v>
      </c>
      <c r="K123" s="128" t="s">
        <v>631</v>
      </c>
      <c r="L123" s="156">
        <v>4</v>
      </c>
      <c r="M123" s="156">
        <v>4</v>
      </c>
      <c r="N123" s="156">
        <v>2</v>
      </c>
      <c r="O123" s="156">
        <v>1.5</v>
      </c>
      <c r="P123" s="156">
        <v>0.28125</v>
      </c>
      <c r="Q123" s="156">
        <v>0.75</v>
      </c>
      <c r="R123" s="156">
        <v>0.75</v>
      </c>
      <c r="S123" s="156">
        <v>2</v>
      </c>
      <c r="T123" s="156">
        <v>2</v>
      </c>
    </row>
    <row r="124" ht="27" customHeight="1" spans="1:20">
      <c r="A124" s="154" t="e">
        <f>INDEX('Rate Card'!$A:$A,MATCH(数统二级标签!$K124,'Rate Card'!$F:$F,0))</f>
        <v>#N/A</v>
      </c>
      <c r="B124" s="154" t="str">
        <f t="shared" si="6"/>
        <v>A093Coder</v>
      </c>
      <c r="C124" s="154" t="str">
        <f t="shared" si="7"/>
        <v>T0258Coder</v>
      </c>
      <c r="D124" s="128" t="s">
        <v>923</v>
      </c>
      <c r="E124" s="128" t="str">
        <f>INDEX(二三级标准!$Q:$Q,MATCH(数统二级标签!D124,二三级标准!$O:$O,0))</f>
        <v>数据管理</v>
      </c>
      <c r="F124" s="128" t="s">
        <v>291</v>
      </c>
      <c r="G124" s="128" t="str">
        <f>INDEX(二三级标准!C:C,MATCH(数统二级标签!F124,二三级标准!$B:$B,0))</f>
        <v>实施医学编码</v>
      </c>
      <c r="H124" s="128" t="s">
        <v>2965</v>
      </c>
      <c r="I124" s="128" t="str">
        <f>INDEX(二三级标准!$M:$M,MATCH(数统二级标签!$H124,二三级标准!$L:$L,0))</f>
        <v>医学编码MedDRA</v>
      </c>
      <c r="K124" s="128" t="s">
        <v>627</v>
      </c>
      <c r="L124" s="156">
        <v>0.03</v>
      </c>
      <c r="M124" s="156">
        <v>0.03</v>
      </c>
      <c r="N124" s="156">
        <v>0.052</v>
      </c>
      <c r="O124" s="156">
        <v>0.06</v>
      </c>
      <c r="P124" s="156">
        <v>0.045</v>
      </c>
      <c r="Q124" s="156">
        <v>0.06</v>
      </c>
      <c r="R124" s="156">
        <v>0.06</v>
      </c>
      <c r="S124" s="156">
        <v>0.06</v>
      </c>
      <c r="T124" s="156">
        <v>0.06</v>
      </c>
    </row>
    <row r="125" ht="27" customHeight="1" spans="1:20">
      <c r="A125" s="154" t="e">
        <f>INDEX('Rate Card'!$A:$A,MATCH(数统二级标签!$K125,'Rate Card'!$F:$F,0))</f>
        <v>#N/A</v>
      </c>
      <c r="B125" s="154" t="str">
        <f t="shared" si="6"/>
        <v>A093Coder</v>
      </c>
      <c r="C125" s="154" t="str">
        <f t="shared" si="7"/>
        <v>T0259Coder</v>
      </c>
      <c r="D125" s="128" t="s">
        <v>923</v>
      </c>
      <c r="E125" s="128" t="str">
        <f>INDEX(二三级标准!$Q:$Q,MATCH(数统二级标签!D125,二三级标准!$O:$O,0))</f>
        <v>数据管理</v>
      </c>
      <c r="F125" s="128" t="s">
        <v>291</v>
      </c>
      <c r="G125" s="128" t="str">
        <f>INDEX(二三级标准!C:C,MATCH(数统二级标签!F125,二三级标准!$B:$B,0))</f>
        <v>实施医学编码</v>
      </c>
      <c r="H125" s="128" t="s">
        <v>2966</v>
      </c>
      <c r="I125" s="128" t="str">
        <f>INDEX(二三级标准!$M:$M,MATCH(数统二级标签!$H125,二三级标准!$L:$L,0))</f>
        <v>医学编码WHODrug</v>
      </c>
      <c r="J125" s="128" t="s">
        <v>2904</v>
      </c>
      <c r="K125" s="128" t="s">
        <v>627</v>
      </c>
      <c r="L125" s="156">
        <v>0.08</v>
      </c>
      <c r="M125" s="156">
        <v>0.08</v>
      </c>
      <c r="N125" s="156">
        <v>0.0975</v>
      </c>
      <c r="O125" s="156">
        <v>0.1125</v>
      </c>
      <c r="P125" s="156">
        <v>0.084375</v>
      </c>
      <c r="Q125" s="156">
        <v>0.1125</v>
      </c>
      <c r="R125" s="156">
        <v>0.1125</v>
      </c>
      <c r="S125" s="156">
        <v>0.1125</v>
      </c>
      <c r="T125" s="156">
        <v>0.1125</v>
      </c>
    </row>
    <row r="126" ht="27" customHeight="1" spans="1:20">
      <c r="A126" s="154" t="e">
        <f>INDEX('Rate Card'!$A:$A,MATCH(数统二级标签!$K126,'Rate Card'!$F:$F,0))</f>
        <v>#N/A</v>
      </c>
      <c r="B126" s="154" t="str">
        <f t="shared" si="6"/>
        <v>A093Coder</v>
      </c>
      <c r="C126" s="154" t="str">
        <f t="shared" si="7"/>
        <v>T0260Coder</v>
      </c>
      <c r="D126" s="128" t="s">
        <v>923</v>
      </c>
      <c r="E126" s="128" t="str">
        <f>INDEX(二三级标准!$Q:$Q,MATCH(数统二级标签!D126,二三级标准!$O:$O,0))</f>
        <v>数据管理</v>
      </c>
      <c r="F126" s="128" t="s">
        <v>291</v>
      </c>
      <c r="G126" s="128" t="str">
        <f>INDEX(二三级标准!C:C,MATCH(数统二级标签!F126,二三级标准!$B:$B,0))</f>
        <v>实施医学编码</v>
      </c>
      <c r="H126" s="128" t="s">
        <v>2967</v>
      </c>
      <c r="I126" s="128" t="str">
        <f>INDEX(二三级标准!$M:$M,MATCH(数统二级标签!$H126,二三级标准!$L:$L,0))</f>
        <v>医学编码质控</v>
      </c>
      <c r="K126" s="128" t="s">
        <v>627</v>
      </c>
      <c r="L126" s="156">
        <v>0.08</v>
      </c>
      <c r="M126" s="156">
        <v>0.08</v>
      </c>
      <c r="N126" s="156">
        <v>0.013</v>
      </c>
      <c r="O126" s="156">
        <v>0.015</v>
      </c>
      <c r="P126" s="156">
        <v>0.01125</v>
      </c>
      <c r="Q126" s="156">
        <v>0.015</v>
      </c>
      <c r="R126" s="156">
        <v>0.015</v>
      </c>
      <c r="S126" s="156">
        <v>0.015</v>
      </c>
      <c r="T126" s="156">
        <v>0.015</v>
      </c>
    </row>
    <row r="127" ht="27" customHeight="1" spans="1:20">
      <c r="A127" s="154" t="e">
        <f>INDEX('Rate Card'!$A:$A,MATCH(数统二级标签!$K127,'Rate Card'!$F:$F,0))</f>
        <v>#N/A</v>
      </c>
      <c r="B127" s="154" t="str">
        <f t="shared" si="6"/>
        <v>A093Coder</v>
      </c>
      <c r="C127" s="154" t="str">
        <f t="shared" si="7"/>
        <v>T0261Coder</v>
      </c>
      <c r="D127" s="128" t="s">
        <v>923</v>
      </c>
      <c r="E127" s="128" t="str">
        <f>INDEX(二三级标准!$Q:$Q,MATCH(数统二级标签!D127,二三级标准!$O:$O,0))</f>
        <v>数据管理</v>
      </c>
      <c r="F127" s="128" t="s">
        <v>291</v>
      </c>
      <c r="G127" s="128" t="str">
        <f>INDEX(二三级标准!C:C,MATCH(数统二级标签!F127,二三级标准!$B:$B,0))</f>
        <v>实施医学编码</v>
      </c>
      <c r="H127" s="128" t="s">
        <v>2968</v>
      </c>
      <c r="I127" s="128" t="str">
        <f>INDEX(二三级标准!$M:$M,MATCH(数统二级标签!$H127,二三级标准!$L:$L,0))</f>
        <v>医学编码词典版本更新</v>
      </c>
      <c r="K127" s="128" t="s">
        <v>627</v>
      </c>
      <c r="L127" s="156">
        <v>1</v>
      </c>
      <c r="M127" s="156">
        <v>1</v>
      </c>
      <c r="N127" s="156">
        <v>2.6</v>
      </c>
      <c r="O127" s="156">
        <v>3</v>
      </c>
      <c r="P127" s="156">
        <v>2.25</v>
      </c>
      <c r="Q127" s="156">
        <v>3</v>
      </c>
      <c r="R127" s="156">
        <v>3</v>
      </c>
      <c r="S127" s="156">
        <v>3</v>
      </c>
      <c r="T127" s="156">
        <v>3</v>
      </c>
    </row>
    <row r="128" ht="27" customHeight="1" spans="1:20">
      <c r="A128" s="154" t="e">
        <f>INDEX('Rate Card'!$A:$A,MATCH(数统二级标签!$K128,'Rate Card'!$F:$F,0))</f>
        <v>#N/A</v>
      </c>
      <c r="B128" s="154" t="str">
        <f t="shared" si="6"/>
        <v>A093Coder</v>
      </c>
      <c r="C128" s="154" t="str">
        <f t="shared" si="7"/>
        <v>T0262Coder</v>
      </c>
      <c r="D128" s="128" t="s">
        <v>923</v>
      </c>
      <c r="E128" s="128" t="str">
        <f>INDEX(二三级标准!$Q:$Q,MATCH(数统二级标签!D128,二三级标准!$O:$O,0))</f>
        <v>数据管理</v>
      </c>
      <c r="F128" s="128" t="s">
        <v>291</v>
      </c>
      <c r="G128" s="128" t="str">
        <f>INDEX(二三级标准!C:C,MATCH(数统二级标签!F128,二三级标准!$B:$B,0))</f>
        <v>实施医学编码</v>
      </c>
      <c r="H128" s="128" t="s">
        <v>2969</v>
      </c>
      <c r="I128" s="128" t="str">
        <f>INDEX(二三级标准!$M:$M,MATCH(数统二级标签!$H128,二三级标准!$L:$L,0))</f>
        <v>医学编码报告制作和提交</v>
      </c>
      <c r="J128" s="128" t="s">
        <v>2904</v>
      </c>
      <c r="K128" s="128" t="s">
        <v>627</v>
      </c>
      <c r="L128" s="156">
        <v>0.5</v>
      </c>
      <c r="M128" s="156">
        <v>0.5</v>
      </c>
      <c r="N128" s="156">
        <v>0.65</v>
      </c>
      <c r="O128" s="156">
        <v>0.75</v>
      </c>
      <c r="P128" s="156">
        <v>1.125</v>
      </c>
      <c r="Q128" s="156">
        <v>1.5</v>
      </c>
      <c r="R128" s="156">
        <v>0.75</v>
      </c>
      <c r="S128" s="156">
        <v>0.75</v>
      </c>
      <c r="T128" s="156">
        <v>0.75</v>
      </c>
    </row>
    <row r="129" ht="27" customHeight="1" spans="1:20">
      <c r="A129" s="154" t="str">
        <f>INDEX('Rate Card'!$A:$A,MATCH(数统二级标签!$K129,'Rate Card'!$F:$F,0))</f>
        <v>数统</v>
      </c>
      <c r="B129" s="154" t="str">
        <f t="shared" si="6"/>
        <v>A094DBP</v>
      </c>
      <c r="C129" s="154" t="str">
        <f t="shared" si="7"/>
        <v>T0264DBP</v>
      </c>
      <c r="D129" s="128" t="s">
        <v>923</v>
      </c>
      <c r="E129" s="128" t="str">
        <f>INDEX(二三级标准!$Q:$Q,MATCH(数统二级标签!D129,二三级标准!$O:$O,0))</f>
        <v>数据管理</v>
      </c>
      <c r="F129" s="128" t="s">
        <v>293</v>
      </c>
      <c r="G129" s="128" t="str">
        <f>INDEX(二三级标准!C:C,MATCH(数统二级标签!F129,二三级标准!$B:$B,0))</f>
        <v>核查SAE一致性</v>
      </c>
      <c r="H129" s="128" t="s">
        <v>2970</v>
      </c>
      <c r="I129" s="128" t="str">
        <f>INDEX(二三级标准!$M:$M,MATCH(数统二级标签!$H129,二三级标准!$L:$L,0))</f>
        <v>SAE一致性核查报表编程说明</v>
      </c>
      <c r="K129" s="128" t="s">
        <v>629</v>
      </c>
      <c r="L129" s="156">
        <v>1</v>
      </c>
      <c r="M129" s="156">
        <v>1</v>
      </c>
      <c r="N129" s="156">
        <v>1.5</v>
      </c>
      <c r="O129" s="156">
        <v>1.5</v>
      </c>
      <c r="P129" s="156">
        <v>1.125</v>
      </c>
      <c r="Q129" s="156">
        <v>1.5</v>
      </c>
      <c r="R129" s="156">
        <v>1.5</v>
      </c>
      <c r="S129" s="156">
        <v>1.5</v>
      </c>
      <c r="T129" s="156">
        <v>1.5</v>
      </c>
    </row>
    <row r="130" ht="27" customHeight="1" spans="1:20">
      <c r="A130" s="154" t="str">
        <f>INDEX('Rate Card'!$A:$A,MATCH(数统二级标签!$K130,'Rate Card'!$F:$F,0))</f>
        <v>数统</v>
      </c>
      <c r="B130" s="154" t="str">
        <f t="shared" si="6"/>
        <v>A094DM</v>
      </c>
      <c r="C130" s="154" t="str">
        <f t="shared" si="7"/>
        <v>T0265DM</v>
      </c>
      <c r="D130" s="128" t="s">
        <v>923</v>
      </c>
      <c r="E130" s="128" t="str">
        <f>INDEX(二三级标准!$Q:$Q,MATCH(数统二级标签!D130,二三级标准!$O:$O,0))</f>
        <v>数据管理</v>
      </c>
      <c r="F130" s="128" t="s">
        <v>293</v>
      </c>
      <c r="G130" s="128" t="str">
        <f>INDEX(二三级标准!C:C,MATCH(数统二级标签!F130,二三级标准!$B:$B,0))</f>
        <v>核查SAE一致性</v>
      </c>
      <c r="H130" s="128" t="s">
        <v>2971</v>
      </c>
      <c r="I130" s="128" t="str">
        <f>INDEX(二三级标准!$M:$M,MATCH(数统二级标签!$H130,二三级标准!$L:$L,0))</f>
        <v>SAE一致性核查报表测试(SAS)</v>
      </c>
      <c r="K130" s="128" t="s">
        <v>631</v>
      </c>
      <c r="L130" s="156">
        <v>1</v>
      </c>
      <c r="M130" s="156">
        <v>1</v>
      </c>
      <c r="N130" s="156">
        <v>1.5</v>
      </c>
      <c r="O130" s="156">
        <v>1.5</v>
      </c>
      <c r="P130" s="156">
        <v>1.125</v>
      </c>
      <c r="Q130" s="156">
        <v>1.5</v>
      </c>
      <c r="R130" s="156">
        <v>1.5</v>
      </c>
      <c r="S130" s="156">
        <v>1.5</v>
      </c>
      <c r="T130" s="156">
        <v>1.5</v>
      </c>
    </row>
    <row r="131" ht="27" customHeight="1" spans="1:20">
      <c r="A131" s="154" t="str">
        <f>INDEX('Rate Card'!$A:$A,MATCH(数统二级标签!$K131,'Rate Card'!$F:$F,0))</f>
        <v>数统</v>
      </c>
      <c r="B131" s="154" t="str">
        <f t="shared" si="6"/>
        <v>A094DBP</v>
      </c>
      <c r="C131" s="154" t="str">
        <f t="shared" si="7"/>
        <v>T0266DBP</v>
      </c>
      <c r="D131" s="128" t="s">
        <v>923</v>
      </c>
      <c r="E131" s="128" t="str">
        <f>INDEX(二三级标准!$Q:$Q,MATCH(数统二级标签!D131,二三级标准!$O:$O,0))</f>
        <v>数据管理</v>
      </c>
      <c r="F131" s="128" t="s">
        <v>293</v>
      </c>
      <c r="G131" s="128" t="str">
        <f>INDEX(二三级标准!C:C,MATCH(数统二级标签!F131,二三级标准!$B:$B,0))</f>
        <v>核查SAE一致性</v>
      </c>
      <c r="H131" s="128" t="s">
        <v>2972</v>
      </c>
      <c r="I131" s="128" t="str">
        <f>INDEX(二三级标准!$M:$M,MATCH(数统二级标签!$H131,二三级标准!$L:$L,0))</f>
        <v>SAE一致性核查报表运行(SAS)</v>
      </c>
      <c r="K131" s="128" t="s">
        <v>629</v>
      </c>
      <c r="L131" s="156">
        <v>0.2</v>
      </c>
      <c r="M131" s="156">
        <v>0.2</v>
      </c>
      <c r="N131" s="156">
        <v>0.75</v>
      </c>
      <c r="O131" s="156">
        <v>0.75</v>
      </c>
      <c r="P131" s="156">
        <v>0.28125</v>
      </c>
      <c r="Q131" s="156">
        <v>0.75</v>
      </c>
      <c r="R131" s="156">
        <v>0.75</v>
      </c>
      <c r="S131" s="156">
        <v>0.75</v>
      </c>
      <c r="T131" s="156">
        <v>0.75</v>
      </c>
    </row>
    <row r="132" ht="27" customHeight="1" spans="1:20">
      <c r="A132" s="154" t="str">
        <f>INDEX('Rate Card'!$A:$A,MATCH(数统二级标签!$K132,'Rate Card'!$F:$F,0))</f>
        <v>数统</v>
      </c>
      <c r="B132" s="154" t="str">
        <f t="shared" si="6"/>
        <v>A094DM</v>
      </c>
      <c r="C132" s="154" t="str">
        <f t="shared" si="7"/>
        <v>T0267DM</v>
      </c>
      <c r="D132" s="128" t="s">
        <v>923</v>
      </c>
      <c r="E132" s="128" t="str">
        <f>INDEX(二三级标准!$Q:$Q,MATCH(数统二级标签!D132,二三级标准!$O:$O,0))</f>
        <v>数据管理</v>
      </c>
      <c r="F132" s="128" t="s">
        <v>293</v>
      </c>
      <c r="G132" s="128" t="str">
        <f>INDEX(二三级标准!C:C,MATCH(数统二级标签!F132,二三级标准!$B:$B,0))</f>
        <v>核查SAE一致性</v>
      </c>
      <c r="H132" s="128" t="s">
        <v>2973</v>
      </c>
      <c r="I132" s="128" t="str">
        <f>INDEX(二三级标准!$M:$M,MATCH(数统二级标签!$H132,二三级标准!$L:$L,0))</f>
        <v>SAE一致性核查报表审核</v>
      </c>
      <c r="K132" s="128" t="s">
        <v>631</v>
      </c>
      <c r="L132" s="156">
        <v>2</v>
      </c>
      <c r="M132" s="156">
        <v>2</v>
      </c>
      <c r="N132" s="156">
        <v>2</v>
      </c>
      <c r="O132" s="156">
        <v>1.5</v>
      </c>
      <c r="P132" s="156">
        <v>0.5625</v>
      </c>
      <c r="Q132" s="156">
        <v>1.5</v>
      </c>
      <c r="R132" s="156">
        <v>1.5</v>
      </c>
      <c r="S132" s="156">
        <v>2</v>
      </c>
      <c r="T132" s="156">
        <v>2</v>
      </c>
    </row>
    <row r="133" ht="27" customHeight="1" spans="1:20">
      <c r="A133" s="154" t="str">
        <f>INDEX('Rate Card'!$A:$A,MATCH(数统二级标签!$K133,'Rate Card'!$F:$F,0))</f>
        <v>数统</v>
      </c>
      <c r="B133" s="154" t="str">
        <f t="shared" ref="B133" si="16">F133&amp;K133</f>
        <v>A094DM</v>
      </c>
      <c r="C133" s="154" t="str">
        <f t="shared" ref="C133" si="17">H133&amp;K133</f>
        <v>T0618DM</v>
      </c>
      <c r="D133" s="128" t="s">
        <v>923</v>
      </c>
      <c r="E133" s="128" t="str">
        <f>INDEX(二三级标准!$Q:$Q,MATCH(数统二级标签!D133,二三级标准!$O:$O,0))</f>
        <v>数据管理</v>
      </c>
      <c r="F133" s="128" t="s">
        <v>293</v>
      </c>
      <c r="G133" s="128" t="str">
        <f>INDEX(二三级标准!C:C,MATCH(数统二级标签!F133,二三级标准!$B:$B,0))</f>
        <v>核查SAE一致性</v>
      </c>
      <c r="H133" s="128" t="s">
        <v>2974</v>
      </c>
      <c r="I133" s="128" t="str">
        <f>INDEX(二三级标准!$M:$M,MATCH(数统二级标签!$H133,二三级标准!$L:$L,0))</f>
        <v>SAE一致性人工审核</v>
      </c>
      <c r="J133" s="128" t="s">
        <v>2902</v>
      </c>
      <c r="K133" s="128" t="s">
        <v>631</v>
      </c>
      <c r="L133" s="156">
        <v>4</v>
      </c>
      <c r="M133" s="156">
        <v>4</v>
      </c>
      <c r="N133" s="156">
        <v>2</v>
      </c>
      <c r="O133" s="156">
        <v>1.5</v>
      </c>
      <c r="P133" s="156">
        <v>0.5625</v>
      </c>
      <c r="Q133" s="156">
        <v>1.5</v>
      </c>
      <c r="R133" s="156">
        <v>1.5</v>
      </c>
      <c r="S133" s="156">
        <v>2</v>
      </c>
      <c r="T133" s="156">
        <v>2</v>
      </c>
    </row>
    <row r="134" ht="27" customHeight="1" spans="1:20">
      <c r="A134" s="154" t="str">
        <f>INDEX('Rate Card'!$A:$A,MATCH(数统二级标签!$K134,'Rate Card'!$F:$F,0))</f>
        <v>数统</v>
      </c>
      <c r="B134" s="154" t="str">
        <f t="shared" si="6"/>
        <v>A095DM</v>
      </c>
      <c r="C134" s="154" t="str">
        <f t="shared" si="7"/>
        <v>T0268DM</v>
      </c>
      <c r="D134" s="128" t="s">
        <v>923</v>
      </c>
      <c r="E134" s="128" t="str">
        <f>INDEX(二三级标准!$Q:$Q,MATCH(数统二级标签!D134,二三级标准!$O:$O,0))</f>
        <v>数据管理</v>
      </c>
      <c r="F134" s="128" t="s">
        <v>295</v>
      </c>
      <c r="G134" s="128" t="str">
        <f>INDEX(二三级标准!C:C,MATCH(数统二级标签!F134,二三级标准!$B:$B,0))</f>
        <v>递交常规进度报告</v>
      </c>
      <c r="H134" s="128" t="s">
        <v>1423</v>
      </c>
      <c r="I134" s="128" t="str">
        <f>INDEX(二三级标准!$M:$M,MATCH(数统二级标签!$H134,二三级标准!$L:$L,0))</f>
        <v>递交常规进度报告</v>
      </c>
      <c r="J134" s="128" t="s">
        <v>2975</v>
      </c>
      <c r="K134" s="128" t="s">
        <v>631</v>
      </c>
      <c r="L134" s="156">
        <v>1</v>
      </c>
      <c r="M134" s="156">
        <v>1</v>
      </c>
      <c r="N134" s="156">
        <v>0.65</v>
      </c>
      <c r="O134" s="156">
        <v>0.75</v>
      </c>
      <c r="P134" s="156">
        <v>0.84375</v>
      </c>
      <c r="Q134" s="156">
        <v>1.125</v>
      </c>
      <c r="R134" s="156">
        <v>0.75</v>
      </c>
      <c r="S134" s="156">
        <v>0.75</v>
      </c>
      <c r="T134" s="156">
        <v>0.75</v>
      </c>
    </row>
    <row r="135" ht="27" customHeight="1" spans="1:20">
      <c r="A135" s="154" t="str">
        <f>INDEX('Rate Card'!$A:$A,MATCH(数统二级标签!$K135,'Rate Card'!$F:$F,0))</f>
        <v>数统</v>
      </c>
      <c r="B135" s="154" t="str">
        <f t="shared" si="6"/>
        <v>A095LDM</v>
      </c>
      <c r="C135" s="154" t="str">
        <f t="shared" si="7"/>
        <v>T0268LDM</v>
      </c>
      <c r="D135" s="128" t="s">
        <v>923</v>
      </c>
      <c r="E135" s="128" t="str">
        <f>INDEX(二三级标准!$Q:$Q,MATCH(数统二级标签!D135,二三级标准!$O:$O,0))</f>
        <v>数据管理</v>
      </c>
      <c r="F135" s="128" t="s">
        <v>295</v>
      </c>
      <c r="G135" s="128" t="str">
        <f>INDEX(二三级标准!C:C,MATCH(数统二级标签!F135,二三级标准!$B:$B,0))</f>
        <v>递交常规进度报告</v>
      </c>
      <c r="H135" s="128" t="s">
        <v>1423</v>
      </c>
      <c r="I135" s="128" t="str">
        <f>INDEX(二三级标准!$M:$M,MATCH(数统二级标签!$H135,二三级标准!$L:$L,0))</f>
        <v>递交常规进度报告</v>
      </c>
      <c r="J135" s="128" t="s">
        <v>2975</v>
      </c>
      <c r="K135" s="128" t="s">
        <v>633</v>
      </c>
      <c r="L135" s="156">
        <v>0.2</v>
      </c>
      <c r="M135" s="156">
        <v>0.2</v>
      </c>
      <c r="N135" s="156">
        <v>0.325</v>
      </c>
      <c r="O135" s="156">
        <v>0.375</v>
      </c>
      <c r="P135" s="156">
        <v>0.28125</v>
      </c>
      <c r="Q135" s="156">
        <v>0.75</v>
      </c>
      <c r="R135" s="156">
        <v>0.375</v>
      </c>
      <c r="S135" s="156">
        <v>0.375</v>
      </c>
      <c r="T135" s="156">
        <v>0.375</v>
      </c>
    </row>
    <row r="136" ht="27" customHeight="1" spans="1:20">
      <c r="A136" s="154" t="str">
        <f>INDEX('Rate Card'!$A:$A,MATCH(数统二级标签!$K136,'Rate Card'!$F:$F,0))</f>
        <v>数统</v>
      </c>
      <c r="B136" s="154" t="str">
        <f t="shared" si="6"/>
        <v>A096DBP</v>
      </c>
      <c r="C136" s="154" t="str">
        <f t="shared" si="7"/>
        <v>T0269DBP</v>
      </c>
      <c r="D136" s="128" t="s">
        <v>923</v>
      </c>
      <c r="E136" s="128" t="str">
        <f>INDEX(二三级标准!$Q:$Q,MATCH(数统二级标签!D136,二三级标准!$O:$O,0))</f>
        <v>数据管理</v>
      </c>
      <c r="F136" s="128" t="s">
        <v>297</v>
      </c>
      <c r="G136" s="128" t="str">
        <f>INDEX(二三级标准!C:C,MATCH(数统二级标签!F136,二三级标准!$B:$B,0))</f>
        <v>递交项目定制报告</v>
      </c>
      <c r="H136" s="128" t="s">
        <v>2976</v>
      </c>
      <c r="I136" s="128" t="str">
        <f>INDEX(二三级标准!$M:$M,MATCH(数统二级标签!$H136,二三级标准!$L:$L,0))</f>
        <v>其他项目要求报告编程（缺失页）</v>
      </c>
      <c r="J136" s="128" t="s">
        <v>2904</v>
      </c>
      <c r="K136" s="128" t="s">
        <v>629</v>
      </c>
      <c r="L136" s="162">
        <v>6</v>
      </c>
      <c r="M136" s="156">
        <v>1.5</v>
      </c>
      <c r="N136" s="156">
        <v>4</v>
      </c>
      <c r="O136" s="156">
        <v>4</v>
      </c>
      <c r="P136" s="156">
        <v>4</v>
      </c>
      <c r="Q136" s="156">
        <v>4</v>
      </c>
      <c r="R136" s="156">
        <v>4</v>
      </c>
      <c r="S136" s="156">
        <v>4</v>
      </c>
      <c r="T136" s="156">
        <v>4</v>
      </c>
    </row>
    <row r="137" ht="27" customHeight="1" spans="1:20">
      <c r="A137" s="154" t="str">
        <f>INDEX('Rate Card'!$A:$A,MATCH(数统二级标签!$K137,'Rate Card'!$F:$F,0))</f>
        <v>数统</v>
      </c>
      <c r="B137" s="154" t="str">
        <f t="shared" si="6"/>
        <v>A096DM</v>
      </c>
      <c r="C137" s="154" t="str">
        <f t="shared" si="7"/>
        <v>T0270DM</v>
      </c>
      <c r="D137" s="128" t="s">
        <v>923</v>
      </c>
      <c r="E137" s="128" t="str">
        <f>INDEX(二三级标准!$Q:$Q,MATCH(数统二级标签!D137,二三级标准!$O:$O,0))</f>
        <v>数据管理</v>
      </c>
      <c r="F137" s="128" t="s">
        <v>297</v>
      </c>
      <c r="G137" s="128" t="str">
        <f>INDEX(二三级标准!C:C,MATCH(数统二级标签!F137,二三级标准!$B:$B,0))</f>
        <v>递交项目定制报告</v>
      </c>
      <c r="H137" s="128" t="s">
        <v>2977</v>
      </c>
      <c r="I137" s="128" t="str">
        <f>INDEX(二三级标准!$M:$M,MATCH(数统二级标签!$H137,二三级标准!$L:$L,0))</f>
        <v>其他项目要求报告测试（缺失页）</v>
      </c>
      <c r="K137" s="128" t="s">
        <v>631</v>
      </c>
      <c r="L137" s="156">
        <v>1.5</v>
      </c>
      <c r="M137" s="156">
        <v>6</v>
      </c>
      <c r="N137" s="156">
        <v>2</v>
      </c>
      <c r="O137" s="156">
        <v>2</v>
      </c>
      <c r="P137" s="156">
        <v>2</v>
      </c>
      <c r="Q137" s="156">
        <v>2</v>
      </c>
      <c r="R137" s="156">
        <v>2</v>
      </c>
      <c r="S137" s="156">
        <v>2</v>
      </c>
      <c r="T137" s="156">
        <v>2</v>
      </c>
    </row>
    <row r="138" ht="27" customHeight="1" spans="1:20">
      <c r="A138" s="154" t="str">
        <f>INDEX('Rate Card'!$A:$A,MATCH(数统二级标签!$K138,'Rate Card'!$F:$F,0))</f>
        <v>数统</v>
      </c>
      <c r="B138" s="154" t="str">
        <f t="shared" si="6"/>
        <v>A096LDM</v>
      </c>
      <c r="C138" s="154" t="str">
        <f t="shared" si="7"/>
        <v>T0271LDM</v>
      </c>
      <c r="D138" s="128" t="s">
        <v>923</v>
      </c>
      <c r="E138" s="128" t="str">
        <f>INDEX(二三级标准!$Q:$Q,MATCH(数统二级标签!D138,二三级标准!$O:$O,0))</f>
        <v>数据管理</v>
      </c>
      <c r="F138" s="128" t="s">
        <v>297</v>
      </c>
      <c r="G138" s="128" t="str">
        <f>INDEX(二三级标准!C:C,MATCH(数统二级标签!F138,二三级标准!$B:$B,0))</f>
        <v>递交项目定制报告</v>
      </c>
      <c r="H138" s="128" t="s">
        <v>2978</v>
      </c>
      <c r="I138" s="128" t="str">
        <f>INDEX(二三级标准!$M:$M,MATCH(数统二级标签!$H138,二三级标准!$L:$L,0))</f>
        <v>其他项目要求报告说明（缺失页）</v>
      </c>
      <c r="J138" s="128" t="s">
        <v>2904</v>
      </c>
      <c r="K138" s="128" t="s">
        <v>633</v>
      </c>
      <c r="L138" s="162">
        <v>1.5</v>
      </c>
      <c r="M138" s="156">
        <v>1.5</v>
      </c>
      <c r="N138" s="156">
        <v>1</v>
      </c>
      <c r="O138" s="156">
        <v>1</v>
      </c>
      <c r="P138" s="156">
        <v>1</v>
      </c>
      <c r="Q138" s="156">
        <v>1</v>
      </c>
      <c r="R138" s="156">
        <v>1</v>
      </c>
      <c r="S138" s="156">
        <v>1</v>
      </c>
      <c r="T138" s="156">
        <v>1</v>
      </c>
    </row>
    <row r="139" ht="27" customHeight="1" spans="1:20">
      <c r="A139" s="154" t="str">
        <f>INDEX('Rate Card'!$A:$A,MATCH(数统二级标签!$K139,'Rate Card'!$F:$F,0))</f>
        <v>数统</v>
      </c>
      <c r="B139" s="154" t="str">
        <f t="shared" si="6"/>
        <v>A096DBP</v>
      </c>
      <c r="C139" s="154" t="str">
        <f t="shared" si="7"/>
        <v>T0272DBP</v>
      </c>
      <c r="D139" s="128" t="s">
        <v>923</v>
      </c>
      <c r="E139" s="128" t="str">
        <f>INDEX(二三级标准!$Q:$Q,MATCH(数统二级标签!D139,二三级标准!$O:$O,0))</f>
        <v>数据管理</v>
      </c>
      <c r="F139" s="128" t="s">
        <v>297</v>
      </c>
      <c r="G139" s="128" t="str">
        <f>INDEX(二三级标准!C:C,MATCH(数统二级标签!F139,二三级标准!$B:$B,0))</f>
        <v>递交项目定制报告</v>
      </c>
      <c r="H139" s="128" t="s">
        <v>2979</v>
      </c>
      <c r="I139" s="128" t="str">
        <f>INDEX(二三级标准!$M:$M,MATCH(数统二级标签!$H139,二三级标准!$L:$L,0))</f>
        <v>其他项目要求报告抽取和提交（缺失页）</v>
      </c>
      <c r="K139" s="128" t="s">
        <v>629</v>
      </c>
      <c r="L139" s="156">
        <v>0.2</v>
      </c>
      <c r="M139" s="156">
        <v>0.2</v>
      </c>
      <c r="N139" s="156">
        <v>0.5</v>
      </c>
      <c r="O139" s="156">
        <v>0.5</v>
      </c>
      <c r="P139" s="156">
        <v>0.5</v>
      </c>
      <c r="Q139" s="156">
        <v>0.5</v>
      </c>
      <c r="R139" s="156">
        <v>0.5</v>
      </c>
      <c r="S139" s="156">
        <v>0.5</v>
      </c>
      <c r="T139" s="156">
        <v>0.5</v>
      </c>
    </row>
    <row r="140" ht="27" customHeight="1" spans="1:20">
      <c r="A140" s="154" t="str">
        <f>INDEX('Rate Card'!$A:$A,MATCH(数统二级标签!$K140,'Rate Card'!$F:$F,0))</f>
        <v>数统</v>
      </c>
      <c r="B140" s="154" t="str">
        <f t="shared" si="6"/>
        <v>A097DM</v>
      </c>
      <c r="C140" s="154" t="str">
        <f t="shared" si="7"/>
        <v>T0273DM</v>
      </c>
      <c r="D140" s="128" t="s">
        <v>923</v>
      </c>
      <c r="E140" s="128" t="str">
        <f>INDEX(二三级标准!$Q:$Q,MATCH(数统二级标签!D140,二三级标准!$O:$O,0))</f>
        <v>数据管理</v>
      </c>
      <c r="F140" s="128" t="s">
        <v>299</v>
      </c>
      <c r="G140" s="128" t="str">
        <f>INDEX(二三级标准!C:C,MATCH(数统二级标签!F140,二三级标准!$B:$B,0))</f>
        <v>审核方案偏离数据</v>
      </c>
      <c r="H140" s="128" t="s">
        <v>2980</v>
      </c>
      <c r="I140" s="128" t="str">
        <f>INDEX(二三级标准!$M:$M,MATCH(数统二级标签!$H140,二三级标准!$L:$L,0))</f>
        <v>方案偏离列表编程说明</v>
      </c>
      <c r="K140" s="128" t="s">
        <v>631</v>
      </c>
      <c r="L140" s="156">
        <v>0.5</v>
      </c>
      <c r="M140" s="156">
        <v>0.5</v>
      </c>
      <c r="N140" s="156">
        <v>0.75</v>
      </c>
      <c r="O140" s="156">
        <v>0.75</v>
      </c>
      <c r="P140" s="156">
        <v>0.5625</v>
      </c>
      <c r="Q140" s="156">
        <v>0.75</v>
      </c>
      <c r="R140" s="156">
        <v>0.75</v>
      </c>
      <c r="S140" s="156">
        <v>0.75</v>
      </c>
      <c r="T140" s="156">
        <v>0.75</v>
      </c>
    </row>
    <row r="141" ht="27" customHeight="1" spans="1:20">
      <c r="A141" s="154" t="str">
        <f>INDEX('Rate Card'!$A:$A,MATCH(数统二级标签!$K141,'Rate Card'!$F:$F,0))</f>
        <v>数统</v>
      </c>
      <c r="B141" s="154" t="str">
        <f t="shared" si="6"/>
        <v>A097DBP</v>
      </c>
      <c r="C141" s="154" t="str">
        <f t="shared" si="7"/>
        <v>T0274DBP</v>
      </c>
      <c r="D141" s="128" t="s">
        <v>923</v>
      </c>
      <c r="E141" s="128" t="str">
        <f>INDEX(二三级标准!$Q:$Q,MATCH(数统二级标签!D141,二三级标准!$O:$O,0))</f>
        <v>数据管理</v>
      </c>
      <c r="F141" s="128" t="s">
        <v>299</v>
      </c>
      <c r="G141" s="128" t="str">
        <f>INDEX(二三级标准!C:C,MATCH(数统二级标签!F141,二三级标准!$B:$B,0))</f>
        <v>审核方案偏离数据</v>
      </c>
      <c r="H141" s="128" t="s">
        <v>2981</v>
      </c>
      <c r="I141" s="128" t="str">
        <f>INDEX(二三级标准!$M:$M,MATCH(数统二级标签!$H141,二三级标准!$L:$L,0))</f>
        <v>方案偏离列表编程(SAS)</v>
      </c>
      <c r="K141" s="128" t="s">
        <v>629</v>
      </c>
      <c r="L141" s="156">
        <v>1</v>
      </c>
      <c r="M141" s="156">
        <v>1</v>
      </c>
      <c r="N141" s="156">
        <v>1.5</v>
      </c>
      <c r="O141" s="156">
        <v>1.5</v>
      </c>
      <c r="P141" s="156">
        <v>1.125</v>
      </c>
      <c r="Q141" s="156">
        <v>1.5</v>
      </c>
      <c r="R141" s="156">
        <v>1.5</v>
      </c>
      <c r="S141" s="156">
        <v>1.5</v>
      </c>
      <c r="T141" s="156">
        <v>1.5</v>
      </c>
    </row>
    <row r="142" ht="27" customHeight="1" spans="1:20">
      <c r="A142" s="154" t="str">
        <f>INDEX('Rate Card'!$A:$A,MATCH(数统二级标签!$K142,'Rate Card'!$F:$F,0))</f>
        <v>数统</v>
      </c>
      <c r="B142" s="154" t="str">
        <f t="shared" si="6"/>
        <v>A097DM</v>
      </c>
      <c r="C142" s="154" t="str">
        <f t="shared" si="7"/>
        <v>T0275DM</v>
      </c>
      <c r="D142" s="128" t="s">
        <v>923</v>
      </c>
      <c r="E142" s="128" t="str">
        <f>INDEX(二三级标准!$Q:$Q,MATCH(数统二级标签!D142,二三级标准!$O:$O,0))</f>
        <v>数据管理</v>
      </c>
      <c r="F142" s="128" t="s">
        <v>299</v>
      </c>
      <c r="G142" s="128" t="str">
        <f>INDEX(二三级标准!C:C,MATCH(数统二级标签!F142,二三级标准!$B:$B,0))</f>
        <v>审核方案偏离数据</v>
      </c>
      <c r="H142" s="128" t="s">
        <v>2982</v>
      </c>
      <c r="I142" s="128" t="e">
        <f>INDEX(二三级标准!$M:$M,MATCH(数统二级标签!$H142,二三级标准!$L:$L,0))</f>
        <v>#N/A</v>
      </c>
      <c r="K142" s="128" t="s">
        <v>631</v>
      </c>
      <c r="L142" s="156">
        <v>1</v>
      </c>
      <c r="M142" s="156">
        <v>1</v>
      </c>
      <c r="N142" s="156">
        <v>1.5</v>
      </c>
      <c r="O142" s="156">
        <v>1.5</v>
      </c>
      <c r="P142" s="156">
        <v>1.125</v>
      </c>
      <c r="Q142" s="156">
        <v>1.5</v>
      </c>
      <c r="R142" s="156">
        <v>1.5</v>
      </c>
      <c r="S142" s="156">
        <v>1.5</v>
      </c>
      <c r="T142" s="156">
        <v>1.5</v>
      </c>
    </row>
    <row r="143" ht="27" customHeight="1" spans="1:20">
      <c r="A143" s="154" t="str">
        <f>INDEX('Rate Card'!$A:$A,MATCH(数统二级标签!$K143,'Rate Card'!$F:$F,0))</f>
        <v>数统</v>
      </c>
      <c r="B143" s="154" t="str">
        <f t="shared" si="6"/>
        <v>A097DBP</v>
      </c>
      <c r="C143" s="154" t="str">
        <f t="shared" si="7"/>
        <v>T0276DBP</v>
      </c>
      <c r="D143" s="128" t="s">
        <v>923</v>
      </c>
      <c r="E143" s="128" t="str">
        <f>INDEX(二三级标准!$Q:$Q,MATCH(数统二级标签!D143,二三级标准!$O:$O,0))</f>
        <v>数据管理</v>
      </c>
      <c r="F143" s="128" t="s">
        <v>299</v>
      </c>
      <c r="G143" s="128" t="str">
        <f>INDEX(二三级标准!C:C,MATCH(数统二级标签!F143,二三级标准!$B:$B,0))</f>
        <v>审核方案偏离数据</v>
      </c>
      <c r="H143" s="128" t="s">
        <v>2983</v>
      </c>
      <c r="I143" s="128" t="str">
        <f>INDEX(二三级标准!$M:$M,MATCH(数统二级标签!$H143,二三级标准!$L:$L,0))</f>
        <v>方案偏离列表运行(SAS)</v>
      </c>
      <c r="J143" s="128" t="s">
        <v>2904</v>
      </c>
      <c r="K143" s="128" t="s">
        <v>629</v>
      </c>
      <c r="L143" s="162">
        <v>0.2</v>
      </c>
      <c r="M143" s="156">
        <v>0.2</v>
      </c>
      <c r="N143" s="156">
        <v>0.75</v>
      </c>
      <c r="O143" s="156">
        <v>0.75</v>
      </c>
      <c r="P143" s="156">
        <v>0.5625</v>
      </c>
      <c r="Q143" s="156">
        <v>0.75</v>
      </c>
      <c r="R143" s="156">
        <v>0.75</v>
      </c>
      <c r="S143" s="156">
        <v>0.75</v>
      </c>
      <c r="T143" s="156">
        <v>0.75</v>
      </c>
    </row>
    <row r="144" ht="27" customHeight="1" spans="1:20">
      <c r="A144" s="154" t="str">
        <f>INDEX('Rate Card'!$A:$A,MATCH(数统二级标签!$K144,'Rate Card'!$F:$F,0))</f>
        <v>数统</v>
      </c>
      <c r="B144" s="154" t="str">
        <f t="shared" si="6"/>
        <v>A097DM</v>
      </c>
      <c r="C144" s="154" t="str">
        <f t="shared" si="7"/>
        <v>T0277DM</v>
      </c>
      <c r="D144" s="128" t="s">
        <v>923</v>
      </c>
      <c r="E144" s="128" t="str">
        <f>INDEX(二三级标准!$Q:$Q,MATCH(数统二级标签!D144,二三级标准!$O:$O,0))</f>
        <v>数据管理</v>
      </c>
      <c r="F144" s="128" t="s">
        <v>299</v>
      </c>
      <c r="G144" s="128" t="str">
        <f>INDEX(二三级标准!C:C,MATCH(数统二级标签!F144,二三级标准!$B:$B,0))</f>
        <v>审核方案偏离数据</v>
      </c>
      <c r="H144" s="128" t="s">
        <v>2984</v>
      </c>
      <c r="I144" s="128" t="str">
        <f>INDEX(二三级标准!$M:$M,MATCH(数统二级标签!$H144,二三级标准!$L:$L,0))</f>
        <v>方案偏离列表核查</v>
      </c>
      <c r="J144" s="128" t="s">
        <v>2904</v>
      </c>
      <c r="K144" s="128" t="s">
        <v>631</v>
      </c>
      <c r="L144" s="162">
        <v>4</v>
      </c>
      <c r="M144" s="156">
        <v>4</v>
      </c>
      <c r="N144" s="156">
        <v>1.5</v>
      </c>
      <c r="O144" s="156">
        <v>1.5</v>
      </c>
      <c r="P144" s="156">
        <v>1.125</v>
      </c>
      <c r="Q144" s="156">
        <v>1.5</v>
      </c>
      <c r="R144" s="156">
        <v>1.5</v>
      </c>
      <c r="S144" s="156">
        <v>1.5</v>
      </c>
      <c r="T144" s="156">
        <v>1.5</v>
      </c>
    </row>
    <row r="145" ht="27" customHeight="1" spans="1:20">
      <c r="A145" s="154" t="str">
        <f>INDEX('Rate Card'!$A:$A,MATCH(数统二级标签!$K145,'Rate Card'!$F:$F,0))</f>
        <v>数统</v>
      </c>
      <c r="B145" s="154" t="str">
        <f t="shared" si="6"/>
        <v>A097DBP</v>
      </c>
      <c r="C145" s="154" t="str">
        <f t="shared" si="7"/>
        <v>T0278DBP</v>
      </c>
      <c r="D145" s="128" t="s">
        <v>923</v>
      </c>
      <c r="E145" s="128" t="str">
        <f>INDEX(二三级标准!$Q:$Q,MATCH(数统二级标签!D145,二三级标准!$O:$O,0))</f>
        <v>数据管理</v>
      </c>
      <c r="F145" s="128" t="s">
        <v>299</v>
      </c>
      <c r="G145" s="128" t="str">
        <f>INDEX(二三级标准!C:C,MATCH(数统二级标签!F145,二三级标准!$B:$B,0))</f>
        <v>审核方案偏离数据</v>
      </c>
      <c r="H145" s="128" t="s">
        <v>2985</v>
      </c>
      <c r="I145" s="128" t="str">
        <f>INDEX(二三级标准!$M:$M,MATCH(数统二级标签!$H145,二三级标准!$L:$L,0))</f>
        <v>方案偏离最终合并表</v>
      </c>
      <c r="K145" s="128" t="s">
        <v>629</v>
      </c>
      <c r="L145" s="156">
        <v>1</v>
      </c>
      <c r="M145" s="156">
        <v>1</v>
      </c>
      <c r="N145" s="156">
        <v>1.5</v>
      </c>
      <c r="O145" s="156">
        <v>1.5</v>
      </c>
      <c r="P145" s="156">
        <v>1.125</v>
      </c>
      <c r="Q145" s="156">
        <v>1.5</v>
      </c>
      <c r="R145" s="156">
        <v>1.5</v>
      </c>
      <c r="S145" s="156">
        <v>1.5</v>
      </c>
      <c r="T145" s="156">
        <v>1.5</v>
      </c>
    </row>
    <row r="146" ht="27" customHeight="1" spans="1:20">
      <c r="A146" s="154" t="str">
        <f>INDEX('Rate Card'!$A:$A,MATCH(数统二级标签!$K146,'Rate Card'!$F:$F,0))</f>
        <v>数统</v>
      </c>
      <c r="B146" s="154" t="str">
        <f t="shared" si="6"/>
        <v>A097DM</v>
      </c>
      <c r="C146" s="154" t="str">
        <f t="shared" si="7"/>
        <v>T0279DM</v>
      </c>
      <c r="D146" s="128" t="s">
        <v>923</v>
      </c>
      <c r="E146" s="128" t="str">
        <f>INDEX(二三级标准!$Q:$Q,MATCH(数统二级标签!D146,二三级标准!$O:$O,0))</f>
        <v>数据管理</v>
      </c>
      <c r="F146" s="128" t="s">
        <v>299</v>
      </c>
      <c r="G146" s="128" t="str">
        <f>INDEX(二三级标准!C:C,MATCH(数统二级标签!F146,二三级标准!$B:$B,0))</f>
        <v>审核方案偏离数据</v>
      </c>
      <c r="H146" s="128" t="s">
        <v>2986</v>
      </c>
      <c r="I146" s="128" t="str">
        <f>INDEX(二三级标准!$M:$M,MATCH(数统二级标签!$H146,二三级标准!$L:$L,0))</f>
        <v>方案偏离最终合并表核查</v>
      </c>
      <c r="J146" s="128" t="s">
        <v>2904</v>
      </c>
      <c r="K146" s="128" t="s">
        <v>631</v>
      </c>
      <c r="L146" s="162">
        <v>6</v>
      </c>
      <c r="M146" s="156">
        <v>6</v>
      </c>
      <c r="N146" s="156">
        <v>6</v>
      </c>
      <c r="O146" s="156">
        <v>6</v>
      </c>
      <c r="P146" s="156">
        <v>4.5</v>
      </c>
      <c r="Q146" s="156">
        <v>6</v>
      </c>
      <c r="R146" s="156">
        <v>6</v>
      </c>
      <c r="S146" s="156">
        <v>6</v>
      </c>
      <c r="T146" s="156">
        <v>6</v>
      </c>
    </row>
    <row r="147" ht="27" customHeight="1" spans="1:20">
      <c r="A147" s="154" t="str">
        <f>INDEX('Rate Card'!$A:$A,MATCH(数统二级标签!$K147,'Rate Card'!$F:$F,0))</f>
        <v>数统</v>
      </c>
      <c r="B147" s="154" t="str">
        <f t="shared" ref="B147:B213" si="18">F147&amp;K147</f>
        <v>A097ST</v>
      </c>
      <c r="C147" s="154" t="str">
        <f t="shared" ref="C147:C213" si="19">H147&amp;K147</f>
        <v>T0279ST</v>
      </c>
      <c r="D147" s="128" t="s">
        <v>923</v>
      </c>
      <c r="E147" s="128" t="str">
        <f>INDEX(二三级标准!$Q:$Q,MATCH(数统二级标签!D147,二三级标准!$O:$O,0))</f>
        <v>数据管理</v>
      </c>
      <c r="F147" s="128" t="s">
        <v>299</v>
      </c>
      <c r="G147" s="128" t="str">
        <f>INDEX(二三级标准!C:C,MATCH(数统二级标签!F147,二三级标准!$B:$B,0))</f>
        <v>审核方案偏离数据</v>
      </c>
      <c r="H147" s="128" t="s">
        <v>2986</v>
      </c>
      <c r="I147" s="128" t="str">
        <f>INDEX(二三级标准!$M:$M,MATCH(数统二级标签!$H147,二三级标准!$L:$L,0))</f>
        <v>方案偏离最终合并表核查</v>
      </c>
      <c r="K147" s="128" t="s">
        <v>639</v>
      </c>
      <c r="L147" s="156">
        <v>0</v>
      </c>
      <c r="M147" s="156">
        <v>2</v>
      </c>
      <c r="N147" s="156">
        <v>3</v>
      </c>
      <c r="O147" s="156">
        <v>1.5</v>
      </c>
      <c r="P147" s="156">
        <v>3</v>
      </c>
      <c r="Q147" s="156">
        <v>3</v>
      </c>
      <c r="R147" s="156">
        <v>3</v>
      </c>
      <c r="S147" s="156">
        <v>3</v>
      </c>
      <c r="T147" s="156">
        <v>3</v>
      </c>
    </row>
    <row r="148" ht="27" customHeight="1" spans="1:20">
      <c r="A148" s="154" t="str">
        <f>INDEX('Rate Card'!$A:$A,MATCH(数统二级标签!$K148,'Rate Card'!$F:$F,0))</f>
        <v>数统</v>
      </c>
      <c r="B148" s="154" t="str">
        <f t="shared" ref="B148" si="20">F148&amp;K148</f>
        <v>A097DM</v>
      </c>
      <c r="C148" s="154" t="str">
        <f t="shared" ref="C148" si="21">H148&amp;K148</f>
        <v>T0619DM</v>
      </c>
      <c r="D148" s="128" t="s">
        <v>923</v>
      </c>
      <c r="E148" s="128" t="str">
        <f>INDEX(二三级标准!$Q:$Q,MATCH(数统二级标签!D148,二三级标准!$O:$O,0))</f>
        <v>数据管理</v>
      </c>
      <c r="F148" s="128" t="s">
        <v>299</v>
      </c>
      <c r="G148" s="128" t="str">
        <f>INDEX(二三级标准!C:C,MATCH(数统二级标签!F148,二三级标准!$B:$B,0))</f>
        <v>审核方案偏离数据</v>
      </c>
      <c r="H148" s="128" t="s">
        <v>2987</v>
      </c>
      <c r="I148" s="128" t="str">
        <f>INDEX(二三级标准!$M:$M,MATCH(数统二级标签!$H148,二三级标准!$L:$L,0))</f>
        <v>方案偏离一致性核查（人工审核）</v>
      </c>
      <c r="J148" s="128" t="s">
        <v>2902</v>
      </c>
      <c r="K148" s="128" t="s">
        <v>631</v>
      </c>
      <c r="L148" s="156">
        <v>12</v>
      </c>
      <c r="M148" s="156">
        <v>12</v>
      </c>
      <c r="N148" s="156">
        <v>3</v>
      </c>
      <c r="O148" s="156">
        <v>1.5</v>
      </c>
      <c r="P148" s="156">
        <v>3</v>
      </c>
      <c r="Q148" s="156">
        <v>3</v>
      </c>
      <c r="R148" s="156">
        <v>3</v>
      </c>
      <c r="S148" s="156">
        <v>3</v>
      </c>
      <c r="T148" s="156">
        <v>3</v>
      </c>
    </row>
    <row r="149" ht="27" customHeight="1" spans="1:20">
      <c r="A149" s="154" t="str">
        <f>INDEX('Rate Card'!$A:$A,MATCH(数统二级标签!$K149,'Rate Card'!$F:$F,0))</f>
        <v>数统</v>
      </c>
      <c r="B149" s="154" t="str">
        <f t="shared" si="18"/>
        <v>A098DM</v>
      </c>
      <c r="C149" s="154" t="str">
        <f t="shared" si="19"/>
        <v>T0280DM</v>
      </c>
      <c r="D149" s="128" t="s">
        <v>923</v>
      </c>
      <c r="E149" s="128" t="str">
        <f>INDEX(二三级标准!$Q:$Q,MATCH(数统二级标签!D149,二三级标准!$O:$O,0))</f>
        <v>数据管理</v>
      </c>
      <c r="F149" s="128" t="s">
        <v>301</v>
      </c>
      <c r="G149" s="128" t="str">
        <f>INDEX(二三级标准!C:C,MATCH(数统二级标签!F149,二三级标准!$B:$B,0))</f>
        <v>实施日常数据库维护</v>
      </c>
      <c r="H149" s="128" t="s">
        <v>2988</v>
      </c>
      <c r="I149" s="128" t="str">
        <f>INDEX(二三级标准!$M:$M,MATCH(数统二级标签!$H149,二三级标准!$L:$L,0))</f>
        <v>EDC实验室范围值录入和管理</v>
      </c>
      <c r="J149" s="128" t="s">
        <v>2904</v>
      </c>
      <c r="K149" s="128" t="s">
        <v>631</v>
      </c>
      <c r="L149" s="156">
        <v>1</v>
      </c>
      <c r="M149" s="156">
        <v>1</v>
      </c>
      <c r="N149" s="156">
        <v>1</v>
      </c>
      <c r="O149" s="156">
        <v>1</v>
      </c>
      <c r="P149" s="156">
        <v>1</v>
      </c>
      <c r="Q149" s="156">
        <v>1</v>
      </c>
      <c r="R149" s="156">
        <v>1</v>
      </c>
      <c r="S149" s="156">
        <v>1</v>
      </c>
      <c r="T149" s="156">
        <v>1</v>
      </c>
    </row>
    <row r="150" ht="27" customHeight="1" spans="1:20">
      <c r="A150" s="154" t="str">
        <f>INDEX('Rate Card'!$A:$A,MATCH(数统二级标签!$K150,'Rate Card'!$F:$F,0))</f>
        <v>数统</v>
      </c>
      <c r="B150" s="154" t="str">
        <f t="shared" si="18"/>
        <v>A098DBP</v>
      </c>
      <c r="C150" s="154" t="str">
        <f t="shared" si="19"/>
        <v>T0281DBP</v>
      </c>
      <c r="D150" s="128" t="s">
        <v>923</v>
      </c>
      <c r="E150" s="128" t="str">
        <f>INDEX(二三级标准!$Q:$Q,MATCH(数统二级标签!D150,二三级标准!$O:$O,0))</f>
        <v>数据管理</v>
      </c>
      <c r="F150" s="128" t="s">
        <v>301</v>
      </c>
      <c r="G150" s="128" t="str">
        <f>INDEX(二三级标准!C:C,MATCH(数统二级标签!F150,二三级标准!$B:$B,0))</f>
        <v>实施日常数据库维护</v>
      </c>
      <c r="H150" s="128" t="s">
        <v>2989</v>
      </c>
      <c r="I150" s="128" t="str">
        <f>INDEX(二三级标准!$M:$M,MATCH(数统二级标签!$H150,二三级标准!$L:$L,0))</f>
        <v>EDC运维和账号管理</v>
      </c>
      <c r="K150" s="128" t="s">
        <v>629</v>
      </c>
      <c r="L150" s="156">
        <v>0.05</v>
      </c>
      <c r="M150" s="156">
        <v>0.05</v>
      </c>
      <c r="N150" s="156">
        <v>0.1</v>
      </c>
      <c r="O150" s="156">
        <v>0.1</v>
      </c>
      <c r="P150" s="156">
        <v>0.1</v>
      </c>
      <c r="Q150" s="156">
        <v>0.1</v>
      </c>
      <c r="R150" s="156">
        <v>0.1</v>
      </c>
      <c r="S150" s="156">
        <v>0.1</v>
      </c>
      <c r="T150" s="156">
        <v>0.1</v>
      </c>
    </row>
    <row r="151" ht="27" customHeight="1" spans="1:20">
      <c r="A151" s="154" t="str">
        <f>INDEX('Rate Card'!$A:$A,MATCH(数统二级标签!$K151,'Rate Card'!$F:$F,0))</f>
        <v>数统</v>
      </c>
      <c r="B151" s="154" t="str">
        <f t="shared" si="18"/>
        <v>A098DBP</v>
      </c>
      <c r="C151" s="154" t="str">
        <f t="shared" si="19"/>
        <v>T0282DBP</v>
      </c>
      <c r="D151" s="128" t="s">
        <v>923</v>
      </c>
      <c r="E151" s="128" t="str">
        <f>INDEX(二三级标准!$Q:$Q,MATCH(数统二级标签!D151,二三级标准!$O:$O,0))</f>
        <v>数据管理</v>
      </c>
      <c r="F151" s="128" t="s">
        <v>301</v>
      </c>
      <c r="G151" s="128" t="str">
        <f>INDEX(二三级标准!C:C,MATCH(数统二级标签!F151,二三级标准!$B:$B,0))</f>
        <v>实施日常数据库维护</v>
      </c>
      <c r="H151" s="128" t="s">
        <v>2990</v>
      </c>
      <c r="I151" s="128" t="str">
        <f>INDEX(二三级标准!$M:$M,MATCH(数统二级标签!$H151,二三级标准!$L:$L,0))</f>
        <v>EDC模块运维和账号管理</v>
      </c>
      <c r="K151" s="128" t="s">
        <v>629</v>
      </c>
      <c r="L151" s="156">
        <v>0.05</v>
      </c>
      <c r="M151" s="156">
        <v>0.05</v>
      </c>
      <c r="N151" s="156">
        <v>0.1</v>
      </c>
      <c r="O151" s="156">
        <v>0.1</v>
      </c>
      <c r="P151" s="156">
        <v>0.1</v>
      </c>
      <c r="Q151" s="156">
        <v>0.1</v>
      </c>
      <c r="R151" s="156">
        <v>0.1</v>
      </c>
      <c r="S151" s="156">
        <v>0.1</v>
      </c>
      <c r="T151" s="156">
        <v>0.1</v>
      </c>
    </row>
    <row r="152" ht="27" customHeight="1" spans="1:20">
      <c r="A152" s="154" t="str">
        <f>INDEX('Rate Card'!$A:$A,MATCH(数统二级标签!$K152,'Rate Card'!$F:$F,0))</f>
        <v>数统</v>
      </c>
      <c r="B152" s="154" t="str">
        <f t="shared" si="18"/>
        <v>A098DBP</v>
      </c>
      <c r="C152" s="154" t="str">
        <f t="shared" si="19"/>
        <v>T0283DBP</v>
      </c>
      <c r="D152" s="128" t="s">
        <v>923</v>
      </c>
      <c r="E152" s="128" t="str">
        <f>INDEX(二三级标准!$Q:$Q,MATCH(数统二级标签!D152,二三级标准!$O:$O,0))</f>
        <v>数据管理</v>
      </c>
      <c r="F152" s="128" t="s">
        <v>301</v>
      </c>
      <c r="G152" s="128" t="str">
        <f>INDEX(二三级标准!C:C,MATCH(数统二级标签!F152,二三级标准!$B:$B,0))</f>
        <v>实施日常数据库维护</v>
      </c>
      <c r="H152" s="128" t="s">
        <v>2991</v>
      </c>
      <c r="I152" s="128" t="str">
        <f>INDEX(二三级标准!$M:$M,MATCH(数统二级标签!$H152,二三级标准!$L:$L,0))</f>
        <v>RTSM系统运维和账号管理</v>
      </c>
      <c r="J152" s="128" t="s">
        <v>2904</v>
      </c>
      <c r="K152" s="128" t="s">
        <v>629</v>
      </c>
      <c r="L152" s="156">
        <v>2</v>
      </c>
      <c r="M152" s="156">
        <v>2</v>
      </c>
      <c r="N152" s="156">
        <v>0.1</v>
      </c>
      <c r="O152" s="156">
        <v>0.1</v>
      </c>
      <c r="P152" s="156">
        <v>0.1</v>
      </c>
      <c r="Q152" s="156">
        <v>0.1</v>
      </c>
      <c r="R152" s="156">
        <v>0.1</v>
      </c>
      <c r="S152" s="156">
        <v>0.1</v>
      </c>
      <c r="T152" s="156">
        <v>0.1</v>
      </c>
    </row>
    <row r="153" ht="27" customHeight="1" spans="1:20">
      <c r="A153" s="154" t="str">
        <f>INDEX('Rate Card'!$A:$A,MATCH(数统二级标签!$K153,'Rate Card'!$F:$F,0))</f>
        <v>数统</v>
      </c>
      <c r="B153" s="154" t="str">
        <f t="shared" si="18"/>
        <v>A099LDM</v>
      </c>
      <c r="C153" s="154" t="str">
        <f t="shared" si="19"/>
        <v>T0284LDM</v>
      </c>
      <c r="D153" s="128" t="s">
        <v>923</v>
      </c>
      <c r="E153" s="128" t="str">
        <f>INDEX(二三级标准!$Q:$Q,MATCH(数统二级标签!D153,二三级标准!$O:$O,0))</f>
        <v>数据管理</v>
      </c>
      <c r="F153" s="128" t="s">
        <v>303</v>
      </c>
      <c r="G153" s="128" t="str">
        <f>INDEX(二三级标准!C:C,MATCH(数统二级标签!F153,二三级标准!$B:$B,0))</f>
        <v>召开数据审核会</v>
      </c>
      <c r="H153" s="128" t="s">
        <v>1439</v>
      </c>
      <c r="I153" s="128" t="str">
        <f>INDEX(二三级标准!$M:$M,MATCH(数统二级标签!$H153,二三级标准!$L:$L,0))</f>
        <v>准备数据审核会</v>
      </c>
      <c r="K153" s="128" t="s">
        <v>633</v>
      </c>
      <c r="L153" s="156">
        <v>4</v>
      </c>
      <c r="M153" s="156">
        <v>4</v>
      </c>
      <c r="N153" s="156">
        <v>4.5</v>
      </c>
      <c r="O153" s="156">
        <v>4.5</v>
      </c>
      <c r="P153" s="156">
        <v>5.625</v>
      </c>
      <c r="Q153" s="156">
        <v>15</v>
      </c>
      <c r="R153" s="156">
        <v>4.5</v>
      </c>
      <c r="S153" s="156">
        <v>4.5</v>
      </c>
      <c r="T153" s="156">
        <v>4.5</v>
      </c>
    </row>
    <row r="154" ht="27" customHeight="1" spans="1:20">
      <c r="A154" s="154" t="str">
        <f>INDEX('Rate Card'!$A:$A,MATCH(数统二级标签!$K154,'Rate Card'!$F:$F,0))</f>
        <v>数统</v>
      </c>
      <c r="B154" s="154" t="str">
        <f t="shared" si="18"/>
        <v>A099ST</v>
      </c>
      <c r="C154" s="154" t="str">
        <f t="shared" si="19"/>
        <v>T0284ST</v>
      </c>
      <c r="D154" s="128" t="s">
        <v>923</v>
      </c>
      <c r="E154" s="128" t="str">
        <f>INDEX(二三级标准!$Q:$Q,MATCH(数统二级标签!D154,二三级标准!$O:$O,0))</f>
        <v>数据管理</v>
      </c>
      <c r="F154" s="128" t="s">
        <v>303</v>
      </c>
      <c r="G154" s="128" t="str">
        <f>INDEX(二三级标准!C:C,MATCH(数统二级标签!F154,二三级标准!$B:$B,0))</f>
        <v>召开数据审核会</v>
      </c>
      <c r="H154" s="128" t="s">
        <v>1439</v>
      </c>
      <c r="I154" s="128" t="str">
        <f>INDEX(二三级标准!$M:$M,MATCH(数统二级标签!$H154,二三级标准!$L:$L,0))</f>
        <v>准备数据审核会</v>
      </c>
      <c r="K154" s="128" t="s">
        <v>639</v>
      </c>
      <c r="L154" s="156">
        <v>4</v>
      </c>
      <c r="M154" s="156">
        <v>4</v>
      </c>
      <c r="N154" s="156">
        <v>3</v>
      </c>
      <c r="O154" s="156">
        <v>3</v>
      </c>
      <c r="P154" s="156">
        <v>4.5</v>
      </c>
      <c r="Q154" s="156">
        <v>6</v>
      </c>
      <c r="R154" s="156">
        <v>3</v>
      </c>
      <c r="S154" s="156">
        <v>3</v>
      </c>
      <c r="T154" s="156">
        <v>3</v>
      </c>
    </row>
    <row r="155" ht="27" customHeight="1" spans="1:20">
      <c r="A155" s="154" t="str">
        <f>INDEX('Rate Card'!$A:$A,MATCH(数统二级标签!$K155,'Rate Card'!$F:$F,0))</f>
        <v>数统</v>
      </c>
      <c r="B155" s="154" t="str">
        <f t="shared" si="18"/>
        <v>A099SA</v>
      </c>
      <c r="C155" s="154" t="str">
        <f t="shared" si="19"/>
        <v>T0285SA</v>
      </c>
      <c r="D155" s="128" t="s">
        <v>923</v>
      </c>
      <c r="E155" s="128" t="str">
        <f>INDEX(二三级标准!$Q:$Q,MATCH(数统二级标签!D155,二三级标准!$O:$O,0))</f>
        <v>数据管理</v>
      </c>
      <c r="F155" s="128" t="s">
        <v>303</v>
      </c>
      <c r="G155" s="128" t="str">
        <f>INDEX(二三级标准!C:C,MATCH(数统二级标签!F155,二三级标准!$B:$B,0))</f>
        <v>召开数据审核会</v>
      </c>
      <c r="H155" s="128" t="s">
        <v>2992</v>
      </c>
      <c r="I155" s="128" t="str">
        <f>INDEX(二三级标准!$M:$M,MATCH(数统二级标签!$H155,二三级标准!$L:$L,0))</f>
        <v>产生统计TFLs</v>
      </c>
      <c r="K155" s="128" t="s">
        <v>635</v>
      </c>
      <c r="L155" s="156">
        <v>1</v>
      </c>
      <c r="M155" s="156">
        <v>1</v>
      </c>
      <c r="N155" s="156">
        <v>1.5</v>
      </c>
      <c r="O155" s="156">
        <v>0.75</v>
      </c>
      <c r="P155" s="156">
        <v>1.5</v>
      </c>
      <c r="Q155" s="156">
        <v>1.5</v>
      </c>
      <c r="R155" s="156">
        <v>1.5</v>
      </c>
      <c r="S155" s="156">
        <v>1.5</v>
      </c>
      <c r="T155" s="156">
        <v>1.5</v>
      </c>
    </row>
    <row r="156" ht="27" customHeight="1" spans="1:20">
      <c r="A156" s="154" t="str">
        <f>INDEX('Rate Card'!$A:$A,MATCH(数统二级标签!$K156,'Rate Card'!$F:$F,0))</f>
        <v>数统</v>
      </c>
      <c r="B156" s="154" t="str">
        <f t="shared" si="18"/>
        <v>A099SA</v>
      </c>
      <c r="C156" s="154" t="str">
        <f t="shared" si="19"/>
        <v>T0286SA</v>
      </c>
      <c r="D156" s="128" t="s">
        <v>923</v>
      </c>
      <c r="E156" s="128" t="str">
        <f>INDEX(二三级标准!$Q:$Q,MATCH(数统二级标签!D156,二三级标准!$O:$O,0))</f>
        <v>数据管理</v>
      </c>
      <c r="F156" s="128" t="s">
        <v>303</v>
      </c>
      <c r="G156" s="128" t="str">
        <f>INDEX(二三级标准!C:C,MATCH(数统二级标签!F156,二三级标准!$B:$B,0))</f>
        <v>召开数据审核会</v>
      </c>
      <c r="H156" s="128" t="s">
        <v>2993</v>
      </c>
      <c r="I156" s="128" t="str">
        <f>INDEX(二三级标准!$M:$M,MATCH(数统二级标签!$H156,二三级标准!$L:$L,0))</f>
        <v>验证统计TFLs</v>
      </c>
      <c r="K156" s="128" t="s">
        <v>635</v>
      </c>
      <c r="L156" s="156">
        <v>1</v>
      </c>
      <c r="M156" s="156">
        <v>1</v>
      </c>
      <c r="N156" s="156">
        <v>1.5</v>
      </c>
      <c r="O156" s="156">
        <v>0.75</v>
      </c>
      <c r="P156" s="156">
        <v>1.5</v>
      </c>
      <c r="Q156" s="156">
        <v>1.5</v>
      </c>
      <c r="R156" s="156">
        <v>1.5</v>
      </c>
      <c r="S156" s="156">
        <v>1.5</v>
      </c>
      <c r="T156" s="156">
        <v>1.5</v>
      </c>
    </row>
    <row r="157" ht="27" customHeight="1" spans="1:20">
      <c r="A157" s="154" t="str">
        <f>INDEX('Rate Card'!$A:$A,MATCH(数统二级标签!$K157,'Rate Card'!$F:$F,0))</f>
        <v>数统</v>
      </c>
      <c r="B157" s="154" t="str">
        <f t="shared" si="18"/>
        <v>A099LDM</v>
      </c>
      <c r="C157" s="154" t="str">
        <f t="shared" si="19"/>
        <v>T0287LDM</v>
      </c>
      <c r="D157" s="128" t="s">
        <v>923</v>
      </c>
      <c r="E157" s="128" t="str">
        <f>INDEX(二三级标准!$Q:$Q,MATCH(数统二级标签!D157,二三级标准!$O:$O,0))</f>
        <v>数据管理</v>
      </c>
      <c r="F157" s="128" t="s">
        <v>303</v>
      </c>
      <c r="G157" s="128" t="str">
        <f>INDEX(二三级标准!C:C,MATCH(数统二级标签!F157,二三级标准!$B:$B,0))</f>
        <v>召开数据审核会</v>
      </c>
      <c r="H157" s="128" t="s">
        <v>1441</v>
      </c>
      <c r="I157" s="128" t="str">
        <f>INDEX(二三级标准!$M:$M,MATCH(数统二级标签!$H157,二三级标准!$L:$L,0))</f>
        <v>参加数据审核会</v>
      </c>
      <c r="K157" s="128" t="s">
        <v>633</v>
      </c>
      <c r="L157" s="156">
        <v>2</v>
      </c>
      <c r="M157" s="156">
        <v>2</v>
      </c>
      <c r="N157" s="156">
        <v>2</v>
      </c>
      <c r="O157" s="156">
        <v>2</v>
      </c>
      <c r="P157" s="156">
        <v>2.25</v>
      </c>
      <c r="Q157" s="156">
        <v>3</v>
      </c>
      <c r="R157" s="156">
        <v>3</v>
      </c>
      <c r="S157" s="156">
        <v>2</v>
      </c>
      <c r="T157" s="156">
        <v>2</v>
      </c>
    </row>
    <row r="158" ht="27" customHeight="1" spans="1:20">
      <c r="A158" s="154" t="str">
        <f>INDEX('Rate Card'!$A:$A,MATCH(数统二级标签!$K158,'Rate Card'!$F:$F,0))</f>
        <v>数统</v>
      </c>
      <c r="B158" s="154" t="str">
        <f t="shared" si="18"/>
        <v>A099ST</v>
      </c>
      <c r="C158" s="154" t="str">
        <f t="shared" si="19"/>
        <v>T0287ST</v>
      </c>
      <c r="D158" s="128" t="s">
        <v>923</v>
      </c>
      <c r="E158" s="128" t="str">
        <f>INDEX(二三级标准!$Q:$Q,MATCH(数统二级标签!D158,二三级标准!$O:$O,0))</f>
        <v>数据管理</v>
      </c>
      <c r="F158" s="128" t="s">
        <v>303</v>
      </c>
      <c r="G158" s="128" t="str">
        <f>INDEX(二三级标准!C:C,MATCH(数统二级标签!F158,二三级标准!$B:$B,0))</f>
        <v>召开数据审核会</v>
      </c>
      <c r="H158" s="128" t="s">
        <v>1441</v>
      </c>
      <c r="I158" s="128" t="str">
        <f>INDEX(二三级标准!$M:$M,MATCH(数统二级标签!$H158,二三级标准!$L:$L,0))</f>
        <v>参加数据审核会</v>
      </c>
      <c r="K158" s="128" t="s">
        <v>639</v>
      </c>
      <c r="L158" s="156">
        <v>2</v>
      </c>
      <c r="M158" s="156">
        <v>1</v>
      </c>
      <c r="N158" s="156">
        <v>2</v>
      </c>
      <c r="O158" s="156">
        <v>1.5</v>
      </c>
      <c r="P158" s="156">
        <v>3</v>
      </c>
      <c r="Q158" s="156">
        <v>3</v>
      </c>
      <c r="R158" s="156">
        <v>1.5</v>
      </c>
      <c r="S158" s="156">
        <v>2</v>
      </c>
      <c r="T158" s="156">
        <v>2</v>
      </c>
    </row>
    <row r="159" ht="27" customHeight="1" spans="1:20">
      <c r="A159" s="154" t="str">
        <f>INDEX('Rate Card'!$A:$A,MATCH(数统二级标签!$K159,'Rate Card'!$F:$F,0))</f>
        <v>数统</v>
      </c>
      <c r="B159" s="154" t="str">
        <f t="shared" si="18"/>
        <v>A099SA</v>
      </c>
      <c r="C159" s="154" t="str">
        <f t="shared" si="19"/>
        <v>T0287SA</v>
      </c>
      <c r="D159" s="128" t="s">
        <v>923</v>
      </c>
      <c r="E159" s="128" t="str">
        <f>INDEX(二三级标准!$Q:$Q,MATCH(数统二级标签!D159,二三级标准!$O:$O,0))</f>
        <v>数据管理</v>
      </c>
      <c r="F159" s="128" t="s">
        <v>303</v>
      </c>
      <c r="G159" s="128" t="str">
        <f>INDEX(二三级标准!C:C,MATCH(数统二级标签!F159,二三级标准!$B:$B,0))</f>
        <v>召开数据审核会</v>
      </c>
      <c r="H159" s="128" t="s">
        <v>1441</v>
      </c>
      <c r="I159" s="128" t="str">
        <f>INDEX(二三级标准!$M:$M,MATCH(数统二级标签!$H159,二三级标准!$L:$L,0))</f>
        <v>参加数据审核会</v>
      </c>
      <c r="K159" s="128" t="s">
        <v>635</v>
      </c>
      <c r="L159" s="156">
        <v>1</v>
      </c>
      <c r="M159" s="156">
        <v>1</v>
      </c>
      <c r="N159" s="156">
        <v>2</v>
      </c>
      <c r="O159" s="156">
        <v>2</v>
      </c>
      <c r="P159" s="156">
        <v>3</v>
      </c>
      <c r="Q159" s="156">
        <v>3</v>
      </c>
      <c r="R159" s="156">
        <v>3</v>
      </c>
      <c r="S159" s="156">
        <v>2</v>
      </c>
      <c r="T159" s="156">
        <v>2</v>
      </c>
    </row>
    <row r="160" ht="27" customHeight="1" spans="1:20">
      <c r="A160" s="154" t="str">
        <f>INDEX('Rate Card'!$A:$A,MATCH(数统二级标签!$K160,'Rate Card'!$F:$F,0))</f>
        <v>数统</v>
      </c>
      <c r="B160" s="154" t="str">
        <f t="shared" si="18"/>
        <v>A099LDM</v>
      </c>
      <c r="C160" s="154" t="str">
        <f t="shared" si="19"/>
        <v>T0288LDM</v>
      </c>
      <c r="D160" s="128" t="s">
        <v>923</v>
      </c>
      <c r="E160" s="128" t="str">
        <f>INDEX(二三级标准!$Q:$Q,MATCH(数统二级标签!D160,二三级标准!$O:$O,0))</f>
        <v>数据管理</v>
      </c>
      <c r="F160" s="128" t="s">
        <v>303</v>
      </c>
      <c r="G160" s="128" t="str">
        <f>INDEX(二三级标准!C:C,MATCH(数统二级标签!F160,二三级标准!$B:$B,0))</f>
        <v>召开数据审核会</v>
      </c>
      <c r="H160" s="128" t="s">
        <v>1442</v>
      </c>
      <c r="I160" s="128" t="str">
        <f>INDEX(二三级标准!$M:$M,MATCH(数统二级标签!$H160,二三级标准!$L:$L,0))</f>
        <v>数据审核会后跟进</v>
      </c>
      <c r="K160" s="128" t="s">
        <v>633</v>
      </c>
      <c r="L160" s="156">
        <v>4</v>
      </c>
      <c r="M160" s="156">
        <v>4</v>
      </c>
      <c r="N160" s="156">
        <v>6</v>
      </c>
      <c r="O160" s="156">
        <v>6</v>
      </c>
      <c r="P160" s="156">
        <v>6.75</v>
      </c>
      <c r="Q160" s="156">
        <v>18</v>
      </c>
      <c r="R160" s="156">
        <v>6</v>
      </c>
      <c r="S160" s="156">
        <v>6</v>
      </c>
      <c r="T160" s="156">
        <v>6</v>
      </c>
    </row>
    <row r="161" ht="27" customHeight="1" spans="1:20">
      <c r="A161" s="154" t="str">
        <f>INDEX('Rate Card'!$A:$A,MATCH(数统二级标签!$K161,'Rate Card'!$F:$F,0))</f>
        <v>数统</v>
      </c>
      <c r="B161" s="154" t="str">
        <f t="shared" si="18"/>
        <v>A099ST</v>
      </c>
      <c r="C161" s="154" t="str">
        <f t="shared" si="19"/>
        <v>T0288ST</v>
      </c>
      <c r="D161" s="128" t="s">
        <v>923</v>
      </c>
      <c r="E161" s="128" t="str">
        <f>INDEX(二三级标准!$Q:$Q,MATCH(数统二级标签!D161,二三级标准!$O:$O,0))</f>
        <v>数据管理</v>
      </c>
      <c r="F161" s="128" t="s">
        <v>303</v>
      </c>
      <c r="G161" s="128" t="str">
        <f>INDEX(二三级标准!C:C,MATCH(数统二级标签!F161,二三级标准!$B:$B,0))</f>
        <v>召开数据审核会</v>
      </c>
      <c r="H161" s="128" t="s">
        <v>1442</v>
      </c>
      <c r="I161" s="128" t="str">
        <f>INDEX(二三级标准!$M:$M,MATCH(数统二级标签!$H161,二三级标准!$L:$L,0))</f>
        <v>数据审核会后跟进</v>
      </c>
      <c r="K161" s="128" t="s">
        <v>639</v>
      </c>
      <c r="L161" s="156">
        <v>2</v>
      </c>
      <c r="M161" s="156">
        <v>1</v>
      </c>
      <c r="N161" s="156">
        <v>1.5</v>
      </c>
      <c r="O161" s="156">
        <v>1.5</v>
      </c>
      <c r="P161" s="156">
        <v>1.5</v>
      </c>
      <c r="Q161" s="156">
        <v>1.5</v>
      </c>
      <c r="R161" s="156">
        <v>1.5</v>
      </c>
      <c r="S161" s="156">
        <v>1.5</v>
      </c>
      <c r="T161" s="156">
        <v>1.5</v>
      </c>
    </row>
    <row r="162" ht="27" customHeight="1" spans="1:20">
      <c r="A162" s="154" t="str">
        <f>INDEX('Rate Card'!$A:$A,MATCH(数统二级标签!$K162,'Rate Card'!$F:$F,0))</f>
        <v>数统</v>
      </c>
      <c r="B162" s="154" t="str">
        <f t="shared" ref="B162:B163" si="22">F162&amp;K162</f>
        <v>A100DM</v>
      </c>
      <c r="C162" s="154" t="str">
        <f t="shared" ref="C162:C163" si="23">H162&amp;K162</f>
        <v>T0620DM</v>
      </c>
      <c r="D162" s="128" t="s">
        <v>923</v>
      </c>
      <c r="E162" s="128" t="str">
        <f>INDEX(二三级标准!$Q:$Q,MATCH(数统二级标签!D162,二三级标准!$O:$O,0))</f>
        <v>数据管理</v>
      </c>
      <c r="F162" s="128" t="s">
        <v>305</v>
      </c>
      <c r="G162" s="128" t="str">
        <f>INDEX(二三级标准!C:C,MATCH(数统二级标签!F162,二三级标准!$B:$B,0))</f>
        <v>数据库锁定</v>
      </c>
      <c r="H162" s="128" t="s">
        <v>1443</v>
      </c>
      <c r="I162" s="128" t="str">
        <f>INDEX(二三级标准!$M:$M,MATCH(数统二级标签!$H162,二三级标准!$L:$L,0))</f>
        <v>数据库锁定清理准备</v>
      </c>
      <c r="J162" s="128" t="s">
        <v>2902</v>
      </c>
      <c r="K162" s="128" t="s">
        <v>631</v>
      </c>
      <c r="L162" s="156">
        <v>8</v>
      </c>
      <c r="M162" s="156">
        <v>8</v>
      </c>
      <c r="N162" s="156">
        <v>0.75</v>
      </c>
      <c r="O162" s="156">
        <v>0.75</v>
      </c>
      <c r="P162" s="156">
        <v>0.5625</v>
      </c>
      <c r="Q162" s="156">
        <v>0.75</v>
      </c>
      <c r="R162" s="156">
        <v>0.75</v>
      </c>
      <c r="S162" s="156">
        <v>0.75</v>
      </c>
      <c r="T162" s="156">
        <v>0.75</v>
      </c>
    </row>
    <row r="163" ht="27" customHeight="1" spans="1:20">
      <c r="A163" s="154" t="str">
        <f>INDEX('Rate Card'!$A:$A,MATCH(数统二级标签!$K163,'Rate Card'!$F:$F,0))</f>
        <v>数统</v>
      </c>
      <c r="B163" s="154" t="str">
        <f t="shared" si="22"/>
        <v>A100LDM</v>
      </c>
      <c r="C163" s="154" t="str">
        <f t="shared" si="23"/>
        <v>T0620LDM</v>
      </c>
      <c r="D163" s="128" t="s">
        <v>923</v>
      </c>
      <c r="E163" s="128" t="str">
        <f>INDEX(二三级标准!$Q:$Q,MATCH(数统二级标签!D163,二三级标准!$O:$O,0))</f>
        <v>数据管理</v>
      </c>
      <c r="F163" s="128" t="s">
        <v>305</v>
      </c>
      <c r="G163" s="128" t="str">
        <f>INDEX(二三级标准!C:C,MATCH(数统二级标签!F163,二三级标准!$B:$B,0))</f>
        <v>数据库锁定</v>
      </c>
      <c r="H163" s="128" t="s">
        <v>1443</v>
      </c>
      <c r="I163" s="128" t="str">
        <f>INDEX(二三级标准!$M:$M,MATCH(数统二级标签!$H163,二三级标准!$L:$L,0))</f>
        <v>数据库锁定清理准备</v>
      </c>
      <c r="J163" s="128" t="s">
        <v>2902</v>
      </c>
      <c r="K163" s="128" t="s">
        <v>633</v>
      </c>
      <c r="L163" s="156">
        <v>4</v>
      </c>
      <c r="M163" s="156">
        <v>4</v>
      </c>
      <c r="N163" s="156">
        <v>0.75</v>
      </c>
      <c r="O163" s="156">
        <v>0.75</v>
      </c>
      <c r="P163" s="156">
        <v>0.5625</v>
      </c>
      <c r="Q163" s="156">
        <v>0.75</v>
      </c>
      <c r="R163" s="156">
        <v>0.75</v>
      </c>
      <c r="S163" s="156">
        <v>0.75</v>
      </c>
      <c r="T163" s="156">
        <v>0.75</v>
      </c>
    </row>
    <row r="164" ht="27" customHeight="1" spans="1:20">
      <c r="A164" s="154" t="str">
        <f>INDEX('Rate Card'!$A:$A,MATCH(数统二级标签!$K164,'Rate Card'!$F:$F,0))</f>
        <v>数统</v>
      </c>
      <c r="B164" s="154" t="str">
        <f t="shared" si="18"/>
        <v>A100DBP</v>
      </c>
      <c r="C164" s="154" t="str">
        <f t="shared" si="19"/>
        <v>T0289DBP</v>
      </c>
      <c r="D164" s="128" t="s">
        <v>923</v>
      </c>
      <c r="E164" s="128" t="str">
        <f>INDEX(二三级标准!$Q:$Q,MATCH(数统二级标签!D164,二三级标准!$O:$O,0))</f>
        <v>数据管理</v>
      </c>
      <c r="F164" s="128" t="s">
        <v>305</v>
      </c>
      <c r="G164" s="128" t="str">
        <f>INDEX(二三级标准!C:C,MATCH(数统二级标签!F164,二三级标准!$B:$B,0))</f>
        <v>数据库锁定</v>
      </c>
      <c r="H164" s="128" t="s">
        <v>2994</v>
      </c>
      <c r="I164" s="128" t="str">
        <f>INDEX(二三级标准!$M:$M,MATCH(数统二级标签!$H164,二三级标准!$L:$L,0))</f>
        <v>质控数据抽取</v>
      </c>
      <c r="K164" s="128" t="s">
        <v>629</v>
      </c>
      <c r="L164" s="156">
        <v>1</v>
      </c>
      <c r="M164" s="156">
        <v>1</v>
      </c>
      <c r="N164" s="156">
        <v>0.75</v>
      </c>
      <c r="O164" s="156">
        <v>0.75</v>
      </c>
      <c r="P164" s="156">
        <v>0.5625</v>
      </c>
      <c r="Q164" s="156">
        <v>0.75</v>
      </c>
      <c r="R164" s="156">
        <v>0.75</v>
      </c>
      <c r="S164" s="156">
        <v>0.75</v>
      </c>
      <c r="T164" s="156">
        <v>0.75</v>
      </c>
    </row>
    <row r="165" ht="27" customHeight="1" spans="1:20">
      <c r="A165" s="154" t="str">
        <f>INDEX('Rate Card'!$A:$A,MATCH(数统二级标签!$K165,'Rate Card'!$F:$F,0))</f>
        <v>数统</v>
      </c>
      <c r="B165" s="154" t="str">
        <f t="shared" si="18"/>
        <v>A100DM</v>
      </c>
      <c r="C165" s="154" t="str">
        <f t="shared" si="19"/>
        <v>T0290DM</v>
      </c>
      <c r="D165" s="128" t="s">
        <v>923</v>
      </c>
      <c r="E165" s="128" t="str">
        <f>INDEX(二三级标准!$Q:$Q,MATCH(数统二级标签!D165,二三级标准!$O:$O,0))</f>
        <v>数据管理</v>
      </c>
      <c r="F165" s="128" t="s">
        <v>305</v>
      </c>
      <c r="G165" s="128" t="str">
        <f>INDEX(二三级标准!C:C,MATCH(数统二级标签!F165,二三级标准!$B:$B,0))</f>
        <v>数据库锁定</v>
      </c>
      <c r="H165" s="128" t="s">
        <v>1444</v>
      </c>
      <c r="I165" s="128" t="str">
        <f>INDEX(二三级标准!$M:$M,MATCH(数统二级标签!$H165,二三级标准!$L:$L,0))</f>
        <v>数据质控核查</v>
      </c>
      <c r="K165" s="128" t="s">
        <v>631</v>
      </c>
      <c r="L165" s="156">
        <v>4</v>
      </c>
      <c r="M165" s="156">
        <v>4</v>
      </c>
      <c r="N165" s="156">
        <v>3</v>
      </c>
      <c r="O165" s="156">
        <v>3</v>
      </c>
      <c r="P165" s="156">
        <v>3.375</v>
      </c>
      <c r="Q165" s="156">
        <v>6</v>
      </c>
      <c r="R165" s="156">
        <v>3</v>
      </c>
      <c r="S165" s="156">
        <v>3</v>
      </c>
      <c r="T165" s="156">
        <v>3</v>
      </c>
    </row>
    <row r="166" ht="27" customHeight="1" spans="1:20">
      <c r="A166" s="154" t="str">
        <f>INDEX('Rate Card'!$A:$A,MATCH(数统二级标签!$K166,'Rate Card'!$F:$F,0))</f>
        <v>数统</v>
      </c>
      <c r="B166" s="154" t="str">
        <f t="shared" si="18"/>
        <v>A100DM</v>
      </c>
      <c r="C166" s="154" t="str">
        <f t="shared" si="19"/>
        <v>T0291DM</v>
      </c>
      <c r="D166" s="128" t="s">
        <v>923</v>
      </c>
      <c r="E166" s="128" t="str">
        <f>INDEX(二三级标准!$Q:$Q,MATCH(数统二级标签!D166,二三级标准!$O:$O,0))</f>
        <v>数据管理</v>
      </c>
      <c r="F166" s="128" t="s">
        <v>305</v>
      </c>
      <c r="G166" s="128" t="str">
        <f>INDEX(二三级标准!C:C,MATCH(数统二级标签!F166,二三级标准!$B:$B,0))</f>
        <v>数据库锁定</v>
      </c>
      <c r="H166" s="128" t="s">
        <v>1445</v>
      </c>
      <c r="I166" s="128" t="str">
        <f>INDEX(二三级标准!$M:$M,MATCH(数统二级标签!$H166,二三级标准!$L:$L,0))</f>
        <v>数据质控报告起草和定稿</v>
      </c>
      <c r="K166" s="128" t="s">
        <v>631</v>
      </c>
      <c r="L166" s="156">
        <v>1</v>
      </c>
      <c r="M166" s="156">
        <v>1</v>
      </c>
      <c r="N166" s="156">
        <v>4.5</v>
      </c>
      <c r="O166" s="156">
        <v>4.5</v>
      </c>
      <c r="P166" s="156">
        <v>3.375</v>
      </c>
      <c r="Q166" s="156">
        <v>4.5</v>
      </c>
      <c r="R166" s="156">
        <v>4.5</v>
      </c>
      <c r="S166" s="156">
        <v>4.5</v>
      </c>
      <c r="T166" s="156">
        <v>4.5</v>
      </c>
    </row>
    <row r="167" ht="27" customHeight="1" spans="1:20">
      <c r="A167" s="154" t="str">
        <f>INDEX('Rate Card'!$A:$A,MATCH(数统二级标签!$K167,'Rate Card'!$F:$F,0))</f>
        <v>数统</v>
      </c>
      <c r="B167" s="154" t="str">
        <f t="shared" si="18"/>
        <v>A100LDM</v>
      </c>
      <c r="C167" s="154" t="str">
        <f t="shared" si="19"/>
        <v>T0292LDM</v>
      </c>
      <c r="D167" s="128" t="s">
        <v>923</v>
      </c>
      <c r="E167" s="128" t="str">
        <f>INDEX(二三级标准!$Q:$Q,MATCH(数统二级标签!D167,二三级标准!$O:$O,0))</f>
        <v>数据管理</v>
      </c>
      <c r="F167" s="128" t="s">
        <v>305</v>
      </c>
      <c r="G167" s="128" t="str">
        <f>INDEX(二三级标准!C:C,MATCH(数统二级标签!F167,二三级标准!$B:$B,0))</f>
        <v>数据库锁定</v>
      </c>
      <c r="H167" s="128" t="s">
        <v>1446</v>
      </c>
      <c r="I167" s="128" t="str">
        <f>INDEX(二三级标准!$M:$M,MATCH(数统二级标签!$H167,二三级标准!$L:$L,0))</f>
        <v>数据质控报告审核</v>
      </c>
      <c r="K167" s="128" t="s">
        <v>633</v>
      </c>
      <c r="L167" s="156">
        <v>0.5</v>
      </c>
      <c r="M167" s="156">
        <v>0.5</v>
      </c>
      <c r="N167" s="156">
        <v>0.75</v>
      </c>
      <c r="O167" s="156">
        <v>0.75</v>
      </c>
      <c r="P167" s="156">
        <v>0.5625</v>
      </c>
      <c r="Q167" s="156">
        <v>1.5</v>
      </c>
      <c r="R167" s="156">
        <v>0.75</v>
      </c>
      <c r="S167" s="156">
        <v>0.75</v>
      </c>
      <c r="T167" s="156">
        <v>0.75</v>
      </c>
    </row>
    <row r="168" ht="27" customHeight="1" spans="1:20">
      <c r="A168" s="154" t="str">
        <f>INDEX('Rate Card'!$A:$A,MATCH(数统二级标签!$K168,'Rate Card'!$F:$F,0))</f>
        <v>数统</v>
      </c>
      <c r="B168" s="154" t="str">
        <f t="shared" si="18"/>
        <v>A100DM</v>
      </c>
      <c r="C168" s="154" t="str">
        <f t="shared" si="19"/>
        <v>T0293DM</v>
      </c>
      <c r="D168" s="128" t="s">
        <v>923</v>
      </c>
      <c r="E168" s="128" t="str">
        <f>INDEX(二三级标准!$Q:$Q,MATCH(数统二级标签!D168,二三级标准!$O:$O,0))</f>
        <v>数据管理</v>
      </c>
      <c r="F168" s="128" t="s">
        <v>305</v>
      </c>
      <c r="G168" s="128" t="str">
        <f>INDEX(二三级标准!C:C,MATCH(数统二级标签!F168,二三级标准!$B:$B,0))</f>
        <v>数据库锁定</v>
      </c>
      <c r="H168" s="128" t="s">
        <v>1447</v>
      </c>
      <c r="I168" s="128" t="str">
        <f>INDEX(二三级标准!$M:$M,MATCH(数统二级标签!$H168,二三级标准!$L:$L,0))</f>
        <v>数据库导出、传输与刻盘</v>
      </c>
      <c r="K168" s="128" t="s">
        <v>631</v>
      </c>
      <c r="L168" s="156">
        <v>4</v>
      </c>
      <c r="M168" s="156">
        <v>4</v>
      </c>
      <c r="N168" s="156">
        <f t="shared" ref="N168:T169" si="24">_xlfn.IFS(启动中心数&lt;=3,1,启动中心数&lt;=10,3,启动中心数&gt;10,5)</f>
        <v>3</v>
      </c>
      <c r="O168" s="156">
        <f t="shared" si="24"/>
        <v>3</v>
      </c>
      <c r="P168" s="156">
        <f t="shared" si="24"/>
        <v>3</v>
      </c>
      <c r="Q168" s="156">
        <f t="shared" si="24"/>
        <v>3</v>
      </c>
      <c r="R168" s="156">
        <f t="shared" si="24"/>
        <v>3</v>
      </c>
      <c r="S168" s="156">
        <f t="shared" si="24"/>
        <v>3</v>
      </c>
      <c r="T168" s="156">
        <f t="shared" si="24"/>
        <v>3</v>
      </c>
    </row>
    <row r="169" ht="27" customHeight="1" spans="1:20">
      <c r="A169" s="154" t="str">
        <f>INDEX('Rate Card'!$A:$A,MATCH(数统二级标签!$K169,'Rate Card'!$F:$F,0))</f>
        <v>数统</v>
      </c>
      <c r="B169" s="154" t="str">
        <f t="shared" si="18"/>
        <v>A100LDM</v>
      </c>
      <c r="C169" s="154" t="str">
        <f t="shared" si="19"/>
        <v>T0621LDM</v>
      </c>
      <c r="D169" s="128" t="s">
        <v>923</v>
      </c>
      <c r="E169" s="128" t="str">
        <f>INDEX(二三级标准!$Q:$Q,MATCH(数统二级标签!D169,二三级标准!$O:$O,0))</f>
        <v>数据管理</v>
      </c>
      <c r="F169" s="128" t="s">
        <v>305</v>
      </c>
      <c r="G169" s="128" t="str">
        <f>INDEX(二三级标准!C:C,MATCH(数统二级标签!F169,二三级标准!$B:$B,0))</f>
        <v>数据库锁定</v>
      </c>
      <c r="H169" s="128" t="s">
        <v>1448</v>
      </c>
      <c r="I169" s="128" t="str">
        <f>INDEX(二三级标准!$M:$M,MATCH(数统二级标签!$H169,二三级标准!$L:$L,0))</f>
        <v>项目文件整理</v>
      </c>
      <c r="K169" s="128" t="s">
        <v>633</v>
      </c>
      <c r="L169" s="156">
        <v>2</v>
      </c>
      <c r="M169" s="156">
        <v>2</v>
      </c>
      <c r="N169" s="156">
        <f t="shared" si="24"/>
        <v>3</v>
      </c>
      <c r="O169" s="156">
        <f t="shared" si="24"/>
        <v>3</v>
      </c>
      <c r="P169" s="156">
        <f t="shared" si="24"/>
        <v>3</v>
      </c>
      <c r="Q169" s="156">
        <f t="shared" si="24"/>
        <v>3</v>
      </c>
      <c r="R169" s="156">
        <f t="shared" si="24"/>
        <v>3</v>
      </c>
      <c r="S169" s="156">
        <f t="shared" si="24"/>
        <v>3</v>
      </c>
      <c r="T169" s="156">
        <f t="shared" si="24"/>
        <v>3</v>
      </c>
    </row>
    <row r="170" ht="27" customHeight="1" spans="1:20">
      <c r="A170" s="154" t="str">
        <f>INDEX('Rate Card'!$A:$A,MATCH(数统二级标签!$K170,'Rate Card'!$F:$F,0))</f>
        <v>数统</v>
      </c>
      <c r="B170" s="154" t="str">
        <f t="shared" si="18"/>
        <v>A100DM</v>
      </c>
      <c r="C170" s="154" t="str">
        <f t="shared" si="19"/>
        <v>T0294DM</v>
      </c>
      <c r="D170" s="128" t="s">
        <v>923</v>
      </c>
      <c r="E170" s="128" t="str">
        <f>INDEX(二三级标准!$Q:$Q,MATCH(数统二级标签!D170,二三级标准!$O:$O,0))</f>
        <v>数据管理</v>
      </c>
      <c r="F170" s="128" t="s">
        <v>305</v>
      </c>
      <c r="G170" s="128" t="str">
        <f>INDEX(二三级标准!C:C,MATCH(数统二级标签!F170,二三级标准!$B:$B,0))</f>
        <v>数据库锁定</v>
      </c>
      <c r="H170" s="128" t="s">
        <v>1449</v>
      </c>
      <c r="I170" s="128" t="str">
        <f>INDEX(二三级标准!$M:$M,MATCH(数统二级标签!$H170,二三级标准!$L:$L,0))</f>
        <v>数据库锁库前检查</v>
      </c>
      <c r="K170" s="128" t="s">
        <v>631</v>
      </c>
      <c r="L170" s="156">
        <v>1</v>
      </c>
      <c r="M170" s="156">
        <v>1</v>
      </c>
      <c r="N170" s="156">
        <v>1.3</v>
      </c>
      <c r="O170" s="156">
        <v>1.5</v>
      </c>
      <c r="P170" s="156">
        <v>1.125</v>
      </c>
      <c r="Q170" s="156">
        <v>1.5</v>
      </c>
      <c r="R170" s="156">
        <v>1.5</v>
      </c>
      <c r="S170" s="156">
        <v>1.5</v>
      </c>
      <c r="T170" s="156">
        <v>1.5</v>
      </c>
    </row>
    <row r="171" ht="27" customHeight="1" spans="1:20">
      <c r="A171" s="154" t="str">
        <f>INDEX('Rate Card'!$A:$A,MATCH(数统二级标签!$K171,'Rate Card'!$F:$F,0))</f>
        <v>数统</v>
      </c>
      <c r="B171" s="154" t="str">
        <f t="shared" si="18"/>
        <v>A100DM</v>
      </c>
      <c r="C171" s="154" t="str">
        <f t="shared" si="19"/>
        <v>T0295DM</v>
      </c>
      <c r="D171" s="128" t="s">
        <v>923</v>
      </c>
      <c r="E171" s="128" t="str">
        <f>INDEX(二三级标准!$Q:$Q,MATCH(数统二级标签!D171,二三级标准!$O:$O,0))</f>
        <v>数据管理</v>
      </c>
      <c r="F171" s="128" t="s">
        <v>305</v>
      </c>
      <c r="G171" s="128" t="str">
        <f>INDEX(二三级标准!C:C,MATCH(数统二级标签!F171,二三级标准!$B:$B,0))</f>
        <v>数据库锁定</v>
      </c>
      <c r="H171" s="128" t="s">
        <v>1450</v>
      </c>
      <c r="I171" s="128" t="str">
        <f>INDEX(二三级标准!$M:$M,MATCH(数统二级标签!$H171,二三级标准!$L:$L,0))</f>
        <v>数据库锁定/重新锁定</v>
      </c>
      <c r="J171" s="128" t="s">
        <v>2904</v>
      </c>
      <c r="K171" s="128" t="s">
        <v>631</v>
      </c>
      <c r="L171" s="162">
        <v>0.5</v>
      </c>
      <c r="M171" s="156">
        <v>0.5</v>
      </c>
      <c r="N171" s="156">
        <v>0.65</v>
      </c>
      <c r="O171" s="156">
        <v>0.75</v>
      </c>
      <c r="P171" s="156">
        <v>0.5625</v>
      </c>
      <c r="Q171" s="156">
        <v>0.75</v>
      </c>
      <c r="R171" s="156">
        <v>0.75</v>
      </c>
      <c r="S171" s="156">
        <v>0.75</v>
      </c>
      <c r="T171" s="156">
        <v>0.75</v>
      </c>
    </row>
    <row r="172" ht="27" customHeight="1" spans="1:20">
      <c r="A172" s="154" t="str">
        <f>INDEX('Rate Card'!$A:$A,MATCH(数统二级标签!$K172,'Rate Card'!$F:$F,0))</f>
        <v>数统</v>
      </c>
      <c r="B172" s="154" t="str">
        <f t="shared" si="18"/>
        <v>A100DM</v>
      </c>
      <c r="C172" s="154" t="str">
        <f t="shared" si="19"/>
        <v>T0296DM</v>
      </c>
      <c r="D172" s="128" t="s">
        <v>923</v>
      </c>
      <c r="E172" s="128" t="str">
        <f>INDEX(二三级标准!$Q:$Q,MATCH(数统二级标签!D172,二三级标准!$O:$O,0))</f>
        <v>数据管理</v>
      </c>
      <c r="F172" s="128" t="s">
        <v>305</v>
      </c>
      <c r="G172" s="128" t="str">
        <f>INDEX(二三级标准!C:C,MATCH(数统二级标签!F172,二三级标准!$B:$B,0))</f>
        <v>数据库锁定</v>
      </c>
      <c r="H172" s="128" t="s">
        <v>1451</v>
      </c>
      <c r="I172" s="128" t="str">
        <f>INDEX(二三级标准!$M:$M,MATCH(数统二级标签!$H172,二三级标准!$L:$L,0))</f>
        <v>数据库解锁申请</v>
      </c>
      <c r="J172" s="128" t="s">
        <v>2904</v>
      </c>
      <c r="K172" s="128" t="s">
        <v>631</v>
      </c>
      <c r="L172" s="162">
        <v>0.5</v>
      </c>
      <c r="M172" s="156">
        <v>0.5</v>
      </c>
      <c r="N172" s="156">
        <v>0.65</v>
      </c>
      <c r="O172" s="156">
        <v>0.75</v>
      </c>
      <c r="P172" s="156">
        <v>0.5625</v>
      </c>
      <c r="Q172" s="156">
        <v>0.75</v>
      </c>
      <c r="R172" s="156">
        <v>0.75</v>
      </c>
      <c r="S172" s="156">
        <v>0.75</v>
      </c>
      <c r="T172" s="156">
        <v>0.75</v>
      </c>
    </row>
    <row r="173" ht="27" customHeight="1" spans="1:20">
      <c r="A173" s="154" t="str">
        <f>INDEX('Rate Card'!$A:$A,MATCH(数统二级标签!$K173,'Rate Card'!$F:$F,0))</f>
        <v>数统</v>
      </c>
      <c r="B173" s="154" t="str">
        <f t="shared" si="18"/>
        <v>A100DBP</v>
      </c>
      <c r="C173" s="154" t="str">
        <f t="shared" si="19"/>
        <v>T0297DBP</v>
      </c>
      <c r="D173" s="128" t="s">
        <v>923</v>
      </c>
      <c r="E173" s="128" t="str">
        <f>INDEX(二三级标准!$Q:$Q,MATCH(数统二级标签!D173,二三级标准!$O:$O,0))</f>
        <v>数据管理</v>
      </c>
      <c r="F173" s="128" t="s">
        <v>305</v>
      </c>
      <c r="G173" s="128" t="str">
        <f>INDEX(二三级标准!C:C,MATCH(数统二级标签!F173,二三级标准!$B:$B,0))</f>
        <v>数据库锁定</v>
      </c>
      <c r="H173" s="128" t="s">
        <v>1452</v>
      </c>
      <c r="I173" s="128" t="str">
        <f>INDEX(二三级标准!$M:$M,MATCH(数统二级标签!$H173,二三级标准!$L:$L,0))</f>
        <v>数据库账号移除</v>
      </c>
      <c r="J173" s="128" t="s">
        <v>2904</v>
      </c>
      <c r="K173" s="128" t="s">
        <v>629</v>
      </c>
      <c r="L173" s="162">
        <v>0.5</v>
      </c>
      <c r="M173" s="156">
        <v>0.5</v>
      </c>
      <c r="N173" s="156">
        <v>0.65</v>
      </c>
      <c r="O173" s="156">
        <v>0.75</v>
      </c>
      <c r="P173" s="156">
        <v>3.375</v>
      </c>
      <c r="Q173" s="156">
        <v>0.75</v>
      </c>
      <c r="R173" s="156">
        <v>0.75</v>
      </c>
      <c r="S173" s="156">
        <v>0.75</v>
      </c>
      <c r="T173" s="156">
        <v>0.75</v>
      </c>
    </row>
    <row r="174" ht="27" customHeight="1" spans="1:20">
      <c r="A174" s="154" t="str">
        <f>INDEX('Rate Card'!$A:$A,MATCH(数统二级标签!$K174,'Rate Card'!$F:$F,0))</f>
        <v>数统</v>
      </c>
      <c r="B174" s="154" t="str">
        <f t="shared" si="18"/>
        <v>A100ST</v>
      </c>
      <c r="C174" s="154" t="str">
        <f t="shared" si="19"/>
        <v>T0298ST</v>
      </c>
      <c r="D174" s="128" t="s">
        <v>923</v>
      </c>
      <c r="E174" s="128" t="str">
        <f>INDEX(二三级标准!$Q:$Q,MATCH(数统二级标签!D174,二三级标准!$O:$O,0))</f>
        <v>数据管理</v>
      </c>
      <c r="F174" s="128" t="s">
        <v>305</v>
      </c>
      <c r="G174" s="128" t="str">
        <f>INDEX(二三级标准!C:C,MATCH(数统二级标签!F174,二三级标准!$B:$B,0))</f>
        <v>数据库锁定</v>
      </c>
      <c r="H174" s="128" t="s">
        <v>1453</v>
      </c>
      <c r="I174" s="128" t="str">
        <f>INDEX(二三级标准!$M:$M,MATCH(数统二级标签!$H174,二三级标准!$L:$L,0))</f>
        <v>数据锁库签批</v>
      </c>
      <c r="K174" s="128" t="s">
        <v>639</v>
      </c>
      <c r="L174" s="162">
        <v>0.5</v>
      </c>
      <c r="M174" s="156">
        <v>0.5</v>
      </c>
      <c r="N174" s="156">
        <v>0.65</v>
      </c>
      <c r="O174" s="156">
        <v>0.75</v>
      </c>
      <c r="P174" s="156">
        <v>0.75</v>
      </c>
      <c r="Q174" s="156">
        <v>0.75</v>
      </c>
      <c r="R174" s="156">
        <v>0.75</v>
      </c>
      <c r="S174" s="156">
        <v>0.75</v>
      </c>
      <c r="T174" s="156">
        <v>0.75</v>
      </c>
    </row>
    <row r="175" ht="27" customHeight="1" spans="1:20">
      <c r="A175" s="154" t="str">
        <f>INDEX('Rate Card'!$A:$A,MATCH(数统二级标签!$K175,'Rate Card'!$F:$F,0))</f>
        <v>数统</v>
      </c>
      <c r="B175" s="154" t="str">
        <f t="shared" si="18"/>
        <v>A101DM</v>
      </c>
      <c r="C175" s="154" t="str">
        <f t="shared" si="19"/>
        <v>T0299DM</v>
      </c>
      <c r="D175" s="128" t="s">
        <v>923</v>
      </c>
      <c r="E175" s="128" t="str">
        <f>INDEX(二三级标准!$Q:$Q,MATCH(数统二级标签!D175,二三级标准!$O:$O,0))</f>
        <v>数据管理</v>
      </c>
      <c r="F175" s="128" t="s">
        <v>307</v>
      </c>
      <c r="G175" s="128" t="str">
        <f>INDEX(二三级标准!C:C,MATCH(数统二级标签!F175,二三级标准!$B:$B,0))</f>
        <v>撰写数据管理报告</v>
      </c>
      <c r="H175" s="128" t="s">
        <v>1454</v>
      </c>
      <c r="I175" s="128" t="str">
        <f>INDEX(二三级标准!$M:$M,MATCH(数统二级标签!$H175,二三级标准!$L:$L,0))</f>
        <v>DMR起草和定稿</v>
      </c>
      <c r="K175" s="128" t="s">
        <v>631</v>
      </c>
      <c r="L175" s="156">
        <v>8</v>
      </c>
      <c r="M175" s="156">
        <v>8</v>
      </c>
      <c r="N175" s="156">
        <v>10</v>
      </c>
      <c r="O175" s="156">
        <v>9</v>
      </c>
      <c r="P175" s="156">
        <v>9</v>
      </c>
      <c r="Q175" s="156">
        <v>15</v>
      </c>
      <c r="R175" s="156">
        <v>12</v>
      </c>
      <c r="S175" s="156">
        <v>12</v>
      </c>
      <c r="T175" s="156">
        <v>12</v>
      </c>
    </row>
    <row r="176" ht="27" customHeight="1" spans="1:20">
      <c r="A176" s="154" t="str">
        <f>INDEX('Rate Card'!$A:$A,MATCH(数统二级标签!$K176,'Rate Card'!$F:$F,0))</f>
        <v>数统</v>
      </c>
      <c r="B176" s="154" t="str">
        <f t="shared" si="18"/>
        <v>A101LDM</v>
      </c>
      <c r="C176" s="154" t="str">
        <f t="shared" si="19"/>
        <v>T0300LDM</v>
      </c>
      <c r="D176" s="128" t="s">
        <v>923</v>
      </c>
      <c r="E176" s="128" t="str">
        <f>INDEX(二三级标准!$Q:$Q,MATCH(数统二级标签!D176,二三级标准!$O:$O,0))</f>
        <v>数据管理</v>
      </c>
      <c r="F176" s="128" t="s">
        <v>307</v>
      </c>
      <c r="G176" s="128" t="str">
        <f>INDEX(二三级标准!C:C,MATCH(数统二级标签!F176,二三级标准!$B:$B,0))</f>
        <v>撰写数据管理报告</v>
      </c>
      <c r="H176" s="128" t="s">
        <v>1455</v>
      </c>
      <c r="I176" s="128" t="str">
        <f>INDEX(二三级标准!$M:$M,MATCH(数统二级标签!$H176,二三级标准!$L:$L,0))</f>
        <v>DMR审核</v>
      </c>
      <c r="K176" s="128" t="s">
        <v>633</v>
      </c>
      <c r="L176" s="156">
        <v>2</v>
      </c>
      <c r="M176" s="156">
        <v>2</v>
      </c>
      <c r="N176" s="156">
        <v>2</v>
      </c>
      <c r="O176" s="156">
        <v>2.25</v>
      </c>
      <c r="P176" s="156">
        <v>2.25</v>
      </c>
      <c r="Q176" s="156">
        <v>4.5</v>
      </c>
      <c r="R176" s="156">
        <v>3</v>
      </c>
      <c r="S176" s="156">
        <v>3</v>
      </c>
      <c r="T176" s="156">
        <v>3</v>
      </c>
    </row>
    <row r="177" ht="27" customHeight="1" spans="1:20">
      <c r="A177" s="154" t="str">
        <f>INDEX('Rate Card'!$A:$A,MATCH(数统二级标签!$K177,'Rate Card'!$F:$F,0))</f>
        <v>数统</v>
      </c>
      <c r="B177" s="154" t="str">
        <f t="shared" si="18"/>
        <v>A102LDM</v>
      </c>
      <c r="C177" s="154" t="str">
        <f t="shared" si="19"/>
        <v>T0301LDM</v>
      </c>
      <c r="D177" s="128" t="s">
        <v>923</v>
      </c>
      <c r="E177" s="128" t="str">
        <f>INDEX(二三级标准!$Q:$Q,MATCH(数统二级标签!D177,二三级标准!$O:$O,0))</f>
        <v>数据管理</v>
      </c>
      <c r="F177" s="128" t="s">
        <v>309</v>
      </c>
      <c r="G177" s="128" t="str">
        <f>INDEX(二三级标准!C:C,MATCH(数统二级标签!F177,二三级标准!$B:$B,0))</f>
        <v>数据管理项目管理</v>
      </c>
      <c r="H177" s="128" t="s">
        <v>2995</v>
      </c>
      <c r="I177" s="128" t="str">
        <f>INDEX(二三级标准!$M:$M,MATCH(数统二级标签!$H177,二三级标准!$L:$L,0))</f>
        <v>项目组日常沟通和文件管理/建库期+锁库期</v>
      </c>
      <c r="K177" s="128" t="s">
        <v>633</v>
      </c>
      <c r="L177" s="156">
        <v>6</v>
      </c>
      <c r="M177" s="156">
        <v>6</v>
      </c>
      <c r="N177" s="156">
        <v>10.5</v>
      </c>
      <c r="O177" s="156">
        <v>16.8</v>
      </c>
      <c r="P177" s="156">
        <v>16.8</v>
      </c>
      <c r="Q177" s="156">
        <v>16.8</v>
      </c>
      <c r="R177" s="156">
        <v>16.8</v>
      </c>
      <c r="S177" s="156">
        <v>16.8</v>
      </c>
      <c r="T177" s="156">
        <v>16.8</v>
      </c>
    </row>
    <row r="178" ht="27" customHeight="1" spans="1:20">
      <c r="A178" s="154" t="str">
        <f>INDEX('Rate Card'!$A:$A,MATCH(数统二级标签!$K178,'Rate Card'!$F:$F,0))</f>
        <v>数统</v>
      </c>
      <c r="B178" s="154" t="str">
        <f t="shared" si="18"/>
        <v>A102LDM</v>
      </c>
      <c r="C178" s="154" t="str">
        <f t="shared" si="19"/>
        <v>T0302LDM</v>
      </c>
      <c r="D178" s="128" t="s">
        <v>923</v>
      </c>
      <c r="E178" s="128" t="str">
        <f>INDEX(二三级标准!$Q:$Q,MATCH(数统二级标签!D178,二三级标准!$O:$O,0))</f>
        <v>数据管理</v>
      </c>
      <c r="F178" s="128" t="s">
        <v>309</v>
      </c>
      <c r="G178" s="128" t="str">
        <f>INDEX(二三级标准!C:C,MATCH(数统二级标签!F178,二三级标准!$B:$B,0))</f>
        <v>数据管理项目管理</v>
      </c>
      <c r="H178" s="128" t="s">
        <v>2996</v>
      </c>
      <c r="I178" s="128" t="str">
        <f>INDEX(二三级标准!$M:$M,MATCH(数统二级标签!$H178,二三级标准!$L:$L,0))</f>
        <v>项目组日常沟通和文件管理/FPI-LPO清理期间</v>
      </c>
      <c r="K178" s="128" t="s">
        <v>633</v>
      </c>
      <c r="L178" s="156">
        <v>1.5</v>
      </c>
      <c r="M178" s="156">
        <v>1.5</v>
      </c>
      <c r="N178" s="156">
        <v>2.1</v>
      </c>
      <c r="O178" s="156">
        <v>4.2</v>
      </c>
      <c r="P178" s="156">
        <v>4.2</v>
      </c>
      <c r="Q178" s="156">
        <v>4.2</v>
      </c>
      <c r="R178" s="156">
        <v>4.2</v>
      </c>
      <c r="S178" s="156">
        <v>4.2</v>
      </c>
      <c r="T178" s="156">
        <v>4.2</v>
      </c>
    </row>
    <row r="179" ht="27" customHeight="1" spans="1:20">
      <c r="A179" s="154" t="str">
        <f>INDEX('Rate Card'!$A:$A,MATCH(数统二级标签!$K179,'Rate Card'!$F:$F,0))</f>
        <v>数统</v>
      </c>
      <c r="B179" s="154" t="str">
        <f t="shared" si="18"/>
        <v>A103DM</v>
      </c>
      <c r="C179" s="154" t="str">
        <f t="shared" si="19"/>
        <v>T0303DM</v>
      </c>
      <c r="D179" s="128" t="s">
        <v>923</v>
      </c>
      <c r="E179" s="128" t="str">
        <f>INDEX(二三级标准!$Q:$Q,MATCH(数统二级标签!D179,二三级标准!$O:$O,0))</f>
        <v>数据管理</v>
      </c>
      <c r="F179" s="128" t="s">
        <v>311</v>
      </c>
      <c r="G179" s="128" t="str">
        <f>INDEX(二三级标准!C:C,MATCH(数统二级标签!F179,二三级标准!$B:$B,0))</f>
        <v>数据库变更</v>
      </c>
      <c r="H179" s="128" t="s">
        <v>1457</v>
      </c>
      <c r="I179" s="128" t="str">
        <f>INDEX(二三级标准!$M:$M,MATCH(数统二级标签!$H179,二三级标准!$L:$L,0))</f>
        <v>CRF更新</v>
      </c>
      <c r="K179" s="128" t="s">
        <v>631</v>
      </c>
      <c r="M179" s="156">
        <v>2</v>
      </c>
    </row>
    <row r="180" ht="27" customHeight="1" spans="1:20">
      <c r="A180" s="154" t="str">
        <f>INDEX('Rate Card'!$A:$A,MATCH(数统二级标签!$K180,'Rate Card'!$F:$F,0))</f>
        <v>数统</v>
      </c>
      <c r="B180" s="154" t="str">
        <f t="shared" si="18"/>
        <v>A103LDM</v>
      </c>
      <c r="C180" s="154" t="str">
        <f t="shared" si="19"/>
        <v>T0304LDM</v>
      </c>
      <c r="D180" s="128" t="s">
        <v>923</v>
      </c>
      <c r="E180" s="128" t="str">
        <f>INDEX(二三级标准!$Q:$Q,MATCH(数统二级标签!D180,二三级标准!$O:$O,0))</f>
        <v>数据管理</v>
      </c>
      <c r="F180" s="128" t="s">
        <v>311</v>
      </c>
      <c r="G180" s="128" t="str">
        <f>INDEX(二三级标准!C:C,MATCH(数统二级标签!F180,二三级标准!$B:$B,0))</f>
        <v>数据库变更</v>
      </c>
      <c r="H180" s="128" t="s">
        <v>1458</v>
      </c>
      <c r="I180" s="128" t="str">
        <f>INDEX(二三级标准!$M:$M,MATCH(数统二级标签!$H180,二三级标准!$L:$L,0))</f>
        <v>CRF更新审核</v>
      </c>
      <c r="J180" s="128" t="s">
        <v>2904</v>
      </c>
      <c r="K180" s="128" t="s">
        <v>633</v>
      </c>
      <c r="M180" s="156">
        <v>1</v>
      </c>
    </row>
    <row r="181" ht="27" customHeight="1" spans="1:20">
      <c r="A181" s="154" t="str">
        <f>INDEX('Rate Card'!$A:$A,MATCH(数统二级标签!$K181,'Rate Card'!$F:$F,0))</f>
        <v>数统</v>
      </c>
      <c r="B181" s="154" t="str">
        <f t="shared" si="18"/>
        <v>A103DM</v>
      </c>
      <c r="C181" s="154" t="str">
        <f t="shared" si="19"/>
        <v>T0305DM</v>
      </c>
      <c r="D181" s="128" t="s">
        <v>923</v>
      </c>
      <c r="E181" s="128" t="str">
        <f>INDEX(二三级标准!$Q:$Q,MATCH(数统二级标签!D181,二三级标准!$O:$O,0))</f>
        <v>数据管理</v>
      </c>
      <c r="F181" s="128" t="s">
        <v>311</v>
      </c>
      <c r="G181" s="128" t="str">
        <f>INDEX(二三级标准!C:C,MATCH(数统二级标签!F181,二三级标准!$B:$B,0))</f>
        <v>数据库变更</v>
      </c>
      <c r="H181" s="128" t="s">
        <v>1459</v>
      </c>
      <c r="I181" s="128" t="str">
        <f>INDEX(二三级标准!$M:$M,MATCH(数统二级标签!$H181,二三级标准!$L:$L,0))</f>
        <v>建库文件更新</v>
      </c>
      <c r="K181" s="128" t="s">
        <v>631</v>
      </c>
      <c r="M181" s="156">
        <v>12</v>
      </c>
    </row>
    <row r="182" ht="27" customHeight="1" spans="1:20">
      <c r="A182" s="154" t="str">
        <f>INDEX('Rate Card'!$A:$A,MATCH(数统二级标签!$K182,'Rate Card'!$F:$F,0))</f>
        <v>数统</v>
      </c>
      <c r="B182" s="154" t="str">
        <f t="shared" si="18"/>
        <v>A103LDM</v>
      </c>
      <c r="C182" s="154" t="str">
        <f t="shared" si="19"/>
        <v>T0306LDM</v>
      </c>
      <c r="D182" s="128" t="s">
        <v>923</v>
      </c>
      <c r="E182" s="128" t="str">
        <f>INDEX(二三级标准!$Q:$Q,MATCH(数统二级标签!D182,二三级标准!$O:$O,0))</f>
        <v>数据管理</v>
      </c>
      <c r="F182" s="128" t="s">
        <v>311</v>
      </c>
      <c r="G182" s="128" t="str">
        <f>INDEX(二三级标准!C:C,MATCH(数统二级标签!F182,二三级标准!$B:$B,0))</f>
        <v>数据库变更</v>
      </c>
      <c r="H182" s="128" t="s">
        <v>1460</v>
      </c>
      <c r="I182" s="128" t="str">
        <f>INDEX(二三级标准!$M:$M,MATCH(数统二级标签!$H182,二三级标准!$L:$L,0))</f>
        <v>建库文件更新审核</v>
      </c>
      <c r="K182" s="128" t="s">
        <v>633</v>
      </c>
      <c r="M182" s="156">
        <v>2</v>
      </c>
    </row>
    <row r="183" ht="27" customHeight="1" spans="1:20">
      <c r="A183" s="154" t="str">
        <f>INDEX('Rate Card'!$A:$A,MATCH(数统二级标签!$K183,'Rate Card'!$F:$F,0))</f>
        <v>数统</v>
      </c>
      <c r="B183" s="154" t="str">
        <f t="shared" si="18"/>
        <v>A103DBP</v>
      </c>
      <c r="C183" s="154" t="str">
        <f t="shared" si="19"/>
        <v>T0306DBP</v>
      </c>
      <c r="D183" s="128" t="s">
        <v>923</v>
      </c>
      <c r="E183" s="128" t="str">
        <f>INDEX(二三级标准!$Q:$Q,MATCH(数统二级标签!D183,二三级标准!$O:$O,0))</f>
        <v>数据管理</v>
      </c>
      <c r="F183" s="128" t="s">
        <v>311</v>
      </c>
      <c r="G183" s="128" t="str">
        <f>INDEX(二三级标准!C:C,MATCH(数统二级标签!F183,二三级标准!$B:$B,0))</f>
        <v>数据库变更</v>
      </c>
      <c r="H183" s="128" t="s">
        <v>1460</v>
      </c>
      <c r="I183" s="128" t="str">
        <f>INDEX(二三级标准!$M:$M,MATCH(数统二级标签!$H183,二三级标准!$L:$L,0))</f>
        <v>建库文件更新审核</v>
      </c>
      <c r="K183" s="128" t="s">
        <v>629</v>
      </c>
      <c r="M183" s="156">
        <v>4</v>
      </c>
    </row>
    <row r="184" ht="27" customHeight="1" spans="1:20">
      <c r="A184" s="154" t="str">
        <f>INDEX('Rate Card'!$A:$A,MATCH(数统二级标签!$K184,'Rate Card'!$F:$F,0))</f>
        <v>数统</v>
      </c>
      <c r="B184" s="154" t="str">
        <f t="shared" si="18"/>
        <v>A103DBP</v>
      </c>
      <c r="C184" s="154" t="str">
        <f t="shared" si="19"/>
        <v>T0307DBP</v>
      </c>
      <c r="D184" s="128" t="s">
        <v>923</v>
      </c>
      <c r="E184" s="128" t="str">
        <f>INDEX(二三级标准!$Q:$Q,MATCH(数统二级标签!D184,二三级标准!$O:$O,0))</f>
        <v>数据管理</v>
      </c>
      <c r="F184" s="128" t="s">
        <v>311</v>
      </c>
      <c r="G184" s="128" t="str">
        <f>INDEX(二三级标准!C:C,MATCH(数统二级标签!F184,二三级标准!$B:$B,0))</f>
        <v>数据库变更</v>
      </c>
      <c r="H184" s="128" t="s">
        <v>1461</v>
      </c>
      <c r="I184" s="128" t="str">
        <f>INDEX(二三级标准!$M:$M,MATCH(数统二级标签!$H184,二三级标准!$L:$L,0))</f>
        <v>数据库界面更新</v>
      </c>
      <c r="K184" s="128" t="s">
        <v>629</v>
      </c>
      <c r="M184" s="156">
        <v>1.5</v>
      </c>
    </row>
    <row r="185" ht="27" customHeight="1" spans="1:20">
      <c r="A185" s="154" t="str">
        <f>INDEX('Rate Card'!$A:$A,MATCH(数统二级标签!$K185,'Rate Card'!$F:$F,0))</f>
        <v>数统</v>
      </c>
      <c r="B185" s="154" t="str">
        <f t="shared" si="18"/>
        <v>A103DM</v>
      </c>
      <c r="C185" s="154" t="str">
        <f t="shared" si="19"/>
        <v>T0308DM</v>
      </c>
      <c r="D185" s="128" t="s">
        <v>923</v>
      </c>
      <c r="E185" s="128" t="str">
        <f>INDEX(二三级标准!$Q:$Q,MATCH(数统二级标签!D185,二三级标准!$O:$O,0))</f>
        <v>数据管理</v>
      </c>
      <c r="F185" s="128" t="s">
        <v>311</v>
      </c>
      <c r="G185" s="128" t="str">
        <f>INDEX(二三级标准!C:C,MATCH(数统二级标签!F185,二三级标准!$B:$B,0))</f>
        <v>数据库变更</v>
      </c>
      <c r="H185" s="128" t="s">
        <v>1462</v>
      </c>
      <c r="I185" s="128" t="str">
        <f>INDEX(二三级标准!$M:$M,MATCH(数统二级标签!$H185,二三级标准!$L:$L,0))</f>
        <v>数据库界面更新测试</v>
      </c>
      <c r="K185" s="128" t="s">
        <v>631</v>
      </c>
      <c r="M185" s="156">
        <v>1</v>
      </c>
    </row>
    <row r="186" ht="27" customHeight="1" spans="1:20">
      <c r="A186" s="154" t="str">
        <f>INDEX('Rate Card'!$A:$A,MATCH(数统二级标签!$K186,'Rate Card'!$F:$F,0))</f>
        <v>数统</v>
      </c>
      <c r="B186" s="154" t="str">
        <f t="shared" si="18"/>
        <v>A103DBP</v>
      </c>
      <c r="C186" s="154" t="str">
        <f t="shared" si="19"/>
        <v>T0309DBP</v>
      </c>
      <c r="D186" s="128" t="s">
        <v>923</v>
      </c>
      <c r="E186" s="128" t="str">
        <f>INDEX(二三级标准!$Q:$Q,MATCH(数统二级标签!D186,二三级标准!$O:$O,0))</f>
        <v>数据管理</v>
      </c>
      <c r="F186" s="128" t="s">
        <v>311</v>
      </c>
      <c r="G186" s="128" t="str">
        <f>INDEX(二三级标准!C:C,MATCH(数统二级标签!F186,二三级标准!$B:$B,0))</f>
        <v>数据库变更</v>
      </c>
      <c r="H186" s="128" t="s">
        <v>1463</v>
      </c>
      <c r="I186" s="128" t="str">
        <f>INDEX(二三级标准!$M:$M,MATCH(数统二级标签!$H186,二三级标准!$L:$L,0))</f>
        <v>逻辑核查程序更新</v>
      </c>
      <c r="J186" s="128" t="s">
        <v>2904</v>
      </c>
      <c r="K186" s="128" t="s">
        <v>629</v>
      </c>
      <c r="M186" s="156">
        <v>0.04</v>
      </c>
    </row>
    <row r="187" ht="27" customHeight="1" spans="1:20">
      <c r="A187" s="154" t="str">
        <f>INDEX('Rate Card'!$A:$A,MATCH(数统二级标签!$K187,'Rate Card'!$F:$F,0))</f>
        <v>数统</v>
      </c>
      <c r="B187" s="154" t="str">
        <f t="shared" si="18"/>
        <v>A103DM</v>
      </c>
      <c r="C187" s="154" t="str">
        <f t="shared" si="19"/>
        <v>T0310DM</v>
      </c>
      <c r="D187" s="128" t="s">
        <v>923</v>
      </c>
      <c r="E187" s="128" t="str">
        <f>INDEX(二三级标准!$Q:$Q,MATCH(数统二级标签!D187,二三级标准!$O:$O,0))</f>
        <v>数据管理</v>
      </c>
      <c r="F187" s="128" t="s">
        <v>311</v>
      </c>
      <c r="G187" s="128" t="str">
        <f>INDEX(二三级标准!C:C,MATCH(数统二级标签!F187,二三级标准!$B:$B,0))</f>
        <v>数据库变更</v>
      </c>
      <c r="H187" s="128" t="s">
        <v>1464</v>
      </c>
      <c r="I187" s="128" t="str">
        <f>INDEX(二三级标准!$M:$M,MATCH(数统二级标签!$H187,二三级标准!$L:$L,0))</f>
        <v>逻辑核查程序更新测试</v>
      </c>
      <c r="J187" s="128" t="s">
        <v>2904</v>
      </c>
      <c r="K187" s="128" t="s">
        <v>631</v>
      </c>
      <c r="M187" s="156">
        <v>0.04</v>
      </c>
    </row>
    <row r="188" ht="27" customHeight="1" spans="1:20">
      <c r="A188" s="154" t="str">
        <f>INDEX('Rate Card'!$A:$A,MATCH(数统二级标签!$K188,'Rate Card'!$F:$F,0))</f>
        <v>数统</v>
      </c>
      <c r="B188" s="154" t="str">
        <f t="shared" si="18"/>
        <v>A103LDM</v>
      </c>
      <c r="C188" s="154" t="str">
        <f t="shared" si="19"/>
        <v>T0311LDM</v>
      </c>
      <c r="D188" s="128" t="s">
        <v>923</v>
      </c>
      <c r="E188" s="128" t="str">
        <f>INDEX(二三级标准!$Q:$Q,MATCH(数统二级标签!D188,二三级标准!$O:$O,0))</f>
        <v>数据管理</v>
      </c>
      <c r="F188" s="128" t="s">
        <v>311</v>
      </c>
      <c r="G188" s="128" t="str">
        <f>INDEX(二三级标准!C:C,MATCH(数统二级标签!F188,二三级标准!$B:$B,0))</f>
        <v>数据库变更</v>
      </c>
      <c r="H188" s="128" t="s">
        <v>1465</v>
      </c>
      <c r="I188" s="128" t="str">
        <f>INDEX(二三级标准!$M:$M,MATCH(数统二级标签!$H188,二三级标准!$L:$L,0))</f>
        <v>改库的UAT培训</v>
      </c>
      <c r="J188" s="128" t="s">
        <v>2904</v>
      </c>
      <c r="K188" s="128" t="s">
        <v>633</v>
      </c>
      <c r="M188" s="156">
        <v>2</v>
      </c>
    </row>
    <row r="189" ht="27" customHeight="1" spans="1:20">
      <c r="A189" s="154" t="str">
        <f>INDEX('Rate Card'!$A:$A,MATCH(数统二级标签!$K189,'Rate Card'!$F:$F,0))</f>
        <v>数统</v>
      </c>
      <c r="B189" s="154" t="str">
        <f t="shared" si="18"/>
        <v>A103DBP</v>
      </c>
      <c r="C189" s="154" t="str">
        <f t="shared" si="19"/>
        <v>T0311DBP</v>
      </c>
      <c r="D189" s="128" t="s">
        <v>923</v>
      </c>
      <c r="E189" s="128" t="str">
        <f>INDEX(二三级标准!$Q:$Q,MATCH(数统二级标签!D189,二三级标准!$O:$O,0))</f>
        <v>数据管理</v>
      </c>
      <c r="F189" s="128" t="s">
        <v>311</v>
      </c>
      <c r="G189" s="128" t="str">
        <f>INDEX(二三级标准!C:C,MATCH(数统二级标签!F189,二三级标准!$B:$B,0))</f>
        <v>数据库变更</v>
      </c>
      <c r="H189" s="128" t="s">
        <v>1465</v>
      </c>
      <c r="I189" s="128" t="str">
        <f>INDEX(二三级标准!$M:$M,MATCH(数统二级标签!$H189,二三级标准!$L:$L,0))</f>
        <v>改库的UAT培训</v>
      </c>
      <c r="J189" s="128" t="s">
        <v>2904</v>
      </c>
      <c r="K189" s="128" t="s">
        <v>629</v>
      </c>
      <c r="M189" s="156">
        <v>2</v>
      </c>
    </row>
    <row r="190" ht="27" customHeight="1" spans="1:20">
      <c r="A190" s="154" t="str">
        <f>INDEX('Rate Card'!$A:$A,MATCH(数统二级标签!$K190,'Rate Card'!$F:$F,0))</f>
        <v>数统</v>
      </c>
      <c r="B190" s="154" t="str">
        <f t="shared" si="18"/>
        <v>A103DM</v>
      </c>
      <c r="C190" s="154" t="str">
        <f t="shared" si="19"/>
        <v>T0312DM</v>
      </c>
      <c r="D190" s="128" t="s">
        <v>923</v>
      </c>
      <c r="E190" s="128" t="str">
        <f>INDEX(二三级标准!$Q:$Q,MATCH(数统二级标签!D190,二三级标准!$O:$O,0))</f>
        <v>数据管理</v>
      </c>
      <c r="F190" s="128" t="s">
        <v>311</v>
      </c>
      <c r="G190" s="128" t="str">
        <f>INDEX(二三级标准!C:C,MATCH(数统二级标签!F190,二三级标准!$B:$B,0))</f>
        <v>数据库变更</v>
      </c>
      <c r="H190" s="128" t="s">
        <v>1466</v>
      </c>
      <c r="I190" s="128" t="str">
        <f>INDEX(二三级标准!$M:$M,MATCH(数统二级标签!$H190,二三级标准!$L:$L,0))</f>
        <v>改库的UAT测试计划/报告</v>
      </c>
      <c r="J190" s="128" t="s">
        <v>2904</v>
      </c>
      <c r="K190" s="128" t="s">
        <v>631</v>
      </c>
      <c r="M190" s="156">
        <v>3</v>
      </c>
    </row>
    <row r="191" ht="27" customHeight="1" spans="1:20">
      <c r="A191" s="154" t="str">
        <f>INDEX('Rate Card'!$A:$A,MATCH(数统二级标签!$K191,'Rate Card'!$F:$F,0))</f>
        <v>数统</v>
      </c>
      <c r="B191" s="154" t="str">
        <f t="shared" si="18"/>
        <v>A103DBP</v>
      </c>
      <c r="C191" s="154" t="str">
        <f t="shared" si="19"/>
        <v>T0313DBP</v>
      </c>
      <c r="D191" s="128" t="s">
        <v>923</v>
      </c>
      <c r="E191" s="128" t="str">
        <f>INDEX(二三级标准!$Q:$Q,MATCH(数统二级标签!D191,二三级标准!$O:$O,0))</f>
        <v>数据管理</v>
      </c>
      <c r="F191" s="128" t="s">
        <v>311</v>
      </c>
      <c r="G191" s="128" t="str">
        <f>INDEX(二三级标准!C:C,MATCH(数统二级标签!F191,二三级标准!$B:$B,0))</f>
        <v>数据库变更</v>
      </c>
      <c r="H191" s="128" t="s">
        <v>2997</v>
      </c>
      <c r="I191" s="128" t="str">
        <f>INDEX(二三级标准!$M:$M,MATCH(数统二级标签!$H191,二三级标准!$L:$L,0))</f>
        <v>数据库迁移</v>
      </c>
      <c r="K191" s="128" t="s">
        <v>629</v>
      </c>
      <c r="M191" s="156">
        <v>16</v>
      </c>
    </row>
    <row r="192" ht="27" customHeight="1" spans="1:20">
      <c r="A192" s="163" t="str">
        <f>INDEX('Rate Card'!$A:$A,MATCH(数统二级标签!$K192,'Rate Card'!$F:$F,0))</f>
        <v>数统</v>
      </c>
      <c r="B192" s="163" t="str">
        <f t="shared" si="18"/>
        <v>A103DBP</v>
      </c>
      <c r="C192" s="163" t="str">
        <f t="shared" si="19"/>
        <v>T0314DBP</v>
      </c>
      <c r="D192" s="132" t="s">
        <v>923</v>
      </c>
      <c r="E192" s="132" t="str">
        <f>INDEX(二三级标准!$Q:$Q,MATCH(数统二级标签!D192,二三级标准!$O:$O,0))</f>
        <v>数据管理</v>
      </c>
      <c r="F192" s="132" t="s">
        <v>311</v>
      </c>
      <c r="G192" s="132" t="str">
        <f>INDEX(二三级标准!C:C,MATCH(数统二级标签!F192,二三级标准!$B:$B,0))</f>
        <v>数据库变更</v>
      </c>
      <c r="H192" s="132" t="s">
        <v>2998</v>
      </c>
      <c r="I192" s="132" t="str">
        <f>INDEX(二三级标准!$M:$M,MATCH(数统二级标签!$H192,二三级标准!$L:$L,0))</f>
        <v>eCRF重复页页面变更验证</v>
      </c>
      <c r="J192" s="132"/>
      <c r="K192" s="132" t="s">
        <v>629</v>
      </c>
      <c r="L192" s="164"/>
      <c r="M192" s="164">
        <v>0</v>
      </c>
      <c r="N192" s="164"/>
      <c r="O192" s="164"/>
      <c r="P192" s="164"/>
      <c r="Q192" s="164"/>
      <c r="R192" s="164"/>
      <c r="S192" s="164"/>
      <c r="T192" s="164"/>
    </row>
    <row r="193" ht="27" customHeight="1" spans="1:20">
      <c r="A193" s="163" t="str">
        <f>INDEX('Rate Card'!$A:$A,MATCH(数统二级标签!$K193,'Rate Card'!$F:$F,0))</f>
        <v>数统</v>
      </c>
      <c r="B193" s="163" t="str">
        <f t="shared" si="18"/>
        <v>A103DM</v>
      </c>
      <c r="C193" s="163" t="str">
        <f t="shared" si="19"/>
        <v>T0315DM</v>
      </c>
      <c r="D193" s="132" t="s">
        <v>923</v>
      </c>
      <c r="E193" s="132" t="str">
        <f>INDEX(二三级标准!$Q:$Q,MATCH(数统二级标签!D193,二三级标准!$O:$O,0))</f>
        <v>数据管理</v>
      </c>
      <c r="F193" s="132" t="s">
        <v>311</v>
      </c>
      <c r="G193" s="132" t="str">
        <f>INDEX(二三级标准!C:C,MATCH(数统二级标签!F193,二三级标准!$B:$B,0))</f>
        <v>数据库变更</v>
      </c>
      <c r="H193" s="132" t="s">
        <v>2999</v>
      </c>
      <c r="I193" s="132" t="str">
        <f>INDEX(二三级标准!$M:$M,MATCH(数统二级标签!$H193,二三级标准!$L:$L,0))</f>
        <v>eCRF唯一页页面变更测试</v>
      </c>
      <c r="J193" s="132" t="s">
        <v>2904</v>
      </c>
      <c r="K193" s="132" t="s">
        <v>631</v>
      </c>
      <c r="L193" s="164"/>
      <c r="M193" s="164">
        <v>0</v>
      </c>
      <c r="N193" s="164"/>
      <c r="O193" s="164"/>
      <c r="P193" s="164"/>
      <c r="Q193" s="164"/>
      <c r="R193" s="164"/>
      <c r="S193" s="164"/>
      <c r="T193" s="164"/>
    </row>
    <row r="194" ht="27" customHeight="1" spans="1:20">
      <c r="A194" s="163" t="str">
        <f>INDEX('Rate Card'!$A:$A,MATCH(数统二级标签!$K194,'Rate Card'!$F:$F,0))</f>
        <v>数统</v>
      </c>
      <c r="B194" s="163" t="str">
        <f t="shared" si="18"/>
        <v>A103DM</v>
      </c>
      <c r="C194" s="163" t="str">
        <f t="shared" si="19"/>
        <v>T0316DM</v>
      </c>
      <c r="D194" s="132" t="s">
        <v>923</v>
      </c>
      <c r="E194" s="132" t="str">
        <f>INDEX(二三级标准!$Q:$Q,MATCH(数统二级标签!D194,二三级标准!$O:$O,0))</f>
        <v>数据管理</v>
      </c>
      <c r="F194" s="132" t="s">
        <v>311</v>
      </c>
      <c r="G194" s="132" t="str">
        <f>INDEX(二三级标准!C:C,MATCH(数统二级标签!F194,二三级标准!$B:$B,0))</f>
        <v>数据库变更</v>
      </c>
      <c r="H194" s="132" t="s">
        <v>3000</v>
      </c>
      <c r="I194" s="132" t="str">
        <f>INDEX(二三级标准!$M:$M,MATCH(数统二级标签!$H194,二三级标准!$L:$L,0))</f>
        <v>eCRF重复页页面变更测试</v>
      </c>
      <c r="J194" s="132" t="s">
        <v>2904</v>
      </c>
      <c r="K194" s="132" t="s">
        <v>631</v>
      </c>
      <c r="L194" s="164"/>
      <c r="M194" s="164">
        <v>0</v>
      </c>
      <c r="N194" s="164"/>
      <c r="O194" s="164"/>
      <c r="P194" s="164"/>
      <c r="Q194" s="164"/>
      <c r="R194" s="164"/>
      <c r="S194" s="164"/>
      <c r="T194" s="164"/>
    </row>
    <row r="195" ht="27" customHeight="1" spans="1:20">
      <c r="A195" s="163" t="str">
        <f>INDEX('Rate Card'!$A:$A,MATCH(数统二级标签!$K195,'Rate Card'!$F:$F,0))</f>
        <v>数统</v>
      </c>
      <c r="B195" s="163" t="str">
        <f t="shared" si="18"/>
        <v>A103DBP</v>
      </c>
      <c r="C195" s="163" t="str">
        <f t="shared" si="19"/>
        <v>T0317DBP</v>
      </c>
      <c r="D195" s="132" t="s">
        <v>923</v>
      </c>
      <c r="E195" s="132" t="str">
        <f>INDEX(二三级标准!$Q:$Q,MATCH(数统二级标签!D195,二三级标准!$O:$O,0))</f>
        <v>数据管理</v>
      </c>
      <c r="F195" s="132" t="s">
        <v>311</v>
      </c>
      <c r="G195" s="132" t="str">
        <f>INDEX(二三级标准!C:C,MATCH(数统二级标签!F195,二三级标准!$B:$B,0))</f>
        <v>数据库变更</v>
      </c>
      <c r="H195" s="132" t="s">
        <v>3001</v>
      </c>
      <c r="I195" s="132" t="str">
        <f>INDEX(二三级标准!$M:$M,MATCH(数统二级标签!$H195,二三级标准!$L:$L,0))</f>
        <v>数据迁移计划</v>
      </c>
      <c r="J195" s="132"/>
      <c r="K195" s="132" t="s">
        <v>629</v>
      </c>
      <c r="L195" s="164"/>
      <c r="M195" s="164">
        <v>0</v>
      </c>
      <c r="N195" s="164"/>
      <c r="O195" s="164"/>
      <c r="P195" s="164"/>
      <c r="Q195" s="164"/>
      <c r="R195" s="164"/>
      <c r="S195" s="164"/>
      <c r="T195" s="164"/>
    </row>
    <row r="196" ht="27" customHeight="1" spans="1:20">
      <c r="A196" s="163" t="str">
        <f>INDEX('Rate Card'!$A:$A,MATCH(数统二级标签!$K196,'Rate Card'!$F:$F,0))</f>
        <v>数统</v>
      </c>
      <c r="B196" s="163" t="str">
        <f t="shared" si="18"/>
        <v>A103DBP</v>
      </c>
      <c r="C196" s="163" t="str">
        <f t="shared" si="19"/>
        <v>T0318DBP</v>
      </c>
      <c r="D196" s="132" t="s">
        <v>923</v>
      </c>
      <c r="E196" s="132" t="str">
        <f>INDEX(二三级标准!$Q:$Q,MATCH(数统二级标签!D196,二三级标准!$O:$O,0))</f>
        <v>数据管理</v>
      </c>
      <c r="F196" s="132" t="s">
        <v>311</v>
      </c>
      <c r="G196" s="132" t="str">
        <f>INDEX(二三级标准!C:C,MATCH(数统二级标签!F196,二三级标准!$B:$B,0))</f>
        <v>数据库变更</v>
      </c>
      <c r="H196" s="132" t="s">
        <v>3002</v>
      </c>
      <c r="I196" s="132" t="str">
        <f>INDEX(二三级标准!$M:$M,MATCH(数统二级标签!$H196,二三级标准!$L:$L,0))</f>
        <v>预迁移(数据及报告比对程序编程及运行)</v>
      </c>
      <c r="J196" s="132"/>
      <c r="K196" s="132" t="s">
        <v>629</v>
      </c>
      <c r="L196" s="164"/>
      <c r="M196" s="164">
        <v>0</v>
      </c>
      <c r="N196" s="164"/>
      <c r="O196" s="164"/>
      <c r="P196" s="164"/>
      <c r="Q196" s="164"/>
      <c r="R196" s="164"/>
      <c r="S196" s="164"/>
      <c r="T196" s="164"/>
    </row>
    <row r="197" ht="27" customHeight="1" spans="1:20">
      <c r="A197" s="163" t="str">
        <f>INDEX('Rate Card'!$A:$A,MATCH(数统二级标签!$K197,'Rate Card'!$F:$F,0))</f>
        <v>数统</v>
      </c>
      <c r="B197" s="163" t="str">
        <f t="shared" si="18"/>
        <v>A103DBP</v>
      </c>
      <c r="C197" s="163" t="str">
        <f t="shared" si="19"/>
        <v>T0319DBP</v>
      </c>
      <c r="D197" s="132" t="s">
        <v>923</v>
      </c>
      <c r="E197" s="132" t="str">
        <f>INDEX(二三级标准!$Q:$Q,MATCH(数统二级标签!D197,二三级标准!$O:$O,0))</f>
        <v>数据管理</v>
      </c>
      <c r="F197" s="132" t="s">
        <v>311</v>
      </c>
      <c r="G197" s="132" t="str">
        <f>INDEX(二三级标准!C:C,MATCH(数统二级标签!F197,二三级标准!$B:$B,0))</f>
        <v>数据库变更</v>
      </c>
      <c r="H197" s="132" t="s">
        <v>3003</v>
      </c>
      <c r="I197" s="132" t="str">
        <f>INDEX(二三级标准!$M:$M,MATCH(数统二级标签!$H197,二三级标准!$L:$L,0))</f>
        <v>预迁移测试(比对数据/报告的核查)</v>
      </c>
      <c r="J197" s="132"/>
      <c r="K197" s="132" t="s">
        <v>629</v>
      </c>
      <c r="L197" s="164"/>
      <c r="M197" s="164">
        <v>0</v>
      </c>
      <c r="N197" s="164"/>
      <c r="O197" s="164"/>
      <c r="P197" s="164"/>
      <c r="Q197" s="164"/>
      <c r="R197" s="164"/>
      <c r="S197" s="164"/>
      <c r="T197" s="164"/>
    </row>
    <row r="198" ht="27" customHeight="1" spans="1:20">
      <c r="A198" s="163" t="str">
        <f>INDEX('Rate Card'!$A:$A,MATCH(数统二级标签!$K198,'Rate Card'!$F:$F,0))</f>
        <v>数统</v>
      </c>
      <c r="B198" s="163" t="str">
        <f t="shared" si="18"/>
        <v>A103DBP</v>
      </c>
      <c r="C198" s="163" t="str">
        <f t="shared" si="19"/>
        <v>T0320DBP</v>
      </c>
      <c r="D198" s="132" t="s">
        <v>923</v>
      </c>
      <c r="E198" s="132" t="str">
        <f>INDEX(二三级标准!$Q:$Q,MATCH(数统二级标签!D198,二三级标准!$O:$O,0))</f>
        <v>数据管理</v>
      </c>
      <c r="F198" s="132" t="s">
        <v>311</v>
      </c>
      <c r="G198" s="132" t="str">
        <f>INDEX(二三级标准!C:C,MATCH(数统二级标签!F198,二三级标准!$B:$B,0))</f>
        <v>数据库变更</v>
      </c>
      <c r="H198" s="132" t="s">
        <v>3004</v>
      </c>
      <c r="I198" s="132" t="str">
        <f>INDEX(二三级标准!$M:$M,MATCH(数统二级标签!$H198,二三级标准!$L:$L,0))</f>
        <v>正式迁移</v>
      </c>
      <c r="J198" s="132"/>
      <c r="K198" s="132" t="s">
        <v>629</v>
      </c>
      <c r="L198" s="164"/>
      <c r="M198" s="164">
        <v>0</v>
      </c>
      <c r="N198" s="164"/>
      <c r="O198" s="164"/>
      <c r="P198" s="164"/>
      <c r="Q198" s="164"/>
      <c r="R198" s="164"/>
      <c r="S198" s="164"/>
      <c r="T198" s="164"/>
    </row>
    <row r="199" ht="27" customHeight="1" spans="1:20">
      <c r="A199" s="154" t="str">
        <f>INDEX('Rate Card'!$A:$A,MATCH(数统二级标签!$K199,'Rate Card'!$F:$F,0))</f>
        <v>数统</v>
      </c>
      <c r="B199" s="154" t="str">
        <f t="shared" si="18"/>
        <v>A103DM</v>
      </c>
      <c r="C199" s="154" t="str">
        <f t="shared" si="19"/>
        <v>T0321DM</v>
      </c>
      <c r="D199" s="128" t="s">
        <v>923</v>
      </c>
      <c r="E199" s="128" t="str">
        <f>INDEX(二三级标准!$Q:$Q,MATCH(数统二级标签!D199,二三级标准!$O:$O,0))</f>
        <v>数据管理</v>
      </c>
      <c r="F199" s="128" t="s">
        <v>311</v>
      </c>
      <c r="G199" s="128" t="str">
        <f>INDEX(二三级标准!C:C,MATCH(数统二级标签!F199,二三级标准!$B:$B,0))</f>
        <v>数据库变更</v>
      </c>
      <c r="H199" s="128" t="s">
        <v>1468</v>
      </c>
      <c r="I199" s="128" t="str">
        <f>INDEX(二三级标准!$M:$M,MATCH(数统二级标签!$H199,二三级标准!$L:$L,0))</f>
        <v>数据库变更的上线前检查</v>
      </c>
      <c r="K199" s="128" t="s">
        <v>631</v>
      </c>
      <c r="M199" s="156">
        <v>2</v>
      </c>
    </row>
    <row r="200" ht="27" customHeight="1" spans="1:20">
      <c r="A200" s="163" t="str">
        <f>INDEX('Rate Card'!$A:$A,MATCH(数统二级标签!$K200,'Rate Card'!$F:$F,0))</f>
        <v>数统</v>
      </c>
      <c r="B200" s="163" t="str">
        <f t="shared" si="18"/>
        <v>A103DBP</v>
      </c>
      <c r="C200" s="163" t="str">
        <f t="shared" si="19"/>
        <v>T0322DBP</v>
      </c>
      <c r="D200" s="132" t="s">
        <v>923</v>
      </c>
      <c r="E200" s="132" t="str">
        <f>INDEX(二三级标准!$Q:$Q,MATCH(数统二级标签!D200,二三级标准!$O:$O,0))</f>
        <v>数据管理</v>
      </c>
      <c r="F200" s="132" t="s">
        <v>311</v>
      </c>
      <c r="G200" s="132" t="str">
        <f>INDEX(二三级标准!C:C,MATCH(数统二级标签!F200,二三级标准!$B:$B,0))</f>
        <v>数据库变更</v>
      </c>
      <c r="H200" s="132" t="s">
        <v>3005</v>
      </c>
      <c r="I200" s="132" t="str">
        <f>INDEX(二三级标准!$M:$M,MATCH(数统二级标签!$H200,二三级标准!$L:$L,0))</f>
        <v>数据库变更的上线操作</v>
      </c>
      <c r="J200" s="132"/>
      <c r="K200" s="132" t="s">
        <v>629</v>
      </c>
      <c r="L200" s="164"/>
      <c r="M200" s="164">
        <v>0</v>
      </c>
      <c r="N200" s="164"/>
      <c r="O200" s="164"/>
      <c r="P200" s="164"/>
      <c r="Q200" s="164"/>
      <c r="R200" s="164"/>
      <c r="S200" s="164"/>
      <c r="T200" s="164"/>
    </row>
    <row r="201" ht="27" customHeight="1" spans="1:20">
      <c r="A201" s="163" t="str">
        <f>INDEX('Rate Card'!$A:$A,MATCH(数统二级标签!$K201,'Rate Card'!$F:$F,0))</f>
        <v>数统</v>
      </c>
      <c r="B201" s="163" t="str">
        <f t="shared" si="18"/>
        <v>A103DBP</v>
      </c>
      <c r="C201" s="163" t="str">
        <f t="shared" si="19"/>
        <v>T0323DBP</v>
      </c>
      <c r="D201" s="132" t="s">
        <v>923</v>
      </c>
      <c r="E201" s="132" t="str">
        <f>INDEX(二三级标准!$Q:$Q,MATCH(数统二级标签!D201,二三级标准!$O:$O,0))</f>
        <v>数据管理</v>
      </c>
      <c r="F201" s="132" t="s">
        <v>311</v>
      </c>
      <c r="G201" s="132" t="str">
        <f>INDEX(二三级标准!C:C,MATCH(数统二级标签!F201,二三级标准!$B:$B,0))</f>
        <v>数据库变更</v>
      </c>
      <c r="H201" s="132" t="s">
        <v>3006</v>
      </c>
      <c r="I201" s="132" t="str">
        <f>INDEX(二三级标准!$M:$M,MATCH(数统二级标签!$H201,二三级标准!$L:$L,0))</f>
        <v>数据库变更的逻辑核查系统程序编程</v>
      </c>
      <c r="J201" s="132"/>
      <c r="K201" s="132" t="s">
        <v>629</v>
      </c>
      <c r="L201" s="164"/>
      <c r="M201" s="164">
        <v>0</v>
      </c>
      <c r="N201" s="164"/>
      <c r="O201" s="164"/>
      <c r="P201" s="164"/>
      <c r="Q201" s="164"/>
      <c r="R201" s="164"/>
      <c r="S201" s="164"/>
      <c r="T201" s="164"/>
    </row>
    <row r="202" ht="27" customHeight="1" spans="1:20">
      <c r="A202" s="163" t="str">
        <f>INDEX('Rate Card'!$A:$A,MATCH(数统二级标签!$K202,'Rate Card'!$F:$F,0))</f>
        <v>数统</v>
      </c>
      <c r="B202" s="163" t="str">
        <f t="shared" si="18"/>
        <v>A103DBP</v>
      </c>
      <c r="C202" s="163" t="str">
        <f t="shared" si="19"/>
        <v>T0324DBP</v>
      </c>
      <c r="D202" s="132" t="s">
        <v>923</v>
      </c>
      <c r="E202" s="132" t="str">
        <f>INDEX(二三级标准!$Q:$Q,MATCH(数统二级标签!D202,二三级标准!$O:$O,0))</f>
        <v>数据管理</v>
      </c>
      <c r="F202" s="132" t="s">
        <v>311</v>
      </c>
      <c r="G202" s="132" t="str">
        <f>INDEX(二三级标准!C:C,MATCH(数统二级标签!F202,二三级标准!$B:$B,0))</f>
        <v>数据库变更</v>
      </c>
      <c r="H202" s="132" t="s">
        <v>3007</v>
      </c>
      <c r="I202" s="132" t="str">
        <f>INDEX(二三级标准!$M:$M,MATCH(数统二级标签!$H202,二三级标准!$L:$L,0))</f>
        <v>数据库变更的逻辑核查系统程序验证</v>
      </c>
      <c r="J202" s="132"/>
      <c r="K202" s="132" t="s">
        <v>629</v>
      </c>
      <c r="L202" s="164"/>
      <c r="M202" s="164">
        <v>0</v>
      </c>
      <c r="N202" s="164"/>
      <c r="O202" s="164"/>
      <c r="P202" s="164"/>
      <c r="Q202" s="164"/>
      <c r="R202" s="164"/>
      <c r="S202" s="164"/>
      <c r="T202" s="164"/>
    </row>
    <row r="203" ht="27" customHeight="1" spans="1:20">
      <c r="A203" s="163" t="str">
        <f>INDEX('Rate Card'!$A:$A,MATCH(数统二级标签!$K203,'Rate Card'!$F:$F,0))</f>
        <v>数统</v>
      </c>
      <c r="B203" s="163" t="str">
        <f t="shared" si="18"/>
        <v>A103DM</v>
      </c>
      <c r="C203" s="163" t="str">
        <f t="shared" si="19"/>
        <v>T0325DM</v>
      </c>
      <c r="D203" s="132" t="s">
        <v>923</v>
      </c>
      <c r="E203" s="132" t="str">
        <f>INDEX(二三级标准!$Q:$Q,MATCH(数统二级标签!D203,二三级标准!$O:$O,0))</f>
        <v>数据管理</v>
      </c>
      <c r="F203" s="132" t="s">
        <v>311</v>
      </c>
      <c r="G203" s="132" t="str">
        <f>INDEX(二三级标准!C:C,MATCH(数统二级标签!F203,二三级标准!$B:$B,0))</f>
        <v>数据库变更</v>
      </c>
      <c r="H203" s="132" t="s">
        <v>3008</v>
      </c>
      <c r="I203" s="132" t="str">
        <f>INDEX(二三级标准!$M:$M,MATCH(数统二级标签!$H203,二三级标准!$L:$L,0))</f>
        <v>数据库变更的逻辑核查系统程序测试</v>
      </c>
      <c r="J203" s="132"/>
      <c r="K203" s="132" t="s">
        <v>631</v>
      </c>
      <c r="L203" s="164"/>
      <c r="M203" s="164">
        <v>0</v>
      </c>
      <c r="N203" s="164"/>
      <c r="O203" s="164"/>
      <c r="P203" s="164"/>
      <c r="Q203" s="164"/>
      <c r="R203" s="164"/>
      <c r="S203" s="164"/>
      <c r="T203" s="164"/>
    </row>
    <row r="204" ht="27" customHeight="1" spans="1:20">
      <c r="A204" s="163" t="str">
        <f>INDEX('Rate Card'!$A:$A,MATCH(数统二级标签!$K204,'Rate Card'!$F:$F,0))</f>
        <v>数统</v>
      </c>
      <c r="B204" s="163" t="str">
        <f t="shared" si="18"/>
        <v>A103DBP</v>
      </c>
      <c r="C204" s="163" t="str">
        <f t="shared" si="19"/>
        <v>T0326DBP</v>
      </c>
      <c r="D204" s="132" t="s">
        <v>923</v>
      </c>
      <c r="E204" s="132" t="str">
        <f>INDEX(二三级标准!$Q:$Q,MATCH(数统二级标签!D204,二三级标准!$O:$O,0))</f>
        <v>数据管理</v>
      </c>
      <c r="F204" s="132" t="s">
        <v>311</v>
      </c>
      <c r="G204" s="132" t="str">
        <f>INDEX(二三级标准!C:C,MATCH(数统二级标签!F204,二三级标准!$B:$B,0))</f>
        <v>数据库变更</v>
      </c>
      <c r="H204" s="132" t="s">
        <v>3009</v>
      </c>
      <c r="I204" s="132" t="str">
        <f>INDEX(二三级标准!$M:$M,MATCH(数统二级标签!$H204,二三级标准!$L:$L,0))</f>
        <v>数据库变更的逻辑核查程序测试后的调整</v>
      </c>
      <c r="J204" s="132"/>
      <c r="K204" s="132" t="s">
        <v>629</v>
      </c>
      <c r="L204" s="164"/>
      <c r="M204" s="164">
        <v>0</v>
      </c>
      <c r="N204" s="164"/>
      <c r="O204" s="164"/>
      <c r="P204" s="164"/>
      <c r="Q204" s="164"/>
      <c r="R204" s="164"/>
      <c r="S204" s="164"/>
      <c r="T204" s="164"/>
    </row>
    <row r="205" ht="27" customHeight="1" spans="1:20">
      <c r="A205" s="163" t="str">
        <f>INDEX('Rate Card'!$A:$A,MATCH(数统二级标签!$K205,'Rate Card'!$F:$F,0))</f>
        <v>数统</v>
      </c>
      <c r="B205" s="163" t="str">
        <f t="shared" si="18"/>
        <v>A103LDM</v>
      </c>
      <c r="C205" s="163" t="str">
        <f t="shared" si="19"/>
        <v>T0327LDM</v>
      </c>
      <c r="D205" s="132" t="s">
        <v>923</v>
      </c>
      <c r="E205" s="132" t="str">
        <f>INDEX(二三级标准!$Q:$Q,MATCH(数统二级标签!D205,二三级标准!$O:$O,0))</f>
        <v>数据管理</v>
      </c>
      <c r="F205" s="132" t="s">
        <v>311</v>
      </c>
      <c r="G205" s="132" t="str">
        <f>INDEX(二三级标准!C:C,MATCH(数统二级标签!F205,二三级标准!$B:$B,0))</f>
        <v>数据库变更</v>
      </c>
      <c r="H205" s="132" t="s">
        <v>3010</v>
      </c>
      <c r="I205" s="132" t="str">
        <f>INDEX(二三级标准!$M:$M,MATCH(数统二级标签!$H205,二三级标准!$L:$L,0))</f>
        <v>变更后面向项目组的UAT培训(UAT会议)</v>
      </c>
      <c r="J205" s="132"/>
      <c r="K205" s="132" t="s">
        <v>633</v>
      </c>
      <c r="L205" s="164"/>
      <c r="M205" s="164">
        <v>0</v>
      </c>
      <c r="N205" s="164"/>
      <c r="O205" s="164"/>
      <c r="P205" s="164"/>
      <c r="Q205" s="164"/>
      <c r="R205" s="164"/>
      <c r="S205" s="164"/>
      <c r="T205" s="164"/>
    </row>
    <row r="206" ht="27" customHeight="1" spans="1:20">
      <c r="A206" s="163" t="str">
        <f>INDEX('Rate Card'!$A:$A,MATCH(数统二级标签!$K206,'Rate Card'!$F:$F,0))</f>
        <v>数统</v>
      </c>
      <c r="B206" s="163" t="str">
        <f t="shared" si="18"/>
        <v>A103DBP</v>
      </c>
      <c r="C206" s="163" t="str">
        <f t="shared" si="19"/>
        <v>T0327DBP</v>
      </c>
      <c r="D206" s="132" t="s">
        <v>923</v>
      </c>
      <c r="E206" s="132" t="str">
        <f>INDEX(二三级标准!$Q:$Q,MATCH(数统二级标签!D206,二三级标准!$O:$O,0))</f>
        <v>数据管理</v>
      </c>
      <c r="F206" s="132" t="s">
        <v>311</v>
      </c>
      <c r="G206" s="132" t="str">
        <f>INDEX(二三级标准!C:C,MATCH(数统二级标签!F206,二三级标准!$B:$B,0))</f>
        <v>数据库变更</v>
      </c>
      <c r="H206" s="132" t="s">
        <v>3010</v>
      </c>
      <c r="I206" s="132" t="str">
        <f>INDEX(二三级标准!$M:$M,MATCH(数统二级标签!$H206,二三级标准!$L:$L,0))</f>
        <v>变更后面向项目组的UAT培训(UAT会议)</v>
      </c>
      <c r="J206" s="132"/>
      <c r="K206" s="132" t="s">
        <v>629</v>
      </c>
      <c r="L206" s="164"/>
      <c r="M206" s="164">
        <v>0</v>
      </c>
      <c r="N206" s="164"/>
      <c r="O206" s="164"/>
      <c r="P206" s="164"/>
      <c r="Q206" s="164"/>
      <c r="R206" s="164"/>
      <c r="S206" s="164"/>
      <c r="T206" s="164"/>
    </row>
    <row r="207" ht="27" customHeight="1" spans="1:20">
      <c r="A207" s="163" t="str">
        <f>INDEX('Rate Card'!$A:$A,MATCH(数统二级标签!$K207,'Rate Card'!$F:$F,0))</f>
        <v>数统</v>
      </c>
      <c r="B207" s="163" t="str">
        <f t="shared" si="18"/>
        <v>A103DBP</v>
      </c>
      <c r="C207" s="163" t="str">
        <f t="shared" si="19"/>
        <v>T0328DBP</v>
      </c>
      <c r="D207" s="132" t="s">
        <v>923</v>
      </c>
      <c r="E207" s="132" t="str">
        <f>INDEX(二三级标准!$Q:$Q,MATCH(数统二级标签!D207,二三级标准!$O:$O,0))</f>
        <v>数据管理</v>
      </c>
      <c r="F207" s="132" t="s">
        <v>311</v>
      </c>
      <c r="G207" s="132" t="str">
        <f>INDEX(二三级标准!C:C,MATCH(数统二级标签!F207,二三级标准!$B:$B,0))</f>
        <v>数据库变更</v>
      </c>
      <c r="H207" s="132" t="s">
        <v>3011</v>
      </c>
      <c r="I207" s="132" t="str">
        <f>INDEX(二三级标准!$M:$M,MATCH(数统二级标签!$H207,二三级标准!$L:$L,0))</f>
        <v>变更后项目组UAT测试后的EDC调整</v>
      </c>
      <c r="J207" s="132"/>
      <c r="K207" s="132" t="s">
        <v>629</v>
      </c>
      <c r="L207" s="164"/>
      <c r="M207" s="164">
        <v>0</v>
      </c>
      <c r="N207" s="164"/>
      <c r="O207" s="164"/>
      <c r="P207" s="164"/>
      <c r="Q207" s="164"/>
      <c r="R207" s="164"/>
      <c r="S207" s="164"/>
      <c r="T207" s="164"/>
    </row>
    <row r="208" ht="27" customHeight="1" spans="1:20">
      <c r="A208" s="163" t="str">
        <f>INDEX('Rate Card'!$A:$A,MATCH(数统二级标签!$K208,'Rate Card'!$F:$F,0))</f>
        <v>数统</v>
      </c>
      <c r="B208" s="163" t="str">
        <f t="shared" si="18"/>
        <v>A103DM</v>
      </c>
      <c r="C208" s="163" t="str">
        <f t="shared" si="19"/>
        <v>T0329DM</v>
      </c>
      <c r="D208" s="132" t="s">
        <v>923</v>
      </c>
      <c r="E208" s="132" t="str">
        <f>INDEX(二三级标准!$Q:$Q,MATCH(数统二级标签!D208,二三级标准!$O:$O,0))</f>
        <v>数据管理</v>
      </c>
      <c r="F208" s="132" t="s">
        <v>311</v>
      </c>
      <c r="G208" s="132" t="str">
        <f>INDEX(二三级标准!C:C,MATCH(数统二级标签!F208,二三级标准!$B:$B,0))</f>
        <v>数据库变更</v>
      </c>
      <c r="H208" s="132" t="s">
        <v>3012</v>
      </c>
      <c r="I208" s="132" t="str">
        <f>INDEX(二三级标准!$M:$M,MATCH(数统二级标签!$H208,二三级标准!$L:$L,0))</f>
        <v>变更后UAT测试计划/报告</v>
      </c>
      <c r="J208" s="132"/>
      <c r="K208" s="132" t="s">
        <v>631</v>
      </c>
      <c r="L208" s="164"/>
      <c r="M208" s="164">
        <v>0</v>
      </c>
      <c r="N208" s="164"/>
      <c r="O208" s="164"/>
      <c r="P208" s="164"/>
      <c r="Q208" s="164"/>
      <c r="R208" s="164"/>
      <c r="S208" s="164"/>
      <c r="T208" s="164"/>
    </row>
    <row r="209" ht="27" customHeight="1" spans="1:20">
      <c r="A209" s="154" t="str">
        <f>INDEX('Rate Card'!$A:$A,MATCH(数统二级标签!$K209,'Rate Card'!$F:$F,0))</f>
        <v>数统</v>
      </c>
      <c r="B209" s="154" t="str">
        <f t="shared" si="18"/>
        <v>A104ST</v>
      </c>
      <c r="C209" s="154" t="str">
        <f t="shared" si="19"/>
        <v>T0330ST</v>
      </c>
      <c r="D209" s="128" t="s">
        <v>924</v>
      </c>
      <c r="E209" s="128" t="str">
        <f>INDEX(二三级标准!$Q:$Q,MATCH(数统二级标签!D209,二三级标准!$O:$O,0))</f>
        <v>生物统计及分析</v>
      </c>
      <c r="F209" s="128" t="s">
        <v>313</v>
      </c>
      <c r="G209" s="128" t="str">
        <f>INDEX(二三级标准!C:C,MATCH(数统二级标签!F209,二三级标准!$B:$B,0))</f>
        <v>撰写统计分析计划SAP</v>
      </c>
      <c r="H209" s="128" t="s">
        <v>1469</v>
      </c>
      <c r="I209" s="128" t="str">
        <f>INDEX(二三级标准!$M:$M,MATCH(数统二级标签!$H209,二三级标准!$L:$L,0))</f>
        <v>统计分析计划起草</v>
      </c>
      <c r="K209" s="128" t="s">
        <v>639</v>
      </c>
      <c r="L209" s="156">
        <v>24</v>
      </c>
      <c r="M209" s="156">
        <v>16</v>
      </c>
      <c r="N209" s="156">
        <v>26</v>
      </c>
      <c r="O209" s="156">
        <v>24</v>
      </c>
      <c r="P209" s="156">
        <v>27</v>
      </c>
      <c r="Q209" s="156">
        <v>36</v>
      </c>
      <c r="R209" s="156">
        <v>24</v>
      </c>
      <c r="S209" s="156">
        <v>32</v>
      </c>
      <c r="T209" s="156">
        <v>24</v>
      </c>
    </row>
    <row r="210" ht="27" customHeight="1" spans="1:20">
      <c r="A210" s="154" t="str">
        <f>INDEX('Rate Card'!$A:$A,MATCH(数统二级标签!$K210,'Rate Card'!$F:$F,0))</f>
        <v>数统</v>
      </c>
      <c r="B210" s="154" t="str">
        <f t="shared" si="18"/>
        <v>A104STM</v>
      </c>
      <c r="C210" s="154" t="str">
        <f t="shared" si="19"/>
        <v>T0331STM</v>
      </c>
      <c r="D210" s="128" t="s">
        <v>924</v>
      </c>
      <c r="E210" s="128" t="str">
        <f>INDEX(二三级标准!$Q:$Q,MATCH(数统二级标签!D210,二三级标准!$O:$O,0))</f>
        <v>生物统计及分析</v>
      </c>
      <c r="F210" s="128" t="s">
        <v>313</v>
      </c>
      <c r="G210" s="128" t="str">
        <f>INDEX(二三级标准!C:C,MATCH(数统二级标签!F210,二三级标准!$B:$B,0))</f>
        <v>撰写统计分析计划SAP</v>
      </c>
      <c r="H210" s="128" t="s">
        <v>1471</v>
      </c>
      <c r="I210" s="128" t="str">
        <f>INDEX(二三级标准!$M:$M,MATCH(数统二级标签!$H210,二三级标准!$L:$L,0))</f>
        <v>统计分析计划审核</v>
      </c>
      <c r="K210" s="128" t="s">
        <v>642</v>
      </c>
      <c r="L210" s="156">
        <v>2</v>
      </c>
      <c r="M210" s="156">
        <v>1</v>
      </c>
      <c r="N210" s="156">
        <v>2</v>
      </c>
      <c r="O210" s="156">
        <v>3</v>
      </c>
      <c r="P210" s="156">
        <v>4.5</v>
      </c>
      <c r="Q210" s="156">
        <v>6</v>
      </c>
      <c r="R210" s="156">
        <v>3</v>
      </c>
      <c r="S210" s="156">
        <v>3</v>
      </c>
      <c r="T210" s="156">
        <v>3</v>
      </c>
    </row>
    <row r="211" ht="27" customHeight="1" spans="1:20">
      <c r="A211" s="154" t="str">
        <f>INDEX('Rate Card'!$A:$A,MATCH(数统二级标签!$K211,'Rate Card'!$F:$F,0))</f>
        <v>数统</v>
      </c>
      <c r="B211" s="154" t="str">
        <f t="shared" si="18"/>
        <v>A104SAM</v>
      </c>
      <c r="C211" s="154" t="str">
        <f t="shared" si="19"/>
        <v>T0331SAM</v>
      </c>
      <c r="D211" s="128" t="s">
        <v>924</v>
      </c>
      <c r="E211" s="128" t="str">
        <f>INDEX(二三级标准!$Q:$Q,MATCH(数统二级标签!D211,二三级标准!$O:$O,0))</f>
        <v>生物统计及分析</v>
      </c>
      <c r="F211" s="128" t="s">
        <v>313</v>
      </c>
      <c r="G211" s="128" t="str">
        <f>INDEX(二三级标准!C:C,MATCH(数统二级标签!F211,二三级标准!$B:$B,0))</f>
        <v>撰写统计分析计划SAP</v>
      </c>
      <c r="H211" s="128" t="s">
        <v>1471</v>
      </c>
      <c r="I211" s="128" t="str">
        <f>INDEX(二三级标准!$M:$M,MATCH(数统二级标签!$H211,二三级标准!$L:$L,0))</f>
        <v>统计分析计划审核</v>
      </c>
      <c r="K211" s="128" t="s">
        <v>638</v>
      </c>
      <c r="L211" s="156">
        <v>0.5</v>
      </c>
      <c r="M211" s="156">
        <v>0.5</v>
      </c>
      <c r="N211" s="156">
        <v>0.5</v>
      </c>
      <c r="O211" s="156">
        <v>0.75</v>
      </c>
      <c r="P211" s="156">
        <v>1.5</v>
      </c>
      <c r="Q211" s="156">
        <v>2</v>
      </c>
      <c r="R211" s="156">
        <v>0.75</v>
      </c>
      <c r="S211" s="156">
        <v>0.75</v>
      </c>
      <c r="T211" s="156">
        <v>0.75</v>
      </c>
    </row>
    <row r="212" ht="27" customHeight="1" spans="1:20">
      <c r="A212" s="154" t="str">
        <f>INDEX('Rate Card'!$A:$A,MATCH(数统二级标签!$K212,'Rate Card'!$F:$F,0))</f>
        <v>数统</v>
      </c>
      <c r="B212" s="154" t="str">
        <f t="shared" si="18"/>
        <v>A104ST</v>
      </c>
      <c r="C212" s="154" t="str">
        <f t="shared" si="19"/>
        <v>T0332ST</v>
      </c>
      <c r="D212" s="128" t="s">
        <v>924</v>
      </c>
      <c r="E212" s="128" t="str">
        <f>INDEX(二三级标准!$Q:$Q,MATCH(数统二级标签!D212,二三级标准!$O:$O,0))</f>
        <v>生物统计及分析</v>
      </c>
      <c r="F212" s="128" t="s">
        <v>313</v>
      </c>
      <c r="G212" s="128" t="str">
        <f>INDEX(二三级标准!C:C,MATCH(数统二级标签!F212,二三级标准!$B:$B,0))</f>
        <v>撰写统计分析计划SAP</v>
      </c>
      <c r="H212" s="128" t="s">
        <v>1473</v>
      </c>
      <c r="I212" s="128" t="str">
        <f>INDEX(二三级标准!$M:$M,MATCH(数统二级标签!$H212,二三级标准!$L:$L,0))</f>
        <v>统计分析计划的修订</v>
      </c>
      <c r="K212" s="128" t="s">
        <v>639</v>
      </c>
      <c r="L212" s="156">
        <v>3</v>
      </c>
      <c r="M212" s="156">
        <v>1</v>
      </c>
      <c r="N212" s="156">
        <v>4</v>
      </c>
      <c r="O212" s="156">
        <v>6</v>
      </c>
      <c r="P212" s="156">
        <v>9</v>
      </c>
      <c r="Q212" s="156">
        <v>12</v>
      </c>
      <c r="R212" s="156">
        <v>6</v>
      </c>
      <c r="S212" s="156">
        <v>6</v>
      </c>
      <c r="T212" s="156">
        <v>6</v>
      </c>
    </row>
    <row r="213" ht="27" customHeight="1" spans="1:20">
      <c r="A213" s="154" t="str">
        <f>INDEX('Rate Card'!$A:$A,MATCH(数统二级标签!$K213,'Rate Card'!$F:$F,0))</f>
        <v>数统</v>
      </c>
      <c r="B213" s="154" t="str">
        <f t="shared" si="18"/>
        <v>A105ST</v>
      </c>
      <c r="C213" s="154" t="str">
        <f t="shared" si="19"/>
        <v>T0333ST</v>
      </c>
      <c r="D213" s="128" t="s">
        <v>924</v>
      </c>
      <c r="E213" s="128" t="str">
        <f>INDEX(二三级标准!$Q:$Q,MATCH(数统二级标签!D213,二三级标准!$O:$O,0))</f>
        <v>生物统计及分析</v>
      </c>
      <c r="F213" s="128" t="s">
        <v>315</v>
      </c>
      <c r="G213" s="128" t="str">
        <f>INDEX(二三级标准!C:C,MATCH(数统二级标签!F213,二三级标准!$B:$B,0))</f>
        <v>制定和实施随机化方案</v>
      </c>
      <c r="H213" s="128" t="s">
        <v>1474</v>
      </c>
      <c r="I213" s="128" t="str">
        <f>INDEX(二三级标准!$M:$M,MATCH(数统二级标签!$H213,二三级标准!$L:$L,0))</f>
        <v>随机化方案起草</v>
      </c>
      <c r="K213" s="128" t="s">
        <v>639</v>
      </c>
      <c r="L213" s="156">
        <v>8</v>
      </c>
      <c r="M213" s="156">
        <v>8</v>
      </c>
      <c r="N213" s="156">
        <v>12</v>
      </c>
      <c r="O213" s="156">
        <v>12</v>
      </c>
      <c r="P213" s="156">
        <v>12</v>
      </c>
      <c r="Q213" s="156">
        <v>12</v>
      </c>
      <c r="R213" s="156">
        <v>12</v>
      </c>
      <c r="S213" s="156">
        <v>12</v>
      </c>
      <c r="T213" s="156">
        <v>12</v>
      </c>
    </row>
    <row r="214" ht="27" customHeight="1" spans="1:20">
      <c r="A214" s="154" t="str">
        <f>INDEX('Rate Card'!$A:$A,MATCH(数统二级标签!$K214,'Rate Card'!$F:$F,0))</f>
        <v>数统</v>
      </c>
      <c r="B214" s="154" t="str">
        <f>F214&amp;K214</f>
        <v>A105STM</v>
      </c>
      <c r="C214" s="154" t="str">
        <f>H214&amp;K214</f>
        <v>T0334STM</v>
      </c>
      <c r="D214" s="128" t="s">
        <v>924</v>
      </c>
      <c r="E214" s="128" t="str">
        <f>INDEX(二三级标准!$Q:$Q,MATCH(数统二级标签!D214,二三级标准!$O:$O,0))</f>
        <v>生物统计及分析</v>
      </c>
      <c r="F214" s="128" t="s">
        <v>315</v>
      </c>
      <c r="G214" s="128" t="str">
        <f>INDEX(二三级标准!C:C,MATCH(数统二级标签!F214,二三级标准!$B:$B,0))</f>
        <v>制定和实施随机化方案</v>
      </c>
      <c r="H214" s="128" t="s">
        <v>1475</v>
      </c>
      <c r="I214" s="128" t="str">
        <f>INDEX(二三级标准!$M:$M,MATCH(数统二级标签!$H214,二三级标准!$L:$L,0))</f>
        <v>随机化方案审核</v>
      </c>
      <c r="K214" s="128" t="s">
        <v>642</v>
      </c>
      <c r="L214" s="155">
        <v>3</v>
      </c>
      <c r="M214" s="156">
        <v>3</v>
      </c>
      <c r="N214" s="156">
        <v>3</v>
      </c>
      <c r="O214" s="156">
        <v>3</v>
      </c>
      <c r="P214" s="156">
        <v>3</v>
      </c>
      <c r="Q214" s="156">
        <v>3</v>
      </c>
      <c r="R214" s="156">
        <v>3</v>
      </c>
      <c r="S214" s="156">
        <v>3</v>
      </c>
      <c r="T214" s="156">
        <v>3</v>
      </c>
    </row>
    <row r="215" ht="27" customHeight="1" spans="1:20">
      <c r="A215" s="154" t="str">
        <f>INDEX('Rate Card'!$A:$A,MATCH(数统二级标签!$K215,'Rate Card'!$F:$F,0))</f>
        <v>数统</v>
      </c>
      <c r="B215" s="154" t="str">
        <f t="shared" ref="B215:B288" si="25">F215&amp;K215</f>
        <v>A105STM</v>
      </c>
      <c r="C215" s="154" t="str">
        <f t="shared" ref="C215:C288" si="26">H215&amp;K215</f>
        <v>T0335STM</v>
      </c>
      <c r="D215" s="128" t="s">
        <v>924</v>
      </c>
      <c r="E215" s="128" t="str">
        <f>INDEX(二三级标准!$Q:$Q,MATCH(数统二级标签!D215,二三级标准!$O:$O,0))</f>
        <v>生物统计及分析</v>
      </c>
      <c r="F215" s="128" t="s">
        <v>315</v>
      </c>
      <c r="G215" s="128" t="str">
        <f>INDEX(二三级标准!C:C,MATCH(数统二级标签!F215,二三级标准!$B:$B,0))</f>
        <v>制定和实施随机化方案</v>
      </c>
      <c r="H215" s="128" t="s">
        <v>1476</v>
      </c>
      <c r="I215" s="128" t="str">
        <f>INDEX(二三级标准!$M:$M,MATCH(数统二级标签!$H215,二三级标准!$L:$L,0))</f>
        <v>随机化程序和列表审核</v>
      </c>
      <c r="K215" s="128" t="s">
        <v>642</v>
      </c>
      <c r="L215" s="156">
        <v>1.5</v>
      </c>
      <c r="M215" s="156">
        <v>1.5</v>
      </c>
      <c r="N215" s="156">
        <v>1.5</v>
      </c>
      <c r="O215" s="156">
        <v>1.5</v>
      </c>
      <c r="P215" s="156">
        <v>2.25</v>
      </c>
      <c r="Q215" s="156">
        <v>3</v>
      </c>
      <c r="R215" s="156">
        <v>1.5</v>
      </c>
      <c r="S215" s="156">
        <v>1.5</v>
      </c>
      <c r="T215" s="156">
        <v>1.5</v>
      </c>
    </row>
    <row r="216" ht="27" customHeight="1" spans="1:20">
      <c r="A216" s="154" t="str">
        <f>INDEX('Rate Card'!$A:$A,MATCH(数统二级标签!$K216,'Rate Card'!$F:$F,0))</f>
        <v>数统</v>
      </c>
      <c r="B216" s="154" t="str">
        <f t="shared" si="25"/>
        <v>A105ST</v>
      </c>
      <c r="C216" s="154" t="str">
        <f t="shared" si="26"/>
        <v>T0336ST</v>
      </c>
      <c r="D216" s="128" t="s">
        <v>924</v>
      </c>
      <c r="E216" s="128" t="str">
        <f>INDEX(二三级标准!$Q:$Q,MATCH(数统二级标签!D216,二三级标准!$O:$O,0))</f>
        <v>生物统计及分析</v>
      </c>
      <c r="F216" s="128" t="s">
        <v>315</v>
      </c>
      <c r="G216" s="128" t="str">
        <f>INDEX(二三级标准!C:C,MATCH(数统二级标签!F216,二三级标准!$B:$B,0))</f>
        <v>制定和实施随机化方案</v>
      </c>
      <c r="H216" s="128" t="s">
        <v>1478</v>
      </c>
      <c r="I216" s="128" t="str">
        <f>INDEX(二三级标准!$M:$M,MATCH(数统二级标签!$H216,二三级标准!$L:$L,0))</f>
        <v>非盲随机化方案执行/线上</v>
      </c>
      <c r="K216" s="128" t="s">
        <v>639</v>
      </c>
      <c r="L216" s="156">
        <v>12</v>
      </c>
      <c r="M216" s="156">
        <v>4</v>
      </c>
      <c r="N216" s="156">
        <v>12</v>
      </c>
      <c r="O216" s="156">
        <v>15</v>
      </c>
      <c r="P216" s="156">
        <v>12</v>
      </c>
      <c r="Q216" s="156">
        <v>18</v>
      </c>
      <c r="R216" s="156">
        <v>12</v>
      </c>
      <c r="S216" s="156">
        <v>16</v>
      </c>
      <c r="T216" s="156">
        <v>12</v>
      </c>
    </row>
    <row r="217" ht="27" customHeight="1" spans="1:20">
      <c r="A217" s="154" t="str">
        <f>INDEX('Rate Card'!$A:$A,MATCH(数统二级标签!$K217,'Rate Card'!$F:$F,0))</f>
        <v>数统</v>
      </c>
      <c r="B217" s="154" t="str">
        <f t="shared" ref="B217" si="27">F217&amp;K217</f>
        <v>A105ST</v>
      </c>
      <c r="C217" s="154" t="str">
        <f t="shared" ref="C217" si="28">H217&amp;K217</f>
        <v>T0622ST</v>
      </c>
      <c r="D217" s="128" t="s">
        <v>924</v>
      </c>
      <c r="E217" s="128" t="str">
        <f>INDEX(二三级标准!$Q:$Q,MATCH(数统二级标签!D217,二三级标准!$O:$O,0))</f>
        <v>生物统计及分析</v>
      </c>
      <c r="F217" s="128" t="s">
        <v>315</v>
      </c>
      <c r="G217" s="128" t="str">
        <f>INDEX(二三级标准!C:C,MATCH(数统二级标签!F217,二三级标准!$B:$B,0))</f>
        <v>制定和实施随机化方案</v>
      </c>
      <c r="H217" s="128" t="s">
        <v>1477</v>
      </c>
      <c r="I217" s="128" t="str">
        <f>INDEX(二三级标准!$M:$M,MATCH(数统二级标签!$H217,二三级标准!$L:$L,0))</f>
        <v>随机化方案的修订</v>
      </c>
      <c r="K217" s="128" t="s">
        <v>639</v>
      </c>
      <c r="L217" s="156">
        <v>4</v>
      </c>
      <c r="M217" s="156">
        <v>12</v>
      </c>
      <c r="N217" s="156">
        <v>12</v>
      </c>
      <c r="O217" s="156">
        <v>15</v>
      </c>
      <c r="P217" s="156">
        <v>12</v>
      </c>
      <c r="Q217" s="156">
        <v>18</v>
      </c>
      <c r="R217" s="156">
        <v>12</v>
      </c>
      <c r="S217" s="156">
        <v>16</v>
      </c>
      <c r="T217" s="156">
        <v>12</v>
      </c>
    </row>
    <row r="218" ht="27" customHeight="1" spans="1:20">
      <c r="A218" s="154" t="str">
        <f>INDEX('Rate Card'!$A:$A,MATCH(数统二级标签!$K218,'Rate Card'!$F:$F,0))</f>
        <v>数统</v>
      </c>
      <c r="B218" s="154" t="str">
        <f t="shared" si="25"/>
        <v>A106ST</v>
      </c>
      <c r="C218" s="154" t="str">
        <f t="shared" si="26"/>
        <v>T0337ST</v>
      </c>
      <c r="D218" s="128" t="s">
        <v>924</v>
      </c>
      <c r="E218" s="128" t="str">
        <f>INDEX(二三级标准!$Q:$Q,MATCH(数统二级标签!D218,二三级标准!$O:$O,0))</f>
        <v>生物统计及分析</v>
      </c>
      <c r="F218" s="128" t="s">
        <v>317</v>
      </c>
      <c r="G218" s="128" t="str">
        <f>INDEX(二三级标准!C:C,MATCH(数统二级标签!F218,二三级标准!$B:$B,0))</f>
        <v>计划和实施药物编盲</v>
      </c>
      <c r="H218" s="128" t="s">
        <v>1479</v>
      </c>
      <c r="I218" s="128" t="str">
        <f>INDEX(二三级标准!$M:$M,MATCH(数统二级标签!$H218,二三级标准!$L:$L,0))</f>
        <v>编盲资料的起草</v>
      </c>
      <c r="K218" s="128" t="s">
        <v>639</v>
      </c>
      <c r="L218" s="156">
        <v>8</v>
      </c>
      <c r="M218" s="156">
        <v>8</v>
      </c>
      <c r="N218" s="156">
        <v>18</v>
      </c>
      <c r="O218" s="156">
        <v>12</v>
      </c>
      <c r="P218" s="156">
        <v>18</v>
      </c>
      <c r="Q218" s="156">
        <v>18</v>
      </c>
      <c r="R218" s="156">
        <v>18</v>
      </c>
      <c r="S218" s="156">
        <v>18</v>
      </c>
      <c r="T218" s="156">
        <v>18</v>
      </c>
    </row>
    <row r="219" ht="27" customHeight="1" spans="1:20">
      <c r="A219" s="154" t="str">
        <f>INDEX('Rate Card'!$A:$A,MATCH(数统二级标签!$K219,'Rate Card'!$F:$F,0))</f>
        <v>数统</v>
      </c>
      <c r="B219" s="154" t="str">
        <f t="shared" si="25"/>
        <v>A106STM</v>
      </c>
      <c r="C219" s="154" t="str">
        <f t="shared" si="26"/>
        <v>T0338STM</v>
      </c>
      <c r="D219" s="128" t="s">
        <v>924</v>
      </c>
      <c r="E219" s="128" t="str">
        <f>INDEX(二三级标准!$Q:$Q,MATCH(数统二级标签!D219,二三级标准!$O:$O,0))</f>
        <v>生物统计及分析</v>
      </c>
      <c r="F219" s="128" t="s">
        <v>317</v>
      </c>
      <c r="G219" s="128" t="str">
        <f>INDEX(二三级标准!C:C,MATCH(数统二级标签!F219,二三级标准!$B:$B,0))</f>
        <v>计划和实施药物编盲</v>
      </c>
      <c r="H219" s="128" t="s">
        <v>1480</v>
      </c>
      <c r="I219" s="128" t="str">
        <f>INDEX(二三级标准!$M:$M,MATCH(数统二级标签!$H219,二三级标准!$L:$L,0))</f>
        <v>编盲资料的审核</v>
      </c>
      <c r="K219" s="128" t="s">
        <v>642</v>
      </c>
      <c r="L219" s="162">
        <v>4</v>
      </c>
      <c r="M219" s="156">
        <v>4</v>
      </c>
      <c r="N219" s="156">
        <v>6</v>
      </c>
      <c r="O219" s="156">
        <v>4.5</v>
      </c>
      <c r="P219" s="156">
        <v>6</v>
      </c>
      <c r="Q219" s="156">
        <v>6</v>
      </c>
      <c r="R219" s="156">
        <v>6</v>
      </c>
      <c r="S219" s="156">
        <v>6</v>
      </c>
      <c r="T219" s="156">
        <v>6</v>
      </c>
    </row>
    <row r="220" ht="27" customHeight="1" spans="1:20">
      <c r="A220" s="154" t="str">
        <f>INDEX('Rate Card'!$A:$A,MATCH(数统二级标签!$K220,'Rate Card'!$F:$F,0))</f>
        <v>数统</v>
      </c>
      <c r="B220" s="154" t="str">
        <f t="shared" si="25"/>
        <v>A106ST</v>
      </c>
      <c r="C220" s="154" t="str">
        <f t="shared" si="26"/>
        <v>T0339ST</v>
      </c>
      <c r="D220" s="128" t="s">
        <v>924</v>
      </c>
      <c r="E220" s="128" t="str">
        <f>INDEX(二三级标准!$Q:$Q,MATCH(数统二级标签!D220,二三级标准!$O:$O,0))</f>
        <v>生物统计及分析</v>
      </c>
      <c r="F220" s="128" t="s">
        <v>317</v>
      </c>
      <c r="G220" s="128" t="str">
        <f>INDEX(二三级标准!C:C,MATCH(数统二级标签!F220,二三级标准!$B:$B,0))</f>
        <v>计划和实施药物编盲</v>
      </c>
      <c r="H220" s="128" t="s">
        <v>1482</v>
      </c>
      <c r="I220" s="128" t="str">
        <f>INDEX(二三级标准!$M:$M,MATCH(数统二级标签!$H220,二三级标准!$L:$L,0))</f>
        <v>现场编盲指导和资料归档</v>
      </c>
      <c r="K220" s="128" t="s">
        <v>639</v>
      </c>
      <c r="L220" s="156">
        <v>12</v>
      </c>
      <c r="M220" s="156">
        <v>4</v>
      </c>
      <c r="N220" s="156">
        <v>12</v>
      </c>
      <c r="O220" s="156">
        <v>12</v>
      </c>
      <c r="P220" s="156">
        <v>12</v>
      </c>
      <c r="Q220" s="156">
        <v>12</v>
      </c>
      <c r="R220" s="156">
        <v>12</v>
      </c>
      <c r="S220" s="156">
        <v>12</v>
      </c>
      <c r="T220" s="156">
        <v>12</v>
      </c>
    </row>
    <row r="221" ht="27" customHeight="1" spans="1:20">
      <c r="A221" s="154" t="str">
        <f>INDEX('Rate Card'!$A:$A,MATCH(数统二级标签!$K221,'Rate Card'!$F:$F,0))</f>
        <v>数统</v>
      </c>
      <c r="B221" s="154" t="str">
        <f t="shared" ref="B221" si="29">F221&amp;K221</f>
        <v>A106ST</v>
      </c>
      <c r="C221" s="154" t="str">
        <f t="shared" ref="C221" si="30">H221&amp;K221</f>
        <v>T0623ST</v>
      </c>
      <c r="D221" s="128" t="s">
        <v>924</v>
      </c>
      <c r="E221" s="128" t="str">
        <f>INDEX(二三级标准!$Q:$Q,MATCH(数统二级标签!D221,二三级标准!$O:$O,0))</f>
        <v>生物统计及分析</v>
      </c>
      <c r="F221" s="128" t="s">
        <v>317</v>
      </c>
      <c r="G221" s="128" t="str">
        <f>INDEX(二三级标准!C:C,MATCH(数统二级标签!F221,二三级标准!$B:$B,0))</f>
        <v>计划和实施药物编盲</v>
      </c>
      <c r="H221" s="128" t="s">
        <v>1481</v>
      </c>
      <c r="I221" s="128" t="str">
        <f>INDEX(二三级标准!$M:$M,MATCH(数统二级标签!$H221,二三级标准!$L:$L,0))</f>
        <v>编盲资料的修订</v>
      </c>
      <c r="J221" s="128" t="s">
        <v>2902</v>
      </c>
      <c r="K221" s="128" t="s">
        <v>639</v>
      </c>
      <c r="L221" s="162">
        <v>4</v>
      </c>
      <c r="M221" s="156">
        <v>12</v>
      </c>
      <c r="N221" s="156">
        <v>12</v>
      </c>
      <c r="O221" s="156">
        <v>12</v>
      </c>
      <c r="P221" s="156">
        <v>12</v>
      </c>
      <c r="Q221" s="156">
        <v>12</v>
      </c>
      <c r="R221" s="156">
        <v>12</v>
      </c>
      <c r="S221" s="156">
        <v>12</v>
      </c>
      <c r="T221" s="156">
        <v>12</v>
      </c>
    </row>
    <row r="222" ht="27" customHeight="1" spans="1:20">
      <c r="A222" s="154" t="str">
        <f>INDEX('Rate Card'!$A:$A,MATCH(数统二级标签!$K222,'Rate Card'!$F:$F,0))</f>
        <v>数统</v>
      </c>
      <c r="B222" s="154" t="str">
        <f t="shared" si="25"/>
        <v>A107ST</v>
      </c>
      <c r="C222" s="154" t="str">
        <f t="shared" si="26"/>
        <v>T0340ST</v>
      </c>
      <c r="D222" s="128" t="s">
        <v>924</v>
      </c>
      <c r="E222" s="128" t="str">
        <f>INDEX(二三级标准!$Q:$Q,MATCH(数统二级标签!D222,二三级标准!$O:$O,0))</f>
        <v>生物统计及分析</v>
      </c>
      <c r="F222" s="128" t="s">
        <v>319</v>
      </c>
      <c r="G222" s="128" t="str">
        <f>INDEX(二三级标准!C:C,MATCH(数统二级标签!F222,二三级标准!$B:$B,0))</f>
        <v>制定统计TFLs模板</v>
      </c>
      <c r="H222" s="128" t="s">
        <v>3013</v>
      </c>
      <c r="I222" s="128" t="str">
        <f>INDEX(二三级标准!$M:$M,MATCH(数统二级标签!$H222,二三级标准!$L:$L,0))</f>
        <v>TFLs模板起草- Unique</v>
      </c>
      <c r="K222" s="128" t="s">
        <v>639</v>
      </c>
      <c r="L222" s="156">
        <v>0.4</v>
      </c>
      <c r="M222" s="156">
        <v>0.3</v>
      </c>
      <c r="N222" s="156">
        <v>0.325</v>
      </c>
      <c r="O222" s="156">
        <v>0.375</v>
      </c>
      <c r="P222" s="156">
        <v>0.375</v>
      </c>
      <c r="Q222" s="156">
        <v>0.375</v>
      </c>
      <c r="R222" s="156">
        <v>0.375</v>
      </c>
      <c r="S222" s="156">
        <v>0.375</v>
      </c>
      <c r="T222" s="156">
        <v>0.375</v>
      </c>
    </row>
    <row r="223" s="132" customFormat="1" ht="27" customHeight="1" spans="1:20">
      <c r="A223" s="163" t="str">
        <f>INDEX('Rate Card'!$A:$A,MATCH(数统二级标签!$K223,'Rate Card'!$F:$F,0))</f>
        <v>数统</v>
      </c>
      <c r="B223" s="154" t="str">
        <f t="shared" si="25"/>
        <v>A107ST</v>
      </c>
      <c r="C223" s="154" t="str">
        <f t="shared" si="26"/>
        <v>T0341ST</v>
      </c>
      <c r="D223" s="132" t="s">
        <v>924</v>
      </c>
      <c r="E223" s="132" t="str">
        <f>INDEX(二三级标准!$Q:$Q,MATCH(数统二级标签!D223,二三级标准!$O:$O,0))</f>
        <v>生物统计及分析</v>
      </c>
      <c r="F223" s="132" t="s">
        <v>319</v>
      </c>
      <c r="G223" s="132" t="str">
        <f>INDEX(二三级标准!C:C,MATCH(数统二级标签!F223,二三级标准!$B:$B,0))</f>
        <v>制定统计TFLs模板</v>
      </c>
      <c r="H223" s="132" t="s">
        <v>3014</v>
      </c>
      <c r="I223" s="132" t="str">
        <f>INDEX(二三级标准!$M:$M,MATCH(数统二级标签!$H223,二三级标准!$L:$L,0))</f>
        <v>TLFs模板起草- Repeat</v>
      </c>
      <c r="J223" s="132" t="s">
        <v>2907</v>
      </c>
      <c r="K223" s="132" t="s">
        <v>639</v>
      </c>
      <c r="L223" s="156"/>
      <c r="M223" s="156">
        <v>0</v>
      </c>
      <c r="N223" s="156"/>
      <c r="O223" s="156"/>
      <c r="P223" s="156"/>
      <c r="Q223" s="156"/>
      <c r="R223" s="156"/>
      <c r="S223" s="156"/>
      <c r="T223" s="156"/>
    </row>
    <row r="224" ht="27" customHeight="1" spans="1:20">
      <c r="A224" s="154" t="str">
        <f>INDEX('Rate Card'!$A:$A,MATCH(数统二级标签!$K224,'Rate Card'!$F:$F,0))</f>
        <v>数统</v>
      </c>
      <c r="B224" s="154" t="str">
        <f t="shared" si="25"/>
        <v>A107STM</v>
      </c>
      <c r="C224" s="154" t="str">
        <f t="shared" si="26"/>
        <v>T0342STM</v>
      </c>
      <c r="D224" s="128" t="s">
        <v>924</v>
      </c>
      <c r="E224" s="128" t="str">
        <f>INDEX(二三级标准!$Q:$Q,MATCH(数统二级标签!D224,二三级标准!$O:$O,0))</f>
        <v>生物统计及分析</v>
      </c>
      <c r="F224" s="128" t="s">
        <v>319</v>
      </c>
      <c r="G224" s="128" t="str">
        <f>INDEX(二三级标准!C:C,MATCH(数统二级标签!F224,二三级标准!$B:$B,0))</f>
        <v>制定统计TFLs模板</v>
      </c>
      <c r="H224" s="128" t="s">
        <v>3015</v>
      </c>
      <c r="I224" s="128" t="str">
        <f>INDEX(二三级标准!$M:$M,MATCH(数统二级标签!$H224,二三级标准!$L:$L,0))</f>
        <v>TFLs模板审核- Unique</v>
      </c>
      <c r="K224" s="128" t="s">
        <v>642</v>
      </c>
      <c r="L224" s="156">
        <v>0.1</v>
      </c>
      <c r="M224" s="156">
        <v>0.1</v>
      </c>
      <c r="N224" s="156">
        <v>0.075</v>
      </c>
      <c r="O224" s="156">
        <v>0.1125</v>
      </c>
      <c r="P224" s="156">
        <v>0.1125</v>
      </c>
      <c r="Q224" s="156">
        <v>0.1125</v>
      </c>
      <c r="R224" s="156">
        <v>0.1125</v>
      </c>
      <c r="S224" s="156">
        <v>0.1125</v>
      </c>
      <c r="T224" s="156">
        <v>0.1125</v>
      </c>
    </row>
    <row r="225" s="132" customFormat="1" ht="27" customHeight="1" spans="1:20">
      <c r="A225" s="163" t="str">
        <f>INDEX('Rate Card'!$A:$A,MATCH(数统二级标签!$K225,'Rate Card'!$F:$F,0))</f>
        <v>数统</v>
      </c>
      <c r="B225" s="154" t="str">
        <f t="shared" si="25"/>
        <v>A107STM</v>
      </c>
      <c r="C225" s="154" t="str">
        <f t="shared" si="26"/>
        <v>T0343STM</v>
      </c>
      <c r="D225" s="132" t="s">
        <v>924</v>
      </c>
      <c r="E225" s="132" t="str">
        <f>INDEX(二三级标准!$Q:$Q,MATCH(数统二级标签!D225,二三级标准!$O:$O,0))</f>
        <v>生物统计及分析</v>
      </c>
      <c r="F225" s="132" t="s">
        <v>319</v>
      </c>
      <c r="G225" s="132" t="str">
        <f>INDEX(二三级标准!C:C,MATCH(数统二级标签!F225,二三级标准!$B:$B,0))</f>
        <v>制定统计TFLs模板</v>
      </c>
      <c r="H225" s="132" t="s">
        <v>3016</v>
      </c>
      <c r="I225" s="132" t="str">
        <f>INDEX(二三级标准!$M:$M,MATCH(数统二级标签!$H225,二三级标准!$L:$L,0))</f>
        <v>TLFs模板审核- Repeat</v>
      </c>
      <c r="J225" s="132" t="s">
        <v>2907</v>
      </c>
      <c r="K225" s="132" t="s">
        <v>642</v>
      </c>
      <c r="L225" s="156"/>
      <c r="M225" s="156">
        <v>0</v>
      </c>
      <c r="N225" s="156"/>
      <c r="O225" s="156"/>
      <c r="P225" s="156"/>
      <c r="Q225" s="156"/>
      <c r="R225" s="156"/>
      <c r="S225" s="156"/>
      <c r="T225" s="156"/>
    </row>
    <row r="226" ht="27" customHeight="1" spans="1:20">
      <c r="A226" s="154" t="str">
        <f>INDEX('Rate Card'!$A:$A,MATCH(数统二级标签!$K226,'Rate Card'!$F:$F,0))</f>
        <v>数统</v>
      </c>
      <c r="B226" s="154" t="str">
        <f t="shared" si="25"/>
        <v>A107SAM</v>
      </c>
      <c r="C226" s="154" t="str">
        <f t="shared" si="26"/>
        <v>T0342SAM</v>
      </c>
      <c r="D226" s="128" t="s">
        <v>924</v>
      </c>
      <c r="E226" s="128" t="str">
        <f>INDEX(二三级标准!$Q:$Q,MATCH(数统二级标签!D226,二三级标准!$O:$O,0))</f>
        <v>生物统计及分析</v>
      </c>
      <c r="F226" s="128" t="s">
        <v>319</v>
      </c>
      <c r="G226" s="128" t="str">
        <f>INDEX(二三级标准!C:C,MATCH(数统二级标签!F226,二三级标准!$B:$B,0))</f>
        <v>制定统计TFLs模板</v>
      </c>
      <c r="H226" s="128" t="s">
        <v>3015</v>
      </c>
      <c r="I226" s="128" t="str">
        <f>INDEX(二三级标准!$M:$M,MATCH(数统二级标签!$H226,二三级标准!$L:$L,0))</f>
        <v>TFLs模板审核- Unique</v>
      </c>
      <c r="J226" s="132"/>
      <c r="K226" s="128" t="s">
        <v>638</v>
      </c>
      <c r="L226" s="156">
        <v>0.1</v>
      </c>
      <c r="M226" s="156">
        <v>0.1</v>
      </c>
      <c r="N226" s="156">
        <v>0.025</v>
      </c>
      <c r="O226" s="156">
        <v>0.0375</v>
      </c>
      <c r="P226" s="156">
        <v>0.075</v>
      </c>
      <c r="Q226" s="156">
        <v>0.075</v>
      </c>
      <c r="R226" s="156">
        <v>0.0375</v>
      </c>
      <c r="S226" s="156">
        <v>0.0375</v>
      </c>
      <c r="T226" s="156">
        <v>0.0375</v>
      </c>
    </row>
    <row r="227" s="132" customFormat="1" ht="27" customHeight="1" spans="1:20">
      <c r="A227" s="163" t="str">
        <f>INDEX('Rate Card'!$A:$A,MATCH(数统二级标签!$K227,'Rate Card'!$F:$F,0))</f>
        <v>数统</v>
      </c>
      <c r="B227" s="154" t="str">
        <f t="shared" si="25"/>
        <v>A107SAM</v>
      </c>
      <c r="C227" s="154" t="str">
        <f t="shared" si="26"/>
        <v>T0343SAM</v>
      </c>
      <c r="D227" s="132" t="s">
        <v>924</v>
      </c>
      <c r="E227" s="132" t="str">
        <f>INDEX(二三级标准!$Q:$Q,MATCH(数统二级标签!D227,二三级标准!$O:$O,0))</f>
        <v>生物统计及分析</v>
      </c>
      <c r="F227" s="132" t="s">
        <v>319</v>
      </c>
      <c r="G227" s="132" t="str">
        <f>INDEX(二三级标准!C:C,MATCH(数统二级标签!F227,二三级标准!$B:$B,0))</f>
        <v>制定统计TFLs模板</v>
      </c>
      <c r="H227" s="132" t="s">
        <v>3016</v>
      </c>
      <c r="I227" s="132" t="str">
        <f>INDEX(二三级标准!$M:$M,MATCH(数统二级标签!$H227,二三级标准!$L:$L,0))</f>
        <v>TLFs模板审核- Repeat</v>
      </c>
      <c r="J227" s="132" t="s">
        <v>2907</v>
      </c>
      <c r="K227" s="132" t="s">
        <v>638</v>
      </c>
      <c r="L227" s="156"/>
      <c r="M227" s="156">
        <v>0</v>
      </c>
      <c r="N227" s="156"/>
      <c r="O227" s="156"/>
      <c r="P227" s="156"/>
      <c r="Q227" s="156"/>
      <c r="R227" s="156"/>
      <c r="S227" s="156"/>
      <c r="T227" s="156"/>
    </row>
    <row r="228" ht="27" customHeight="1" spans="1:20">
      <c r="A228" s="154" t="str">
        <f>INDEX('Rate Card'!$A:$A,MATCH(数统二级标签!$K228,'Rate Card'!$F:$F,0))</f>
        <v>数统</v>
      </c>
      <c r="B228" s="154" t="str">
        <f t="shared" si="25"/>
        <v>A107ST</v>
      </c>
      <c r="C228" s="154" t="str">
        <f t="shared" si="26"/>
        <v>T0344ST</v>
      </c>
      <c r="D228" s="128" t="s">
        <v>924</v>
      </c>
      <c r="E228" s="128" t="str">
        <f>INDEX(二三级标准!$Q:$Q,MATCH(数统二级标签!D228,二三级标准!$O:$O,0))</f>
        <v>生物统计及分析</v>
      </c>
      <c r="F228" s="128" t="s">
        <v>319</v>
      </c>
      <c r="G228" s="128" t="str">
        <f>INDEX(二三级标准!C:C,MATCH(数统二级标签!F228,二三级标准!$B:$B,0))</f>
        <v>制定统计TFLs模板</v>
      </c>
      <c r="H228" s="128" t="s">
        <v>3017</v>
      </c>
      <c r="I228" s="128" t="str">
        <f>INDEX(二三级标准!$M:$M,MATCH(数统二级标签!$H228,二三级标准!$L:$L,0))</f>
        <v>TFLs模板的修订- Unique</v>
      </c>
      <c r="K228" s="128" t="s">
        <v>639</v>
      </c>
      <c r="L228" s="156">
        <v>0.2</v>
      </c>
      <c r="M228" s="156">
        <v>0.1</v>
      </c>
      <c r="N228" s="156">
        <v>0.125</v>
      </c>
      <c r="O228" s="156">
        <v>0.1875</v>
      </c>
      <c r="P228" s="156">
        <v>0.1875</v>
      </c>
      <c r="Q228" s="156">
        <v>0.1875</v>
      </c>
      <c r="R228" s="156">
        <v>0.1875</v>
      </c>
      <c r="S228" s="156">
        <v>0.1875</v>
      </c>
      <c r="T228" s="156">
        <v>0.1875</v>
      </c>
    </row>
    <row r="229" s="132" customFormat="1" ht="27" customHeight="1" spans="1:20">
      <c r="A229" s="163" t="str">
        <f>INDEX('Rate Card'!$A:$A,MATCH(数统二级标签!$K229,'Rate Card'!$F:$F,0))</f>
        <v>数统</v>
      </c>
      <c r="B229" s="154" t="str">
        <f t="shared" si="25"/>
        <v>A107ST</v>
      </c>
      <c r="C229" s="154" t="str">
        <f t="shared" si="26"/>
        <v>T0345ST</v>
      </c>
      <c r="D229" s="132" t="s">
        <v>924</v>
      </c>
      <c r="E229" s="132" t="str">
        <f>INDEX(二三级标准!$Q:$Q,MATCH(数统二级标签!D229,二三级标准!$O:$O,0))</f>
        <v>生物统计及分析</v>
      </c>
      <c r="F229" s="132" t="s">
        <v>319</v>
      </c>
      <c r="G229" s="132" t="str">
        <f>INDEX(二三级标准!C:C,MATCH(数统二级标签!F229,二三级标准!$B:$B,0))</f>
        <v>制定统计TFLs模板</v>
      </c>
      <c r="H229" s="132" t="s">
        <v>3018</v>
      </c>
      <c r="I229" s="132" t="str">
        <f>INDEX(二三级标准!$M:$M,MATCH(数统二级标签!$H229,二三级标准!$L:$L,0))</f>
        <v>TLFs模板的修改和定稿- Repeat</v>
      </c>
      <c r="J229" s="132" t="s">
        <v>2907</v>
      </c>
      <c r="K229" s="132" t="s">
        <v>639</v>
      </c>
      <c r="L229" s="156"/>
      <c r="M229" s="156">
        <v>0</v>
      </c>
      <c r="N229" s="156"/>
      <c r="O229" s="156"/>
      <c r="P229" s="156"/>
      <c r="Q229" s="156"/>
      <c r="R229" s="156"/>
      <c r="S229" s="156"/>
      <c r="T229" s="156"/>
    </row>
    <row r="230" ht="27" customHeight="1" spans="1:20">
      <c r="A230" s="154" t="str">
        <f>INDEX('Rate Card'!$A:$A,MATCH(数统二级标签!$K230,'Rate Card'!$F:$F,0))</f>
        <v>数统</v>
      </c>
      <c r="B230" s="154" t="str">
        <f t="shared" si="25"/>
        <v>A108SA</v>
      </c>
      <c r="C230" s="154" t="str">
        <f t="shared" si="26"/>
        <v>T0347SA</v>
      </c>
      <c r="D230" s="128" t="s">
        <v>924</v>
      </c>
      <c r="E230" s="128" t="str">
        <f>INDEX(二三级标准!$Q:$Q,MATCH(数统二级标签!D230,二三级标准!$O:$O,0))</f>
        <v>生物统计及分析</v>
      </c>
      <c r="F230" s="128" t="s">
        <v>321</v>
      </c>
      <c r="G230" s="128" t="str">
        <f>INDEX(二三级标准!C:C,MATCH(数统二级标签!F230,二三级标准!$B:$B,0))</f>
        <v>制作SDTM aCRF</v>
      </c>
      <c r="H230" s="128" t="s">
        <v>1487</v>
      </c>
      <c r="I230" s="128" t="str">
        <f>INDEX(二三级标准!$M:$M,MATCH(数统二级标签!$H230,二三级标准!$L:$L,0))</f>
        <v>制作SDTM aCRF</v>
      </c>
      <c r="J230" s="128" t="s">
        <v>2904</v>
      </c>
      <c r="K230" s="128" t="s">
        <v>635</v>
      </c>
      <c r="L230" s="165">
        <v>0.25</v>
      </c>
      <c r="M230" s="156">
        <v>10</v>
      </c>
      <c r="N230" s="156">
        <v>0.375</v>
      </c>
      <c r="O230" s="156">
        <v>0.375</v>
      </c>
      <c r="P230" s="156">
        <v>0.375</v>
      </c>
      <c r="Q230" s="156">
        <v>0.375</v>
      </c>
      <c r="R230" s="156">
        <v>0.375</v>
      </c>
      <c r="S230" s="156">
        <v>0.375</v>
      </c>
      <c r="T230" s="156">
        <v>0.375</v>
      </c>
    </row>
    <row r="231" ht="27" customHeight="1" spans="1:20">
      <c r="A231" s="154" t="str">
        <f>INDEX('Rate Card'!$A:$A,MATCH(数统二级标签!$K231,'Rate Card'!$F:$F,0))</f>
        <v>数统</v>
      </c>
      <c r="B231" s="154" t="str">
        <f t="shared" si="25"/>
        <v>A108SAM</v>
      </c>
      <c r="C231" s="154" t="str">
        <f t="shared" si="26"/>
        <v>T0348SAM</v>
      </c>
      <c r="D231" s="128" t="s">
        <v>924</v>
      </c>
      <c r="E231" s="128" t="str">
        <f>INDEX(二三级标准!$Q:$Q,MATCH(数统二级标签!D231,二三级标准!$O:$O,0))</f>
        <v>生物统计及分析</v>
      </c>
      <c r="F231" s="128" t="s">
        <v>321</v>
      </c>
      <c r="G231" s="128" t="str">
        <f>INDEX(二三级标准!C:C,MATCH(数统二级标签!F231,二三级标准!$B:$B,0))</f>
        <v>制作SDTM aCRF</v>
      </c>
      <c r="H231" s="128" t="s">
        <v>1488</v>
      </c>
      <c r="I231" s="128" t="str">
        <f>INDEX(二三级标准!$M:$M,MATCH(数统二级标签!$H231,二三级标准!$L:$L,0))</f>
        <v>审核SDTM aCRF</v>
      </c>
      <c r="J231" s="128" t="s">
        <v>2904</v>
      </c>
      <c r="K231" s="128" t="s">
        <v>638</v>
      </c>
      <c r="L231" s="165">
        <v>0.2</v>
      </c>
      <c r="M231" s="156">
        <v>6</v>
      </c>
      <c r="N231" s="156">
        <v>0.375</v>
      </c>
      <c r="O231" s="156">
        <v>0.375</v>
      </c>
      <c r="P231" s="156">
        <v>0.375</v>
      </c>
      <c r="Q231" s="156">
        <v>0.375</v>
      </c>
      <c r="R231" s="156">
        <v>0.375</v>
      </c>
      <c r="S231" s="156">
        <v>0.375</v>
      </c>
      <c r="T231" s="156">
        <v>0.375</v>
      </c>
    </row>
    <row r="232" ht="27" customHeight="1" spans="1:20">
      <c r="A232" s="154" t="str">
        <f>INDEX('Rate Card'!$A:$A,MATCH(数统二级标签!$K232,'Rate Card'!$F:$F,0))</f>
        <v>数统</v>
      </c>
      <c r="B232" s="154" t="str">
        <f t="shared" si="25"/>
        <v>A108SA</v>
      </c>
      <c r="C232" s="154" t="str">
        <f t="shared" si="26"/>
        <v>T0349SA</v>
      </c>
      <c r="D232" s="128" t="s">
        <v>924</v>
      </c>
      <c r="E232" s="128" t="str">
        <f>INDEX(二三级标准!$Q:$Q,MATCH(数统二级标签!D232,二三级标准!$O:$O,0))</f>
        <v>生物统计及分析</v>
      </c>
      <c r="F232" s="128" t="s">
        <v>321</v>
      </c>
      <c r="G232" s="128" t="str">
        <f>INDEX(二三级标准!C:C,MATCH(数统二级标签!F232,二三级标准!$B:$B,0))</f>
        <v>制作SDTM aCRF</v>
      </c>
      <c r="H232" s="128" t="s">
        <v>1489</v>
      </c>
      <c r="I232" s="128" t="str">
        <f>INDEX(二三级标准!$M:$M,MATCH(数统二级标签!$H232,二三级标准!$L:$L,0))</f>
        <v>编写SDTM数据集映射规范</v>
      </c>
      <c r="J232" s="128" t="s">
        <v>2904</v>
      </c>
      <c r="K232" s="128" t="s">
        <v>635</v>
      </c>
      <c r="L232" s="165">
        <v>1</v>
      </c>
      <c r="M232" s="156">
        <v>1</v>
      </c>
      <c r="N232" s="156">
        <v>1.5</v>
      </c>
      <c r="O232" s="156">
        <v>1.5</v>
      </c>
      <c r="P232" s="156">
        <v>2</v>
      </c>
      <c r="Q232" s="156">
        <v>2</v>
      </c>
      <c r="R232" s="156">
        <v>1.5</v>
      </c>
      <c r="S232" s="156">
        <v>1.5</v>
      </c>
      <c r="T232" s="156">
        <v>1.5</v>
      </c>
    </row>
    <row r="233" ht="27" customHeight="1" spans="1:20">
      <c r="A233" s="154" t="str">
        <f>INDEX('Rate Card'!$A:$A,MATCH(数统二级标签!$K233,'Rate Card'!$F:$F,0))</f>
        <v>数统</v>
      </c>
      <c r="B233" s="154" t="str">
        <f t="shared" si="25"/>
        <v>A108SA</v>
      </c>
      <c r="C233" s="154" t="str">
        <f t="shared" si="26"/>
        <v>T0350SA</v>
      </c>
      <c r="D233" s="128" t="s">
        <v>924</v>
      </c>
      <c r="E233" s="128" t="str">
        <f>INDEX(二三级标准!$Q:$Q,MATCH(数统二级标签!D233,二三级标准!$O:$O,0))</f>
        <v>生物统计及分析</v>
      </c>
      <c r="F233" s="128" t="s">
        <v>321</v>
      </c>
      <c r="G233" s="128" t="str">
        <f>INDEX(二三级标准!C:C,MATCH(数统二级标签!F233,二三级标准!$B:$B,0))</f>
        <v>制作SDTM aCRF</v>
      </c>
      <c r="H233" s="128" t="s">
        <v>1490</v>
      </c>
      <c r="I233" s="128" t="str">
        <f>INDEX(二三级标准!$M:$M,MATCH(数统二级标签!$H233,二三级标准!$L:$L,0))</f>
        <v>审核SDTM数据集映射规范</v>
      </c>
      <c r="J233" s="128" t="s">
        <v>2904</v>
      </c>
      <c r="K233" s="128" t="s">
        <v>635</v>
      </c>
      <c r="L233" s="165">
        <v>1</v>
      </c>
      <c r="M233" s="156">
        <v>1</v>
      </c>
      <c r="N233" s="156">
        <v>0.75</v>
      </c>
      <c r="O233" s="156">
        <v>0.75</v>
      </c>
      <c r="P233" s="156">
        <v>1</v>
      </c>
      <c r="Q233" s="156">
        <v>1</v>
      </c>
      <c r="R233" s="156">
        <v>0.75</v>
      </c>
      <c r="S233" s="156">
        <v>0.75</v>
      </c>
      <c r="T233" s="156">
        <v>0.75</v>
      </c>
    </row>
    <row r="234" ht="27" customHeight="1" spans="1:20">
      <c r="A234" s="154" t="str">
        <f>INDEX('Rate Card'!$A:$A,MATCH(数统二级标签!$K234,'Rate Card'!$F:$F,0))</f>
        <v>数统</v>
      </c>
      <c r="B234" s="154" t="str">
        <f t="shared" si="25"/>
        <v>A108SAM</v>
      </c>
      <c r="C234" s="154" t="str">
        <f t="shared" si="26"/>
        <v>T0350SAM</v>
      </c>
      <c r="D234" s="128" t="s">
        <v>924</v>
      </c>
      <c r="E234" s="128" t="str">
        <f>INDEX(二三级标准!$Q:$Q,MATCH(数统二级标签!D234,二三级标准!$O:$O,0))</f>
        <v>生物统计及分析</v>
      </c>
      <c r="F234" s="128" t="s">
        <v>321</v>
      </c>
      <c r="G234" s="128" t="str">
        <f>INDEX(二三级标准!C:C,MATCH(数统二级标签!F234,二三级标准!$B:$B,0))</f>
        <v>制作SDTM aCRF</v>
      </c>
      <c r="H234" s="128" t="s">
        <v>1490</v>
      </c>
      <c r="I234" s="128" t="str">
        <f>INDEX(二三级标准!$M:$M,MATCH(数统二级标签!$H234,二三级标准!$L:$L,0))</f>
        <v>审核SDTM数据集映射规范</v>
      </c>
      <c r="J234" s="128" t="s">
        <v>2904</v>
      </c>
      <c r="K234" s="128" t="s">
        <v>638</v>
      </c>
      <c r="L234" s="165">
        <v>0.1</v>
      </c>
      <c r="M234" s="156">
        <v>0.1</v>
      </c>
      <c r="N234" s="156">
        <v>0.375</v>
      </c>
      <c r="O234" s="156">
        <v>0.375</v>
      </c>
      <c r="P234" s="156">
        <v>0.375</v>
      </c>
      <c r="Q234" s="156">
        <v>0.375</v>
      </c>
      <c r="R234" s="156">
        <v>0.375</v>
      </c>
      <c r="S234" s="156">
        <v>0.375</v>
      </c>
      <c r="T234" s="156">
        <v>0.375</v>
      </c>
    </row>
    <row r="235" ht="27" customHeight="1" spans="1:20">
      <c r="A235" s="154" t="str">
        <f>INDEX('Rate Card'!$A:$A,MATCH(数统二级标签!$K235,'Rate Card'!$F:$F,0))</f>
        <v>数统</v>
      </c>
      <c r="B235" s="154" t="str">
        <f t="shared" si="25"/>
        <v>A109SA</v>
      </c>
      <c r="C235" s="154" t="str">
        <f t="shared" si="26"/>
        <v>T0351SA</v>
      </c>
      <c r="D235" s="128" t="s">
        <v>924</v>
      </c>
      <c r="E235" s="128" t="str">
        <f>INDEX(二三级标准!$Q:$Q,MATCH(数统二级标签!D235,二三级标准!$O:$O,0))</f>
        <v>生物统计及分析</v>
      </c>
      <c r="F235" s="128" t="s">
        <v>323</v>
      </c>
      <c r="G235" s="128" t="str">
        <f>INDEX(二三级标准!C:C,MATCH(数统二级标签!F235,二三级标准!$B:$B,0))</f>
        <v>生成SDTM数据集</v>
      </c>
      <c r="H235" s="128" t="s">
        <v>1491</v>
      </c>
      <c r="I235" s="128" t="str">
        <f>INDEX(二三级标准!$M:$M,MATCH(数统二级标签!$H235,二三级标准!$L:$L,0))</f>
        <v>产生SDTM数据集</v>
      </c>
      <c r="J235" s="128" t="s">
        <v>2904</v>
      </c>
      <c r="K235" s="128" t="s">
        <v>635</v>
      </c>
      <c r="L235" s="156">
        <v>2</v>
      </c>
      <c r="M235" s="156">
        <v>2</v>
      </c>
      <c r="N235" s="156">
        <v>2.25</v>
      </c>
      <c r="O235" s="156">
        <v>2.25</v>
      </c>
      <c r="P235" s="156">
        <v>3</v>
      </c>
      <c r="Q235" s="156">
        <v>3</v>
      </c>
      <c r="R235" s="156">
        <v>2.25</v>
      </c>
      <c r="S235" s="156">
        <v>2.25</v>
      </c>
      <c r="T235" s="156">
        <v>2.25</v>
      </c>
    </row>
    <row r="236" ht="27" customHeight="1" spans="1:20">
      <c r="A236" s="154" t="str">
        <f>INDEX('Rate Card'!$A:$A,MATCH(数统二级标签!$K236,'Rate Card'!$F:$F,0))</f>
        <v>数统</v>
      </c>
      <c r="B236" s="154" t="str">
        <f t="shared" si="25"/>
        <v>A109SA</v>
      </c>
      <c r="C236" s="154" t="str">
        <f t="shared" si="26"/>
        <v>T0352SA</v>
      </c>
      <c r="D236" s="128" t="s">
        <v>924</v>
      </c>
      <c r="E236" s="128" t="str">
        <f>INDEX(二三级标准!$Q:$Q,MATCH(数统二级标签!D236,二三级标准!$O:$O,0))</f>
        <v>生物统计及分析</v>
      </c>
      <c r="F236" s="128" t="s">
        <v>323</v>
      </c>
      <c r="G236" s="128" t="str">
        <f>INDEX(二三级标准!C:C,MATCH(数统二级标签!F236,二三级标准!$B:$B,0))</f>
        <v>生成SDTM数据集</v>
      </c>
      <c r="H236" s="128" t="s">
        <v>1492</v>
      </c>
      <c r="I236" s="128" t="str">
        <f>INDEX(二三级标准!$M:$M,MATCH(数统二级标签!$H236,二三级标准!$L:$L,0))</f>
        <v>验证SDTM数据集</v>
      </c>
      <c r="J236" s="128" t="s">
        <v>2904</v>
      </c>
      <c r="K236" s="128" t="s">
        <v>635</v>
      </c>
      <c r="L236" s="156">
        <v>2</v>
      </c>
      <c r="M236" s="156">
        <v>2</v>
      </c>
      <c r="N236" s="156">
        <v>2.25</v>
      </c>
      <c r="O236" s="156">
        <v>2.25</v>
      </c>
      <c r="P236" s="156">
        <v>3</v>
      </c>
      <c r="Q236" s="156">
        <v>3</v>
      </c>
      <c r="R236" s="156">
        <v>2.25</v>
      </c>
      <c r="S236" s="156">
        <v>2.25</v>
      </c>
      <c r="T236" s="156">
        <v>2.25</v>
      </c>
    </row>
    <row r="237" ht="27" customHeight="1" spans="1:20">
      <c r="A237" s="154" t="str">
        <f>INDEX('Rate Card'!$A:$A,MATCH(数统二级标签!$K237,'Rate Card'!$F:$F,0))</f>
        <v>数统</v>
      </c>
      <c r="B237" s="154" t="str">
        <f t="shared" si="25"/>
        <v>A109SAM</v>
      </c>
      <c r="C237" s="154" t="str">
        <f t="shared" si="26"/>
        <v>T0353SAM</v>
      </c>
      <c r="D237" s="128" t="s">
        <v>924</v>
      </c>
      <c r="E237" s="128" t="str">
        <f>INDEX(二三级标准!$Q:$Q,MATCH(数统二级标签!D237,二三级标准!$O:$O,0))</f>
        <v>生物统计及分析</v>
      </c>
      <c r="F237" s="128" t="s">
        <v>323</v>
      </c>
      <c r="G237" s="128" t="str">
        <f>INDEX(二三级标准!C:C,MATCH(数统二级标签!F237,二三级标准!$B:$B,0))</f>
        <v>生成SDTM数据集</v>
      </c>
      <c r="H237" s="128" t="s">
        <v>3019</v>
      </c>
      <c r="I237" s="128" t="str">
        <f>INDEX(二三级标准!$M:$M,MATCH(数统二级标签!$H237,二三级标准!$L:$L,0))</f>
        <v>审核SDTM数据集</v>
      </c>
      <c r="J237" s="128" t="s">
        <v>2904</v>
      </c>
      <c r="K237" s="128" t="s">
        <v>638</v>
      </c>
      <c r="L237" s="156">
        <v>0.1</v>
      </c>
      <c r="M237" s="156">
        <v>0.1</v>
      </c>
      <c r="N237" s="156">
        <v>0.375</v>
      </c>
      <c r="O237" s="156">
        <v>0.375</v>
      </c>
      <c r="P237" s="156">
        <v>0.375</v>
      </c>
      <c r="Q237" s="156">
        <v>0.375</v>
      </c>
      <c r="R237" s="156">
        <v>0.375</v>
      </c>
      <c r="S237" s="156">
        <v>0.375</v>
      </c>
      <c r="T237" s="156">
        <v>0.375</v>
      </c>
    </row>
    <row r="238" ht="27" customHeight="1" spans="1:20">
      <c r="A238" s="154" t="str">
        <f>INDEX('Rate Card'!$A:$A,MATCH(数统二级标签!$K238,'Rate Card'!$F:$F,0))</f>
        <v>数统</v>
      </c>
      <c r="B238" s="154" t="str">
        <f t="shared" si="25"/>
        <v>A109ST</v>
      </c>
      <c r="C238" s="154" t="str">
        <f t="shared" si="26"/>
        <v>T0353ST</v>
      </c>
      <c r="D238" s="128" t="s">
        <v>924</v>
      </c>
      <c r="E238" s="128" t="str">
        <f>INDEX(二三级标准!$Q:$Q,MATCH(数统二级标签!D238,二三级标准!$O:$O,0))</f>
        <v>生物统计及分析</v>
      </c>
      <c r="F238" s="128" t="s">
        <v>323</v>
      </c>
      <c r="G238" s="128" t="str">
        <f>INDEX(二三级标准!C:C,MATCH(数统二级标签!F238,二三级标准!$B:$B,0))</f>
        <v>生成SDTM数据集</v>
      </c>
      <c r="H238" s="128" t="s">
        <v>3019</v>
      </c>
      <c r="I238" s="128" t="str">
        <f>INDEX(二三级标准!$M:$M,MATCH(数统二级标签!$H238,二三级标准!$L:$L,0))</f>
        <v>审核SDTM数据集</v>
      </c>
      <c r="J238" s="128" t="s">
        <v>2904</v>
      </c>
      <c r="K238" s="128" t="s">
        <v>639</v>
      </c>
      <c r="L238" s="156">
        <v>1.5</v>
      </c>
      <c r="M238" s="156">
        <v>1.5</v>
      </c>
      <c r="N238" s="156">
        <v>2.25</v>
      </c>
      <c r="O238" s="156">
        <v>2.25</v>
      </c>
      <c r="P238" s="156">
        <v>2.25</v>
      </c>
      <c r="Q238" s="156">
        <v>2.25</v>
      </c>
      <c r="R238" s="156">
        <v>2.25</v>
      </c>
      <c r="S238" s="156">
        <v>2.25</v>
      </c>
      <c r="T238" s="156">
        <v>2.25</v>
      </c>
    </row>
    <row r="239" ht="27" customHeight="1" spans="1:20">
      <c r="A239" s="154" t="str">
        <f>INDEX('Rate Card'!$A:$A,MATCH(数统二级标签!$K239,'Rate Card'!$F:$F,0))</f>
        <v>数统</v>
      </c>
      <c r="B239" s="154" t="str">
        <f t="shared" si="25"/>
        <v>A109SA</v>
      </c>
      <c r="C239" s="154" t="str">
        <f t="shared" si="26"/>
        <v>T0354SA</v>
      </c>
      <c r="D239" s="128" t="s">
        <v>924</v>
      </c>
      <c r="E239" s="128" t="str">
        <f>INDEX(二三级标准!$Q:$Q,MATCH(数统二级标签!D239,二三级标准!$O:$O,0))</f>
        <v>生物统计及分析</v>
      </c>
      <c r="F239" s="128" t="s">
        <v>323</v>
      </c>
      <c r="G239" s="128" t="str">
        <f>INDEX(二三级标准!C:C,MATCH(数统二级标签!F239,二三级标准!$B:$B,0))</f>
        <v>生成SDTM数据集</v>
      </c>
      <c r="H239" s="128" t="s">
        <v>1493</v>
      </c>
      <c r="I239" s="128" t="str">
        <f>INDEX(二三级标准!$M:$M,MATCH(数统二级标签!$H239,二三级标准!$L:$L,0))</f>
        <v>转换SDTM数据集 - XPT格式</v>
      </c>
      <c r="J239" s="128" t="s">
        <v>2904</v>
      </c>
      <c r="K239" s="128" t="s">
        <v>635</v>
      </c>
      <c r="L239" s="156">
        <v>0.1</v>
      </c>
      <c r="M239" s="156">
        <v>0.05</v>
      </c>
      <c r="N239" s="156">
        <v>0.15</v>
      </c>
      <c r="O239" s="156">
        <v>0.15</v>
      </c>
      <c r="P239" s="156">
        <v>0.15</v>
      </c>
      <c r="Q239" s="156">
        <v>0.15</v>
      </c>
      <c r="R239" s="156">
        <v>0.15</v>
      </c>
      <c r="S239" s="156">
        <v>0.15</v>
      </c>
      <c r="T239" s="156">
        <v>0.15</v>
      </c>
    </row>
    <row r="240" s="132" customFormat="1" ht="27" customHeight="1" spans="1:20">
      <c r="A240" s="163" t="str">
        <f>INDEX('Rate Card'!$A:$A,MATCH(数统二级标签!$K240,'Rate Card'!$F:$F,0))</f>
        <v>数统</v>
      </c>
      <c r="B240" s="163" t="str">
        <f t="shared" si="25"/>
        <v>A109SA</v>
      </c>
      <c r="C240" s="163" t="str">
        <f t="shared" si="26"/>
        <v>T0355SA</v>
      </c>
      <c r="D240" s="132" t="s">
        <v>924</v>
      </c>
      <c r="E240" s="132" t="str">
        <f>INDEX(二三级标准!$Q:$Q,MATCH(数统二级标签!D240,二三级标准!$O:$O,0))</f>
        <v>生物统计及分析</v>
      </c>
      <c r="F240" s="132" t="s">
        <v>323</v>
      </c>
      <c r="G240" s="132" t="str">
        <f>INDEX(二三级标准!C:C,MATCH(数统二级标签!F240,二三级标准!$B:$B,0))</f>
        <v>生成SDTM数据集</v>
      </c>
      <c r="H240" s="132" t="s">
        <v>3020</v>
      </c>
      <c r="I240" s="132" t="str">
        <f>INDEX(二三级标准!$M:$M,MATCH(数统二级标签!$H240,二三级标准!$L:$L,0))</f>
        <v>审核SDTM数据集 - XPT格式</v>
      </c>
      <c r="J240" s="132" t="s">
        <v>2937</v>
      </c>
      <c r="K240" s="132" t="s">
        <v>635</v>
      </c>
      <c r="L240" s="164"/>
      <c r="M240" s="164">
        <v>0</v>
      </c>
      <c r="N240" s="164">
        <v>0.15</v>
      </c>
      <c r="O240" s="164">
        <v>0.15</v>
      </c>
      <c r="P240" s="164">
        <v>0.15</v>
      </c>
      <c r="Q240" s="164">
        <v>0.15</v>
      </c>
      <c r="R240" s="164">
        <v>0.15</v>
      </c>
      <c r="S240" s="164">
        <v>0.15</v>
      </c>
      <c r="T240" s="164">
        <v>0.15</v>
      </c>
    </row>
    <row r="241" ht="27" customHeight="1" spans="1:20">
      <c r="A241" s="154" t="str">
        <f>INDEX('Rate Card'!$A:$A,MATCH(数统二级标签!$K241,'Rate Card'!$F:$F,0))</f>
        <v>数统</v>
      </c>
      <c r="B241" s="154" t="str">
        <f t="shared" si="25"/>
        <v>A109SA</v>
      </c>
      <c r="C241" s="154" t="str">
        <f t="shared" si="26"/>
        <v>T0356SA</v>
      </c>
      <c r="D241" s="128" t="s">
        <v>924</v>
      </c>
      <c r="E241" s="128" t="str">
        <f>INDEX(二三级标准!$Q:$Q,MATCH(数统二级标签!D241,二三级标准!$O:$O,0))</f>
        <v>生物统计及分析</v>
      </c>
      <c r="F241" s="128" t="s">
        <v>323</v>
      </c>
      <c r="G241" s="128" t="str">
        <f>INDEX(二三级标准!C:C,MATCH(数统二级标签!F241,二三级标准!$B:$B,0))</f>
        <v>生成SDTM数据集</v>
      </c>
      <c r="H241" s="128" t="s">
        <v>1494</v>
      </c>
      <c r="I241" s="128" t="str">
        <f>INDEX(二三级标准!$M:$M,MATCH(数统二级标签!$H241,二三级标准!$L:$L,0))</f>
        <v>检查SDTM数据集合规</v>
      </c>
      <c r="K241" s="128" t="s">
        <v>635</v>
      </c>
      <c r="L241" s="156">
        <v>0.5</v>
      </c>
      <c r="M241" s="156">
        <v>0.5</v>
      </c>
      <c r="N241" s="156">
        <v>0.75</v>
      </c>
      <c r="O241" s="156">
        <v>0.75</v>
      </c>
      <c r="P241" s="156">
        <v>0.75</v>
      </c>
      <c r="Q241" s="156">
        <v>0.75</v>
      </c>
      <c r="R241" s="156">
        <v>0.75</v>
      </c>
      <c r="S241" s="156">
        <v>0.75</v>
      </c>
      <c r="T241" s="156">
        <v>0.75</v>
      </c>
    </row>
    <row r="242" ht="27" customHeight="1" spans="1:20">
      <c r="A242" s="154" t="str">
        <f>INDEX('Rate Card'!$A:$A,MATCH(数统二级标签!$K242,'Rate Card'!$F:$F,0))</f>
        <v>数统</v>
      </c>
      <c r="B242" s="154" t="str">
        <f t="shared" si="25"/>
        <v>A110SA</v>
      </c>
      <c r="C242" s="154" t="str">
        <f t="shared" si="26"/>
        <v>T0357SA</v>
      </c>
      <c r="D242" s="128" t="s">
        <v>924</v>
      </c>
      <c r="E242" s="128" t="str">
        <f>INDEX(二三级标准!$Q:$Q,MATCH(数统二级标签!D242,二三级标准!$O:$O,0))</f>
        <v>生物统计及分析</v>
      </c>
      <c r="F242" s="128" t="s">
        <v>325</v>
      </c>
      <c r="G242" s="128" t="str">
        <f>INDEX(二三级标准!C:C,MATCH(数统二级标签!F242,二三级标准!$B:$B,0))</f>
        <v>撰写分析数据集衍生规范</v>
      </c>
      <c r="H242" s="128" t="s">
        <v>1495</v>
      </c>
      <c r="I242" s="128" t="str">
        <f>INDEX(二三级标准!$M:$M,MATCH(数统二级标签!$H242,二三级标准!$L:$L,0))</f>
        <v>编写分析数据集衍生规范</v>
      </c>
      <c r="K242" s="128" t="s">
        <v>635</v>
      </c>
      <c r="L242" s="156">
        <v>2</v>
      </c>
      <c r="M242" s="156">
        <v>1.5</v>
      </c>
      <c r="N242" s="156">
        <v>3</v>
      </c>
      <c r="O242" s="156">
        <v>3</v>
      </c>
      <c r="P242" s="156">
        <v>3</v>
      </c>
      <c r="Q242" s="156">
        <v>3</v>
      </c>
      <c r="R242" s="156">
        <v>3</v>
      </c>
      <c r="S242" s="156">
        <v>3</v>
      </c>
      <c r="T242" s="156">
        <v>3</v>
      </c>
    </row>
    <row r="243" ht="27" customHeight="1" spans="1:20">
      <c r="A243" s="154" t="str">
        <f>INDEX('Rate Card'!$A:$A,MATCH(数统二级标签!$K243,'Rate Card'!$F:$F,0))</f>
        <v>数统</v>
      </c>
      <c r="B243" s="154" t="str">
        <f t="shared" si="25"/>
        <v>A110SA</v>
      </c>
      <c r="C243" s="154" t="str">
        <f t="shared" si="26"/>
        <v>T0358SA</v>
      </c>
      <c r="D243" s="128" t="s">
        <v>924</v>
      </c>
      <c r="E243" s="128" t="str">
        <f>INDEX(二三级标准!$Q:$Q,MATCH(数统二级标签!D243,二三级标准!$O:$O,0))</f>
        <v>生物统计及分析</v>
      </c>
      <c r="F243" s="128" t="s">
        <v>325</v>
      </c>
      <c r="G243" s="128" t="str">
        <f>INDEX(二三级标准!C:C,MATCH(数统二级标签!F243,二三级标准!$B:$B,0))</f>
        <v>撰写分析数据集衍生规范</v>
      </c>
      <c r="H243" s="128" t="s">
        <v>1496</v>
      </c>
      <c r="I243" s="128" t="str">
        <f>INDEX(二三级标准!$M:$M,MATCH(数统二级标签!$H243,二三级标准!$L:$L,0))</f>
        <v>审核分析数据集衍生规范</v>
      </c>
      <c r="J243" s="128" t="s">
        <v>2904</v>
      </c>
      <c r="K243" s="128" t="s">
        <v>635</v>
      </c>
      <c r="M243" s="156">
        <v>1.5</v>
      </c>
      <c r="N243" s="156">
        <v>2</v>
      </c>
      <c r="O243" s="156">
        <v>2.25</v>
      </c>
      <c r="P243" s="156">
        <v>2</v>
      </c>
      <c r="Q243" s="156">
        <v>3</v>
      </c>
      <c r="R243" s="156">
        <v>2.25</v>
      </c>
      <c r="S243" s="156">
        <v>3</v>
      </c>
      <c r="T243" s="156">
        <v>1.5</v>
      </c>
    </row>
    <row r="244" ht="27" customHeight="1" spans="1:20">
      <c r="A244" s="154" t="str">
        <f>INDEX('Rate Card'!$A:$A,MATCH(数统二级标签!$K244,'Rate Card'!$F:$F,0))</f>
        <v>数统</v>
      </c>
      <c r="B244" s="154" t="str">
        <f t="shared" si="25"/>
        <v>A110SAM</v>
      </c>
      <c r="C244" s="154" t="str">
        <f t="shared" si="26"/>
        <v>T0358SAM</v>
      </c>
      <c r="D244" s="128" t="s">
        <v>924</v>
      </c>
      <c r="E244" s="128" t="str">
        <f>INDEX(二三级标准!$Q:$Q,MATCH(数统二级标签!D244,二三级标准!$O:$O,0))</f>
        <v>生物统计及分析</v>
      </c>
      <c r="F244" s="128" t="s">
        <v>325</v>
      </c>
      <c r="G244" s="128" t="str">
        <f>INDEX(二三级标准!C:C,MATCH(数统二级标签!F244,二三级标准!$B:$B,0))</f>
        <v>撰写分析数据集衍生规范</v>
      </c>
      <c r="H244" s="128" t="s">
        <v>1496</v>
      </c>
      <c r="I244" s="128" t="str">
        <f>INDEX(二三级标准!$M:$M,MATCH(数统二级标签!$H244,二三级标准!$L:$L,0))</f>
        <v>审核分析数据集衍生规范</v>
      </c>
      <c r="K244" s="128" t="s">
        <v>638</v>
      </c>
      <c r="L244" s="156">
        <v>0.3</v>
      </c>
      <c r="M244" s="156">
        <v>0.2</v>
      </c>
      <c r="N244" s="156">
        <v>0.5</v>
      </c>
      <c r="O244" s="156">
        <v>0.375</v>
      </c>
      <c r="P244" s="156">
        <v>0.75</v>
      </c>
      <c r="Q244" s="156">
        <v>0.75</v>
      </c>
      <c r="R244" s="156">
        <v>0.375</v>
      </c>
      <c r="S244" s="156">
        <v>0.5</v>
      </c>
      <c r="T244" s="156">
        <v>0.5</v>
      </c>
    </row>
    <row r="245" ht="27" customHeight="1" spans="1:20">
      <c r="A245" s="154" t="str">
        <f>INDEX('Rate Card'!$A:$A,MATCH(数统二级标签!$K245,'Rate Card'!$F:$F,0))</f>
        <v>数统</v>
      </c>
      <c r="B245" s="154" t="str">
        <f t="shared" si="25"/>
        <v>A110ST</v>
      </c>
      <c r="C245" s="154" t="str">
        <f t="shared" si="26"/>
        <v>T0358ST</v>
      </c>
      <c r="D245" s="128" t="s">
        <v>924</v>
      </c>
      <c r="E245" s="128" t="str">
        <f>INDEX(二三级标准!$Q:$Q,MATCH(数统二级标签!D245,二三级标准!$O:$O,0))</f>
        <v>生物统计及分析</v>
      </c>
      <c r="F245" s="128" t="s">
        <v>325</v>
      </c>
      <c r="G245" s="128" t="str">
        <f>INDEX(二三级标准!C:C,MATCH(数统二级标签!F245,二三级标准!$B:$B,0))</f>
        <v>撰写分析数据集衍生规范</v>
      </c>
      <c r="H245" s="128" t="s">
        <v>1496</v>
      </c>
      <c r="I245" s="128" t="str">
        <f>INDEX(二三级标准!$M:$M,MATCH(数统二级标签!$H245,二三级标准!$L:$L,0))</f>
        <v>审核分析数据集衍生规范</v>
      </c>
      <c r="J245" s="128" t="s">
        <v>2904</v>
      </c>
      <c r="K245" s="128" t="s">
        <v>639</v>
      </c>
      <c r="L245" s="156">
        <v>0.4</v>
      </c>
      <c r="M245" s="156">
        <v>0.75</v>
      </c>
      <c r="N245" s="156">
        <v>0.5</v>
      </c>
      <c r="O245" s="156">
        <v>0.75</v>
      </c>
      <c r="P245" s="156">
        <v>0.75</v>
      </c>
      <c r="Q245" s="156">
        <v>0.75</v>
      </c>
      <c r="R245" s="156">
        <v>0.75</v>
      </c>
      <c r="S245" s="156">
        <v>0.75</v>
      </c>
      <c r="T245" s="156">
        <v>0.75</v>
      </c>
    </row>
    <row r="246" ht="27" customHeight="1" spans="1:20">
      <c r="A246" s="154" t="str">
        <f>INDEX('Rate Card'!$A:$A,MATCH(数统二级标签!$K246,'Rate Card'!$F:$F,0))</f>
        <v>数统</v>
      </c>
      <c r="B246" s="154" t="str">
        <f t="shared" si="25"/>
        <v>A111SA</v>
      </c>
      <c r="C246" s="154" t="str">
        <f t="shared" si="26"/>
        <v>T0359SA</v>
      </c>
      <c r="D246" s="128" t="s">
        <v>924</v>
      </c>
      <c r="E246" s="128" t="str">
        <f>INDEX(二三级标准!$Q:$Q,MATCH(数统二级标签!D246,二三级标准!$O:$O,0))</f>
        <v>生物统计及分析</v>
      </c>
      <c r="F246" s="128" t="s">
        <v>327</v>
      </c>
      <c r="G246" s="128" t="str">
        <f>INDEX(二三级标准!C:C,MATCH(数统二级标签!F246,二三级标准!$B:$B,0))</f>
        <v>生成分析数据集</v>
      </c>
      <c r="H246" s="128" t="s">
        <v>1497</v>
      </c>
      <c r="I246" s="128" t="str">
        <f>INDEX(二三级标准!$M:$M,MATCH(数统二级标签!$H246,二三级标准!$L:$L,0))</f>
        <v>产生分析数据集</v>
      </c>
      <c r="J246" s="128" t="s">
        <v>2904</v>
      </c>
      <c r="K246" s="128" t="s">
        <v>635</v>
      </c>
      <c r="L246" s="156">
        <v>3</v>
      </c>
      <c r="M246" s="156">
        <v>3</v>
      </c>
      <c r="N246" s="156">
        <v>2.6</v>
      </c>
      <c r="O246" s="156">
        <v>3</v>
      </c>
      <c r="P246" s="156">
        <v>4</v>
      </c>
      <c r="Q246" s="156">
        <v>4</v>
      </c>
      <c r="R246" s="156">
        <v>3</v>
      </c>
      <c r="S246" s="156">
        <v>3</v>
      </c>
      <c r="T246" s="156">
        <v>3</v>
      </c>
    </row>
    <row r="247" ht="27" customHeight="1" spans="1:20">
      <c r="A247" s="154" t="str">
        <f>INDEX('Rate Card'!$A:$A,MATCH(数统二级标签!$K247,'Rate Card'!$F:$F,0))</f>
        <v>数统</v>
      </c>
      <c r="B247" s="154" t="str">
        <f t="shared" si="25"/>
        <v>A111SA</v>
      </c>
      <c r="C247" s="154" t="str">
        <f t="shared" si="26"/>
        <v>T0360SA</v>
      </c>
      <c r="D247" s="128" t="s">
        <v>924</v>
      </c>
      <c r="E247" s="128" t="str">
        <f>INDEX(二三级标准!$Q:$Q,MATCH(数统二级标签!D247,二三级标准!$O:$O,0))</f>
        <v>生物统计及分析</v>
      </c>
      <c r="F247" s="128" t="s">
        <v>327</v>
      </c>
      <c r="G247" s="128" t="str">
        <f>INDEX(二三级标准!C:C,MATCH(数统二级标签!F247,二三级标准!$B:$B,0))</f>
        <v>生成分析数据集</v>
      </c>
      <c r="H247" s="128" t="s">
        <v>1498</v>
      </c>
      <c r="I247" s="128" t="str">
        <f>INDEX(二三级标准!$M:$M,MATCH(数统二级标签!$H247,二三级标准!$L:$L,0))</f>
        <v>验证分析数据集</v>
      </c>
      <c r="J247" s="128" t="s">
        <v>2904</v>
      </c>
      <c r="K247" s="128" t="s">
        <v>635</v>
      </c>
      <c r="L247" s="156">
        <v>3</v>
      </c>
      <c r="M247" s="156">
        <v>3</v>
      </c>
      <c r="N247" s="156">
        <v>2.6</v>
      </c>
      <c r="O247" s="156">
        <v>3</v>
      </c>
      <c r="P247" s="156">
        <v>4</v>
      </c>
      <c r="Q247" s="156">
        <v>4</v>
      </c>
      <c r="R247" s="156">
        <v>3</v>
      </c>
      <c r="S247" s="156">
        <v>3</v>
      </c>
      <c r="T247" s="156">
        <v>3</v>
      </c>
    </row>
    <row r="248" ht="27" customHeight="1" spans="1:20">
      <c r="A248" s="154" t="str">
        <f>INDEX('Rate Card'!$A:$A,MATCH(数统二级标签!$K248,'Rate Card'!$F:$F,0))</f>
        <v>数统</v>
      </c>
      <c r="B248" s="154" t="str">
        <f t="shared" si="25"/>
        <v>A111SAM</v>
      </c>
      <c r="C248" s="154" t="str">
        <f t="shared" si="26"/>
        <v>T0361SAM</v>
      </c>
      <c r="D248" s="128" t="s">
        <v>924</v>
      </c>
      <c r="E248" s="128" t="str">
        <f>INDEX(二三级标准!$Q:$Q,MATCH(数统二级标签!D248,二三级标准!$O:$O,0))</f>
        <v>生物统计及分析</v>
      </c>
      <c r="F248" s="128" t="s">
        <v>327</v>
      </c>
      <c r="G248" s="128" t="str">
        <f>INDEX(二三级标准!C:C,MATCH(数统二级标签!F248,二三级标准!$B:$B,0))</f>
        <v>生成分析数据集</v>
      </c>
      <c r="H248" s="128" t="s">
        <v>1499</v>
      </c>
      <c r="I248" s="128" t="str">
        <f>INDEX(二三级标准!$M:$M,MATCH(数统二级标签!$H248,二三级标准!$L:$L,0))</f>
        <v>审核分析数据集</v>
      </c>
      <c r="K248" s="128" t="s">
        <v>638</v>
      </c>
      <c r="L248" s="156">
        <v>0.2</v>
      </c>
      <c r="M248" s="156">
        <v>0.2</v>
      </c>
      <c r="N248" s="156">
        <v>0.5</v>
      </c>
      <c r="O248" s="156">
        <v>0.375</v>
      </c>
      <c r="P248" s="156">
        <v>0.75</v>
      </c>
      <c r="Q248" s="156">
        <v>0.75</v>
      </c>
      <c r="R248" s="156">
        <v>0.375</v>
      </c>
      <c r="S248" s="156">
        <v>0.5</v>
      </c>
      <c r="T248" s="156">
        <v>0.5</v>
      </c>
    </row>
    <row r="249" ht="27" customHeight="1" spans="1:20">
      <c r="A249" s="154" t="str">
        <f>INDEX('Rate Card'!$A:$A,MATCH(数统二级标签!$K249,'Rate Card'!$F:$F,0))</f>
        <v>数统</v>
      </c>
      <c r="B249" s="154" t="str">
        <f t="shared" si="25"/>
        <v>A111ST</v>
      </c>
      <c r="C249" s="154" t="str">
        <f t="shared" si="26"/>
        <v>T0361ST</v>
      </c>
      <c r="D249" s="128" t="s">
        <v>924</v>
      </c>
      <c r="E249" s="128" t="str">
        <f>INDEX(二三级标准!$Q:$Q,MATCH(数统二级标签!D249,二三级标准!$O:$O,0))</f>
        <v>生物统计及分析</v>
      </c>
      <c r="F249" s="128" t="s">
        <v>327</v>
      </c>
      <c r="G249" s="128" t="str">
        <f>INDEX(二三级标准!C:C,MATCH(数统二级标签!F249,二三级标准!$B:$B,0))</f>
        <v>生成分析数据集</v>
      </c>
      <c r="H249" s="128" t="s">
        <v>1499</v>
      </c>
      <c r="I249" s="128" t="str">
        <f>INDEX(二三级标准!$M:$M,MATCH(数统二级标签!$H249,二三级标准!$L:$L,0))</f>
        <v>审核分析数据集</v>
      </c>
      <c r="J249" s="128" t="s">
        <v>2904</v>
      </c>
      <c r="K249" s="128" t="s">
        <v>639</v>
      </c>
      <c r="L249" s="156">
        <v>0.4</v>
      </c>
      <c r="M249" s="156">
        <v>0.75</v>
      </c>
      <c r="N249" s="156">
        <v>0.5</v>
      </c>
      <c r="O249" s="156">
        <v>0.75</v>
      </c>
      <c r="P249" s="156">
        <v>0.75</v>
      </c>
      <c r="Q249" s="156">
        <v>0.75</v>
      </c>
      <c r="R249" s="156">
        <v>0.75</v>
      </c>
      <c r="S249" s="156">
        <v>0.75</v>
      </c>
      <c r="T249" s="156">
        <v>0.75</v>
      </c>
    </row>
    <row r="250" ht="27" customHeight="1" spans="1:20">
      <c r="A250" s="154" t="str">
        <f>INDEX('Rate Card'!$A:$A,MATCH(数统二级标签!$K250,'Rate Card'!$F:$F,0))</f>
        <v>数统</v>
      </c>
      <c r="B250" s="154" t="str">
        <f t="shared" si="25"/>
        <v>A111SA</v>
      </c>
      <c r="C250" s="154" t="str">
        <f t="shared" si="26"/>
        <v>T0362SA</v>
      </c>
      <c r="D250" s="128" t="s">
        <v>924</v>
      </c>
      <c r="E250" s="128" t="str">
        <f>INDEX(二三级标准!$Q:$Q,MATCH(数统二级标签!D250,二三级标准!$O:$O,0))</f>
        <v>生物统计及分析</v>
      </c>
      <c r="F250" s="128" t="s">
        <v>327</v>
      </c>
      <c r="G250" s="128" t="str">
        <f>INDEX(二三级标准!C:C,MATCH(数统二级标签!F250,二三级标准!$B:$B,0))</f>
        <v>生成分析数据集</v>
      </c>
      <c r="H250" s="128" t="s">
        <v>1500</v>
      </c>
      <c r="I250" s="128" t="str">
        <f>INDEX(二三级标准!$M:$M,MATCH(数统二级标签!$H250,二三级标准!$L:$L,0))</f>
        <v>转换分析数据集 - XPT格式</v>
      </c>
      <c r="J250" s="128" t="s">
        <v>2904</v>
      </c>
      <c r="K250" s="128" t="s">
        <v>635</v>
      </c>
      <c r="M250" s="156">
        <v>0.05</v>
      </c>
      <c r="N250" s="156">
        <v>0.13</v>
      </c>
      <c r="O250" s="156">
        <v>0.15</v>
      </c>
      <c r="P250" s="156">
        <v>0.15</v>
      </c>
      <c r="Q250" s="156">
        <v>0.15</v>
      </c>
      <c r="R250" s="156">
        <v>0.15</v>
      </c>
      <c r="S250" s="156">
        <v>0.15</v>
      </c>
      <c r="T250" s="156">
        <v>0.15</v>
      </c>
    </row>
    <row r="251" s="132" customFormat="1" ht="27" customHeight="1" spans="1:20">
      <c r="A251" s="163" t="str">
        <f>INDEX('Rate Card'!$A:$A,MATCH(数统二级标签!$K251,'Rate Card'!$F:$F,0))</f>
        <v>数统</v>
      </c>
      <c r="B251" s="163" t="str">
        <f t="shared" si="25"/>
        <v>A111SA</v>
      </c>
      <c r="C251" s="163" t="str">
        <f t="shared" si="26"/>
        <v>T0363SA</v>
      </c>
      <c r="D251" s="132" t="s">
        <v>924</v>
      </c>
      <c r="E251" s="132" t="str">
        <f>INDEX(二三级标准!$Q:$Q,MATCH(数统二级标签!D251,二三级标准!$O:$O,0))</f>
        <v>生物统计及分析</v>
      </c>
      <c r="F251" s="132" t="s">
        <v>327</v>
      </c>
      <c r="G251" s="132" t="str">
        <f>INDEX(二三级标准!C:C,MATCH(数统二级标签!F251,二三级标准!$B:$B,0))</f>
        <v>生成分析数据集</v>
      </c>
      <c r="H251" s="132" t="s">
        <v>3021</v>
      </c>
      <c r="I251" s="132" t="str">
        <f>INDEX(二三级标准!$M:$M,MATCH(数统二级标签!$H251,二三级标准!$L:$L,0))</f>
        <v>审核分析数据集 - XPT格式</v>
      </c>
      <c r="J251" s="132" t="s">
        <v>2937</v>
      </c>
      <c r="K251" s="132" t="s">
        <v>635</v>
      </c>
      <c r="L251" s="156">
        <v>0</v>
      </c>
      <c r="M251" s="164">
        <v>0</v>
      </c>
      <c r="N251" s="164">
        <v>0.13</v>
      </c>
      <c r="O251" s="164">
        <v>0.15</v>
      </c>
      <c r="P251" s="164">
        <v>0.15</v>
      </c>
      <c r="Q251" s="164">
        <v>0.15</v>
      </c>
      <c r="R251" s="164">
        <v>0.15</v>
      </c>
      <c r="S251" s="164">
        <v>0.15</v>
      </c>
      <c r="T251" s="164">
        <v>0.15</v>
      </c>
    </row>
    <row r="252" ht="27" customHeight="1" spans="1:20">
      <c r="A252" s="154" t="str">
        <f>INDEX('Rate Card'!$A:$A,MATCH(数统二级标签!$K252,'Rate Card'!$F:$F,0))</f>
        <v>数统</v>
      </c>
      <c r="B252" s="154" t="str">
        <f t="shared" si="25"/>
        <v>A111SA</v>
      </c>
      <c r="C252" s="154" t="str">
        <f t="shared" si="26"/>
        <v>T0364SA</v>
      </c>
      <c r="D252" s="128" t="s">
        <v>924</v>
      </c>
      <c r="E252" s="128" t="str">
        <f>INDEX(二三级标准!$Q:$Q,MATCH(数统二级标签!D252,二三级标准!$O:$O,0))</f>
        <v>生物统计及分析</v>
      </c>
      <c r="F252" s="128" t="s">
        <v>327</v>
      </c>
      <c r="G252" s="128" t="str">
        <f>INDEX(二三级标准!C:C,MATCH(数统二级标签!F252,二三级标准!$B:$B,0))</f>
        <v>生成分析数据集</v>
      </c>
      <c r="H252" s="128" t="s">
        <v>1501</v>
      </c>
      <c r="I252" s="128" t="str">
        <f>INDEX(二三级标准!$M:$M,MATCH(数统二级标签!$H252,二三级标准!$L:$L,0))</f>
        <v>检查ADaM数据集合规</v>
      </c>
      <c r="K252" s="128" t="s">
        <v>635</v>
      </c>
      <c r="L252" s="156">
        <v>1</v>
      </c>
      <c r="M252" s="156">
        <v>1</v>
      </c>
      <c r="N252" s="156">
        <v>1.5</v>
      </c>
      <c r="O252" s="156">
        <v>1.5</v>
      </c>
      <c r="P252" s="156">
        <v>1.5</v>
      </c>
      <c r="Q252" s="156">
        <v>1.5</v>
      </c>
      <c r="R252" s="156">
        <v>1.5</v>
      </c>
      <c r="S252" s="156">
        <v>1.5</v>
      </c>
      <c r="T252" s="156">
        <v>1.5</v>
      </c>
    </row>
    <row r="253" ht="27" customHeight="1" spans="1:20">
      <c r="A253" s="154" t="str">
        <f>INDEX('Rate Card'!$A:$A,MATCH(数统二级标签!$K253,'Rate Card'!$F:$F,0))</f>
        <v>数统</v>
      </c>
      <c r="B253" s="154" t="str">
        <f t="shared" si="25"/>
        <v>A112SA</v>
      </c>
      <c r="C253" s="154" t="str">
        <f t="shared" si="26"/>
        <v>T0365SA</v>
      </c>
      <c r="D253" s="128" t="s">
        <v>924</v>
      </c>
      <c r="E253" s="128" t="str">
        <f>INDEX(二三级标准!$Q:$Q,MATCH(数统二级标签!D253,二三级标准!$O:$O,0))</f>
        <v>生物统计及分析</v>
      </c>
      <c r="F253" s="128" t="s">
        <v>329</v>
      </c>
      <c r="G253" s="128" t="str">
        <f>INDEX(二三级标准!C:C,MATCH(数统二级标签!F253,二三级标准!$B:$B,0))</f>
        <v>生成统计TFLs</v>
      </c>
      <c r="H253" s="128" t="s">
        <v>3022</v>
      </c>
      <c r="I253" s="128" t="str">
        <f>INDEX(二三级标准!$M:$M,MATCH(数统二级标签!$H253,二三级标准!$L:$L,0))</f>
        <v>产生统计图表 - Unique</v>
      </c>
      <c r="K253" s="128" t="s">
        <v>635</v>
      </c>
      <c r="L253" s="156">
        <v>3</v>
      </c>
      <c r="M253" s="156">
        <v>2.5</v>
      </c>
      <c r="N253" s="156">
        <v>2</v>
      </c>
      <c r="O253" s="156">
        <v>2.25</v>
      </c>
      <c r="P253" s="156">
        <v>3</v>
      </c>
      <c r="Q253" s="156">
        <v>3</v>
      </c>
      <c r="R253" s="156">
        <v>2.25</v>
      </c>
      <c r="S253" s="156">
        <v>2.25</v>
      </c>
      <c r="T253" s="156">
        <v>2.25</v>
      </c>
    </row>
    <row r="254" ht="27" customHeight="1" spans="1:20">
      <c r="A254" s="154" t="str">
        <f>INDEX('Rate Card'!$A:$A,MATCH(数统二级标签!$K254,'Rate Card'!$F:$F,0))</f>
        <v>数统</v>
      </c>
      <c r="B254" s="154" t="str">
        <f t="shared" si="25"/>
        <v>A112SA</v>
      </c>
      <c r="C254" s="154" t="str">
        <f t="shared" si="26"/>
        <v>T0366SA</v>
      </c>
      <c r="D254" s="128" t="s">
        <v>924</v>
      </c>
      <c r="E254" s="128" t="str">
        <f>INDEX(二三级标准!$Q:$Q,MATCH(数统二级标签!D254,二三级标准!$O:$O,0))</f>
        <v>生物统计及分析</v>
      </c>
      <c r="F254" s="128" t="s">
        <v>329</v>
      </c>
      <c r="G254" s="128" t="str">
        <f>INDEX(二三级标准!C:C,MATCH(数统二级标签!F254,二三级标准!$B:$B,0))</f>
        <v>生成统计TFLs</v>
      </c>
      <c r="H254" s="128" t="s">
        <v>3023</v>
      </c>
      <c r="I254" s="128" t="str">
        <f>INDEX(二三级标准!$M:$M,MATCH(数统二级标签!$H254,二三级标准!$L:$L,0))</f>
        <v>验证统计图表 - Unique</v>
      </c>
      <c r="K254" s="128" t="s">
        <v>635</v>
      </c>
      <c r="L254" s="156">
        <v>3</v>
      </c>
      <c r="M254" s="156">
        <v>2.5</v>
      </c>
      <c r="N254" s="156">
        <v>2</v>
      </c>
      <c r="O254" s="156">
        <v>2.25</v>
      </c>
      <c r="P254" s="156">
        <v>3</v>
      </c>
      <c r="Q254" s="156">
        <v>3</v>
      </c>
      <c r="R254" s="156">
        <v>2.25</v>
      </c>
      <c r="S254" s="156">
        <v>2.25</v>
      </c>
      <c r="T254" s="156">
        <v>2.25</v>
      </c>
    </row>
    <row r="255" ht="27" customHeight="1" spans="1:20">
      <c r="A255" s="154" t="str">
        <f>INDEX('Rate Card'!$A:$A,MATCH(数统二级标签!$K255,'Rate Card'!$F:$F,0))</f>
        <v>数统</v>
      </c>
      <c r="B255" s="154" t="str">
        <f t="shared" si="25"/>
        <v>A112SAM</v>
      </c>
      <c r="C255" s="154" t="str">
        <f t="shared" si="26"/>
        <v>T0367SAM</v>
      </c>
      <c r="D255" s="128" t="s">
        <v>924</v>
      </c>
      <c r="E255" s="128" t="str">
        <f>INDEX(二三级标准!$Q:$Q,MATCH(数统二级标签!D255,二三级标准!$O:$O,0))</f>
        <v>生物统计及分析</v>
      </c>
      <c r="F255" s="128" t="s">
        <v>329</v>
      </c>
      <c r="G255" s="128" t="str">
        <f>INDEX(二三级标准!C:C,MATCH(数统二级标签!F255,二三级标准!$B:$B,0))</f>
        <v>生成统计TFLs</v>
      </c>
      <c r="H255" s="128" t="s">
        <v>3024</v>
      </c>
      <c r="I255" s="128" t="str">
        <f>INDEX(二三级标准!$M:$M,MATCH(数统二级标签!$H255,二三级标准!$L:$L,0))</f>
        <v>审核统计图表 - Unique</v>
      </c>
      <c r="K255" s="128" t="s">
        <v>638</v>
      </c>
      <c r="L255" s="156">
        <v>0.25</v>
      </c>
      <c r="M255" s="156">
        <v>0.2</v>
      </c>
      <c r="N255" s="156">
        <v>0.5</v>
      </c>
      <c r="O255" s="156">
        <v>0.375</v>
      </c>
      <c r="P255" s="156">
        <v>0.75</v>
      </c>
      <c r="Q255" s="156">
        <v>0.75</v>
      </c>
      <c r="R255" s="156">
        <v>0.375</v>
      </c>
      <c r="S255" s="156">
        <v>0.5</v>
      </c>
      <c r="T255" s="156">
        <v>0.5</v>
      </c>
    </row>
    <row r="256" ht="27" customHeight="1" spans="1:20">
      <c r="A256" s="154" t="str">
        <f>INDEX('Rate Card'!$A:$A,MATCH(数统二级标签!$K256,'Rate Card'!$F:$F,0))</f>
        <v>数统</v>
      </c>
      <c r="B256" s="154" t="str">
        <f t="shared" si="25"/>
        <v>A112ST</v>
      </c>
      <c r="C256" s="154" t="str">
        <f t="shared" si="26"/>
        <v>T0367ST</v>
      </c>
      <c r="D256" s="128" t="s">
        <v>924</v>
      </c>
      <c r="E256" s="128" t="str">
        <f>INDEX(二三级标准!$Q:$Q,MATCH(数统二级标签!D256,二三级标准!$O:$O,0))</f>
        <v>生物统计及分析</v>
      </c>
      <c r="F256" s="128" t="s">
        <v>329</v>
      </c>
      <c r="G256" s="128" t="str">
        <f>INDEX(二三级标准!C:C,MATCH(数统二级标签!F256,二三级标准!$B:$B,0))</f>
        <v>生成统计TFLs</v>
      </c>
      <c r="H256" s="128" t="s">
        <v>3024</v>
      </c>
      <c r="I256" s="128" t="str">
        <f>INDEX(二三级标准!$M:$M,MATCH(数统二级标签!$H256,二三级标准!$L:$L,0))</f>
        <v>审核统计图表 - Unique</v>
      </c>
      <c r="K256" s="128" t="s">
        <v>639</v>
      </c>
      <c r="L256" s="156">
        <v>0.35</v>
      </c>
      <c r="M256" s="156">
        <v>0.3</v>
      </c>
      <c r="N256" s="156">
        <v>0.25</v>
      </c>
      <c r="O256" s="156">
        <v>0.375</v>
      </c>
      <c r="P256" s="156">
        <v>0.375</v>
      </c>
      <c r="Q256" s="156">
        <v>0.375</v>
      </c>
      <c r="R256" s="156">
        <v>0.375</v>
      </c>
      <c r="S256" s="156">
        <v>0.375</v>
      </c>
      <c r="T256" s="156">
        <v>0.375</v>
      </c>
    </row>
    <row r="257" ht="27" customHeight="1" spans="1:20">
      <c r="A257" s="154" t="str">
        <f>INDEX('Rate Card'!$A:$A,MATCH(数统二级标签!$K257,'Rate Card'!$F:$F,0))</f>
        <v>数统</v>
      </c>
      <c r="B257" s="154" t="str">
        <f t="shared" si="25"/>
        <v>A112SA</v>
      </c>
      <c r="C257" s="154" t="str">
        <f t="shared" si="26"/>
        <v>T0368SA</v>
      </c>
      <c r="D257" s="128" t="s">
        <v>924</v>
      </c>
      <c r="E257" s="128" t="str">
        <f>INDEX(二三级标准!$Q:$Q,MATCH(数统二级标签!D257,二三级标准!$O:$O,0))</f>
        <v>生物统计及分析</v>
      </c>
      <c r="F257" s="128" t="s">
        <v>329</v>
      </c>
      <c r="G257" s="128" t="str">
        <f>INDEX(二三级标准!C:C,MATCH(数统二级标签!F257,二三级标准!$B:$B,0))</f>
        <v>生成统计TFLs</v>
      </c>
      <c r="H257" s="128" t="s">
        <v>3025</v>
      </c>
      <c r="I257" s="128" t="str">
        <f>INDEX(二三级标准!$M:$M,MATCH(数统二级标签!$H257,二三级标准!$L:$L,0))</f>
        <v>产生统计图表 - Repeated</v>
      </c>
      <c r="K257" s="128" t="s">
        <v>635</v>
      </c>
      <c r="L257" s="156">
        <v>0.5</v>
      </c>
      <c r="M257" s="156">
        <v>0.5</v>
      </c>
      <c r="N257" s="156">
        <v>0.65</v>
      </c>
      <c r="O257" s="156">
        <v>0.75</v>
      </c>
      <c r="P257" s="156">
        <v>0.75</v>
      </c>
      <c r="Q257" s="156">
        <v>0.75</v>
      </c>
      <c r="R257" s="156">
        <v>0.75</v>
      </c>
      <c r="S257" s="156">
        <v>0.75</v>
      </c>
      <c r="T257" s="156">
        <v>0.75</v>
      </c>
    </row>
    <row r="258" ht="27" customHeight="1" spans="1:20">
      <c r="A258" s="154" t="str">
        <f>INDEX('Rate Card'!$A:$A,MATCH(数统二级标签!$K258,'Rate Card'!$F:$F,0))</f>
        <v>数统</v>
      </c>
      <c r="B258" s="154" t="str">
        <f t="shared" si="25"/>
        <v>A112SA</v>
      </c>
      <c r="C258" s="154" t="str">
        <f t="shared" si="26"/>
        <v>T0369SA</v>
      </c>
      <c r="D258" s="128" t="s">
        <v>924</v>
      </c>
      <c r="E258" s="128" t="str">
        <f>INDEX(二三级标准!$Q:$Q,MATCH(数统二级标签!D258,二三级标准!$O:$O,0))</f>
        <v>生物统计及分析</v>
      </c>
      <c r="F258" s="128" t="s">
        <v>329</v>
      </c>
      <c r="G258" s="128" t="str">
        <f>INDEX(二三级标准!C:C,MATCH(数统二级标签!F258,二三级标准!$B:$B,0))</f>
        <v>生成统计TFLs</v>
      </c>
      <c r="H258" s="128" t="s">
        <v>3026</v>
      </c>
      <c r="I258" s="128" t="str">
        <f>INDEX(二三级标准!$M:$M,MATCH(数统二级标签!$H258,二三级标准!$L:$L,0))</f>
        <v>验证统计图表 - Repeated</v>
      </c>
      <c r="K258" s="128" t="s">
        <v>635</v>
      </c>
      <c r="L258" s="156">
        <v>0.5</v>
      </c>
      <c r="M258" s="156">
        <v>0.5</v>
      </c>
      <c r="N258" s="156">
        <v>0.75</v>
      </c>
      <c r="O258" s="156">
        <v>0.75</v>
      </c>
      <c r="P258" s="156">
        <v>0.75</v>
      </c>
      <c r="Q258" s="156">
        <v>0.75</v>
      </c>
      <c r="R258" s="156">
        <v>0.75</v>
      </c>
      <c r="S258" s="156">
        <v>0.75</v>
      </c>
      <c r="T258" s="156">
        <v>0.75</v>
      </c>
    </row>
    <row r="259" ht="27" customHeight="1" spans="1:20">
      <c r="A259" s="154" t="str">
        <f>INDEX('Rate Card'!$A:$A,MATCH(数统二级标签!$K259,'Rate Card'!$F:$F,0))</f>
        <v>数统</v>
      </c>
      <c r="B259" s="154" t="str">
        <f t="shared" si="25"/>
        <v>A112SAM</v>
      </c>
      <c r="C259" s="154" t="str">
        <f t="shared" si="26"/>
        <v>T0370SAM</v>
      </c>
      <c r="D259" s="128" t="s">
        <v>924</v>
      </c>
      <c r="E259" s="128" t="str">
        <f>INDEX(二三级标准!$Q:$Q,MATCH(数统二级标签!D259,二三级标准!$O:$O,0))</f>
        <v>生物统计及分析</v>
      </c>
      <c r="F259" s="128" t="s">
        <v>329</v>
      </c>
      <c r="G259" s="128" t="str">
        <f>INDEX(二三级标准!C:C,MATCH(数统二级标签!F259,二三级标准!$B:$B,0))</f>
        <v>生成统计TFLs</v>
      </c>
      <c r="H259" s="128" t="s">
        <v>3027</v>
      </c>
      <c r="I259" s="128" t="str">
        <f>INDEX(二三级标准!$M:$M,MATCH(数统二级标签!$H259,二三级标准!$L:$L,0))</f>
        <v>审核统计图表 - Repeated</v>
      </c>
      <c r="K259" s="128" t="s">
        <v>638</v>
      </c>
      <c r="L259" s="156">
        <v>0.1</v>
      </c>
      <c r="M259" s="156">
        <v>0.1</v>
      </c>
      <c r="N259" s="156">
        <v>0.2</v>
      </c>
      <c r="O259" s="156">
        <v>0.375</v>
      </c>
      <c r="P259" s="156">
        <v>0.375</v>
      </c>
      <c r="Q259" s="156">
        <v>0.375</v>
      </c>
      <c r="R259" s="156">
        <v>0.375</v>
      </c>
      <c r="S259" s="156">
        <v>0.2</v>
      </c>
      <c r="T259" s="156">
        <v>0.2</v>
      </c>
    </row>
    <row r="260" ht="27" customHeight="1" spans="1:20">
      <c r="A260" s="154" t="str">
        <f>INDEX('Rate Card'!$A:$A,MATCH(数统二级标签!$K260,'Rate Card'!$F:$F,0))</f>
        <v>数统</v>
      </c>
      <c r="B260" s="154" t="str">
        <f t="shared" si="25"/>
        <v>A112ST</v>
      </c>
      <c r="C260" s="154" t="str">
        <f t="shared" si="26"/>
        <v>T0370ST</v>
      </c>
      <c r="D260" s="128" t="s">
        <v>924</v>
      </c>
      <c r="E260" s="128" t="str">
        <f>INDEX(二三级标准!$Q:$Q,MATCH(数统二级标签!D260,二三级标准!$O:$O,0))</f>
        <v>生物统计及分析</v>
      </c>
      <c r="F260" s="128" t="s">
        <v>329</v>
      </c>
      <c r="G260" s="128" t="str">
        <f>INDEX(二三级标准!C:C,MATCH(数统二级标签!F260,二三级标准!$B:$B,0))</f>
        <v>生成统计TFLs</v>
      </c>
      <c r="H260" s="128" t="s">
        <v>3027</v>
      </c>
      <c r="I260" s="128" t="str">
        <f>INDEX(二三级标准!$M:$M,MATCH(数统二级标签!$H260,二三级标准!$L:$L,0))</f>
        <v>审核统计图表 - Repeated</v>
      </c>
      <c r="K260" s="128" t="s">
        <v>639</v>
      </c>
      <c r="L260" s="156">
        <v>0.1</v>
      </c>
      <c r="M260" s="156">
        <v>0.1</v>
      </c>
      <c r="N260" s="156">
        <v>0.2</v>
      </c>
      <c r="O260" s="156">
        <v>0.225</v>
      </c>
      <c r="P260" s="156">
        <v>0.225</v>
      </c>
      <c r="Q260" s="156">
        <v>0.225</v>
      </c>
      <c r="R260" s="156">
        <v>0.225</v>
      </c>
      <c r="S260" s="156">
        <v>0.2</v>
      </c>
      <c r="T260" s="156">
        <v>0.2</v>
      </c>
    </row>
    <row r="261" ht="27" customHeight="1" spans="1:20">
      <c r="A261" s="154" t="str">
        <f>INDEX('Rate Card'!$A:$A,MATCH(数统二级标签!$K261,'Rate Card'!$F:$F,0))</f>
        <v>数统</v>
      </c>
      <c r="B261" s="154" t="str">
        <f t="shared" ref="B261:B264" si="31">F261&amp;K261</f>
        <v>A112SA</v>
      </c>
      <c r="C261" s="154" t="str">
        <f t="shared" ref="C261:C264" si="32">H261&amp;K261</f>
        <v>T0624SA</v>
      </c>
      <c r="D261" s="128" t="s">
        <v>924</v>
      </c>
      <c r="E261" s="128" t="str">
        <f>INDEX(二三级标准!$Q:$Q,MATCH(数统二级标签!D261,二三级标准!$O:$O,0))</f>
        <v>生物统计及分析</v>
      </c>
      <c r="F261" s="128" t="s">
        <v>329</v>
      </c>
      <c r="G261" s="128" t="str">
        <f>INDEX(二三级标准!C:C,MATCH(数统二级标签!F261,二三级标准!$B:$B,0))</f>
        <v>生成统计TFLs</v>
      </c>
      <c r="H261" s="128" t="s">
        <v>3028</v>
      </c>
      <c r="I261" s="128" t="str">
        <f>INDEX(二三级标准!$M:$M,MATCH(数统二级标签!$H261,二三级标准!$L:$L,0))</f>
        <v>产生统计列表</v>
      </c>
      <c r="J261" s="128" t="s">
        <v>2902</v>
      </c>
      <c r="K261" s="128" t="s">
        <v>635</v>
      </c>
      <c r="L261" s="156">
        <v>0.6</v>
      </c>
      <c r="M261" s="156">
        <v>0.6</v>
      </c>
      <c r="N261" s="156">
        <v>0.2</v>
      </c>
      <c r="O261" s="156">
        <v>0.225</v>
      </c>
      <c r="P261" s="156">
        <v>0.225</v>
      </c>
      <c r="Q261" s="156">
        <v>0.225</v>
      </c>
      <c r="R261" s="156">
        <v>0.225</v>
      </c>
      <c r="S261" s="156">
        <v>0.2</v>
      </c>
      <c r="T261" s="156">
        <v>0.2</v>
      </c>
    </row>
    <row r="262" ht="27" customHeight="1" spans="1:20">
      <c r="A262" s="154" t="str">
        <f>INDEX('Rate Card'!$A:$A,MATCH(数统二级标签!$K262,'Rate Card'!$F:$F,0))</f>
        <v>数统</v>
      </c>
      <c r="B262" s="154" t="str">
        <f t="shared" si="31"/>
        <v>A112SA</v>
      </c>
      <c r="C262" s="154" t="str">
        <f t="shared" si="32"/>
        <v>T0625SA</v>
      </c>
      <c r="D262" s="128" t="s">
        <v>924</v>
      </c>
      <c r="E262" s="128" t="str">
        <f>INDEX(二三级标准!$Q:$Q,MATCH(数统二级标签!D262,二三级标准!$O:$O,0))</f>
        <v>生物统计及分析</v>
      </c>
      <c r="F262" s="128" t="s">
        <v>329</v>
      </c>
      <c r="G262" s="128" t="str">
        <f>INDEX(二三级标准!C:C,MATCH(数统二级标签!F262,二三级标准!$B:$B,0))</f>
        <v>生成统计TFLs</v>
      </c>
      <c r="H262" s="128" t="s">
        <v>3029</v>
      </c>
      <c r="I262" s="128" t="str">
        <f>INDEX(二三级标准!$M:$M,MATCH(数统二级标签!$H262,二三级标准!$L:$L,0))</f>
        <v>验证统计列表 </v>
      </c>
      <c r="J262" s="128" t="s">
        <v>2902</v>
      </c>
      <c r="K262" s="128" t="s">
        <v>635</v>
      </c>
      <c r="L262" s="156">
        <v>0.6</v>
      </c>
      <c r="M262" s="156">
        <v>0.6</v>
      </c>
      <c r="N262" s="156">
        <v>0.2</v>
      </c>
      <c r="O262" s="156">
        <v>0.225</v>
      </c>
      <c r="P262" s="156">
        <v>0.225</v>
      </c>
      <c r="Q262" s="156">
        <v>0.225</v>
      </c>
      <c r="R262" s="156">
        <v>0.225</v>
      </c>
      <c r="S262" s="156">
        <v>0.2</v>
      </c>
      <c r="T262" s="156">
        <v>0.2</v>
      </c>
    </row>
    <row r="263" ht="27" customHeight="1" spans="1:20">
      <c r="A263" s="154" t="str">
        <f>INDEX('Rate Card'!$A:$A,MATCH(数统二级标签!$K263,'Rate Card'!$F:$F,0))</f>
        <v>数统</v>
      </c>
      <c r="B263" s="154" t="str">
        <f t="shared" si="31"/>
        <v>A112SAM</v>
      </c>
      <c r="C263" s="154" t="str">
        <f t="shared" si="32"/>
        <v>T0626SAM</v>
      </c>
      <c r="D263" s="128" t="s">
        <v>924</v>
      </c>
      <c r="E263" s="128" t="str">
        <f>INDEX(二三级标准!$Q:$Q,MATCH(数统二级标签!D263,二三级标准!$O:$O,0))</f>
        <v>生物统计及分析</v>
      </c>
      <c r="F263" s="128" t="s">
        <v>329</v>
      </c>
      <c r="G263" s="128" t="str">
        <f>INDEX(二三级标准!C:C,MATCH(数统二级标签!F263,二三级标准!$B:$B,0))</f>
        <v>生成统计TFLs</v>
      </c>
      <c r="H263" s="128" t="s">
        <v>3030</v>
      </c>
      <c r="I263" s="128" t="str">
        <f>INDEX(二三级标准!$M:$M,MATCH(数统二级标签!$H263,二三级标准!$L:$L,0))</f>
        <v>审核统计列表</v>
      </c>
      <c r="J263" s="128" t="s">
        <v>2902</v>
      </c>
      <c r="K263" s="128" t="s">
        <v>638</v>
      </c>
      <c r="L263" s="156">
        <v>0.15</v>
      </c>
      <c r="M263" s="156">
        <v>0.1</v>
      </c>
      <c r="N263" s="156">
        <v>0.2</v>
      </c>
      <c r="O263" s="156">
        <v>0.225</v>
      </c>
      <c r="P263" s="156">
        <v>0.225</v>
      </c>
      <c r="Q263" s="156">
        <v>0.225</v>
      </c>
      <c r="R263" s="156">
        <v>0.225</v>
      </c>
      <c r="S263" s="156">
        <v>0.2</v>
      </c>
      <c r="T263" s="156">
        <v>0.2</v>
      </c>
    </row>
    <row r="264" ht="27" customHeight="1" spans="1:20">
      <c r="A264" s="154" t="str">
        <f>INDEX('Rate Card'!$A:$A,MATCH(数统二级标签!$K264,'Rate Card'!$F:$F,0))</f>
        <v>数统</v>
      </c>
      <c r="B264" s="154" t="str">
        <f t="shared" si="31"/>
        <v>A112ST</v>
      </c>
      <c r="C264" s="154" t="str">
        <f t="shared" si="32"/>
        <v>T0626ST</v>
      </c>
      <c r="D264" s="128" t="s">
        <v>924</v>
      </c>
      <c r="E264" s="128" t="str">
        <f>INDEX(二三级标准!$Q:$Q,MATCH(数统二级标签!D264,二三级标准!$O:$O,0))</f>
        <v>生物统计及分析</v>
      </c>
      <c r="F264" s="128" t="s">
        <v>329</v>
      </c>
      <c r="G264" s="128" t="str">
        <f>INDEX(二三级标准!C:C,MATCH(数统二级标签!F264,二三级标准!$B:$B,0))</f>
        <v>生成统计TFLs</v>
      </c>
      <c r="H264" s="128" t="s">
        <v>3030</v>
      </c>
      <c r="I264" s="128" t="str">
        <f>INDEX(二三级标准!$M:$M,MATCH(数统二级标签!$H264,二三级标准!$L:$L,0))</f>
        <v>审核统计列表</v>
      </c>
      <c r="J264" s="128" t="s">
        <v>2902</v>
      </c>
      <c r="K264" s="128" t="s">
        <v>639</v>
      </c>
      <c r="L264" s="156">
        <v>0.15</v>
      </c>
      <c r="M264" s="156">
        <v>0.1</v>
      </c>
      <c r="N264" s="156">
        <v>0.2</v>
      </c>
      <c r="O264" s="156">
        <v>0.225</v>
      </c>
      <c r="P264" s="156">
        <v>0.225</v>
      </c>
      <c r="Q264" s="156">
        <v>0.225</v>
      </c>
      <c r="R264" s="156">
        <v>0.225</v>
      </c>
      <c r="S264" s="156">
        <v>0.2</v>
      </c>
      <c r="T264" s="156">
        <v>0.2</v>
      </c>
    </row>
    <row r="265" ht="27" customHeight="1" spans="1:20">
      <c r="A265" s="154" t="str">
        <f>INDEX('Rate Card'!$A:$A,MATCH(数统二级标签!$K265,'Rate Card'!$F:$F,0))</f>
        <v>数统</v>
      </c>
      <c r="B265" s="154" t="str">
        <f t="shared" si="25"/>
        <v>A113SA</v>
      </c>
      <c r="C265" s="154" t="str">
        <f t="shared" si="26"/>
        <v>T0371SA</v>
      </c>
      <c r="D265" s="128" t="s">
        <v>924</v>
      </c>
      <c r="E265" s="128" t="str">
        <f>INDEX(二三级标准!$Q:$Q,MATCH(数统二级标签!D265,二三级标准!$O:$O,0))</f>
        <v>生物统计及分析</v>
      </c>
      <c r="F265" s="128" t="s">
        <v>331</v>
      </c>
      <c r="G265" s="128" t="str">
        <f>INDEX(二三级标准!C:C,MATCH(数统二级标签!F265,二三级标准!$B:$B,0))</f>
        <v>生成PK统计TFLs</v>
      </c>
      <c r="H265" s="128" t="s">
        <v>3031</v>
      </c>
      <c r="I265" s="128" t="str">
        <f>INDEX(二三级标准!$M:$M,MATCH(数统二级标签!$H265,二三级标准!$L:$L,0))</f>
        <v>产生PK统计图表 - Unique</v>
      </c>
      <c r="K265" s="128" t="s">
        <v>635</v>
      </c>
      <c r="L265" s="156">
        <v>3</v>
      </c>
      <c r="M265" s="156">
        <v>2.5</v>
      </c>
      <c r="N265" s="156">
        <v>2</v>
      </c>
      <c r="O265" s="156">
        <v>2.25</v>
      </c>
      <c r="P265" s="156">
        <v>3</v>
      </c>
      <c r="Q265" s="156">
        <v>3</v>
      </c>
      <c r="R265" s="156">
        <v>2.25</v>
      </c>
      <c r="S265" s="156">
        <v>2.25</v>
      </c>
      <c r="T265" s="156">
        <v>2.25</v>
      </c>
    </row>
    <row r="266" ht="27" customHeight="1" spans="1:20">
      <c r="A266" s="154" t="str">
        <f>INDEX('Rate Card'!$A:$A,MATCH(数统二级标签!$K266,'Rate Card'!$F:$F,0))</f>
        <v>数统</v>
      </c>
      <c r="B266" s="154" t="str">
        <f t="shared" si="25"/>
        <v>A113SA</v>
      </c>
      <c r="C266" s="154" t="str">
        <f t="shared" si="26"/>
        <v>T0372SA</v>
      </c>
      <c r="D266" s="128" t="s">
        <v>924</v>
      </c>
      <c r="E266" s="128" t="str">
        <f>INDEX(二三级标准!$Q:$Q,MATCH(数统二级标签!D266,二三级标准!$O:$O,0))</f>
        <v>生物统计及分析</v>
      </c>
      <c r="F266" s="128" t="s">
        <v>331</v>
      </c>
      <c r="G266" s="128" t="str">
        <f>INDEX(二三级标准!C:C,MATCH(数统二级标签!F266,二三级标准!$B:$B,0))</f>
        <v>生成PK统计TFLs</v>
      </c>
      <c r="H266" s="128" t="s">
        <v>3032</v>
      </c>
      <c r="I266" s="128" t="str">
        <f>INDEX(二三级标准!$M:$M,MATCH(数统二级标签!$H266,二三级标准!$L:$L,0))</f>
        <v>验证PK统计图表 - Unique</v>
      </c>
      <c r="K266" s="128" t="s">
        <v>635</v>
      </c>
      <c r="L266" s="156">
        <v>3</v>
      </c>
      <c r="M266" s="156">
        <v>2.5</v>
      </c>
      <c r="N266" s="156">
        <v>2</v>
      </c>
      <c r="O266" s="156">
        <v>2.25</v>
      </c>
      <c r="P266" s="156">
        <v>3</v>
      </c>
      <c r="Q266" s="156">
        <v>3</v>
      </c>
      <c r="R266" s="156">
        <v>2.25</v>
      </c>
      <c r="S266" s="156">
        <v>2.25</v>
      </c>
      <c r="T266" s="156">
        <v>2.25</v>
      </c>
    </row>
    <row r="267" ht="27" customHeight="1" spans="1:20">
      <c r="A267" s="154" t="str">
        <f>INDEX('Rate Card'!$A:$A,MATCH(数统二级标签!$K267,'Rate Card'!$F:$F,0))</f>
        <v>数统</v>
      </c>
      <c r="B267" s="154" t="str">
        <f t="shared" si="25"/>
        <v>A113SAM</v>
      </c>
      <c r="C267" s="154" t="str">
        <f t="shared" si="26"/>
        <v>T0373SAM</v>
      </c>
      <c r="D267" s="128" t="s">
        <v>924</v>
      </c>
      <c r="E267" s="128" t="str">
        <f>INDEX(二三级标准!$Q:$Q,MATCH(数统二级标签!D267,二三级标准!$O:$O,0))</f>
        <v>生物统计及分析</v>
      </c>
      <c r="F267" s="128" t="s">
        <v>331</v>
      </c>
      <c r="G267" s="128" t="str">
        <f>INDEX(二三级标准!C:C,MATCH(数统二级标签!F267,二三级标准!$B:$B,0))</f>
        <v>生成PK统计TFLs</v>
      </c>
      <c r="H267" s="128" t="s">
        <v>3033</v>
      </c>
      <c r="I267" s="128" t="str">
        <f>INDEX(二三级标准!$M:$M,MATCH(数统二级标签!$H267,二三级标准!$L:$L,0))</f>
        <v>审核PK统计图表 - Unique</v>
      </c>
      <c r="K267" s="128" t="s">
        <v>638</v>
      </c>
      <c r="L267" s="156">
        <v>0.25</v>
      </c>
      <c r="M267" s="156">
        <v>0.2</v>
      </c>
      <c r="N267" s="156">
        <v>0.5</v>
      </c>
      <c r="O267" s="156">
        <v>0.75</v>
      </c>
      <c r="P267" s="156">
        <v>0.75</v>
      </c>
      <c r="Q267" s="156">
        <v>0.75</v>
      </c>
      <c r="R267" s="156">
        <v>0.75</v>
      </c>
      <c r="S267" s="156">
        <v>0.5</v>
      </c>
      <c r="T267" s="156">
        <v>0.5</v>
      </c>
    </row>
    <row r="268" ht="27" customHeight="1" spans="1:20">
      <c r="A268" s="154" t="str">
        <f>INDEX('Rate Card'!$A:$A,MATCH(数统二级标签!$K268,'Rate Card'!$F:$F,0))</f>
        <v>数统</v>
      </c>
      <c r="B268" s="154" t="str">
        <f t="shared" si="25"/>
        <v>A113ST</v>
      </c>
      <c r="C268" s="154" t="str">
        <f t="shared" si="26"/>
        <v>T0373ST</v>
      </c>
      <c r="D268" s="128" t="s">
        <v>924</v>
      </c>
      <c r="E268" s="128" t="str">
        <f>INDEX(二三级标准!$Q:$Q,MATCH(数统二级标签!D268,二三级标准!$O:$O,0))</f>
        <v>生物统计及分析</v>
      </c>
      <c r="F268" s="128" t="s">
        <v>331</v>
      </c>
      <c r="G268" s="128" t="str">
        <f>INDEX(二三级标准!C:C,MATCH(数统二级标签!F268,二三级标准!$B:$B,0))</f>
        <v>生成PK统计TFLs</v>
      </c>
      <c r="H268" s="128" t="s">
        <v>3033</v>
      </c>
      <c r="I268" s="128" t="str">
        <f>INDEX(二三级标准!$M:$M,MATCH(数统二级标签!$H268,二三级标准!$L:$L,0))</f>
        <v>审核PK统计图表 - Unique</v>
      </c>
      <c r="K268" s="128" t="s">
        <v>639</v>
      </c>
      <c r="L268" s="156">
        <v>0.35</v>
      </c>
      <c r="M268" s="156">
        <v>0.3</v>
      </c>
      <c r="N268" s="156">
        <v>0.25</v>
      </c>
      <c r="O268" s="156">
        <v>0.375</v>
      </c>
      <c r="P268" s="156">
        <v>0.375</v>
      </c>
      <c r="Q268" s="156">
        <v>0.375</v>
      </c>
      <c r="R268" s="156">
        <v>0.375</v>
      </c>
      <c r="S268" s="156">
        <v>0.375</v>
      </c>
      <c r="T268" s="156">
        <v>0.375</v>
      </c>
    </row>
    <row r="269" ht="27" customHeight="1" spans="1:20">
      <c r="A269" s="154" t="str">
        <f>INDEX('Rate Card'!$A:$A,MATCH(数统二级标签!$K269,'Rate Card'!$F:$F,0))</f>
        <v>数统</v>
      </c>
      <c r="B269" s="154" t="str">
        <f t="shared" si="25"/>
        <v>A113SA</v>
      </c>
      <c r="C269" s="154" t="str">
        <f t="shared" si="26"/>
        <v>T0374SA</v>
      </c>
      <c r="D269" s="128" t="s">
        <v>924</v>
      </c>
      <c r="E269" s="128" t="str">
        <f>INDEX(二三级标准!$Q:$Q,MATCH(数统二级标签!D269,二三级标准!$O:$O,0))</f>
        <v>生物统计及分析</v>
      </c>
      <c r="F269" s="128" t="s">
        <v>331</v>
      </c>
      <c r="G269" s="128" t="str">
        <f>INDEX(二三级标准!C:C,MATCH(数统二级标签!F269,二三级标准!$B:$B,0))</f>
        <v>生成PK统计TFLs</v>
      </c>
      <c r="H269" s="128" t="s">
        <v>3034</v>
      </c>
      <c r="I269" s="128" t="str">
        <f>INDEX(二三级标准!$M:$M,MATCH(数统二级标签!$H269,二三级标准!$L:$L,0))</f>
        <v>产生PK统计图表 - Repeated</v>
      </c>
      <c r="K269" s="128" t="s">
        <v>635</v>
      </c>
      <c r="L269" s="156">
        <v>0.5</v>
      </c>
      <c r="M269" s="156">
        <v>0.5</v>
      </c>
      <c r="N269" s="156">
        <v>0.65</v>
      </c>
      <c r="O269" s="156">
        <v>0.75</v>
      </c>
      <c r="P269" s="156">
        <v>0.75</v>
      </c>
      <c r="Q269" s="156">
        <v>0.75</v>
      </c>
      <c r="R269" s="156">
        <v>0.75</v>
      </c>
      <c r="S269" s="156">
        <v>0.75</v>
      </c>
      <c r="T269" s="156">
        <v>0.75</v>
      </c>
    </row>
    <row r="270" ht="27" customHeight="1" spans="1:20">
      <c r="A270" s="154" t="str">
        <f>INDEX('Rate Card'!$A:$A,MATCH(数统二级标签!$K270,'Rate Card'!$F:$F,0))</f>
        <v>数统</v>
      </c>
      <c r="B270" s="154" t="str">
        <f t="shared" si="25"/>
        <v>A113SA</v>
      </c>
      <c r="C270" s="154" t="str">
        <f t="shared" si="26"/>
        <v>T0375SA</v>
      </c>
      <c r="D270" s="128" t="s">
        <v>924</v>
      </c>
      <c r="E270" s="128" t="str">
        <f>INDEX(二三级标准!$Q:$Q,MATCH(数统二级标签!D270,二三级标准!$O:$O,0))</f>
        <v>生物统计及分析</v>
      </c>
      <c r="F270" s="128" t="s">
        <v>331</v>
      </c>
      <c r="G270" s="128" t="str">
        <f>INDEX(二三级标准!C:C,MATCH(数统二级标签!F270,二三级标准!$B:$B,0))</f>
        <v>生成PK统计TFLs</v>
      </c>
      <c r="H270" s="128" t="s">
        <v>3035</v>
      </c>
      <c r="I270" s="128" t="str">
        <f>INDEX(二三级标准!$M:$M,MATCH(数统二级标签!$H270,二三级标准!$L:$L,0))</f>
        <v>验证PK统计图表 - Repeated</v>
      </c>
      <c r="K270" s="128" t="s">
        <v>635</v>
      </c>
      <c r="L270" s="156">
        <v>0.5</v>
      </c>
      <c r="M270" s="156">
        <v>0.5</v>
      </c>
      <c r="N270" s="156">
        <v>0.75</v>
      </c>
      <c r="O270" s="156">
        <v>0.75</v>
      </c>
      <c r="P270" s="156">
        <v>0.75</v>
      </c>
      <c r="Q270" s="156">
        <v>0.75</v>
      </c>
      <c r="R270" s="156">
        <v>0.75</v>
      </c>
      <c r="S270" s="156">
        <v>0.75</v>
      </c>
      <c r="T270" s="156">
        <v>0.75</v>
      </c>
    </row>
    <row r="271" ht="27" customHeight="1" spans="1:20">
      <c r="A271" s="154" t="str">
        <f>INDEX('Rate Card'!$A:$A,MATCH(数统二级标签!$K271,'Rate Card'!$F:$F,0))</f>
        <v>数统</v>
      </c>
      <c r="B271" s="154" t="str">
        <f t="shared" si="25"/>
        <v>A113SAM</v>
      </c>
      <c r="C271" s="154" t="str">
        <f t="shared" si="26"/>
        <v>T0376SAM</v>
      </c>
      <c r="D271" s="128" t="s">
        <v>924</v>
      </c>
      <c r="E271" s="128" t="str">
        <f>INDEX(二三级标准!$Q:$Q,MATCH(数统二级标签!D271,二三级标准!$O:$O,0))</f>
        <v>生物统计及分析</v>
      </c>
      <c r="F271" s="128" t="s">
        <v>331</v>
      </c>
      <c r="G271" s="128" t="str">
        <f>INDEX(二三级标准!C:C,MATCH(数统二级标签!F271,二三级标准!$B:$B,0))</f>
        <v>生成PK统计TFLs</v>
      </c>
      <c r="H271" s="128" t="s">
        <v>3036</v>
      </c>
      <c r="I271" s="128" t="str">
        <f>INDEX(二三级标准!$M:$M,MATCH(数统二级标签!$H271,二三级标准!$L:$L,0))</f>
        <v>审核PK统计图表 - Repeated</v>
      </c>
      <c r="K271" s="128" t="s">
        <v>638</v>
      </c>
      <c r="L271" s="156">
        <v>0.1</v>
      </c>
      <c r="M271" s="156">
        <v>0.1</v>
      </c>
      <c r="N271" s="156">
        <v>0.2</v>
      </c>
      <c r="O271" s="156">
        <v>0.375</v>
      </c>
      <c r="P271" s="156">
        <v>0.375</v>
      </c>
      <c r="Q271" s="156">
        <v>0.375</v>
      </c>
      <c r="R271" s="156">
        <v>0.375</v>
      </c>
      <c r="S271" s="156">
        <v>0.2</v>
      </c>
      <c r="T271" s="156">
        <v>0.2</v>
      </c>
    </row>
    <row r="272" ht="27" customHeight="1" spans="1:20">
      <c r="A272" s="154" t="str">
        <f>INDEX('Rate Card'!$A:$A,MATCH(数统二级标签!$K272,'Rate Card'!$F:$F,0))</f>
        <v>数统</v>
      </c>
      <c r="B272" s="154" t="str">
        <f t="shared" si="25"/>
        <v>A113ST</v>
      </c>
      <c r="C272" s="154" t="str">
        <f t="shared" si="26"/>
        <v>T0376ST</v>
      </c>
      <c r="D272" s="128" t="s">
        <v>924</v>
      </c>
      <c r="E272" s="128" t="str">
        <f>INDEX(二三级标准!$Q:$Q,MATCH(数统二级标签!D272,二三级标准!$O:$O,0))</f>
        <v>生物统计及分析</v>
      </c>
      <c r="F272" s="128" t="s">
        <v>331</v>
      </c>
      <c r="G272" s="128" t="str">
        <f>INDEX(二三级标准!C:C,MATCH(数统二级标签!F272,二三级标准!$B:$B,0))</f>
        <v>生成PK统计TFLs</v>
      </c>
      <c r="H272" s="128" t="s">
        <v>3036</v>
      </c>
      <c r="I272" s="128" t="str">
        <f>INDEX(二三级标准!$M:$M,MATCH(数统二级标签!$H272,二三级标准!$L:$L,0))</f>
        <v>审核PK统计图表 - Repeated</v>
      </c>
      <c r="K272" s="128" t="s">
        <v>639</v>
      </c>
      <c r="L272" s="156">
        <v>0.1</v>
      </c>
      <c r="M272" s="156">
        <v>0.1</v>
      </c>
      <c r="N272" s="156">
        <v>0.2</v>
      </c>
      <c r="O272" s="156">
        <v>0.225</v>
      </c>
      <c r="P272" s="156">
        <v>0.225</v>
      </c>
      <c r="Q272" s="156">
        <v>0.225</v>
      </c>
      <c r="R272" s="156">
        <v>0.225</v>
      </c>
      <c r="S272" s="156">
        <v>0.2</v>
      </c>
      <c r="T272" s="156">
        <v>0.2</v>
      </c>
    </row>
    <row r="273" ht="27" customHeight="1" spans="1:20">
      <c r="A273" s="154" t="str">
        <f>INDEX('Rate Card'!$A:$A,MATCH(数统二级标签!$K273,'Rate Card'!$F:$F,0))</f>
        <v>数统</v>
      </c>
      <c r="B273" s="154" t="str">
        <f t="shared" ref="B273:B276" si="33">F273&amp;K273</f>
        <v>A113SA</v>
      </c>
      <c r="C273" s="154" t="str">
        <f t="shared" ref="C273:C276" si="34">H273&amp;K273</f>
        <v>T0627SA</v>
      </c>
      <c r="D273" s="128" t="s">
        <v>924</v>
      </c>
      <c r="E273" s="128" t="str">
        <f>INDEX(二三级标准!$Q:$Q,MATCH(数统二级标签!D273,二三级标准!$O:$O,0))</f>
        <v>生物统计及分析</v>
      </c>
      <c r="F273" s="128" t="s">
        <v>331</v>
      </c>
      <c r="G273" s="128" t="str">
        <f>INDEX(二三级标准!C:C,MATCH(数统二级标签!F273,二三级标准!$B:$B,0))</f>
        <v>生成PK统计TFLs</v>
      </c>
      <c r="H273" s="128" t="s">
        <v>3037</v>
      </c>
      <c r="I273" s="128" t="str">
        <f>INDEX(二三级标准!$M:$M,MATCH(数统二级标签!$H273,二三级标准!$L:$L,0))</f>
        <v>产生PK统计列表</v>
      </c>
      <c r="J273" s="128" t="s">
        <v>2902</v>
      </c>
      <c r="K273" s="128" t="s">
        <v>635</v>
      </c>
      <c r="L273" s="156">
        <v>0.6</v>
      </c>
      <c r="M273" s="156">
        <v>0.6</v>
      </c>
      <c r="N273" s="156">
        <v>0.2</v>
      </c>
      <c r="O273" s="156">
        <v>0.225</v>
      </c>
      <c r="P273" s="156">
        <v>0.225</v>
      </c>
      <c r="Q273" s="156">
        <v>0.225</v>
      </c>
      <c r="R273" s="156">
        <v>0.225</v>
      </c>
      <c r="S273" s="156">
        <v>0.2</v>
      </c>
      <c r="T273" s="156">
        <v>0.2</v>
      </c>
    </row>
    <row r="274" ht="27" customHeight="1" spans="1:20">
      <c r="A274" s="154" t="str">
        <f>INDEX('Rate Card'!$A:$A,MATCH(数统二级标签!$K274,'Rate Card'!$F:$F,0))</f>
        <v>数统</v>
      </c>
      <c r="B274" s="154" t="str">
        <f t="shared" si="33"/>
        <v>A113SA</v>
      </c>
      <c r="C274" s="154" t="str">
        <f t="shared" si="34"/>
        <v>T0628SA</v>
      </c>
      <c r="D274" s="128" t="s">
        <v>924</v>
      </c>
      <c r="E274" s="128" t="str">
        <f>INDEX(二三级标准!$Q:$Q,MATCH(数统二级标签!D274,二三级标准!$O:$O,0))</f>
        <v>生物统计及分析</v>
      </c>
      <c r="F274" s="128" t="s">
        <v>331</v>
      </c>
      <c r="G274" s="128" t="str">
        <f>INDEX(二三级标准!C:C,MATCH(数统二级标签!F274,二三级标准!$B:$B,0))</f>
        <v>生成PK统计TFLs</v>
      </c>
      <c r="H274" s="128" t="s">
        <v>3038</v>
      </c>
      <c r="I274" s="128" t="str">
        <f>INDEX(二三级标准!$M:$M,MATCH(数统二级标签!$H274,二三级标准!$L:$L,0))</f>
        <v>验证PK统计列表 </v>
      </c>
      <c r="J274" s="128" t="s">
        <v>2902</v>
      </c>
      <c r="K274" s="128" t="s">
        <v>635</v>
      </c>
      <c r="L274" s="156">
        <v>0.6</v>
      </c>
      <c r="M274" s="156">
        <v>0.6</v>
      </c>
      <c r="N274" s="156">
        <v>0.2</v>
      </c>
      <c r="O274" s="156">
        <v>0.225</v>
      </c>
      <c r="P274" s="156">
        <v>0.225</v>
      </c>
      <c r="Q274" s="156">
        <v>0.225</v>
      </c>
      <c r="R274" s="156">
        <v>0.225</v>
      </c>
      <c r="S274" s="156">
        <v>0.2</v>
      </c>
      <c r="T274" s="156">
        <v>0.2</v>
      </c>
    </row>
    <row r="275" ht="27" customHeight="1" spans="1:20">
      <c r="A275" s="154" t="str">
        <f>INDEX('Rate Card'!$A:$A,MATCH(数统二级标签!$K275,'Rate Card'!$F:$F,0))</f>
        <v>数统</v>
      </c>
      <c r="B275" s="154" t="str">
        <f t="shared" si="33"/>
        <v>A113SAM</v>
      </c>
      <c r="C275" s="154" t="str">
        <f t="shared" si="34"/>
        <v>T0629SAM</v>
      </c>
      <c r="D275" s="128" t="s">
        <v>924</v>
      </c>
      <c r="E275" s="128" t="str">
        <f>INDEX(二三级标准!$Q:$Q,MATCH(数统二级标签!D275,二三级标准!$O:$O,0))</f>
        <v>生物统计及分析</v>
      </c>
      <c r="F275" s="128" t="s">
        <v>331</v>
      </c>
      <c r="G275" s="128" t="str">
        <f>INDEX(二三级标准!C:C,MATCH(数统二级标签!F275,二三级标准!$B:$B,0))</f>
        <v>生成PK统计TFLs</v>
      </c>
      <c r="H275" s="128" t="s">
        <v>3039</v>
      </c>
      <c r="I275" s="128" t="str">
        <f>INDEX(二三级标准!$M:$M,MATCH(数统二级标签!$H275,二三级标准!$L:$L,0))</f>
        <v>审核PK统计列表</v>
      </c>
      <c r="J275" s="128" t="s">
        <v>2902</v>
      </c>
      <c r="K275" s="128" t="s">
        <v>638</v>
      </c>
      <c r="L275" s="156">
        <v>0.15</v>
      </c>
      <c r="M275" s="156">
        <v>0.1</v>
      </c>
      <c r="N275" s="156">
        <v>0.2</v>
      </c>
      <c r="O275" s="156">
        <v>0.225</v>
      </c>
      <c r="P275" s="156">
        <v>0.225</v>
      </c>
      <c r="Q275" s="156">
        <v>0.225</v>
      </c>
      <c r="R275" s="156">
        <v>0.225</v>
      </c>
      <c r="S275" s="156">
        <v>0.2</v>
      </c>
      <c r="T275" s="156">
        <v>0.2</v>
      </c>
    </row>
    <row r="276" ht="27" customHeight="1" spans="1:20">
      <c r="A276" s="154" t="str">
        <f>INDEX('Rate Card'!$A:$A,MATCH(数统二级标签!$K276,'Rate Card'!$F:$F,0))</f>
        <v>数统</v>
      </c>
      <c r="B276" s="154" t="str">
        <f t="shared" si="33"/>
        <v>A113ST</v>
      </c>
      <c r="C276" s="154" t="str">
        <f t="shared" si="34"/>
        <v>T0629ST</v>
      </c>
      <c r="D276" s="128" t="s">
        <v>924</v>
      </c>
      <c r="E276" s="128" t="str">
        <f>INDEX(二三级标准!$Q:$Q,MATCH(数统二级标签!D276,二三级标准!$O:$O,0))</f>
        <v>生物统计及分析</v>
      </c>
      <c r="F276" s="128" t="s">
        <v>331</v>
      </c>
      <c r="G276" s="128" t="str">
        <f>INDEX(二三级标准!C:C,MATCH(数统二级标签!F276,二三级标准!$B:$B,0))</f>
        <v>生成PK统计TFLs</v>
      </c>
      <c r="H276" s="128" t="s">
        <v>3039</v>
      </c>
      <c r="I276" s="128" t="str">
        <f>INDEX(二三级标准!$M:$M,MATCH(数统二级标签!$H276,二三级标准!$L:$L,0))</f>
        <v>审核PK统计列表</v>
      </c>
      <c r="J276" s="128" t="s">
        <v>2902</v>
      </c>
      <c r="K276" s="128" t="s">
        <v>639</v>
      </c>
      <c r="L276" s="156">
        <v>0.15</v>
      </c>
      <c r="M276" s="156">
        <v>0.1</v>
      </c>
      <c r="N276" s="156">
        <v>0.2</v>
      </c>
      <c r="O276" s="156">
        <v>0.225</v>
      </c>
      <c r="P276" s="156">
        <v>0.225</v>
      </c>
      <c r="Q276" s="156">
        <v>0.225</v>
      </c>
      <c r="R276" s="156">
        <v>0.225</v>
      </c>
      <c r="S276" s="156">
        <v>0.2</v>
      </c>
      <c r="T276" s="156">
        <v>0.2</v>
      </c>
    </row>
    <row r="277" ht="27" customHeight="1" spans="1:20">
      <c r="A277" s="154" t="str">
        <f>INDEX('Rate Card'!$A:$A,MATCH(数统二级标签!$K277,'Rate Card'!$F:$F,0))</f>
        <v>数统</v>
      </c>
      <c r="B277" s="154" t="str">
        <f t="shared" si="25"/>
        <v>A114SA</v>
      </c>
      <c r="C277" s="154" t="str">
        <f t="shared" si="26"/>
        <v>T0377SA</v>
      </c>
      <c r="D277" s="128" t="s">
        <v>924</v>
      </c>
      <c r="E277" s="128" t="str">
        <f>INDEX(二三级标准!$Q:$Q,MATCH(数统二级标签!D277,二三级标准!$O:$O,0))</f>
        <v>生物统计及分析</v>
      </c>
      <c r="F277" s="128" t="s">
        <v>333</v>
      </c>
      <c r="G277" s="128" t="str">
        <f>INDEX(二三级标准!C:C,MATCH(数统二级标签!F277,二三级标准!$B:$B,0))</f>
        <v>生成BE/BA/FE/DDI 统计TFLs</v>
      </c>
      <c r="H277" s="128" t="s">
        <v>3040</v>
      </c>
      <c r="I277" s="128" t="str">
        <f>INDEX(二三级标准!$M:$M,MATCH(数统二级标签!$H277,二三级标准!$L:$L,0))</f>
        <v>产生BE/BA/FE/DDI统计TLFs - Unique</v>
      </c>
      <c r="K277" s="128" t="s">
        <v>635</v>
      </c>
      <c r="L277" s="156">
        <v>2.25</v>
      </c>
      <c r="M277" s="156">
        <v>2.25</v>
      </c>
      <c r="N277" s="156">
        <v>2.25</v>
      </c>
      <c r="O277" s="156">
        <v>2.25</v>
      </c>
      <c r="P277" s="156">
        <v>2.25</v>
      </c>
      <c r="Q277" s="156">
        <v>2.25</v>
      </c>
      <c r="R277" s="156">
        <v>2.25</v>
      </c>
      <c r="S277" s="156">
        <v>2.25</v>
      </c>
      <c r="T277" s="156">
        <v>2.25</v>
      </c>
    </row>
    <row r="278" ht="27" customHeight="1" spans="1:20">
      <c r="A278" s="154" t="str">
        <f>INDEX('Rate Card'!$A:$A,MATCH(数统二级标签!$K278,'Rate Card'!$F:$F,0))</f>
        <v>数统</v>
      </c>
      <c r="B278" s="154" t="str">
        <f t="shared" si="25"/>
        <v>A114SA</v>
      </c>
      <c r="C278" s="154" t="str">
        <f t="shared" si="26"/>
        <v>T0378SA</v>
      </c>
      <c r="D278" s="128" t="s">
        <v>924</v>
      </c>
      <c r="E278" s="128" t="str">
        <f>INDEX(二三级标准!$Q:$Q,MATCH(数统二级标签!D278,二三级标准!$O:$O,0))</f>
        <v>生物统计及分析</v>
      </c>
      <c r="F278" s="128" t="s">
        <v>333</v>
      </c>
      <c r="G278" s="128" t="str">
        <f>INDEX(二三级标准!C:C,MATCH(数统二级标签!F278,二三级标准!$B:$B,0))</f>
        <v>生成BE/BA/FE/DDI 统计TFLs</v>
      </c>
      <c r="H278" s="128" t="s">
        <v>3041</v>
      </c>
      <c r="I278" s="128" t="str">
        <f>INDEX(二三级标准!$M:$M,MATCH(数统二级标签!$H278,二三级标准!$L:$L,0))</f>
        <v>验证BE/BA/FE/DDI统计TLFs - Unique</v>
      </c>
      <c r="K278" s="128" t="s">
        <v>635</v>
      </c>
      <c r="L278" s="156">
        <v>2.25</v>
      </c>
      <c r="M278" s="156">
        <v>2.25</v>
      </c>
      <c r="N278" s="156">
        <v>2.25</v>
      </c>
      <c r="O278" s="156">
        <v>2.25</v>
      </c>
      <c r="P278" s="156">
        <v>2.25</v>
      </c>
      <c r="Q278" s="156">
        <v>2.25</v>
      </c>
      <c r="R278" s="156">
        <v>2.25</v>
      </c>
      <c r="S278" s="156">
        <v>2.25</v>
      </c>
      <c r="T278" s="156">
        <v>2.25</v>
      </c>
    </row>
    <row r="279" ht="27" customHeight="1" spans="1:20">
      <c r="A279" s="154" t="str">
        <f>INDEX('Rate Card'!$A:$A,MATCH(数统二级标签!$K279,'Rate Card'!$F:$F,0))</f>
        <v>数统</v>
      </c>
      <c r="B279" s="154" t="str">
        <f t="shared" si="25"/>
        <v>A114SAM</v>
      </c>
      <c r="C279" s="154" t="str">
        <f t="shared" si="26"/>
        <v>T0379SAM</v>
      </c>
      <c r="D279" s="128" t="s">
        <v>924</v>
      </c>
      <c r="E279" s="128" t="str">
        <f>INDEX(二三级标准!$Q:$Q,MATCH(数统二级标签!D279,二三级标准!$O:$O,0))</f>
        <v>生物统计及分析</v>
      </c>
      <c r="F279" s="128" t="s">
        <v>333</v>
      </c>
      <c r="G279" s="128" t="str">
        <f>INDEX(二三级标准!C:C,MATCH(数统二级标签!F279,二三级标准!$B:$B,0))</f>
        <v>生成BE/BA/FE/DDI 统计TFLs</v>
      </c>
      <c r="H279" s="128" t="s">
        <v>3042</v>
      </c>
      <c r="I279" s="128" t="str">
        <f>INDEX(二三级标准!$M:$M,MATCH(数统二级标签!$H279,二三级标准!$L:$L,0))</f>
        <v>审核BE/BA/FE/DDI统计TLFs - Unique</v>
      </c>
      <c r="K279" s="128" t="s">
        <v>638</v>
      </c>
      <c r="L279" s="156">
        <v>0.75</v>
      </c>
      <c r="M279" s="156">
        <v>0.75</v>
      </c>
      <c r="N279" s="156">
        <v>0.5</v>
      </c>
      <c r="O279" s="156">
        <v>0.75</v>
      </c>
      <c r="P279" s="156">
        <v>0.75</v>
      </c>
      <c r="Q279" s="156">
        <v>0.75</v>
      </c>
      <c r="R279" s="156">
        <v>0.75</v>
      </c>
      <c r="S279" s="156">
        <v>0.75</v>
      </c>
      <c r="T279" s="156">
        <v>0.75</v>
      </c>
    </row>
    <row r="280" ht="27" customHeight="1" spans="1:20">
      <c r="A280" s="154" t="str">
        <f>INDEX('Rate Card'!$A:$A,MATCH(数统二级标签!$K280,'Rate Card'!$F:$F,0))</f>
        <v>数统</v>
      </c>
      <c r="B280" s="154" t="str">
        <f t="shared" si="25"/>
        <v>A114ST</v>
      </c>
      <c r="C280" s="154" t="str">
        <f t="shared" si="26"/>
        <v>T0379ST</v>
      </c>
      <c r="D280" s="128" t="s">
        <v>924</v>
      </c>
      <c r="E280" s="128" t="str">
        <f>INDEX(二三级标准!$Q:$Q,MATCH(数统二级标签!D280,二三级标准!$O:$O,0))</f>
        <v>生物统计及分析</v>
      </c>
      <c r="F280" s="128" t="s">
        <v>333</v>
      </c>
      <c r="G280" s="128" t="str">
        <f>INDEX(二三级标准!C:C,MATCH(数统二级标签!F280,二三级标准!$B:$B,0))</f>
        <v>生成BE/BA/FE/DDI 统计TFLs</v>
      </c>
      <c r="H280" s="128" t="s">
        <v>3042</v>
      </c>
      <c r="I280" s="128" t="str">
        <f>INDEX(二三级标准!$M:$M,MATCH(数统二级标签!$H280,二三级标准!$L:$L,0))</f>
        <v>审核BE/BA/FE/DDI统计TLFs - Unique</v>
      </c>
      <c r="K280" s="128" t="s">
        <v>639</v>
      </c>
      <c r="L280" s="156">
        <v>0.375</v>
      </c>
      <c r="M280" s="156">
        <v>0.375</v>
      </c>
      <c r="N280" s="156">
        <v>0.375</v>
      </c>
      <c r="O280" s="156">
        <v>0.375</v>
      </c>
      <c r="P280" s="156">
        <v>0.375</v>
      </c>
      <c r="Q280" s="156">
        <v>0.375</v>
      </c>
      <c r="R280" s="156">
        <v>0.375</v>
      </c>
      <c r="S280" s="156">
        <v>0.375</v>
      </c>
      <c r="T280" s="156">
        <v>0.375</v>
      </c>
    </row>
    <row r="281" ht="27" customHeight="1" spans="1:20">
      <c r="A281" s="154" t="str">
        <f>INDEX('Rate Card'!$A:$A,MATCH(数统二级标签!$K281,'Rate Card'!$F:$F,0))</f>
        <v>数统</v>
      </c>
      <c r="B281" s="154" t="str">
        <f t="shared" si="25"/>
        <v>A114SA</v>
      </c>
      <c r="C281" s="154" t="str">
        <f t="shared" si="26"/>
        <v>T0380SA</v>
      </c>
      <c r="D281" s="128" t="s">
        <v>924</v>
      </c>
      <c r="E281" s="128" t="str">
        <f>INDEX(二三级标准!$Q:$Q,MATCH(数统二级标签!D281,二三级标准!$O:$O,0))</f>
        <v>生物统计及分析</v>
      </c>
      <c r="F281" s="128" t="s">
        <v>333</v>
      </c>
      <c r="G281" s="128" t="str">
        <f>INDEX(二三级标准!C:C,MATCH(数统二级标签!F281,二三级标准!$B:$B,0))</f>
        <v>生成BE/BA/FE/DDI 统计TFLs</v>
      </c>
      <c r="H281" s="128" t="s">
        <v>3043</v>
      </c>
      <c r="I281" s="128" t="str">
        <f>INDEX(二三级标准!$M:$M,MATCH(数统二级标签!$H281,二三级标准!$L:$L,0))</f>
        <v>产生BE/BA/FE/DDI统计TLFs - Repeated</v>
      </c>
      <c r="K281" s="128" t="s">
        <v>635</v>
      </c>
      <c r="L281" s="156">
        <v>0.75</v>
      </c>
      <c r="M281" s="156">
        <v>0.75</v>
      </c>
      <c r="N281" s="156">
        <v>0.75</v>
      </c>
      <c r="O281" s="156">
        <v>0.75</v>
      </c>
      <c r="P281" s="156">
        <v>0.75</v>
      </c>
      <c r="Q281" s="156">
        <v>0.75</v>
      </c>
      <c r="R281" s="156">
        <v>0.75</v>
      </c>
      <c r="S281" s="156">
        <v>0.75</v>
      </c>
      <c r="T281" s="156">
        <v>0.75</v>
      </c>
    </row>
    <row r="282" ht="27" customHeight="1" spans="1:20">
      <c r="A282" s="154" t="str">
        <f>INDEX('Rate Card'!$A:$A,MATCH(数统二级标签!$K282,'Rate Card'!$F:$F,0))</f>
        <v>数统</v>
      </c>
      <c r="B282" s="154" t="str">
        <f t="shared" si="25"/>
        <v>A114SA</v>
      </c>
      <c r="C282" s="154" t="str">
        <f t="shared" si="26"/>
        <v>T0381SA</v>
      </c>
      <c r="D282" s="128" t="s">
        <v>924</v>
      </c>
      <c r="E282" s="128" t="str">
        <f>INDEX(二三级标准!$Q:$Q,MATCH(数统二级标签!D282,二三级标准!$O:$O,0))</f>
        <v>生物统计及分析</v>
      </c>
      <c r="F282" s="128" t="s">
        <v>333</v>
      </c>
      <c r="G282" s="128" t="str">
        <f>INDEX(二三级标准!C:C,MATCH(数统二级标签!F282,二三级标准!$B:$B,0))</f>
        <v>生成BE/BA/FE/DDI 统计TFLs</v>
      </c>
      <c r="H282" s="128" t="s">
        <v>3044</v>
      </c>
      <c r="I282" s="128" t="str">
        <f>INDEX(二三级标准!$M:$M,MATCH(数统二级标签!$H282,二三级标准!$L:$L,0))</f>
        <v>验证BE/BA/FE/DDI统计TLFs - Repeated</v>
      </c>
      <c r="K282" s="128" t="s">
        <v>635</v>
      </c>
      <c r="L282" s="156">
        <v>0.75</v>
      </c>
      <c r="M282" s="156">
        <v>0.75</v>
      </c>
      <c r="N282" s="156">
        <v>0.75</v>
      </c>
      <c r="O282" s="156">
        <v>0.75</v>
      </c>
      <c r="P282" s="156">
        <v>0.75</v>
      </c>
      <c r="Q282" s="156">
        <v>0.75</v>
      </c>
      <c r="R282" s="156">
        <v>0.75</v>
      </c>
      <c r="S282" s="156">
        <v>0.75</v>
      </c>
      <c r="T282" s="156">
        <v>0.75</v>
      </c>
    </row>
    <row r="283" ht="27" customHeight="1" spans="1:20">
      <c r="A283" s="154" t="str">
        <f>INDEX('Rate Card'!$A:$A,MATCH(数统二级标签!$K283,'Rate Card'!$F:$F,0))</f>
        <v>数统</v>
      </c>
      <c r="B283" s="154" t="str">
        <f t="shared" si="25"/>
        <v>A114SAM</v>
      </c>
      <c r="C283" s="154" t="str">
        <f t="shared" si="26"/>
        <v>T0382SAM</v>
      </c>
      <c r="D283" s="128" t="s">
        <v>924</v>
      </c>
      <c r="E283" s="128" t="str">
        <f>INDEX(二三级标准!$Q:$Q,MATCH(数统二级标签!D283,二三级标准!$O:$O,0))</f>
        <v>生物统计及分析</v>
      </c>
      <c r="F283" s="128" t="s">
        <v>333</v>
      </c>
      <c r="G283" s="128" t="str">
        <f>INDEX(二三级标准!C:C,MATCH(数统二级标签!F283,二三级标准!$B:$B,0))</f>
        <v>生成BE/BA/FE/DDI 统计TFLs</v>
      </c>
      <c r="H283" s="128" t="s">
        <v>3045</v>
      </c>
      <c r="I283" s="128" t="str">
        <f>INDEX(二三级标准!$M:$M,MATCH(数统二级标签!$H283,二三级标准!$L:$L,0))</f>
        <v>审核BE/BA/FE/DDI统计TLFs - Repeated</v>
      </c>
      <c r="K283" s="128" t="s">
        <v>638</v>
      </c>
      <c r="L283" s="156">
        <v>0.375</v>
      </c>
      <c r="M283" s="156">
        <v>0.375</v>
      </c>
      <c r="N283" s="156">
        <v>0.375</v>
      </c>
      <c r="O283" s="156">
        <v>0.375</v>
      </c>
      <c r="P283" s="156">
        <v>0.375</v>
      </c>
      <c r="Q283" s="156">
        <v>0.375</v>
      </c>
      <c r="R283" s="156">
        <v>0.375</v>
      </c>
      <c r="S283" s="156">
        <v>0.375</v>
      </c>
      <c r="T283" s="156">
        <v>0.375</v>
      </c>
    </row>
    <row r="284" ht="27" customHeight="1" spans="1:20">
      <c r="A284" s="154" t="str">
        <f>INDEX('Rate Card'!$A:$A,MATCH(数统二级标签!$K284,'Rate Card'!$F:$F,0))</f>
        <v>数统</v>
      </c>
      <c r="B284" s="154" t="str">
        <f t="shared" si="25"/>
        <v>A114ST</v>
      </c>
      <c r="C284" s="154" t="str">
        <f t="shared" si="26"/>
        <v>T0382ST</v>
      </c>
      <c r="D284" s="128" t="s">
        <v>924</v>
      </c>
      <c r="E284" s="128" t="str">
        <f>INDEX(二三级标准!$Q:$Q,MATCH(数统二级标签!D284,二三级标准!$O:$O,0))</f>
        <v>生物统计及分析</v>
      </c>
      <c r="F284" s="128" t="s">
        <v>333</v>
      </c>
      <c r="G284" s="128" t="str">
        <f>INDEX(二三级标准!C:C,MATCH(数统二级标签!F284,二三级标准!$B:$B,0))</f>
        <v>生成BE/BA/FE/DDI 统计TFLs</v>
      </c>
      <c r="H284" s="128" t="s">
        <v>3045</v>
      </c>
      <c r="I284" s="128" t="str">
        <f>INDEX(二三级标准!$M:$M,MATCH(数统二级标签!$H284,二三级标准!$L:$L,0))</f>
        <v>审核BE/BA/FE/DDI统计TLFs - Repeated</v>
      </c>
      <c r="K284" s="128" t="s">
        <v>639</v>
      </c>
      <c r="L284" s="156">
        <v>0.225</v>
      </c>
      <c r="M284" s="156">
        <v>0.225</v>
      </c>
      <c r="N284" s="156">
        <v>0.225</v>
      </c>
      <c r="O284" s="156">
        <v>0.225</v>
      </c>
      <c r="P284" s="156">
        <v>0.225</v>
      </c>
      <c r="Q284" s="156">
        <v>0.225</v>
      </c>
      <c r="R284" s="156">
        <v>0.225</v>
      </c>
      <c r="S284" s="156">
        <v>0.225</v>
      </c>
      <c r="T284" s="156">
        <v>0.225</v>
      </c>
    </row>
    <row r="285" s="132" customFormat="1" ht="27" customHeight="1" spans="1:20">
      <c r="A285" s="163" t="str">
        <f>INDEX('Rate Card'!$A:$A,MATCH(数统二级标签!$K285,'Rate Card'!$F:$F,0))</f>
        <v>数统</v>
      </c>
      <c r="B285" s="154" t="str">
        <f t="shared" si="25"/>
        <v>A115SA</v>
      </c>
      <c r="C285" s="154" t="str">
        <f t="shared" si="26"/>
        <v>T0383SA</v>
      </c>
      <c r="D285" s="132" t="s">
        <v>924</v>
      </c>
      <c r="E285" s="132" t="str">
        <f>INDEX(二三级标准!$Q:$Q,MATCH(数统二级标签!D285,二三级标准!$O:$O,0))</f>
        <v>生物统计及分析</v>
      </c>
      <c r="F285" s="132" t="s">
        <v>335</v>
      </c>
      <c r="G285" s="132" t="str">
        <f>INDEX(二三级标准!C:C,MATCH(数统二级标签!F285,二三级标准!$B:$B,0))</f>
        <v>Dry Run</v>
      </c>
      <c r="H285" s="132" t="s">
        <v>3046</v>
      </c>
      <c r="I285" s="132" t="str">
        <f>INDEX(二三级标准!$M:$M,MATCH(数统二级标签!$H285,二三级标准!$L:$L,0))</f>
        <v>Dry Run的数据准备</v>
      </c>
      <c r="J285" s="132" t="s">
        <v>2907</v>
      </c>
      <c r="K285" s="132" t="s">
        <v>635</v>
      </c>
      <c r="L285" s="156"/>
      <c r="M285" s="156">
        <v>0</v>
      </c>
      <c r="N285" s="156"/>
      <c r="O285" s="156"/>
      <c r="P285" s="156"/>
      <c r="Q285" s="156"/>
      <c r="R285" s="156"/>
      <c r="S285" s="156"/>
      <c r="T285" s="156"/>
    </row>
    <row r="286" ht="27" customHeight="1" spans="1:20">
      <c r="A286" s="154" t="str">
        <f>INDEX('Rate Card'!$A:$A,MATCH(数统二级标签!$K286,'Rate Card'!$F:$F,0))</f>
        <v>数统</v>
      </c>
      <c r="B286" s="154" t="str">
        <f t="shared" si="25"/>
        <v>A115SA</v>
      </c>
      <c r="C286" s="154" t="str">
        <f t="shared" si="26"/>
        <v>T0384SA</v>
      </c>
      <c r="D286" s="128" t="s">
        <v>924</v>
      </c>
      <c r="E286" s="128" t="str">
        <f>INDEX(二三级标准!$Q:$Q,MATCH(数统二级标签!D286,二三级标准!$O:$O,0))</f>
        <v>生物统计及分析</v>
      </c>
      <c r="F286" s="128" t="s">
        <v>335</v>
      </c>
      <c r="G286" s="128" t="str">
        <f>INDEX(二三级标准!C:C,MATCH(数统二级标签!F286,二三级标准!$B:$B,0))</f>
        <v>Dry Run</v>
      </c>
      <c r="H286" s="128" t="s">
        <v>1520</v>
      </c>
      <c r="I286" s="128" t="str">
        <f>INDEX(二三级标准!$M:$M,MATCH(数统二级标签!$H286,二三级标准!$L:$L,0))</f>
        <v>Dry Run的程序运行</v>
      </c>
      <c r="K286" s="128" t="s">
        <v>635</v>
      </c>
      <c r="L286" s="156">
        <v>12</v>
      </c>
      <c r="M286" s="156">
        <v>4</v>
      </c>
      <c r="N286" s="156">
        <v>12</v>
      </c>
      <c r="O286" s="156">
        <v>12</v>
      </c>
      <c r="P286" s="156">
        <v>16</v>
      </c>
      <c r="Q286" s="156">
        <v>16</v>
      </c>
      <c r="R286" s="156">
        <v>12</v>
      </c>
      <c r="S286" s="156">
        <v>12</v>
      </c>
      <c r="T286" s="156">
        <v>12</v>
      </c>
    </row>
    <row r="287" ht="27" customHeight="1" spans="1:20">
      <c r="A287" s="154" t="str">
        <f>INDEX('Rate Card'!$A:$A,MATCH(数统二级标签!$K287,'Rate Card'!$F:$F,0))</f>
        <v>数统</v>
      </c>
      <c r="B287" s="154" t="str">
        <f t="shared" si="25"/>
        <v>A115SA</v>
      </c>
      <c r="C287" s="154" t="str">
        <f t="shared" si="26"/>
        <v>T0385SA</v>
      </c>
      <c r="D287" s="128" t="s">
        <v>924</v>
      </c>
      <c r="E287" s="128" t="str">
        <f>INDEX(二三级标准!$Q:$Q,MATCH(数统二级标签!D287,二三级标准!$O:$O,0))</f>
        <v>生物统计及分析</v>
      </c>
      <c r="F287" s="128" t="s">
        <v>335</v>
      </c>
      <c r="G287" s="128" t="str">
        <f>INDEX(二三级标准!C:C,MATCH(数统二级标签!F287,二三级标准!$B:$B,0))</f>
        <v>Dry Run</v>
      </c>
      <c r="H287" s="128" t="s">
        <v>1521</v>
      </c>
      <c r="I287" s="128" t="str">
        <f>INDEX(二三级标准!$M:$M,MATCH(数统二级标签!$H287,二三级标准!$L:$L,0))</f>
        <v>Dry Run程序的验证和修订</v>
      </c>
      <c r="K287" s="128" t="s">
        <v>635</v>
      </c>
      <c r="L287" s="162">
        <v>16</v>
      </c>
      <c r="M287" s="156">
        <v>32</v>
      </c>
      <c r="N287" s="156">
        <v>12</v>
      </c>
      <c r="O287" s="156">
        <v>12</v>
      </c>
      <c r="P287" s="156">
        <v>16</v>
      </c>
      <c r="Q287" s="156">
        <v>18</v>
      </c>
      <c r="R287" s="156">
        <v>12</v>
      </c>
      <c r="S287" s="156">
        <v>12</v>
      </c>
      <c r="T287" s="156">
        <v>12</v>
      </c>
    </row>
    <row r="288" ht="27" customHeight="1" spans="1:20">
      <c r="A288" s="154" t="str">
        <f>INDEX('Rate Card'!$A:$A,MATCH(数统二级标签!$K288,'Rate Card'!$F:$F,0))</f>
        <v>数统</v>
      </c>
      <c r="B288" s="154" t="str">
        <f t="shared" si="25"/>
        <v>A115SA</v>
      </c>
      <c r="C288" s="154" t="str">
        <f t="shared" si="26"/>
        <v>T0386SA</v>
      </c>
      <c r="D288" s="128" t="s">
        <v>924</v>
      </c>
      <c r="E288" s="128" t="str">
        <f>INDEX(二三级标准!$Q:$Q,MATCH(数统二级标签!D288,二三级标准!$O:$O,0))</f>
        <v>生物统计及分析</v>
      </c>
      <c r="F288" s="128" t="s">
        <v>335</v>
      </c>
      <c r="G288" s="128" t="str">
        <f>INDEX(二三级标准!C:C,MATCH(数统二级标签!F288,二三级标准!$B:$B,0))</f>
        <v>Dry Run</v>
      </c>
      <c r="H288" s="128" t="s">
        <v>1522</v>
      </c>
      <c r="I288" s="128" t="str">
        <f>INDEX(二三级标准!$M:$M,MATCH(数统二级标签!$H288,二三级标准!$L:$L,0))</f>
        <v>Dry Run的数据集合规性检查</v>
      </c>
      <c r="K288" s="128" t="s">
        <v>635</v>
      </c>
      <c r="L288" s="162">
        <v>3</v>
      </c>
      <c r="M288" s="156">
        <v>3</v>
      </c>
      <c r="N288" s="156">
        <v>3</v>
      </c>
      <c r="O288" s="156">
        <v>3</v>
      </c>
      <c r="P288" s="156">
        <v>4.5</v>
      </c>
      <c r="Q288" s="156">
        <v>6</v>
      </c>
      <c r="R288" s="156">
        <v>3</v>
      </c>
      <c r="S288" s="156">
        <v>3</v>
      </c>
      <c r="T288" s="156">
        <v>3</v>
      </c>
    </row>
    <row r="289" ht="27" customHeight="1" spans="1:20">
      <c r="A289" s="154" t="str">
        <f>INDEX('Rate Card'!$A:$A,MATCH(数统二级标签!$K289,'Rate Card'!$F:$F,0))</f>
        <v>数统</v>
      </c>
      <c r="B289" s="154" t="str">
        <f t="shared" ref="B289:B358" si="35">F289&amp;K289</f>
        <v>A115SA</v>
      </c>
      <c r="C289" s="154" t="str">
        <f t="shared" ref="C289:C357" si="36">H289&amp;K289</f>
        <v>T0387SA</v>
      </c>
      <c r="D289" s="128" t="s">
        <v>924</v>
      </c>
      <c r="E289" s="128" t="str">
        <f>INDEX(二三级标准!$Q:$Q,MATCH(数统二级标签!D289,二三级标准!$O:$O,0))</f>
        <v>生物统计及分析</v>
      </c>
      <c r="F289" s="128" t="s">
        <v>335</v>
      </c>
      <c r="G289" s="128" t="str">
        <f>INDEX(二三级标准!C:C,MATCH(数统二级标签!F289,二三级标准!$B:$B,0))</f>
        <v>Dry Run</v>
      </c>
      <c r="H289" s="128" t="s">
        <v>1523</v>
      </c>
      <c r="I289" s="128" t="str">
        <f>INDEX(二三级标准!$M:$M,MATCH(数统二级标签!$H289,二三级标准!$L:$L,0))</f>
        <v>Dry Run的TFLs合并</v>
      </c>
      <c r="K289" s="128" t="s">
        <v>635</v>
      </c>
      <c r="L289" s="162">
        <v>4</v>
      </c>
      <c r="M289" s="156">
        <v>4</v>
      </c>
      <c r="N289" s="156">
        <v>3</v>
      </c>
      <c r="O289" s="156">
        <v>3</v>
      </c>
      <c r="P289" s="156">
        <v>6</v>
      </c>
      <c r="Q289" s="156">
        <v>6</v>
      </c>
      <c r="R289" s="156">
        <v>3</v>
      </c>
      <c r="S289" s="156">
        <v>3</v>
      </c>
      <c r="T289" s="156">
        <v>3</v>
      </c>
    </row>
    <row r="290" ht="27" customHeight="1" spans="1:20">
      <c r="A290" s="154" t="str">
        <f>INDEX('Rate Card'!$A:$A,MATCH(数统二级标签!$K290,'Rate Card'!$F:$F,0))</f>
        <v>数统</v>
      </c>
      <c r="B290" s="154" t="str">
        <f t="shared" si="35"/>
        <v>A115SAM</v>
      </c>
      <c r="C290" s="154" t="str">
        <f t="shared" si="36"/>
        <v>T0388SAM</v>
      </c>
      <c r="D290" s="128" t="s">
        <v>924</v>
      </c>
      <c r="E290" s="128" t="str">
        <f>INDEX(二三级标准!$Q:$Q,MATCH(数统二级标签!D290,二三级标准!$O:$O,0))</f>
        <v>生物统计及分析</v>
      </c>
      <c r="F290" s="128" t="s">
        <v>335</v>
      </c>
      <c r="G290" s="128" t="str">
        <f>INDEX(二三级标准!C:C,MATCH(数统二级标签!F290,二三级标准!$B:$B,0))</f>
        <v>Dry Run</v>
      </c>
      <c r="H290" s="128" t="s">
        <v>1524</v>
      </c>
      <c r="I290" s="128" t="str">
        <f>INDEX(二三级标准!$M:$M,MATCH(数统二级标签!$H290,二三级标准!$L:$L,0))</f>
        <v>Dry Run的结果审核</v>
      </c>
      <c r="K290" s="128" t="s">
        <v>638</v>
      </c>
      <c r="L290" s="162">
        <v>4</v>
      </c>
      <c r="M290" s="156">
        <v>4</v>
      </c>
      <c r="N290" s="156">
        <v>6</v>
      </c>
      <c r="O290" s="156">
        <v>6</v>
      </c>
      <c r="P290" s="156">
        <v>12</v>
      </c>
      <c r="Q290" s="156">
        <v>12</v>
      </c>
      <c r="R290" s="156">
        <v>6</v>
      </c>
      <c r="S290" s="156">
        <v>6</v>
      </c>
      <c r="T290" s="156">
        <v>6</v>
      </c>
    </row>
    <row r="291" ht="27" customHeight="1" spans="1:20">
      <c r="A291" s="154" t="str">
        <f>INDEX('Rate Card'!$A:$A,MATCH(数统二级标签!$K291,'Rate Card'!$F:$F,0))</f>
        <v>数统</v>
      </c>
      <c r="B291" s="154" t="str">
        <f t="shared" si="35"/>
        <v>A115ST</v>
      </c>
      <c r="C291" s="154" t="str">
        <f t="shared" si="36"/>
        <v>T0388ST</v>
      </c>
      <c r="D291" s="128" t="s">
        <v>924</v>
      </c>
      <c r="E291" s="128" t="str">
        <f>INDEX(二三级标准!$Q:$Q,MATCH(数统二级标签!D291,二三级标准!$O:$O,0))</f>
        <v>生物统计及分析</v>
      </c>
      <c r="F291" s="128" t="s">
        <v>335</v>
      </c>
      <c r="G291" s="128" t="str">
        <f>INDEX(二三级标准!C:C,MATCH(数统二级标签!F291,二三级标准!$B:$B,0))</f>
        <v>Dry Run</v>
      </c>
      <c r="H291" s="128" t="s">
        <v>1524</v>
      </c>
      <c r="I291" s="128" t="str">
        <f>INDEX(二三级标准!$M:$M,MATCH(数统二级标签!$H291,二三级标准!$L:$L,0))</f>
        <v>Dry Run的结果审核</v>
      </c>
      <c r="K291" s="128" t="s">
        <v>639</v>
      </c>
      <c r="L291" s="156">
        <v>12</v>
      </c>
      <c r="M291" s="156">
        <v>12</v>
      </c>
      <c r="N291" s="156">
        <v>12</v>
      </c>
      <c r="O291" s="156">
        <v>12</v>
      </c>
      <c r="P291" s="156">
        <v>12</v>
      </c>
      <c r="Q291" s="156">
        <v>12</v>
      </c>
      <c r="R291" s="156">
        <v>12</v>
      </c>
      <c r="S291" s="156">
        <v>12</v>
      </c>
      <c r="T291" s="156">
        <v>12</v>
      </c>
    </row>
    <row r="292" ht="27" customHeight="1" spans="1:20">
      <c r="A292" s="154" t="str">
        <f>INDEX('Rate Card'!$A:$A,MATCH(数统二级标签!$K292,'Rate Card'!$F:$F,0))</f>
        <v>数统</v>
      </c>
      <c r="B292" s="154" t="str">
        <f t="shared" si="35"/>
        <v>A115ST</v>
      </c>
      <c r="C292" s="154" t="str">
        <f t="shared" si="36"/>
        <v>T0389ST</v>
      </c>
      <c r="D292" s="128" t="s">
        <v>924</v>
      </c>
      <c r="E292" s="128" t="str">
        <f>INDEX(二三级标准!$Q:$Q,MATCH(数统二级标签!D292,二三级标准!$O:$O,0))</f>
        <v>生物统计及分析</v>
      </c>
      <c r="F292" s="128" t="s">
        <v>335</v>
      </c>
      <c r="G292" s="128" t="str">
        <f>INDEX(二三级标准!C:C,MATCH(数统二级标签!F292,二三级标准!$B:$B,0))</f>
        <v>Dry Run</v>
      </c>
      <c r="H292" s="128" t="s">
        <v>1525</v>
      </c>
      <c r="I292" s="128" t="str">
        <f>INDEX(二三级标准!$M:$M,MATCH(数统二级标签!$H292,二三级标准!$L:$L,0))</f>
        <v>Dry Run的TFLs交付</v>
      </c>
      <c r="K292" s="128" t="s">
        <v>639</v>
      </c>
      <c r="L292" s="162">
        <v>1</v>
      </c>
      <c r="M292" s="156">
        <v>1</v>
      </c>
      <c r="N292" s="156">
        <v>1.5</v>
      </c>
      <c r="O292" s="156">
        <v>1.5</v>
      </c>
      <c r="P292" s="156">
        <v>1.5</v>
      </c>
      <c r="Q292" s="156">
        <v>1.5</v>
      </c>
      <c r="R292" s="156">
        <v>1.5</v>
      </c>
      <c r="S292" s="156">
        <v>1.5</v>
      </c>
      <c r="T292" s="156">
        <v>1.5</v>
      </c>
    </row>
    <row r="293" ht="27" customHeight="1" spans="1:20">
      <c r="A293" s="154" t="str">
        <f>INDEX('Rate Card'!$A:$A,MATCH(数统二级标签!$K293,'Rate Card'!$F:$F,0))</f>
        <v>数统</v>
      </c>
      <c r="B293" s="154" t="str">
        <f t="shared" si="35"/>
        <v>A116DM</v>
      </c>
      <c r="C293" s="154" t="str">
        <f t="shared" si="36"/>
        <v>T0390DM</v>
      </c>
      <c r="D293" s="128" t="s">
        <v>924</v>
      </c>
      <c r="E293" s="128" t="str">
        <f>INDEX(二三级标准!$Q:$Q,MATCH(数统二级标签!D293,二三级标准!$O:$O,0))</f>
        <v>生物统计及分析</v>
      </c>
      <c r="F293" s="128" t="s">
        <v>337</v>
      </c>
      <c r="G293" s="128" t="str">
        <f>INDEX(二三级标准!C:C,MATCH(数统二级标签!F293,二三级标准!$B:$B,0))</f>
        <v>期中分析</v>
      </c>
      <c r="H293" s="128" t="s">
        <v>1526</v>
      </c>
      <c r="I293" s="128" t="str">
        <f>INDEX(二三级标准!$M:$M,MATCH(数统二级标签!$H293,二三级标准!$L:$L,0))</f>
        <v>期中分析的集中质疑清理</v>
      </c>
      <c r="J293" s="128" t="s">
        <v>2904</v>
      </c>
      <c r="K293" s="128" t="s">
        <v>631</v>
      </c>
      <c r="L293" s="162">
        <v>24</v>
      </c>
      <c r="M293" s="156">
        <v>24</v>
      </c>
      <c r="N293" s="156">
        <v>8</v>
      </c>
      <c r="O293" s="156">
        <v>9</v>
      </c>
      <c r="P293" s="156">
        <v>11.25</v>
      </c>
      <c r="Q293" s="156">
        <v>18</v>
      </c>
      <c r="R293" s="156">
        <v>12</v>
      </c>
      <c r="S293" s="156">
        <v>12</v>
      </c>
      <c r="T293" s="156">
        <v>12</v>
      </c>
    </row>
    <row r="294" ht="27" customHeight="1" spans="1:20">
      <c r="A294" s="154" t="str">
        <f>INDEX('Rate Card'!$A:$A,MATCH(数统二级标签!$K294,'Rate Card'!$F:$F,0))</f>
        <v>数统</v>
      </c>
      <c r="B294" s="154" t="str">
        <f t="shared" si="35"/>
        <v>A116LDM</v>
      </c>
      <c r="C294" s="154" t="str">
        <f t="shared" si="36"/>
        <v>T0390LDM</v>
      </c>
      <c r="D294" s="128" t="s">
        <v>924</v>
      </c>
      <c r="E294" s="128" t="str">
        <f>INDEX(二三级标准!$Q:$Q,MATCH(数统二级标签!D294,二三级标准!$O:$O,0))</f>
        <v>生物统计及分析</v>
      </c>
      <c r="F294" s="128" t="s">
        <v>337</v>
      </c>
      <c r="G294" s="128" t="str">
        <f>INDEX(二三级标准!C:C,MATCH(数统二级标签!F294,二三级标准!$B:$B,0))</f>
        <v>期中分析</v>
      </c>
      <c r="H294" s="128" t="s">
        <v>1526</v>
      </c>
      <c r="I294" s="128" t="str">
        <f>INDEX(二三级标准!$M:$M,MATCH(数统二级标签!$H294,二三级标准!$L:$L,0))</f>
        <v>期中分析的集中质疑清理</v>
      </c>
      <c r="J294" s="128" t="s">
        <v>3047</v>
      </c>
      <c r="K294" s="128" t="s">
        <v>633</v>
      </c>
      <c r="L294" s="156">
        <v>0</v>
      </c>
      <c r="M294" s="156">
        <v>0</v>
      </c>
      <c r="N294" s="156">
        <v>2</v>
      </c>
      <c r="O294" s="156">
        <v>2.25</v>
      </c>
      <c r="P294" s="156">
        <v>3.375</v>
      </c>
      <c r="Q294" s="156">
        <v>6</v>
      </c>
      <c r="R294" s="156">
        <v>3</v>
      </c>
      <c r="S294" s="156">
        <v>3</v>
      </c>
      <c r="T294" s="156">
        <v>3</v>
      </c>
    </row>
    <row r="295" ht="27" customHeight="1" spans="1:20">
      <c r="A295" s="154" t="str">
        <f>INDEX('Rate Card'!$A:$A,MATCH(数统二级标签!$K295,'Rate Card'!$F:$F,0))</f>
        <v>数统</v>
      </c>
      <c r="B295" s="154" t="str">
        <f t="shared" si="35"/>
        <v>A116DM</v>
      </c>
      <c r="C295" s="154" t="str">
        <f t="shared" si="36"/>
        <v>T0391DM</v>
      </c>
      <c r="D295" s="128" t="s">
        <v>924</v>
      </c>
      <c r="E295" s="128" t="str">
        <f>INDEX(二三级标准!$Q:$Q,MATCH(数统二级标签!D295,二三级标准!$O:$O,0))</f>
        <v>生物统计及分析</v>
      </c>
      <c r="F295" s="128" t="s">
        <v>337</v>
      </c>
      <c r="G295" s="128" t="str">
        <f>INDEX(二三级标准!C:C,MATCH(数统二级标签!F295,二三级标准!$B:$B,0))</f>
        <v>期中分析</v>
      </c>
      <c r="H295" s="128" t="s">
        <v>3048</v>
      </c>
      <c r="I295" s="128" t="str">
        <f>INDEX(二三级标准!$M:$M,MATCH(数统二级标签!$H295,二三级标准!$L:$L,0))</f>
        <v>人工数据审核</v>
      </c>
      <c r="J295" s="128" t="s">
        <v>3047</v>
      </c>
      <c r="K295" s="128" t="s">
        <v>631</v>
      </c>
      <c r="L295" s="156">
        <v>0</v>
      </c>
      <c r="M295" s="156">
        <v>0</v>
      </c>
      <c r="N295" s="156">
        <v>4</v>
      </c>
      <c r="O295" s="156">
        <v>4.5</v>
      </c>
      <c r="P295" s="156">
        <v>5.625</v>
      </c>
      <c r="Q295" s="156">
        <v>12</v>
      </c>
      <c r="R295" s="156">
        <v>6</v>
      </c>
      <c r="S295" s="156">
        <v>6</v>
      </c>
      <c r="T295" s="156">
        <v>6</v>
      </c>
    </row>
    <row r="296" ht="27" customHeight="1" spans="1:20">
      <c r="A296" s="154" t="str">
        <f>INDEX('Rate Card'!$A:$A,MATCH(数统二级标签!$K296,'Rate Card'!$F:$F,0))</f>
        <v>数统</v>
      </c>
      <c r="B296" s="154" t="str">
        <f t="shared" si="35"/>
        <v>A116LDM</v>
      </c>
      <c r="C296" s="154" t="str">
        <f t="shared" si="36"/>
        <v>T0391LDM</v>
      </c>
      <c r="D296" s="128" t="s">
        <v>924</v>
      </c>
      <c r="E296" s="128" t="str">
        <f>INDEX(二三级标准!$Q:$Q,MATCH(数统二级标签!D296,二三级标准!$O:$O,0))</f>
        <v>生物统计及分析</v>
      </c>
      <c r="F296" s="128" t="s">
        <v>337</v>
      </c>
      <c r="G296" s="128" t="str">
        <f>INDEX(二三级标准!C:C,MATCH(数统二级标签!F296,二三级标准!$B:$B,0))</f>
        <v>期中分析</v>
      </c>
      <c r="H296" s="128" t="s">
        <v>3048</v>
      </c>
      <c r="I296" s="128" t="str">
        <f>INDEX(二三级标准!$M:$M,MATCH(数统二级标签!$H296,二三级标准!$L:$L,0))</f>
        <v>人工数据审核</v>
      </c>
      <c r="J296" s="128" t="s">
        <v>3047</v>
      </c>
      <c r="K296" s="128" t="s">
        <v>633</v>
      </c>
      <c r="L296" s="156">
        <v>0</v>
      </c>
      <c r="M296" s="156">
        <v>0</v>
      </c>
      <c r="N296" s="156">
        <v>1.5</v>
      </c>
      <c r="O296" s="156">
        <v>1.5</v>
      </c>
      <c r="P296" s="156">
        <v>1.6875</v>
      </c>
      <c r="Q296" s="156">
        <v>3</v>
      </c>
      <c r="R296" s="156">
        <v>1.5</v>
      </c>
      <c r="S296" s="156">
        <v>1.5</v>
      </c>
      <c r="T296" s="156">
        <v>1.5</v>
      </c>
    </row>
    <row r="297" ht="27" customHeight="1" spans="1:20">
      <c r="A297" s="154" t="str">
        <f>INDEX('Rate Card'!$A:$A,MATCH(数统二级标签!$K297,'Rate Card'!$F:$F,0))</f>
        <v>数统</v>
      </c>
      <c r="B297" s="154" t="str">
        <f t="shared" si="35"/>
        <v>A116DM</v>
      </c>
      <c r="C297" s="154" t="str">
        <f t="shared" si="36"/>
        <v>T0392DM</v>
      </c>
      <c r="D297" s="128" t="s">
        <v>924</v>
      </c>
      <c r="E297" s="128" t="str">
        <f>INDEX(二三级标准!$Q:$Q,MATCH(数统二级标签!D297,二三级标准!$O:$O,0))</f>
        <v>生物统计及分析</v>
      </c>
      <c r="F297" s="128" t="s">
        <v>337</v>
      </c>
      <c r="G297" s="128" t="str">
        <f>INDEX(二三级标准!C:C,MATCH(数统二级标签!F297,二三级标准!$B:$B,0))</f>
        <v>期中分析</v>
      </c>
      <c r="H297" s="128" t="s">
        <v>3049</v>
      </c>
      <c r="I297" s="128" t="str">
        <f>INDEX(二三级标准!$M:$M,MATCH(数统二级标签!$H297,二三级标准!$L:$L,0))</f>
        <v>数据质控</v>
      </c>
      <c r="J297" s="128" t="s">
        <v>3047</v>
      </c>
      <c r="K297" s="128" t="s">
        <v>631</v>
      </c>
      <c r="L297" s="156">
        <v>0</v>
      </c>
      <c r="M297" s="156">
        <v>0</v>
      </c>
      <c r="N297" s="156">
        <v>2</v>
      </c>
      <c r="O297" s="156">
        <v>2.25</v>
      </c>
      <c r="P297" s="156">
        <v>3.375</v>
      </c>
      <c r="Q297" s="156">
        <v>6</v>
      </c>
      <c r="R297" s="156">
        <v>3</v>
      </c>
      <c r="S297" s="156">
        <v>3</v>
      </c>
      <c r="T297" s="156">
        <v>3</v>
      </c>
    </row>
    <row r="298" ht="27" customHeight="1" spans="1:20">
      <c r="A298" s="154" t="str">
        <f>INDEX('Rate Card'!$A:$A,MATCH(数统二级标签!$K298,'Rate Card'!$F:$F,0))</f>
        <v>数统</v>
      </c>
      <c r="B298" s="154" t="str">
        <f t="shared" si="35"/>
        <v>A116LDM</v>
      </c>
      <c r="C298" s="154" t="str">
        <f t="shared" si="36"/>
        <v>T0392LDM</v>
      </c>
      <c r="D298" s="128" t="s">
        <v>924</v>
      </c>
      <c r="E298" s="128" t="str">
        <f>INDEX(二三级标准!$Q:$Q,MATCH(数统二级标签!D298,二三级标准!$O:$O,0))</f>
        <v>生物统计及分析</v>
      </c>
      <c r="F298" s="128" t="s">
        <v>337</v>
      </c>
      <c r="G298" s="128" t="str">
        <f>INDEX(二三级标准!C:C,MATCH(数统二级标签!F298,二三级标准!$B:$B,0))</f>
        <v>期中分析</v>
      </c>
      <c r="H298" s="128" t="s">
        <v>3049</v>
      </c>
      <c r="I298" s="128" t="str">
        <f>INDEX(二三级标准!$M:$M,MATCH(数统二级标签!$H298,二三级标准!$L:$L,0))</f>
        <v>数据质控</v>
      </c>
      <c r="J298" s="128" t="s">
        <v>3047</v>
      </c>
      <c r="K298" s="128" t="s">
        <v>633</v>
      </c>
      <c r="L298" s="156">
        <v>0</v>
      </c>
      <c r="M298" s="156">
        <v>0</v>
      </c>
      <c r="N298" s="156">
        <v>1.5</v>
      </c>
      <c r="O298" s="156">
        <v>1.5</v>
      </c>
      <c r="P298" s="156">
        <v>1.6875</v>
      </c>
      <c r="Q298" s="156">
        <v>3</v>
      </c>
      <c r="R298" s="156">
        <v>1.5</v>
      </c>
      <c r="S298" s="156">
        <v>1.5</v>
      </c>
      <c r="T298" s="156">
        <v>1.5</v>
      </c>
    </row>
    <row r="299" ht="27" customHeight="1" spans="1:20">
      <c r="A299" s="154" t="str">
        <f>INDEX('Rate Card'!$A:$A,MATCH(数统二级标签!$K299,'Rate Card'!$F:$F,0))</f>
        <v>数统</v>
      </c>
      <c r="B299" s="154" t="str">
        <f t="shared" si="35"/>
        <v>A116LDM</v>
      </c>
      <c r="C299" s="154" t="str">
        <f t="shared" si="36"/>
        <v>T0393LDM</v>
      </c>
      <c r="D299" s="128" t="s">
        <v>924</v>
      </c>
      <c r="E299" s="128" t="str">
        <f>INDEX(二三级标准!$Q:$Q,MATCH(数统二级标签!D299,二三级标准!$O:$O,0))</f>
        <v>生物统计及分析</v>
      </c>
      <c r="F299" s="128" t="s">
        <v>337</v>
      </c>
      <c r="G299" s="128" t="str">
        <f>INDEX(二三级标准!C:C,MATCH(数统二级标签!F299,二三级标准!$B:$B,0))</f>
        <v>期中分析</v>
      </c>
      <c r="H299" s="128" t="s">
        <v>3050</v>
      </c>
      <c r="I299" s="128" t="str">
        <f>INDEX(二三级标准!$M:$M,MATCH(数统二级标签!$H299,二三级标准!$L:$L,0))</f>
        <v>数据集抽提与传输</v>
      </c>
      <c r="J299" s="128" t="s">
        <v>3047</v>
      </c>
      <c r="K299" s="128" t="s">
        <v>633</v>
      </c>
      <c r="L299" s="156">
        <v>0</v>
      </c>
      <c r="M299" s="156">
        <v>0</v>
      </c>
      <c r="N299" s="156">
        <v>0.75</v>
      </c>
      <c r="O299" s="156">
        <v>0.75</v>
      </c>
      <c r="P299" s="156">
        <v>1.125</v>
      </c>
      <c r="Q299" s="156">
        <v>1.5</v>
      </c>
      <c r="R299" s="156">
        <v>0.75</v>
      </c>
      <c r="S299" s="156">
        <v>0.75</v>
      </c>
      <c r="T299" s="156">
        <v>0.75</v>
      </c>
    </row>
    <row r="300" ht="27" customHeight="1" spans="1:20">
      <c r="A300" s="154" t="str">
        <f>INDEX('Rate Card'!$A:$A,MATCH(数统二级标签!$K300,'Rate Card'!$F:$F,0))</f>
        <v>数统</v>
      </c>
      <c r="B300" s="154" t="str">
        <f t="shared" si="35"/>
        <v>A116ST</v>
      </c>
      <c r="C300" s="154" t="str">
        <f t="shared" si="36"/>
        <v>T0394ST</v>
      </c>
      <c r="D300" s="128" t="s">
        <v>924</v>
      </c>
      <c r="E300" s="128" t="str">
        <f>INDEX(二三级标准!$Q:$Q,MATCH(数统二级标签!D300,二三级标准!$O:$O,0))</f>
        <v>生物统计及分析</v>
      </c>
      <c r="F300" s="128" t="s">
        <v>337</v>
      </c>
      <c r="G300" s="128" t="str">
        <f>INDEX(二三级标准!C:C,MATCH(数统二级标签!F300,二三级标准!$B:$B,0))</f>
        <v>期中分析</v>
      </c>
      <c r="H300" s="128" t="s">
        <v>1527</v>
      </c>
      <c r="I300" s="128" t="str">
        <f>INDEX(二三级标准!$M:$M,MATCH(数统二级标签!$H300,二三级标准!$L:$L,0))</f>
        <v>SAP/TFL Shells, 如适用</v>
      </c>
      <c r="J300" s="128" t="s">
        <v>2904</v>
      </c>
      <c r="K300" s="128" t="s">
        <v>639</v>
      </c>
      <c r="L300" s="162">
        <v>16</v>
      </c>
      <c r="M300" s="156">
        <v>16</v>
      </c>
      <c r="N300" s="156">
        <v>30</v>
      </c>
      <c r="O300" s="156">
        <v>30</v>
      </c>
      <c r="P300" s="156">
        <v>30</v>
      </c>
      <c r="Q300" s="156">
        <v>30</v>
      </c>
      <c r="R300" s="156">
        <v>30</v>
      </c>
      <c r="S300" s="156">
        <v>30</v>
      </c>
      <c r="T300" s="156">
        <v>30</v>
      </c>
    </row>
    <row r="301" s="132" customFormat="1" ht="27" customHeight="1" spans="1:20">
      <c r="A301" s="163" t="str">
        <f>INDEX('Rate Card'!$A:$A,MATCH(数统二级标签!$K301,'Rate Card'!$F:$F,0))</f>
        <v>数统</v>
      </c>
      <c r="B301" s="154" t="str">
        <f t="shared" si="35"/>
        <v>A116SA</v>
      </c>
      <c r="C301" s="154" t="str">
        <f t="shared" si="36"/>
        <v>T0395SA</v>
      </c>
      <c r="D301" s="132" t="s">
        <v>924</v>
      </c>
      <c r="E301" s="132" t="str">
        <f>INDEX(二三级标准!$Q:$Q,MATCH(数统二级标签!D301,二三级标准!$O:$O,0))</f>
        <v>生物统计及分析</v>
      </c>
      <c r="F301" s="132" t="s">
        <v>337</v>
      </c>
      <c r="G301" s="132" t="str">
        <f>INDEX(二三级标准!C:C,MATCH(数统二级标签!F301,二三级标准!$B:$B,0))</f>
        <v>期中分析</v>
      </c>
      <c r="H301" s="132" t="s">
        <v>3051</v>
      </c>
      <c r="I301" s="132" t="str">
        <f>INDEX(二三级标准!$M:$M,MATCH(数统二级标签!$H301,二三级标准!$L:$L,0))</f>
        <v>期中分析的数据准备</v>
      </c>
      <c r="J301" s="132" t="s">
        <v>2907</v>
      </c>
      <c r="K301" s="132" t="s">
        <v>635</v>
      </c>
      <c r="L301" s="156"/>
      <c r="M301" s="156">
        <v>0</v>
      </c>
      <c r="N301" s="156"/>
      <c r="O301" s="156"/>
      <c r="P301" s="156"/>
      <c r="Q301" s="156"/>
      <c r="R301" s="156"/>
      <c r="S301" s="156"/>
      <c r="T301" s="156"/>
    </row>
    <row r="302" ht="27" customHeight="1" spans="1:20">
      <c r="A302" s="154" t="str">
        <f>INDEX('Rate Card'!$A:$A,MATCH(数统二级标签!$K302,'Rate Card'!$F:$F,0))</f>
        <v>数统</v>
      </c>
      <c r="B302" s="154" t="str">
        <f t="shared" si="35"/>
        <v>A116SA</v>
      </c>
      <c r="C302" s="154" t="str">
        <f t="shared" si="36"/>
        <v>T0396SA</v>
      </c>
      <c r="D302" s="128" t="s">
        <v>924</v>
      </c>
      <c r="E302" s="128" t="str">
        <f>INDEX(二三级标准!$Q:$Q,MATCH(数统二级标签!D302,二三级标准!$O:$O,0))</f>
        <v>生物统计及分析</v>
      </c>
      <c r="F302" s="128" t="s">
        <v>337</v>
      </c>
      <c r="G302" s="128" t="str">
        <f>INDEX(二三级标准!C:C,MATCH(数统二级标签!F302,二三级标准!$B:$B,0))</f>
        <v>期中分析</v>
      </c>
      <c r="H302" s="128" t="s">
        <v>1528</v>
      </c>
      <c r="I302" s="128" t="str">
        <f>INDEX(二三级标准!$M:$M,MATCH(数统二级标签!$H302,二三级标准!$L:$L,0))</f>
        <v>期中分析的程序运行</v>
      </c>
      <c r="K302" s="128" t="s">
        <v>635</v>
      </c>
      <c r="L302" s="156">
        <v>12</v>
      </c>
      <c r="M302" s="156">
        <v>12</v>
      </c>
      <c r="N302" s="156">
        <v>12</v>
      </c>
      <c r="O302" s="156">
        <v>12</v>
      </c>
      <c r="P302" s="156">
        <v>12</v>
      </c>
      <c r="Q302" s="156">
        <v>12</v>
      </c>
      <c r="R302" s="156">
        <v>12</v>
      </c>
      <c r="S302" s="156">
        <v>12</v>
      </c>
      <c r="T302" s="156">
        <v>12</v>
      </c>
    </row>
    <row r="303" ht="27" customHeight="1" spans="1:20">
      <c r="A303" s="154" t="str">
        <f>INDEX('Rate Card'!$A:$A,MATCH(数统二级标签!$K303,'Rate Card'!$F:$F,0))</f>
        <v>数统</v>
      </c>
      <c r="B303" s="154" t="str">
        <f t="shared" si="35"/>
        <v>A116SA</v>
      </c>
      <c r="C303" s="154" t="str">
        <f t="shared" si="36"/>
        <v>T0397SA</v>
      </c>
      <c r="D303" s="128" t="s">
        <v>924</v>
      </c>
      <c r="E303" s="128" t="str">
        <f>INDEX(二三级标准!$Q:$Q,MATCH(数统二级标签!D303,二三级标准!$O:$O,0))</f>
        <v>生物统计及分析</v>
      </c>
      <c r="F303" s="128" t="s">
        <v>337</v>
      </c>
      <c r="G303" s="128" t="str">
        <f>INDEX(二三级标准!C:C,MATCH(数统二级标签!F303,二三级标准!$B:$B,0))</f>
        <v>期中分析</v>
      </c>
      <c r="H303" s="128" t="s">
        <v>1529</v>
      </c>
      <c r="I303" s="128" t="str">
        <f>INDEX(二三级标准!$M:$M,MATCH(数统二级标签!$H303,二三级标准!$L:$L,0))</f>
        <v>期中分析程序的验证和修订</v>
      </c>
      <c r="K303" s="128" t="s">
        <v>635</v>
      </c>
      <c r="L303" s="156">
        <v>18</v>
      </c>
      <c r="M303" s="156">
        <v>18</v>
      </c>
      <c r="N303" s="156">
        <v>18</v>
      </c>
      <c r="O303" s="156">
        <v>18</v>
      </c>
      <c r="P303" s="156">
        <v>18</v>
      </c>
      <c r="Q303" s="156">
        <v>18</v>
      </c>
      <c r="R303" s="156">
        <v>18</v>
      </c>
      <c r="S303" s="156">
        <v>18</v>
      </c>
      <c r="T303" s="156">
        <v>18</v>
      </c>
    </row>
    <row r="304" ht="27" customHeight="1" spans="1:20">
      <c r="A304" s="154" t="str">
        <f>INDEX('Rate Card'!$A:$A,MATCH(数统二级标签!$K304,'Rate Card'!$F:$F,0))</f>
        <v>数统</v>
      </c>
      <c r="B304" s="154" t="str">
        <f t="shared" si="35"/>
        <v>A116SA</v>
      </c>
      <c r="C304" s="154" t="str">
        <f t="shared" si="36"/>
        <v>T0398SA</v>
      </c>
      <c r="D304" s="128" t="s">
        <v>924</v>
      </c>
      <c r="E304" s="128" t="str">
        <f>INDEX(二三级标准!$Q:$Q,MATCH(数统二级标签!D304,二三级标准!$O:$O,0))</f>
        <v>生物统计及分析</v>
      </c>
      <c r="F304" s="128" t="s">
        <v>337</v>
      </c>
      <c r="G304" s="128" t="str">
        <f>INDEX(二三级标准!C:C,MATCH(数统二级标签!F304,二三级标准!$B:$B,0))</f>
        <v>期中分析</v>
      </c>
      <c r="H304" s="128" t="s">
        <v>1530</v>
      </c>
      <c r="I304" s="128" t="str">
        <f>INDEX(二三级标准!$M:$M,MATCH(数统二级标签!$H304,二三级标准!$L:$L,0))</f>
        <v>期中分析的数据集合规性检查</v>
      </c>
      <c r="J304" s="128" t="s">
        <v>2904</v>
      </c>
      <c r="K304" s="128" t="s">
        <v>635</v>
      </c>
      <c r="L304" s="162">
        <v>3</v>
      </c>
      <c r="M304" s="156">
        <v>3</v>
      </c>
      <c r="N304" s="156">
        <v>6</v>
      </c>
      <c r="O304" s="156">
        <v>6</v>
      </c>
      <c r="P304" s="156">
        <v>6</v>
      </c>
      <c r="Q304" s="156">
        <v>6</v>
      </c>
      <c r="R304" s="156">
        <v>6</v>
      </c>
      <c r="S304" s="156">
        <v>6</v>
      </c>
      <c r="T304" s="156">
        <v>6</v>
      </c>
    </row>
    <row r="305" ht="27" customHeight="1" spans="1:20">
      <c r="A305" s="154" t="str">
        <f>INDEX('Rate Card'!$A:$A,MATCH(数统二级标签!$K305,'Rate Card'!$F:$F,0))</f>
        <v>数统</v>
      </c>
      <c r="B305" s="154" t="str">
        <f t="shared" si="35"/>
        <v>A116SA</v>
      </c>
      <c r="C305" s="154" t="str">
        <f t="shared" si="36"/>
        <v>T0399SA</v>
      </c>
      <c r="D305" s="128" t="s">
        <v>924</v>
      </c>
      <c r="E305" s="128" t="str">
        <f>INDEX(二三级标准!$Q:$Q,MATCH(数统二级标签!D305,二三级标准!$O:$O,0))</f>
        <v>生物统计及分析</v>
      </c>
      <c r="F305" s="128" t="s">
        <v>337</v>
      </c>
      <c r="G305" s="128" t="str">
        <f>INDEX(二三级标准!C:C,MATCH(数统二级标签!F305,二三级标准!$B:$B,0))</f>
        <v>期中分析</v>
      </c>
      <c r="H305" s="128" t="s">
        <v>1531</v>
      </c>
      <c r="I305" s="128" t="str">
        <f>INDEX(二三级标准!$M:$M,MATCH(数统二级标签!$H305,二三级标准!$L:$L,0))</f>
        <v>期中分析的TFLs合并</v>
      </c>
      <c r="J305" s="128" t="s">
        <v>2904</v>
      </c>
      <c r="K305" s="128" t="s">
        <v>635</v>
      </c>
      <c r="L305" s="162">
        <v>4</v>
      </c>
      <c r="M305" s="156">
        <v>4</v>
      </c>
      <c r="N305" s="156">
        <v>6</v>
      </c>
      <c r="O305" s="156">
        <v>6</v>
      </c>
      <c r="P305" s="156">
        <v>6</v>
      </c>
      <c r="Q305" s="156">
        <v>6</v>
      </c>
      <c r="R305" s="156">
        <v>6</v>
      </c>
      <c r="S305" s="156">
        <v>6</v>
      </c>
      <c r="T305" s="156">
        <v>6</v>
      </c>
    </row>
    <row r="306" ht="27" customHeight="1" spans="1:20">
      <c r="A306" s="154" t="str">
        <f>INDEX('Rate Card'!$A:$A,MATCH(数统二级标签!$K306,'Rate Card'!$F:$F,0))</f>
        <v>数统</v>
      </c>
      <c r="B306" s="154" t="str">
        <f t="shared" si="35"/>
        <v>A116SAM</v>
      </c>
      <c r="C306" s="154" t="str">
        <f t="shared" si="36"/>
        <v>T0400SAM</v>
      </c>
      <c r="D306" s="128" t="s">
        <v>924</v>
      </c>
      <c r="E306" s="128" t="str">
        <f>INDEX(二三级标准!$Q:$Q,MATCH(数统二级标签!D306,二三级标准!$O:$O,0))</f>
        <v>生物统计及分析</v>
      </c>
      <c r="F306" s="128" t="s">
        <v>337</v>
      </c>
      <c r="G306" s="128" t="str">
        <f>INDEX(二三级标准!C:C,MATCH(数统二级标签!F306,二三级标准!$B:$B,0))</f>
        <v>期中分析</v>
      </c>
      <c r="H306" s="128" t="s">
        <v>1532</v>
      </c>
      <c r="I306" s="128" t="str">
        <f>INDEX(二三级标准!$M:$M,MATCH(数统二级标签!$H306,二三级标准!$L:$L,0))</f>
        <v>期中分析的结果审核</v>
      </c>
      <c r="J306" s="128" t="s">
        <v>2904</v>
      </c>
      <c r="K306" s="128" t="s">
        <v>638</v>
      </c>
      <c r="L306" s="162">
        <v>4</v>
      </c>
      <c r="M306" s="156">
        <v>4</v>
      </c>
      <c r="N306" s="156">
        <v>6</v>
      </c>
      <c r="O306" s="156">
        <v>6</v>
      </c>
      <c r="P306" s="156">
        <v>6</v>
      </c>
      <c r="Q306" s="156">
        <v>6</v>
      </c>
      <c r="R306" s="156">
        <v>6</v>
      </c>
      <c r="S306" s="156">
        <v>6</v>
      </c>
      <c r="T306" s="156">
        <v>6</v>
      </c>
    </row>
    <row r="307" ht="27" customHeight="1" spans="1:20">
      <c r="A307" s="154" t="str">
        <f>INDEX('Rate Card'!$A:$A,MATCH(数统二级标签!$K307,'Rate Card'!$F:$F,0))</f>
        <v>数统</v>
      </c>
      <c r="B307" s="154" t="str">
        <f t="shared" si="35"/>
        <v>A116ST</v>
      </c>
      <c r="C307" s="154" t="str">
        <f t="shared" si="36"/>
        <v>T0400ST</v>
      </c>
      <c r="D307" s="128" t="s">
        <v>924</v>
      </c>
      <c r="E307" s="128" t="str">
        <f>INDEX(二三级标准!$Q:$Q,MATCH(数统二级标签!D307,二三级标准!$O:$O,0))</f>
        <v>生物统计及分析</v>
      </c>
      <c r="F307" s="128" t="s">
        <v>337</v>
      </c>
      <c r="G307" s="128" t="str">
        <f>INDEX(二三级标准!C:C,MATCH(数统二级标签!F307,二三级标准!$B:$B,0))</f>
        <v>期中分析</v>
      </c>
      <c r="H307" s="128" t="s">
        <v>1532</v>
      </c>
      <c r="I307" s="128" t="str">
        <f>INDEX(二三级标准!$M:$M,MATCH(数统二级标签!$H307,二三级标准!$L:$L,0))</f>
        <v>期中分析的结果审核</v>
      </c>
      <c r="J307" s="128" t="s">
        <v>2904</v>
      </c>
      <c r="K307" s="128" t="s">
        <v>639</v>
      </c>
      <c r="L307" s="162">
        <v>8</v>
      </c>
      <c r="M307" s="156">
        <v>8</v>
      </c>
      <c r="N307" s="156">
        <v>12</v>
      </c>
      <c r="O307" s="156">
        <v>12</v>
      </c>
      <c r="P307" s="156">
        <v>12</v>
      </c>
      <c r="Q307" s="156">
        <v>12</v>
      </c>
      <c r="R307" s="156">
        <v>12</v>
      </c>
      <c r="S307" s="156">
        <v>12</v>
      </c>
      <c r="T307" s="156">
        <v>12</v>
      </c>
    </row>
    <row r="308" ht="27" customHeight="1" spans="1:20">
      <c r="A308" s="154" t="str">
        <f>INDEX('Rate Card'!$A:$A,MATCH(数统二级标签!$K308,'Rate Card'!$F:$F,0))</f>
        <v>数统</v>
      </c>
      <c r="B308" s="154" t="str">
        <f t="shared" si="35"/>
        <v>A116ST</v>
      </c>
      <c r="C308" s="154" t="str">
        <f t="shared" si="36"/>
        <v>T0401ST</v>
      </c>
      <c r="D308" s="128" t="s">
        <v>924</v>
      </c>
      <c r="E308" s="128" t="str">
        <f>INDEX(二三级标准!$Q:$Q,MATCH(数统二级标签!D308,二三级标准!$O:$O,0))</f>
        <v>生物统计及分析</v>
      </c>
      <c r="F308" s="128" t="s">
        <v>337</v>
      </c>
      <c r="G308" s="128" t="str">
        <f>INDEX(二三级标准!C:C,MATCH(数统二级标签!F308,二三级标准!$B:$B,0))</f>
        <v>期中分析</v>
      </c>
      <c r="H308" s="128" t="s">
        <v>1533</v>
      </c>
      <c r="I308" s="128" t="str">
        <f>INDEX(二三级标准!$M:$M,MATCH(数统二级标签!$H308,二三级标准!$L:$L,0))</f>
        <v>期中分析的TFLs交付</v>
      </c>
      <c r="J308" s="128" t="s">
        <v>2904</v>
      </c>
      <c r="K308" s="128" t="s">
        <v>639</v>
      </c>
      <c r="L308" s="162">
        <v>1</v>
      </c>
      <c r="M308" s="156">
        <v>1</v>
      </c>
      <c r="N308" s="156">
        <v>1.5</v>
      </c>
      <c r="O308" s="156">
        <v>1.5</v>
      </c>
      <c r="P308" s="156">
        <v>3</v>
      </c>
      <c r="Q308" s="156">
        <v>3</v>
      </c>
      <c r="R308" s="156">
        <v>1.5</v>
      </c>
      <c r="S308" s="156">
        <v>1.5</v>
      </c>
      <c r="T308" s="156">
        <v>1.5</v>
      </c>
    </row>
    <row r="309" s="132" customFormat="1" ht="27" customHeight="1" spans="1:20">
      <c r="A309" s="163" t="str">
        <f>INDEX('Rate Card'!$A:$A,MATCH(数统二级标签!$K309,'Rate Card'!$F:$F,0))</f>
        <v>数统</v>
      </c>
      <c r="B309" s="163" t="str">
        <f t="shared" ref="B309" si="37">F309&amp;K309</f>
        <v>A117SA</v>
      </c>
      <c r="C309" s="154" t="str">
        <f t="shared" si="36"/>
        <v>T0402SA</v>
      </c>
      <c r="D309" s="132" t="s">
        <v>925</v>
      </c>
      <c r="E309" s="132" t="str">
        <f>INDEX(二三级标准!$Q:$Q,MATCH(数统二级标签!D309,二三级标准!$O:$O,0))</f>
        <v>临床药理</v>
      </c>
      <c r="F309" s="132" t="s">
        <v>339</v>
      </c>
      <c r="G309" s="132" t="str">
        <f>INDEX(二三级标准!C:C,MATCH(数统二级标签!F309,二三级标准!$B:$B,0))</f>
        <v>最终分析</v>
      </c>
      <c r="H309" s="132" t="s">
        <v>3052</v>
      </c>
      <c r="I309" s="132" t="str">
        <f>INDEX(二三级标准!$M:$M,MATCH(数统二级标签!$H309,二三级标准!$L:$L,0))</f>
        <v>最终分析的数据准备</v>
      </c>
      <c r="J309" s="132" t="s">
        <v>2907</v>
      </c>
      <c r="K309" s="132" t="s">
        <v>635</v>
      </c>
      <c r="L309" s="156"/>
      <c r="M309" s="156">
        <v>0</v>
      </c>
      <c r="N309" s="156"/>
      <c r="O309" s="156"/>
      <c r="P309" s="156"/>
      <c r="Q309" s="156"/>
      <c r="R309" s="156"/>
      <c r="S309" s="156"/>
      <c r="T309" s="156"/>
    </row>
    <row r="310" ht="27" customHeight="1" spans="1:20">
      <c r="A310" s="154" t="str">
        <f>INDEX('Rate Card'!$A:$A,MATCH(数统二级标签!$K310,'Rate Card'!$F:$F,0))</f>
        <v>数统</v>
      </c>
      <c r="B310" s="154" t="str">
        <f t="shared" si="35"/>
        <v>A117SA</v>
      </c>
      <c r="C310" s="154" t="str">
        <f t="shared" si="36"/>
        <v>T0403SA</v>
      </c>
      <c r="D310" s="128" t="s">
        <v>924</v>
      </c>
      <c r="E310" s="128" t="str">
        <f>INDEX(二三级标准!$Q:$Q,MATCH(数统二级标签!D310,二三级标准!$O:$O,0))</f>
        <v>生物统计及分析</v>
      </c>
      <c r="F310" s="128" t="s">
        <v>339</v>
      </c>
      <c r="G310" s="128" t="str">
        <f>INDEX(二三级标准!C:C,MATCH(数统二级标签!F310,二三级标准!$B:$B,0))</f>
        <v>最终分析</v>
      </c>
      <c r="H310" s="128" t="s">
        <v>1534</v>
      </c>
      <c r="I310" s="128" t="str">
        <f>INDEX(二三级标准!$M:$M,MATCH(数统二级标签!$H310,二三级标准!$L:$L,0))</f>
        <v>最终分析的程序运行</v>
      </c>
      <c r="K310" s="128" t="s">
        <v>635</v>
      </c>
      <c r="L310" s="156">
        <v>12</v>
      </c>
      <c r="M310" s="156">
        <v>4</v>
      </c>
      <c r="N310" s="156">
        <v>12</v>
      </c>
      <c r="O310" s="156">
        <v>12</v>
      </c>
      <c r="P310" s="156">
        <v>16</v>
      </c>
      <c r="Q310" s="156">
        <v>16</v>
      </c>
      <c r="R310" s="156">
        <v>12</v>
      </c>
      <c r="S310" s="156">
        <v>12</v>
      </c>
      <c r="T310" s="156">
        <v>12</v>
      </c>
    </row>
    <row r="311" ht="27" customHeight="1" spans="1:20">
      <c r="A311" s="154" t="str">
        <f>INDEX('Rate Card'!$A:$A,MATCH(数统二级标签!$K311,'Rate Card'!$F:$F,0))</f>
        <v>数统</v>
      </c>
      <c r="B311" s="154" t="str">
        <f t="shared" si="35"/>
        <v>A117SA</v>
      </c>
      <c r="C311" s="154" t="str">
        <f t="shared" si="36"/>
        <v>T0404SA</v>
      </c>
      <c r="D311" s="128" t="s">
        <v>924</v>
      </c>
      <c r="E311" s="128" t="str">
        <f>INDEX(二三级标准!$Q:$Q,MATCH(数统二级标签!D311,二三级标准!$O:$O,0))</f>
        <v>生物统计及分析</v>
      </c>
      <c r="F311" s="128" t="s">
        <v>339</v>
      </c>
      <c r="G311" s="128" t="str">
        <f>INDEX(二三级标准!C:C,MATCH(数统二级标签!F311,二三级标准!$B:$B,0))</f>
        <v>最终分析</v>
      </c>
      <c r="H311" s="128" t="s">
        <v>1535</v>
      </c>
      <c r="I311" s="128" t="str">
        <f>INDEX(二三级标准!$M:$M,MATCH(数统二级标签!$H311,二三级标准!$L:$L,0))</f>
        <v>最终分析程序的验证和修订</v>
      </c>
      <c r="J311" s="128" t="s">
        <v>2904</v>
      </c>
      <c r="K311" s="128" t="s">
        <v>635</v>
      </c>
      <c r="L311" s="162">
        <v>16</v>
      </c>
      <c r="M311" s="156">
        <v>24</v>
      </c>
      <c r="N311" s="156">
        <v>12</v>
      </c>
      <c r="O311" s="156">
        <v>12</v>
      </c>
      <c r="P311" s="156">
        <v>16</v>
      </c>
      <c r="Q311" s="156">
        <v>16</v>
      </c>
      <c r="R311" s="156">
        <v>12</v>
      </c>
      <c r="S311" s="156">
        <v>12</v>
      </c>
      <c r="T311" s="156">
        <v>12</v>
      </c>
    </row>
    <row r="312" ht="27" customHeight="1" spans="1:20">
      <c r="A312" s="154" t="str">
        <f>INDEX('Rate Card'!$A:$A,MATCH(数统二级标签!$K312,'Rate Card'!$F:$F,0))</f>
        <v>数统</v>
      </c>
      <c r="B312" s="154" t="str">
        <f t="shared" si="35"/>
        <v>A117SA</v>
      </c>
      <c r="C312" s="154" t="str">
        <f t="shared" si="36"/>
        <v>T0405SA</v>
      </c>
      <c r="D312" s="128" t="s">
        <v>924</v>
      </c>
      <c r="E312" s="128" t="str">
        <f>INDEX(二三级标准!$Q:$Q,MATCH(数统二级标签!D312,二三级标准!$O:$O,0))</f>
        <v>生物统计及分析</v>
      </c>
      <c r="F312" s="128" t="s">
        <v>339</v>
      </c>
      <c r="G312" s="128" t="str">
        <f>INDEX(二三级标准!C:C,MATCH(数统二级标签!F312,二三级标准!$B:$B,0))</f>
        <v>最终分析</v>
      </c>
      <c r="H312" s="128" t="s">
        <v>1536</v>
      </c>
      <c r="I312" s="128" t="str">
        <f>INDEX(二三级标准!$M:$M,MATCH(数统二级标签!$H312,二三级标准!$L:$L,0))</f>
        <v>最终分析的数据集合规性检查</v>
      </c>
      <c r="J312" s="128" t="s">
        <v>2904</v>
      </c>
      <c r="K312" s="128" t="s">
        <v>635</v>
      </c>
      <c r="L312" s="162">
        <v>4</v>
      </c>
      <c r="M312" s="156">
        <v>4</v>
      </c>
      <c r="N312" s="156">
        <v>3</v>
      </c>
      <c r="O312" s="156">
        <v>3</v>
      </c>
      <c r="P312" s="156">
        <v>3</v>
      </c>
      <c r="Q312" s="156">
        <v>3</v>
      </c>
      <c r="R312" s="156">
        <v>3</v>
      </c>
      <c r="S312" s="156">
        <v>3</v>
      </c>
      <c r="T312" s="156">
        <v>3</v>
      </c>
    </row>
    <row r="313" ht="27" customHeight="1" spans="1:20">
      <c r="A313" s="154" t="str">
        <f>INDEX('Rate Card'!$A:$A,MATCH(数统二级标签!$K313,'Rate Card'!$F:$F,0))</f>
        <v>数统</v>
      </c>
      <c r="B313" s="154" t="str">
        <f t="shared" si="35"/>
        <v>A117SA</v>
      </c>
      <c r="C313" s="154" t="str">
        <f t="shared" si="36"/>
        <v>T0406SA</v>
      </c>
      <c r="D313" s="128" t="s">
        <v>924</v>
      </c>
      <c r="E313" s="128" t="str">
        <f>INDEX(二三级标准!$Q:$Q,MATCH(数统二级标签!D313,二三级标准!$O:$O,0))</f>
        <v>生物统计及分析</v>
      </c>
      <c r="F313" s="128" t="s">
        <v>339</v>
      </c>
      <c r="G313" s="128" t="str">
        <f>INDEX(二三级标准!C:C,MATCH(数统二级标签!F313,二三级标准!$B:$B,0))</f>
        <v>最终分析</v>
      </c>
      <c r="H313" s="128" t="s">
        <v>3053</v>
      </c>
      <c r="I313" s="128" t="str">
        <f>INDEX(二三级标准!$M:$M,MATCH(数统二级标签!$H313,二三级标准!$L:$L,0))</f>
        <v>最终分析的Topline Results合并</v>
      </c>
      <c r="K313" s="128" t="s">
        <v>635</v>
      </c>
      <c r="L313" s="156">
        <v>0</v>
      </c>
      <c r="M313" s="156">
        <v>2</v>
      </c>
      <c r="N313" s="156">
        <v>1.5</v>
      </c>
      <c r="O313" s="156">
        <v>1.5</v>
      </c>
      <c r="P313" s="156">
        <v>1.5</v>
      </c>
      <c r="Q313" s="156">
        <v>1.5</v>
      </c>
      <c r="R313" s="156">
        <v>1.5</v>
      </c>
      <c r="S313" s="156">
        <v>1.5</v>
      </c>
      <c r="T313" s="156">
        <v>1.5</v>
      </c>
    </row>
    <row r="314" ht="27" customHeight="1" spans="1:20">
      <c r="A314" s="154" t="str">
        <f>INDEX('Rate Card'!$A:$A,MATCH(数统二级标签!$K314,'Rate Card'!$F:$F,0))</f>
        <v>数统</v>
      </c>
      <c r="B314" s="154" t="str">
        <f t="shared" si="35"/>
        <v>A117SA</v>
      </c>
      <c r="C314" s="154" t="str">
        <f t="shared" si="36"/>
        <v>T0407SA</v>
      </c>
      <c r="D314" s="128" t="s">
        <v>924</v>
      </c>
      <c r="E314" s="128" t="str">
        <f>INDEX(二三级标准!$Q:$Q,MATCH(数统二级标签!D314,二三级标准!$O:$O,0))</f>
        <v>生物统计及分析</v>
      </c>
      <c r="F314" s="128" t="s">
        <v>339</v>
      </c>
      <c r="G314" s="128" t="str">
        <f>INDEX(二三级标准!C:C,MATCH(数统二级标签!F314,二三级标准!$B:$B,0))</f>
        <v>最终分析</v>
      </c>
      <c r="H314" s="128" t="s">
        <v>1538</v>
      </c>
      <c r="I314" s="128" t="str">
        <f>INDEX(二三级标准!$M:$M,MATCH(数统二级标签!$H314,二三级标准!$L:$L,0))</f>
        <v>最终分析的所有TFLs合并</v>
      </c>
      <c r="J314" s="128" t="s">
        <v>2904</v>
      </c>
      <c r="K314" s="128" t="s">
        <v>635</v>
      </c>
      <c r="L314" s="162">
        <v>4</v>
      </c>
      <c r="M314" s="156">
        <v>4</v>
      </c>
      <c r="N314" s="156">
        <v>2.6</v>
      </c>
      <c r="O314" s="156">
        <v>3</v>
      </c>
      <c r="P314" s="156">
        <v>6</v>
      </c>
      <c r="Q314" s="156">
        <v>6</v>
      </c>
      <c r="R314" s="156">
        <v>3</v>
      </c>
      <c r="S314" s="156">
        <v>3</v>
      </c>
      <c r="T314" s="156">
        <v>3</v>
      </c>
    </row>
    <row r="315" ht="27" customHeight="1" spans="1:20">
      <c r="A315" s="154" t="str">
        <f>INDEX('Rate Card'!$A:$A,MATCH(数统二级标签!$K315,'Rate Card'!$F:$F,0))</f>
        <v>数统</v>
      </c>
      <c r="B315" s="154" t="str">
        <f t="shared" si="35"/>
        <v>A117SAM</v>
      </c>
      <c r="C315" s="154" t="str">
        <f t="shared" si="36"/>
        <v>T0408SAM</v>
      </c>
      <c r="D315" s="128" t="s">
        <v>924</v>
      </c>
      <c r="E315" s="128" t="str">
        <f>INDEX(二三级标准!$Q:$Q,MATCH(数统二级标签!D315,二三级标准!$O:$O,0))</f>
        <v>生物统计及分析</v>
      </c>
      <c r="F315" s="128" t="s">
        <v>339</v>
      </c>
      <c r="G315" s="128" t="str">
        <f>INDEX(二三级标准!C:C,MATCH(数统二级标签!F315,二三级标准!$B:$B,0))</f>
        <v>最终分析</v>
      </c>
      <c r="H315" s="128" t="s">
        <v>1539</v>
      </c>
      <c r="I315" s="128" t="str">
        <f>INDEX(二三级标准!$M:$M,MATCH(数统二级标签!$H315,二三级标准!$L:$L,0))</f>
        <v>最终分析的结果审核</v>
      </c>
      <c r="J315" s="128" t="s">
        <v>2904</v>
      </c>
      <c r="K315" s="128" t="s">
        <v>638</v>
      </c>
      <c r="L315" s="162">
        <v>4</v>
      </c>
      <c r="M315" s="156">
        <v>4</v>
      </c>
      <c r="N315" s="156">
        <v>4</v>
      </c>
      <c r="O315" s="156">
        <v>4</v>
      </c>
      <c r="P315" s="156">
        <v>8</v>
      </c>
      <c r="Q315" s="156">
        <v>8</v>
      </c>
      <c r="R315" s="156">
        <v>3</v>
      </c>
      <c r="S315" s="156">
        <v>6</v>
      </c>
      <c r="T315" s="156">
        <v>6</v>
      </c>
    </row>
    <row r="316" ht="27" customHeight="1" spans="1:20">
      <c r="A316" s="154" t="str">
        <f>INDEX('Rate Card'!$A:$A,MATCH(数统二级标签!$K316,'Rate Card'!$F:$F,0))</f>
        <v>数统</v>
      </c>
      <c r="B316" s="154" t="str">
        <f t="shared" si="35"/>
        <v>A117ST</v>
      </c>
      <c r="C316" s="154" t="str">
        <f t="shared" si="36"/>
        <v>T0408ST</v>
      </c>
      <c r="D316" s="128" t="s">
        <v>924</v>
      </c>
      <c r="E316" s="128" t="str">
        <f>INDEX(二三级标准!$Q:$Q,MATCH(数统二级标签!D316,二三级标准!$O:$O,0))</f>
        <v>生物统计及分析</v>
      </c>
      <c r="F316" s="128" t="s">
        <v>339</v>
      </c>
      <c r="G316" s="128" t="str">
        <f>INDEX(二三级标准!C:C,MATCH(数统二级标签!F316,二三级标准!$B:$B,0))</f>
        <v>最终分析</v>
      </c>
      <c r="H316" s="128" t="s">
        <v>1539</v>
      </c>
      <c r="I316" s="128" t="str">
        <f>INDEX(二三级标准!$M:$M,MATCH(数统二级标签!$H316,二三级标准!$L:$L,0))</f>
        <v>最终分析的结果审核</v>
      </c>
      <c r="J316" s="128" t="s">
        <v>2904</v>
      </c>
      <c r="K316" s="128" t="s">
        <v>639</v>
      </c>
      <c r="L316" s="162">
        <v>10</v>
      </c>
      <c r="M316" s="156">
        <v>10</v>
      </c>
      <c r="N316" s="156">
        <v>8</v>
      </c>
      <c r="O316" s="156">
        <v>6</v>
      </c>
      <c r="P316" s="156">
        <v>18</v>
      </c>
      <c r="Q316" s="156">
        <v>18</v>
      </c>
      <c r="R316" s="156">
        <v>6</v>
      </c>
      <c r="S316" s="156">
        <v>12</v>
      </c>
      <c r="T316" s="156">
        <v>12</v>
      </c>
    </row>
    <row r="317" ht="27" customHeight="1" spans="1:20">
      <c r="A317" s="154" t="str">
        <f>INDEX('Rate Card'!$A:$A,MATCH(数统二级标签!$K317,'Rate Card'!$F:$F,0))</f>
        <v>数统</v>
      </c>
      <c r="B317" s="154" t="str">
        <f t="shared" si="35"/>
        <v>A117ST</v>
      </c>
      <c r="C317" s="154" t="str">
        <f t="shared" si="36"/>
        <v>T0409ST</v>
      </c>
      <c r="D317" s="128" t="s">
        <v>924</v>
      </c>
      <c r="E317" s="128" t="str">
        <f>INDEX(二三级标准!$Q:$Q,MATCH(数统二级标签!D317,二三级标准!$O:$O,0))</f>
        <v>生物统计及分析</v>
      </c>
      <c r="F317" s="128" t="s">
        <v>339</v>
      </c>
      <c r="G317" s="128" t="str">
        <f>INDEX(二三级标准!C:C,MATCH(数统二级标签!F317,二三级标准!$B:$B,0))</f>
        <v>最终分析</v>
      </c>
      <c r="H317" s="128" t="s">
        <v>3054</v>
      </c>
      <c r="I317" s="128" t="str">
        <f>INDEX(二三级标准!$M:$M,MATCH(数统二级标签!$H317,二三级标准!$L:$L,0))</f>
        <v>Topline Results交付(20 TFLs以内)</v>
      </c>
      <c r="J317" s="128" t="s">
        <v>2904</v>
      </c>
      <c r="K317" s="128" t="s">
        <v>639</v>
      </c>
      <c r="L317" s="156">
        <v>0</v>
      </c>
      <c r="M317" s="156">
        <v>1</v>
      </c>
      <c r="N317" s="156">
        <v>1.5</v>
      </c>
      <c r="O317" s="156">
        <v>1.5</v>
      </c>
      <c r="P317" s="156">
        <v>1.5</v>
      </c>
      <c r="Q317" s="156">
        <v>1.5</v>
      </c>
      <c r="R317" s="156">
        <v>1.5</v>
      </c>
      <c r="S317" s="156">
        <v>1.5</v>
      </c>
      <c r="T317" s="156">
        <v>1.5</v>
      </c>
    </row>
    <row r="318" ht="27" customHeight="1" spans="1:20">
      <c r="A318" s="154" t="str">
        <f>INDEX('Rate Card'!$A:$A,MATCH(数统二级标签!$K318,'Rate Card'!$F:$F,0))</f>
        <v>数统</v>
      </c>
      <c r="B318" s="154" t="str">
        <f t="shared" si="35"/>
        <v>A117ST</v>
      </c>
      <c r="C318" s="154" t="str">
        <f t="shared" si="36"/>
        <v>T0410ST</v>
      </c>
      <c r="D318" s="128" t="s">
        <v>924</v>
      </c>
      <c r="E318" s="128" t="str">
        <f>INDEX(二三级标准!$Q:$Q,MATCH(数统二级标签!D318,二三级标准!$O:$O,0))</f>
        <v>生物统计及分析</v>
      </c>
      <c r="F318" s="128" t="s">
        <v>339</v>
      </c>
      <c r="G318" s="128" t="str">
        <f>INDEX(二三级标准!C:C,MATCH(数统二级标签!F318,二三级标准!$B:$B,0))</f>
        <v>最终分析</v>
      </c>
      <c r="H318" s="128" t="s">
        <v>3055</v>
      </c>
      <c r="I318" s="128" t="str">
        <f>INDEX(二三级标准!$M:$M,MATCH(数统二级标签!$H318,二三级标准!$L:$L,0))</f>
        <v>所有TFLs交付</v>
      </c>
      <c r="J318" s="128" t="s">
        <v>2904</v>
      </c>
      <c r="K318" s="128" t="s">
        <v>639</v>
      </c>
      <c r="L318" s="156">
        <v>1</v>
      </c>
      <c r="M318" s="156">
        <v>1</v>
      </c>
      <c r="N318" s="156">
        <v>1.3</v>
      </c>
      <c r="O318" s="156">
        <v>1.5</v>
      </c>
      <c r="P318" s="156">
        <v>1.5</v>
      </c>
      <c r="Q318" s="156">
        <v>1.5</v>
      </c>
      <c r="R318" s="156">
        <v>1.5</v>
      </c>
      <c r="S318" s="156">
        <v>1.5</v>
      </c>
      <c r="T318" s="156">
        <v>1.5</v>
      </c>
    </row>
    <row r="319" ht="27" customHeight="1" spans="1:20">
      <c r="A319" s="154" t="str">
        <f>INDEX('Rate Card'!$A:$A,MATCH(数统二级标签!$K319,'Rate Card'!$F:$F,0))</f>
        <v>数统</v>
      </c>
      <c r="B319" s="154" t="str">
        <f t="shared" si="35"/>
        <v>A118SA</v>
      </c>
      <c r="C319" s="154" t="str">
        <f t="shared" si="36"/>
        <v>T0411SA</v>
      </c>
      <c r="D319" s="128" t="s">
        <v>924</v>
      </c>
      <c r="E319" s="128" t="str">
        <f>INDEX(二三级标准!$Q:$Q,MATCH(数统二级标签!D319,二三级标准!$O:$O,0))</f>
        <v>生物统计及分析</v>
      </c>
      <c r="F319" s="128" t="s">
        <v>341</v>
      </c>
      <c r="G319" s="128" t="str">
        <f>INDEX(二三级标准!C:C,MATCH(数统二级标签!F319,二三级标准!$B:$B,0))</f>
        <v>完成电子数据递交资料</v>
      </c>
      <c r="H319" s="128" t="s">
        <v>1541</v>
      </c>
      <c r="I319" s="128" t="str">
        <f>INDEX(二三级标准!$M:$M,MATCH(数统二级标签!$H319,二三级标准!$L:$L,0))</f>
        <v>生成Define-XML/SDTM</v>
      </c>
      <c r="J319" s="128" t="s">
        <v>2904</v>
      </c>
      <c r="K319" s="128" t="s">
        <v>635</v>
      </c>
      <c r="L319" s="162">
        <v>40</v>
      </c>
      <c r="M319" s="156">
        <v>40</v>
      </c>
      <c r="N319" s="156">
        <v>30</v>
      </c>
      <c r="O319" s="156">
        <v>30</v>
      </c>
      <c r="P319" s="156">
        <v>30</v>
      </c>
      <c r="Q319" s="156">
        <v>30</v>
      </c>
      <c r="R319" s="156">
        <v>30</v>
      </c>
      <c r="S319" s="156">
        <v>30</v>
      </c>
      <c r="T319" s="156">
        <v>30</v>
      </c>
    </row>
    <row r="320" ht="27" customHeight="1" spans="1:20">
      <c r="A320" s="154" t="str">
        <f>INDEX('Rate Card'!$A:$A,MATCH(数统二级标签!$K320,'Rate Card'!$F:$F,0))</f>
        <v>数统</v>
      </c>
      <c r="B320" s="154" t="str">
        <f t="shared" si="35"/>
        <v>A118SA</v>
      </c>
      <c r="C320" s="154" t="str">
        <f t="shared" si="36"/>
        <v>T0412SA</v>
      </c>
      <c r="D320" s="128" t="s">
        <v>924</v>
      </c>
      <c r="E320" s="128" t="str">
        <f>INDEX(二三级标准!$Q:$Q,MATCH(数统二级标签!D320,二三级标准!$O:$O,0))</f>
        <v>生物统计及分析</v>
      </c>
      <c r="F320" s="128" t="s">
        <v>341</v>
      </c>
      <c r="G320" s="128" t="str">
        <f>INDEX(二三级标准!C:C,MATCH(数统二级标签!F320,二三级标准!$B:$B,0))</f>
        <v>完成电子数据递交资料</v>
      </c>
      <c r="H320" s="128" t="s">
        <v>1542</v>
      </c>
      <c r="I320" s="128" t="str">
        <f>INDEX(二三级标准!$M:$M,MATCH(数统二级标签!$H320,二三级标准!$L:$L,0))</f>
        <v>审核Define-XML/SDTM</v>
      </c>
      <c r="K320" s="128" t="s">
        <v>635</v>
      </c>
      <c r="L320" s="156">
        <v>12</v>
      </c>
      <c r="M320" s="156">
        <v>12</v>
      </c>
      <c r="N320" s="156">
        <v>12</v>
      </c>
      <c r="O320" s="156">
        <v>12</v>
      </c>
      <c r="P320" s="156">
        <v>18</v>
      </c>
      <c r="Q320" s="156">
        <v>18</v>
      </c>
      <c r="R320" s="156">
        <v>12</v>
      </c>
      <c r="S320" s="156">
        <v>12</v>
      </c>
      <c r="T320" s="156">
        <v>12</v>
      </c>
    </row>
    <row r="321" ht="27" customHeight="1" spans="1:20">
      <c r="A321" s="154" t="str">
        <f>INDEX('Rate Card'!$A:$A,MATCH(数统二级标签!$K321,'Rate Card'!$F:$F,0))</f>
        <v>数统</v>
      </c>
      <c r="B321" s="154" t="str">
        <f t="shared" si="35"/>
        <v>A118SA</v>
      </c>
      <c r="C321" s="154" t="str">
        <f t="shared" si="36"/>
        <v>T0413SA</v>
      </c>
      <c r="D321" s="128" t="s">
        <v>924</v>
      </c>
      <c r="E321" s="128" t="str">
        <f>INDEX(二三级标准!$Q:$Q,MATCH(数统二级标签!D321,二三级标准!$O:$O,0))</f>
        <v>生物统计及分析</v>
      </c>
      <c r="F321" s="128" t="s">
        <v>341</v>
      </c>
      <c r="G321" s="128" t="str">
        <f>INDEX(二三级标准!C:C,MATCH(数统二级标签!F321,二三级标准!$B:$B,0))</f>
        <v>完成电子数据递交资料</v>
      </c>
      <c r="H321" s="128" t="s">
        <v>1543</v>
      </c>
      <c r="I321" s="128" t="str">
        <f>INDEX(二三级标准!$M:$M,MATCH(数统二级标签!$H321,二三级标准!$L:$L,0))</f>
        <v>生成Define-XML/ADaM</v>
      </c>
      <c r="J321" s="128" t="s">
        <v>2904</v>
      </c>
      <c r="K321" s="128" t="s">
        <v>635</v>
      </c>
      <c r="L321" s="162">
        <v>40</v>
      </c>
      <c r="M321" s="156">
        <v>40</v>
      </c>
      <c r="N321" s="156">
        <v>30</v>
      </c>
      <c r="O321" s="156">
        <v>30</v>
      </c>
      <c r="P321" s="156">
        <v>30</v>
      </c>
      <c r="Q321" s="156">
        <v>30</v>
      </c>
      <c r="R321" s="156">
        <v>30</v>
      </c>
      <c r="S321" s="156">
        <v>30</v>
      </c>
      <c r="T321" s="156">
        <v>30</v>
      </c>
    </row>
    <row r="322" ht="27" customHeight="1" spans="1:20">
      <c r="A322" s="154" t="str">
        <f>INDEX('Rate Card'!$A:$A,MATCH(数统二级标签!$K322,'Rate Card'!$F:$F,0))</f>
        <v>数统</v>
      </c>
      <c r="B322" s="154" t="str">
        <f t="shared" si="35"/>
        <v>A118SA</v>
      </c>
      <c r="C322" s="154" t="str">
        <f t="shared" si="36"/>
        <v>T0414SA</v>
      </c>
      <c r="D322" s="128" t="s">
        <v>924</v>
      </c>
      <c r="E322" s="128" t="str">
        <f>INDEX(二三级标准!$Q:$Q,MATCH(数统二级标签!D322,二三级标准!$O:$O,0))</f>
        <v>生物统计及分析</v>
      </c>
      <c r="F322" s="128" t="s">
        <v>341</v>
      </c>
      <c r="G322" s="128" t="str">
        <f>INDEX(二三级标准!C:C,MATCH(数统二级标签!F322,二三级标准!$B:$B,0))</f>
        <v>完成电子数据递交资料</v>
      </c>
      <c r="H322" s="128" t="s">
        <v>1544</v>
      </c>
      <c r="I322" s="128" t="str">
        <f>INDEX(二三级标准!$M:$M,MATCH(数统二级标签!$H322,二三级标准!$L:$L,0))</f>
        <v>审核Define-XML/ADaM</v>
      </c>
      <c r="K322" s="128" t="s">
        <v>635</v>
      </c>
      <c r="L322" s="156">
        <v>12</v>
      </c>
      <c r="M322" s="156">
        <v>12</v>
      </c>
      <c r="N322" s="156">
        <v>12</v>
      </c>
      <c r="O322" s="156">
        <v>12</v>
      </c>
      <c r="P322" s="156">
        <v>18</v>
      </c>
      <c r="Q322" s="156">
        <v>18</v>
      </c>
      <c r="R322" s="156">
        <v>12</v>
      </c>
      <c r="S322" s="156">
        <v>12</v>
      </c>
      <c r="T322" s="156">
        <v>12</v>
      </c>
    </row>
    <row r="323" ht="27" customHeight="1" spans="1:20">
      <c r="A323" s="154" t="str">
        <f>INDEX('Rate Card'!$A:$A,MATCH(数统二级标签!$K323,'Rate Card'!$F:$F,0))</f>
        <v>数统</v>
      </c>
      <c r="B323" s="154" t="str">
        <f t="shared" si="35"/>
        <v>A118ST</v>
      </c>
      <c r="C323" s="154" t="str">
        <f t="shared" si="36"/>
        <v>T0414ST</v>
      </c>
      <c r="D323" s="128" t="s">
        <v>924</v>
      </c>
      <c r="E323" s="128" t="str">
        <f>INDEX(二三级标准!$Q:$Q,MATCH(数统二级标签!D323,二三级标准!$O:$O,0))</f>
        <v>生物统计及分析</v>
      </c>
      <c r="F323" s="128" t="s">
        <v>341</v>
      </c>
      <c r="G323" s="128" t="str">
        <f>INDEX(二三级标准!C:C,MATCH(数统二级标签!F323,二三级标准!$B:$B,0))</f>
        <v>完成电子数据递交资料</v>
      </c>
      <c r="H323" s="128" t="s">
        <v>1544</v>
      </c>
      <c r="I323" s="128" t="str">
        <f>INDEX(二三级标准!$M:$M,MATCH(数统二级标签!$H323,二三级标准!$L:$L,0))</f>
        <v>审核Define-XML/ADaM</v>
      </c>
      <c r="K323" s="128" t="s">
        <v>639</v>
      </c>
      <c r="L323" s="156">
        <v>6</v>
      </c>
      <c r="M323" s="156">
        <v>4</v>
      </c>
      <c r="N323" s="156">
        <v>6</v>
      </c>
      <c r="O323" s="156">
        <v>6</v>
      </c>
      <c r="P323" s="156">
        <v>6</v>
      </c>
      <c r="Q323" s="156">
        <v>6</v>
      </c>
      <c r="R323" s="156">
        <v>6</v>
      </c>
      <c r="S323" s="156">
        <v>6</v>
      </c>
      <c r="T323" s="156">
        <v>6</v>
      </c>
    </row>
    <row r="324" ht="27" customHeight="1" spans="1:20">
      <c r="A324" s="154" t="str">
        <f>INDEX('Rate Card'!$A:$A,MATCH(数统二级标签!$K324,'Rate Card'!$F:$F,0))</f>
        <v>数统</v>
      </c>
      <c r="B324" s="154" t="str">
        <f t="shared" si="35"/>
        <v>A118SA</v>
      </c>
      <c r="C324" s="154" t="str">
        <f t="shared" si="36"/>
        <v>T0415SA</v>
      </c>
      <c r="D324" s="128" t="s">
        <v>924</v>
      </c>
      <c r="E324" s="128" t="str">
        <f>INDEX(二三级标准!$Q:$Q,MATCH(数统二级标签!D324,二三级标准!$O:$O,0))</f>
        <v>生物统计及分析</v>
      </c>
      <c r="F324" s="128" t="s">
        <v>341</v>
      </c>
      <c r="G324" s="128" t="str">
        <f>INDEX(二三级标准!C:C,MATCH(数统二级标签!F324,二三级标准!$B:$B,0))</f>
        <v>完成电子数据递交资料</v>
      </c>
      <c r="H324" s="128" t="s">
        <v>1545</v>
      </c>
      <c r="I324" s="128" t="str">
        <f>INDEX(二三级标准!$M:$M,MATCH(数统二级标签!$H324,二三级标准!$L:$L,0))</f>
        <v>制定SDTM审阅指南</v>
      </c>
      <c r="J324" s="128" t="s">
        <v>2904</v>
      </c>
      <c r="K324" s="128" t="s">
        <v>635</v>
      </c>
      <c r="L324" s="162">
        <v>24</v>
      </c>
      <c r="M324" s="156">
        <v>24</v>
      </c>
      <c r="N324" s="156">
        <v>30</v>
      </c>
      <c r="O324" s="156">
        <v>30</v>
      </c>
      <c r="P324" s="156">
        <v>30</v>
      </c>
      <c r="Q324" s="156">
        <v>30</v>
      </c>
      <c r="R324" s="156">
        <v>30</v>
      </c>
      <c r="S324" s="156">
        <v>30</v>
      </c>
      <c r="T324" s="156">
        <v>30</v>
      </c>
    </row>
    <row r="325" ht="27" customHeight="1" spans="1:20">
      <c r="A325" s="154" t="str">
        <f>INDEX('Rate Card'!$A:$A,MATCH(数统二级标签!$K325,'Rate Card'!$F:$F,0))</f>
        <v>数统</v>
      </c>
      <c r="B325" s="154" t="str">
        <f t="shared" si="35"/>
        <v>A118SA</v>
      </c>
      <c r="C325" s="154" t="str">
        <f t="shared" si="36"/>
        <v>T0416SA</v>
      </c>
      <c r="D325" s="128" t="s">
        <v>924</v>
      </c>
      <c r="E325" s="128" t="str">
        <f>INDEX(二三级标准!$Q:$Q,MATCH(数统二级标签!D325,二三级标准!$O:$O,0))</f>
        <v>生物统计及分析</v>
      </c>
      <c r="F325" s="128" t="s">
        <v>341</v>
      </c>
      <c r="G325" s="128" t="str">
        <f>INDEX(二三级标准!C:C,MATCH(数统二级标签!F325,二三级标准!$B:$B,0))</f>
        <v>完成电子数据递交资料</v>
      </c>
      <c r="H325" s="128" t="s">
        <v>1546</v>
      </c>
      <c r="I325" s="128" t="str">
        <f>INDEX(二三级标准!$M:$M,MATCH(数统二级标签!$H325,二三级标准!$L:$L,0))</f>
        <v>审核SDTM审阅指南</v>
      </c>
      <c r="J325" s="128" t="s">
        <v>2904</v>
      </c>
      <c r="K325" s="128" t="s">
        <v>635</v>
      </c>
      <c r="L325" s="162">
        <v>8</v>
      </c>
      <c r="M325" s="156">
        <v>8</v>
      </c>
      <c r="N325" s="156">
        <v>12</v>
      </c>
      <c r="O325" s="156">
        <v>12</v>
      </c>
      <c r="P325" s="156">
        <v>18</v>
      </c>
      <c r="Q325" s="156">
        <v>18</v>
      </c>
      <c r="R325" s="156">
        <v>12</v>
      </c>
      <c r="S325" s="156">
        <v>12</v>
      </c>
      <c r="T325" s="156">
        <v>12</v>
      </c>
    </row>
    <row r="326" ht="27" customHeight="1" spans="1:20">
      <c r="A326" s="154" t="str">
        <f>INDEX('Rate Card'!$A:$A,MATCH(数统二级标签!$K326,'Rate Card'!$F:$F,0))</f>
        <v>数统</v>
      </c>
      <c r="B326" s="154" t="str">
        <f t="shared" si="35"/>
        <v>A118SA</v>
      </c>
      <c r="C326" s="154" t="str">
        <f t="shared" si="36"/>
        <v>T0417SA</v>
      </c>
      <c r="D326" s="128" t="s">
        <v>924</v>
      </c>
      <c r="E326" s="128" t="str">
        <f>INDEX(二三级标准!$Q:$Q,MATCH(数统二级标签!D326,二三级标准!$O:$O,0))</f>
        <v>生物统计及分析</v>
      </c>
      <c r="F326" s="128" t="s">
        <v>341</v>
      </c>
      <c r="G326" s="128" t="str">
        <f>INDEX(二三级标准!C:C,MATCH(数统二级标签!F326,二三级标准!$B:$B,0))</f>
        <v>完成电子数据递交资料</v>
      </c>
      <c r="H326" s="128" t="s">
        <v>1547</v>
      </c>
      <c r="I326" s="128" t="str">
        <f>INDEX(二三级标准!$M:$M,MATCH(数统二级标签!$H326,二三级标准!$L:$L,0))</f>
        <v>制定ADaM审阅指南</v>
      </c>
      <c r="J326" s="128" t="s">
        <v>2904</v>
      </c>
      <c r="K326" s="128" t="s">
        <v>635</v>
      </c>
      <c r="L326" s="162">
        <v>24</v>
      </c>
      <c r="M326" s="156">
        <v>24</v>
      </c>
      <c r="N326" s="156">
        <v>30</v>
      </c>
      <c r="O326" s="156">
        <v>30</v>
      </c>
      <c r="P326" s="156">
        <v>30</v>
      </c>
      <c r="Q326" s="156">
        <v>30</v>
      </c>
      <c r="R326" s="156">
        <v>30</v>
      </c>
      <c r="S326" s="156">
        <v>30</v>
      </c>
      <c r="T326" s="156">
        <v>30</v>
      </c>
    </row>
    <row r="327" ht="27" customHeight="1" spans="1:20">
      <c r="A327" s="154" t="str">
        <f>INDEX('Rate Card'!$A:$A,MATCH(数统二级标签!$K327,'Rate Card'!$F:$F,0))</f>
        <v>数统</v>
      </c>
      <c r="B327" s="154" t="str">
        <f t="shared" si="35"/>
        <v>A118SA</v>
      </c>
      <c r="C327" s="154" t="str">
        <f t="shared" si="36"/>
        <v>T0418SA</v>
      </c>
      <c r="D327" s="128" t="s">
        <v>924</v>
      </c>
      <c r="E327" s="128" t="str">
        <f>INDEX(二三级标准!$Q:$Q,MATCH(数统二级标签!D327,二三级标准!$O:$O,0))</f>
        <v>生物统计及分析</v>
      </c>
      <c r="F327" s="128" t="s">
        <v>341</v>
      </c>
      <c r="G327" s="128" t="str">
        <f>INDEX(二三级标准!C:C,MATCH(数统二级标签!F327,二三级标准!$B:$B,0))</f>
        <v>完成电子数据递交资料</v>
      </c>
      <c r="H327" s="128" t="s">
        <v>1548</v>
      </c>
      <c r="I327" s="128" t="str">
        <f>INDEX(二三级标准!$M:$M,MATCH(数统二级标签!$H327,二三级标准!$L:$L,0))</f>
        <v>审核ADaM审阅指南</v>
      </c>
      <c r="J327" s="128" t="s">
        <v>2904</v>
      </c>
      <c r="K327" s="128" t="s">
        <v>635</v>
      </c>
      <c r="L327" s="162">
        <v>8</v>
      </c>
      <c r="M327" s="156">
        <v>8</v>
      </c>
      <c r="N327" s="156">
        <v>12</v>
      </c>
      <c r="O327" s="156">
        <v>12</v>
      </c>
      <c r="P327" s="156">
        <v>18</v>
      </c>
      <c r="Q327" s="156">
        <v>18</v>
      </c>
      <c r="R327" s="156">
        <v>12</v>
      </c>
      <c r="S327" s="156">
        <v>12</v>
      </c>
      <c r="T327" s="156">
        <v>12</v>
      </c>
    </row>
    <row r="328" ht="27" customHeight="1" spans="1:20">
      <c r="A328" s="154" t="str">
        <f>INDEX('Rate Card'!$A:$A,MATCH(数统二级标签!$K328,'Rate Card'!$F:$F,0))</f>
        <v>数统</v>
      </c>
      <c r="B328" s="154" t="str">
        <f t="shared" si="35"/>
        <v>A118ST</v>
      </c>
      <c r="C328" s="154" t="str">
        <f t="shared" si="36"/>
        <v>T0418ST</v>
      </c>
      <c r="D328" s="128" t="s">
        <v>924</v>
      </c>
      <c r="E328" s="128" t="str">
        <f>INDEX(二三级标准!$Q:$Q,MATCH(数统二级标签!D328,二三级标准!$O:$O,0))</f>
        <v>生物统计及分析</v>
      </c>
      <c r="F328" s="128" t="s">
        <v>341</v>
      </c>
      <c r="G328" s="128" t="str">
        <f>INDEX(二三级标准!C:C,MATCH(数统二级标签!F328,二三级标准!$B:$B,0))</f>
        <v>完成电子数据递交资料</v>
      </c>
      <c r="H328" s="128" t="s">
        <v>1548</v>
      </c>
      <c r="I328" s="128" t="str">
        <f>INDEX(二三级标准!$M:$M,MATCH(数统二级标签!$H328,二三级标准!$L:$L,0))</f>
        <v>审核ADaM审阅指南</v>
      </c>
      <c r="K328" s="128" t="s">
        <v>639</v>
      </c>
      <c r="L328" s="156">
        <v>6</v>
      </c>
      <c r="M328" s="156">
        <v>4</v>
      </c>
      <c r="N328" s="156">
        <v>6</v>
      </c>
      <c r="O328" s="156">
        <v>6</v>
      </c>
      <c r="P328" s="156">
        <v>6</v>
      </c>
      <c r="Q328" s="156">
        <v>6</v>
      </c>
      <c r="R328" s="156">
        <v>6</v>
      </c>
      <c r="S328" s="156">
        <v>6</v>
      </c>
      <c r="T328" s="156">
        <v>6</v>
      </c>
    </row>
    <row r="329" ht="27" customHeight="1" spans="1:20">
      <c r="A329" s="154" t="str">
        <f>INDEX('Rate Card'!$A:$A,MATCH(数统二级标签!$K329,'Rate Card'!$F:$F,0))</f>
        <v>数统</v>
      </c>
      <c r="B329" s="154" t="str">
        <f t="shared" si="35"/>
        <v>A118SA</v>
      </c>
      <c r="C329" s="154" t="str">
        <f t="shared" si="36"/>
        <v>T0419SA</v>
      </c>
      <c r="D329" s="128" t="s">
        <v>924</v>
      </c>
      <c r="E329" s="128" t="str">
        <f>INDEX(二三级标准!$Q:$Q,MATCH(数统二级标签!D329,二三级标准!$O:$O,0))</f>
        <v>生物统计及分析</v>
      </c>
      <c r="F329" s="128" t="s">
        <v>341</v>
      </c>
      <c r="G329" s="128" t="str">
        <f>INDEX(二三级标准!C:C,MATCH(数统二级标签!F329,二三级标准!$B:$B,0))</f>
        <v>完成电子数据递交资料</v>
      </c>
      <c r="H329" s="128" t="s">
        <v>3056</v>
      </c>
      <c r="I329" s="128" t="str">
        <f>INDEX(二三级标准!$M:$M,MATCH(数统二级标签!$H329,二三级标准!$L:$L,0))</f>
        <v>刻盘电子数据递交资料</v>
      </c>
      <c r="K329" s="128" t="s">
        <v>635</v>
      </c>
      <c r="L329" s="156">
        <v>12</v>
      </c>
      <c r="M329" s="156">
        <v>12</v>
      </c>
      <c r="N329" s="156">
        <v>12</v>
      </c>
      <c r="O329" s="156">
        <v>12</v>
      </c>
      <c r="P329" s="156">
        <v>12</v>
      </c>
      <c r="Q329" s="156">
        <v>12</v>
      </c>
      <c r="R329" s="156">
        <v>12</v>
      </c>
      <c r="S329" s="156">
        <v>12</v>
      </c>
      <c r="T329" s="156">
        <v>12</v>
      </c>
    </row>
    <row r="330" ht="27" customHeight="1" spans="1:20">
      <c r="A330" s="154" t="str">
        <f>INDEX('Rate Card'!$A:$A,MATCH(数统二级标签!$K330,'Rate Card'!$F:$F,0))</f>
        <v>数统</v>
      </c>
      <c r="B330" s="154" t="str">
        <f t="shared" si="35"/>
        <v>A118SAM</v>
      </c>
      <c r="C330" s="154" t="str">
        <f t="shared" si="36"/>
        <v>T0420SAM</v>
      </c>
      <c r="D330" s="128" t="s">
        <v>924</v>
      </c>
      <c r="E330" s="128" t="str">
        <f>INDEX(二三级标准!$Q:$Q,MATCH(数统二级标签!D330,二三级标准!$O:$O,0))</f>
        <v>生物统计及分析</v>
      </c>
      <c r="F330" s="128" t="s">
        <v>341</v>
      </c>
      <c r="G330" s="128" t="str">
        <f>INDEX(二三级标准!C:C,MATCH(数统二级标签!F330,二三级标准!$B:$B,0))</f>
        <v>完成电子数据递交资料</v>
      </c>
      <c r="H330" s="128" t="s">
        <v>3057</v>
      </c>
      <c r="I330" s="128" t="str">
        <f>INDEX(二三级标准!$M:$M,MATCH(数统二级标签!$H330,二三级标准!$L:$L,0))</f>
        <v>审核电子数据递交资料</v>
      </c>
      <c r="K330" s="128" t="s">
        <v>638</v>
      </c>
      <c r="L330" s="156">
        <v>6</v>
      </c>
      <c r="M330" s="156">
        <v>6</v>
      </c>
      <c r="N330" s="156">
        <v>6</v>
      </c>
      <c r="O330" s="156">
        <v>6</v>
      </c>
      <c r="P330" s="156">
        <v>6</v>
      </c>
      <c r="Q330" s="156">
        <v>6</v>
      </c>
      <c r="R330" s="156">
        <v>6</v>
      </c>
      <c r="S330" s="156">
        <v>6</v>
      </c>
      <c r="T330" s="156">
        <v>6</v>
      </c>
    </row>
    <row r="331" ht="27" customHeight="1" spans="1:20">
      <c r="A331" s="154" t="str">
        <f>INDEX('Rate Card'!$A:$A,MATCH(数统二级标签!$K331,'Rate Card'!$F:$F,0))</f>
        <v>数统</v>
      </c>
      <c r="B331" s="154" t="str">
        <f t="shared" si="35"/>
        <v>A119ST</v>
      </c>
      <c r="C331" s="154" t="str">
        <f t="shared" si="36"/>
        <v>T0421ST</v>
      </c>
      <c r="D331" s="128" t="s">
        <v>924</v>
      </c>
      <c r="E331" s="128" t="str">
        <f>INDEX(二三级标准!$Q:$Q,MATCH(数统二级标签!D331,二三级标准!$O:$O,0))</f>
        <v>生物统计及分析</v>
      </c>
      <c r="F331" s="128" t="s">
        <v>343</v>
      </c>
      <c r="G331" s="128" t="str">
        <f>INDEX(二三级标准!C:C,MATCH(数统二级标签!F331,二三级标准!$B:$B,0))</f>
        <v>撰写统计分析报告(SAR)</v>
      </c>
      <c r="H331" s="128" t="s">
        <v>1549</v>
      </c>
      <c r="I331" s="128" t="str">
        <f>INDEX(二三级标准!$M:$M,MATCH(数统二级标签!$H331,二三级标准!$L:$L,0))</f>
        <v>统计分析报告SAR的起草</v>
      </c>
      <c r="K331" s="128" t="s">
        <v>639</v>
      </c>
      <c r="L331" s="156">
        <v>18</v>
      </c>
      <c r="M331" s="156">
        <v>18</v>
      </c>
      <c r="N331" s="156">
        <v>18</v>
      </c>
      <c r="O331" s="156">
        <v>18</v>
      </c>
      <c r="P331" s="156">
        <v>18</v>
      </c>
      <c r="Q331" s="156">
        <v>18</v>
      </c>
      <c r="R331" s="156">
        <v>18</v>
      </c>
      <c r="S331" s="156">
        <v>18</v>
      </c>
      <c r="T331" s="156">
        <v>18</v>
      </c>
    </row>
    <row r="332" ht="27" customHeight="1" spans="1:20">
      <c r="A332" s="154" t="str">
        <f>INDEX('Rate Card'!$A:$A,MATCH(数统二级标签!$K332,'Rate Card'!$F:$F,0))</f>
        <v>数统</v>
      </c>
      <c r="B332" s="154" t="str">
        <f t="shared" si="35"/>
        <v>A119STM</v>
      </c>
      <c r="C332" s="154" t="str">
        <f t="shared" si="36"/>
        <v>T0422STM</v>
      </c>
      <c r="D332" s="128" t="s">
        <v>924</v>
      </c>
      <c r="E332" s="128" t="str">
        <f>INDEX(二三级标准!$Q:$Q,MATCH(数统二级标签!D332,二三级标准!$O:$O,0))</f>
        <v>生物统计及分析</v>
      </c>
      <c r="F332" s="128" t="s">
        <v>343</v>
      </c>
      <c r="G332" s="128" t="str">
        <f>INDEX(二三级标准!C:C,MATCH(数统二级标签!F332,二三级标准!$B:$B,0))</f>
        <v>撰写统计分析报告(SAR)</v>
      </c>
      <c r="H332" s="128" t="s">
        <v>1551</v>
      </c>
      <c r="I332" s="128" t="str">
        <f>INDEX(二三级标准!$M:$M,MATCH(数统二级标签!$H332,二三级标准!$L:$L,0))</f>
        <v>统计分析报告SAR的审核</v>
      </c>
      <c r="K332" s="128" t="s">
        <v>642</v>
      </c>
      <c r="L332" s="156">
        <v>3</v>
      </c>
      <c r="M332" s="156">
        <v>3</v>
      </c>
      <c r="N332" s="156">
        <v>3</v>
      </c>
      <c r="O332" s="156">
        <v>3</v>
      </c>
      <c r="P332" s="156">
        <v>3</v>
      </c>
      <c r="Q332" s="156">
        <v>3</v>
      </c>
      <c r="R332" s="156">
        <v>3</v>
      </c>
      <c r="S332" s="156">
        <v>3</v>
      </c>
      <c r="T332" s="156">
        <v>3</v>
      </c>
    </row>
    <row r="333" ht="27" customHeight="1" spans="1:20">
      <c r="A333" s="154" t="str">
        <f>INDEX('Rate Card'!$A:$A,MATCH(数统二级标签!$K333,'Rate Card'!$F:$F,0))</f>
        <v>数统</v>
      </c>
      <c r="B333" s="154" t="str">
        <f t="shared" si="35"/>
        <v>A119ST</v>
      </c>
      <c r="C333" s="154" t="str">
        <f t="shared" si="36"/>
        <v>T0423ST</v>
      </c>
      <c r="D333" s="128" t="s">
        <v>924</v>
      </c>
      <c r="E333" s="128" t="str">
        <f>INDEX(二三级标准!$Q:$Q,MATCH(数统二级标签!D333,二三级标准!$O:$O,0))</f>
        <v>生物统计及分析</v>
      </c>
      <c r="F333" s="128" t="s">
        <v>343</v>
      </c>
      <c r="G333" s="128" t="str">
        <f>INDEX(二三级标准!C:C,MATCH(数统二级标签!F333,二三级标准!$B:$B,0))</f>
        <v>撰写统计分析报告(SAR)</v>
      </c>
      <c r="H333" s="128" t="s">
        <v>1553</v>
      </c>
      <c r="I333" s="128" t="str">
        <f>INDEX(二三级标准!$M:$M,MATCH(数统二级标签!$H333,二三级标准!$L:$L,0))</f>
        <v>统计分析报告SAR的修订</v>
      </c>
      <c r="K333" s="128" t="s">
        <v>639</v>
      </c>
      <c r="L333" s="156">
        <v>6</v>
      </c>
      <c r="M333" s="156">
        <v>6</v>
      </c>
      <c r="N333" s="156">
        <v>6</v>
      </c>
      <c r="O333" s="156">
        <v>6</v>
      </c>
      <c r="P333" s="156">
        <v>6</v>
      </c>
      <c r="Q333" s="156">
        <v>6</v>
      </c>
      <c r="R333" s="156">
        <v>6</v>
      </c>
      <c r="S333" s="156">
        <v>6</v>
      </c>
      <c r="T333" s="156">
        <v>6</v>
      </c>
    </row>
    <row r="334" ht="27" customHeight="1" spans="1:20">
      <c r="A334" s="154" t="str">
        <f>INDEX('Rate Card'!$A:$A,MATCH(数统二级标签!$K334,'Rate Card'!$F:$F,0))</f>
        <v>数统</v>
      </c>
      <c r="B334" s="154" t="str">
        <f t="shared" ref="B334:B338" si="38">F334&amp;K334</f>
        <v>A210SA</v>
      </c>
      <c r="C334" s="154" t="str">
        <f t="shared" ref="C334:C338" si="39">H334&amp;K334</f>
        <v>T0630SA</v>
      </c>
      <c r="D334" s="128" t="s">
        <v>924</v>
      </c>
      <c r="E334" s="128" t="str">
        <f>INDEX(二三级标准!$Q:$Q,MATCH(数统二级标签!D334,二三级标准!$O:$O,0))</f>
        <v>生物统计及分析</v>
      </c>
      <c r="F334" s="128" t="s">
        <v>3058</v>
      </c>
      <c r="G334" s="128" t="str">
        <f>INDEX(二三级标准!C:C,MATCH(数统二级标签!F334,二三级标准!$B:$B,0))</f>
        <v>产生方案偏离列表</v>
      </c>
      <c r="H334" s="128" t="s">
        <v>3059</v>
      </c>
      <c r="I334" s="128" t="str">
        <f>INDEX(二三级标准!$M:$M,MATCH(数统二级标签!$H334,二三级标准!$L:$L,0))</f>
        <v>编写方案偏离列表编程说明</v>
      </c>
      <c r="J334" s="128" t="s">
        <v>2902</v>
      </c>
      <c r="K334" s="128" t="s">
        <v>635</v>
      </c>
      <c r="L334" s="162">
        <v>0.2</v>
      </c>
      <c r="M334" s="156">
        <v>0.2</v>
      </c>
      <c r="N334" s="156">
        <v>6</v>
      </c>
      <c r="O334" s="156">
        <v>6</v>
      </c>
      <c r="P334" s="156">
        <v>6</v>
      </c>
      <c r="Q334" s="156">
        <v>6</v>
      </c>
      <c r="R334" s="156">
        <v>6</v>
      </c>
      <c r="S334" s="156">
        <v>6</v>
      </c>
      <c r="T334" s="156">
        <v>6</v>
      </c>
    </row>
    <row r="335" ht="27" customHeight="1" spans="1:20">
      <c r="A335" s="154" t="str">
        <f>INDEX('Rate Card'!$A:$A,MATCH(数统二级标签!$K335,'Rate Card'!$F:$F,0))</f>
        <v>数统</v>
      </c>
      <c r="B335" s="154" t="str">
        <f t="shared" si="38"/>
        <v>A210SAM</v>
      </c>
      <c r="C335" s="154" t="str">
        <f t="shared" si="39"/>
        <v>T0631SAM</v>
      </c>
      <c r="D335" s="128" t="s">
        <v>924</v>
      </c>
      <c r="E335" s="128" t="str">
        <f>INDEX(二三级标准!$Q:$Q,MATCH(数统二级标签!D335,二三级标准!$O:$O,0))</f>
        <v>生物统计及分析</v>
      </c>
      <c r="F335" s="128" t="s">
        <v>3058</v>
      </c>
      <c r="G335" s="128" t="str">
        <f>INDEX(二三级标准!C:C,MATCH(数统二级标签!F335,二三级标准!$B:$B,0))</f>
        <v>产生方案偏离列表</v>
      </c>
      <c r="H335" s="128" t="s">
        <v>3060</v>
      </c>
      <c r="I335" s="128" t="str">
        <f>INDEX(二三级标准!$M:$M,MATCH(数统二级标签!$H335,二三级标准!$L:$L,0))</f>
        <v>审核方案偏离列表编程说明</v>
      </c>
      <c r="J335" s="128" t="s">
        <v>2902</v>
      </c>
      <c r="K335" s="128" t="s">
        <v>638</v>
      </c>
      <c r="L335" s="162">
        <v>0.1</v>
      </c>
      <c r="M335" s="156">
        <v>0.1</v>
      </c>
      <c r="N335" s="156">
        <v>6</v>
      </c>
      <c r="O335" s="156">
        <v>6</v>
      </c>
      <c r="P335" s="156">
        <v>6</v>
      </c>
      <c r="Q335" s="156">
        <v>6</v>
      </c>
      <c r="R335" s="156">
        <v>6</v>
      </c>
      <c r="S335" s="156">
        <v>6</v>
      </c>
      <c r="T335" s="156">
        <v>6</v>
      </c>
    </row>
    <row r="336" ht="27" customHeight="1" spans="1:20">
      <c r="A336" s="154" t="str">
        <f>INDEX('Rate Card'!$A:$A,MATCH(数统二级标签!$K336,'Rate Card'!$F:$F,0))</f>
        <v>数统</v>
      </c>
      <c r="B336" s="154" t="str">
        <f t="shared" si="38"/>
        <v>A210SA</v>
      </c>
      <c r="C336" s="154" t="str">
        <f t="shared" si="39"/>
        <v>T0632SA</v>
      </c>
      <c r="D336" s="128" t="s">
        <v>924</v>
      </c>
      <c r="E336" s="128" t="str">
        <f>INDEX(二三级标准!$Q:$Q,MATCH(数统二级标签!D336,二三级标准!$O:$O,0))</f>
        <v>生物统计及分析</v>
      </c>
      <c r="F336" s="128" t="s">
        <v>3058</v>
      </c>
      <c r="G336" s="128" t="str">
        <f>INDEX(二三级标准!C:C,MATCH(数统二级标签!F336,二三级标准!$B:$B,0))</f>
        <v>产生方案偏离列表</v>
      </c>
      <c r="H336" s="128" t="s">
        <v>3061</v>
      </c>
      <c r="I336" s="128" t="str">
        <f>INDEX(二三级标准!$M:$M,MATCH(数统二级标签!$H336,二三级标准!$L:$L,0))</f>
        <v>产生方案偏离列表</v>
      </c>
      <c r="J336" s="128" t="s">
        <v>2902</v>
      </c>
      <c r="K336" s="128" t="s">
        <v>635</v>
      </c>
      <c r="L336" s="162">
        <v>0.5</v>
      </c>
      <c r="M336" s="156">
        <v>0.5</v>
      </c>
      <c r="N336" s="156">
        <v>6</v>
      </c>
      <c r="O336" s="156">
        <v>6</v>
      </c>
      <c r="P336" s="156">
        <v>6</v>
      </c>
      <c r="Q336" s="156">
        <v>6</v>
      </c>
      <c r="R336" s="156">
        <v>6</v>
      </c>
      <c r="S336" s="156">
        <v>6</v>
      </c>
      <c r="T336" s="156">
        <v>6</v>
      </c>
    </row>
    <row r="337" ht="27" customHeight="1" spans="1:20">
      <c r="A337" s="154" t="str">
        <f>INDEX('Rate Card'!$A:$A,MATCH(数统二级标签!$K337,'Rate Card'!$F:$F,0))</f>
        <v>数统</v>
      </c>
      <c r="B337" s="154" t="str">
        <f t="shared" si="38"/>
        <v>A210SA</v>
      </c>
      <c r="C337" s="154" t="str">
        <f t="shared" si="39"/>
        <v>T0633SA</v>
      </c>
      <c r="D337" s="128" t="s">
        <v>924</v>
      </c>
      <c r="E337" s="128" t="str">
        <f>INDEX(二三级标准!$Q:$Q,MATCH(数统二级标签!D337,二三级标准!$O:$O,0))</f>
        <v>生物统计及分析</v>
      </c>
      <c r="F337" s="128" t="s">
        <v>3058</v>
      </c>
      <c r="G337" s="128" t="str">
        <f>INDEX(二三级标准!C:C,MATCH(数统二级标签!F337,二三级标准!$B:$B,0))</f>
        <v>产生方案偏离列表</v>
      </c>
      <c r="H337" s="128" t="s">
        <v>3062</v>
      </c>
      <c r="I337" s="128" t="str">
        <f>INDEX(二三级标准!$M:$M,MATCH(数统二级标签!$H337,二三级标准!$L:$L,0))</f>
        <v>验证方案偏离列表</v>
      </c>
      <c r="J337" s="128" t="s">
        <v>2902</v>
      </c>
      <c r="K337" s="128" t="s">
        <v>635</v>
      </c>
      <c r="L337" s="162">
        <v>0.5</v>
      </c>
      <c r="M337" s="156">
        <v>0.5</v>
      </c>
      <c r="N337" s="156">
        <v>6</v>
      </c>
      <c r="O337" s="156">
        <v>6</v>
      </c>
      <c r="P337" s="156">
        <v>6</v>
      </c>
      <c r="Q337" s="156">
        <v>6</v>
      </c>
      <c r="R337" s="156">
        <v>6</v>
      </c>
      <c r="S337" s="156">
        <v>6</v>
      </c>
      <c r="T337" s="156">
        <v>6</v>
      </c>
    </row>
    <row r="338" ht="27" customHeight="1" spans="1:20">
      <c r="A338" s="154" t="str">
        <f>INDEX('Rate Card'!$A:$A,MATCH(数统二级标签!$K338,'Rate Card'!$F:$F,0))</f>
        <v>数统</v>
      </c>
      <c r="B338" s="154" t="str">
        <f t="shared" si="38"/>
        <v>A210SA</v>
      </c>
      <c r="C338" s="154" t="str">
        <f t="shared" si="39"/>
        <v>T0634SA</v>
      </c>
      <c r="D338" s="128" t="s">
        <v>924</v>
      </c>
      <c r="E338" s="128" t="str">
        <f>INDEX(二三级标准!$Q:$Q,MATCH(数统二级标签!D338,二三级标准!$O:$O,0))</f>
        <v>生物统计及分析</v>
      </c>
      <c r="F338" s="128" t="s">
        <v>3058</v>
      </c>
      <c r="G338" s="128" t="str">
        <f>INDEX(二三级标准!C:C,MATCH(数统二级标签!F338,二三级标准!$B:$B,0))</f>
        <v>产生方案偏离列表</v>
      </c>
      <c r="H338" s="128" t="s">
        <v>3063</v>
      </c>
      <c r="I338" s="128" t="str">
        <f>INDEX(二三级标准!$M:$M,MATCH(数统二级标签!$H338,二三级标准!$L:$L,0))</f>
        <v>运行方案偏离列表</v>
      </c>
      <c r="J338" s="128" t="s">
        <v>2902</v>
      </c>
      <c r="K338" s="128" t="s">
        <v>635</v>
      </c>
      <c r="L338" s="162">
        <v>6</v>
      </c>
      <c r="M338" s="156">
        <v>6</v>
      </c>
      <c r="N338" s="156">
        <v>6</v>
      </c>
      <c r="O338" s="156">
        <v>6</v>
      </c>
      <c r="P338" s="156">
        <v>6</v>
      </c>
      <c r="Q338" s="156">
        <v>6</v>
      </c>
      <c r="R338" s="156">
        <v>6</v>
      </c>
      <c r="S338" s="156">
        <v>6</v>
      </c>
      <c r="T338" s="156">
        <v>6</v>
      </c>
    </row>
    <row r="339" ht="27" customHeight="1" spans="1:20">
      <c r="A339" s="154" t="str">
        <f>INDEX('Rate Card'!$A:$A,MATCH(数统二级标签!$K339,'Rate Card'!$F:$F,0))</f>
        <v>数统</v>
      </c>
      <c r="B339" s="154" t="str">
        <f t="shared" si="35"/>
        <v>A120ST</v>
      </c>
      <c r="C339" s="154" t="str">
        <f t="shared" si="36"/>
        <v>T0424ST</v>
      </c>
      <c r="D339" s="128" t="s">
        <v>924</v>
      </c>
      <c r="E339" s="128" t="str">
        <f>INDEX(二三级标准!$Q:$Q,MATCH(数统二级标签!D339,二三级标准!$O:$O,0))</f>
        <v>生物统计及分析</v>
      </c>
      <c r="F339" s="128" t="s">
        <v>345</v>
      </c>
      <c r="G339" s="128" t="str">
        <f>INDEX(二三级标准!C:C,MATCH(数统二级标签!F339,二三级标准!$B:$B,0))</f>
        <v>生物统计及分析项目管理</v>
      </c>
      <c r="H339" s="128" t="s">
        <v>1559</v>
      </c>
      <c r="I339" s="128" t="str">
        <f>INDEX(二三级标准!$M:$M,MATCH(数统二级标签!$H339,二三级标准!$L:$L,0))</f>
        <v>生物统计的项目管理</v>
      </c>
      <c r="J339" s="128" t="s">
        <v>2904</v>
      </c>
      <c r="K339" s="128" t="s">
        <v>639</v>
      </c>
      <c r="L339" s="156">
        <v>1.5</v>
      </c>
      <c r="M339" s="156">
        <v>1</v>
      </c>
      <c r="N339" s="156">
        <v>0.5</v>
      </c>
      <c r="O339" s="156">
        <v>0.5</v>
      </c>
      <c r="P339" s="156">
        <v>0.5</v>
      </c>
      <c r="Q339" s="156">
        <v>0.5</v>
      </c>
      <c r="R339" s="156">
        <v>0.5</v>
      </c>
      <c r="S339" s="156">
        <v>0.5</v>
      </c>
      <c r="T339" s="156">
        <v>0.5</v>
      </c>
    </row>
    <row r="340" ht="27" customHeight="1" spans="1:20">
      <c r="A340" s="154" t="str">
        <f>INDEX('Rate Card'!$A:$A,MATCH(数统二级标签!$K340,'Rate Card'!$F:$F,0))</f>
        <v>数统</v>
      </c>
      <c r="B340" s="154" t="str">
        <f t="shared" si="35"/>
        <v>A120SAM</v>
      </c>
      <c r="C340" s="154" t="str">
        <f t="shared" si="36"/>
        <v>T0425SAM</v>
      </c>
      <c r="D340" s="128" t="s">
        <v>924</v>
      </c>
      <c r="E340" s="128" t="str">
        <f>INDEX(二三级标准!$Q:$Q,MATCH(数统二级标签!D340,二三级标准!$O:$O,0))</f>
        <v>生物统计及分析</v>
      </c>
      <c r="F340" s="128" t="s">
        <v>345</v>
      </c>
      <c r="G340" s="128" t="str">
        <f>INDEX(二三级标准!C:C,MATCH(数统二级标签!F340,二三级标准!$B:$B,0))</f>
        <v>生物统计及分析项目管理</v>
      </c>
      <c r="H340" s="128" t="s">
        <v>1560</v>
      </c>
      <c r="I340" s="128" t="str">
        <f>INDEX(二三级标准!$M:$M,MATCH(数统二级标签!$H340,二三级标准!$L:$L,0))</f>
        <v>统计分析的项目管理</v>
      </c>
      <c r="J340" s="128" t="s">
        <v>3064</v>
      </c>
      <c r="K340" s="128" t="s">
        <v>638</v>
      </c>
      <c r="L340" s="156">
        <v>0.5</v>
      </c>
      <c r="M340" s="156">
        <v>0.5</v>
      </c>
      <c r="N340" s="156">
        <v>0.5</v>
      </c>
      <c r="O340" s="156">
        <v>0.5</v>
      </c>
      <c r="P340" s="156">
        <v>0.5</v>
      </c>
      <c r="Q340" s="156">
        <v>0.5</v>
      </c>
      <c r="R340" s="156">
        <v>0.5</v>
      </c>
      <c r="S340" s="156">
        <v>0.5</v>
      </c>
      <c r="T340" s="156">
        <v>0.5</v>
      </c>
    </row>
    <row r="341" ht="27" customHeight="1" spans="1:20">
      <c r="A341" s="154" t="str">
        <f>INDEX('Rate Card'!$A:$A,MATCH(数统二级标签!$K341,'Rate Card'!$F:$F,0))</f>
        <v>数统</v>
      </c>
      <c r="B341" s="154" t="str">
        <f t="shared" si="35"/>
        <v>A225ST</v>
      </c>
      <c r="C341" s="154" t="str">
        <f t="shared" si="36"/>
        <v>T0662ST</v>
      </c>
      <c r="D341" s="128" t="s">
        <v>924</v>
      </c>
      <c r="E341" s="128" t="str">
        <f>INDEX(二三级标准!$Q:$Q,MATCH(数统二级标签!D341,二三级标准!$O:$O,0))</f>
        <v>生物统计及分析</v>
      </c>
      <c r="F341" s="128" t="s">
        <v>1083</v>
      </c>
      <c r="G341" s="128" t="str">
        <f>INDEX(二三级标准!C:C,MATCH(数统二级标签!F341,二三级标准!$B:$B,0))</f>
        <v>撰写DSMB/DMC/IDMC章程</v>
      </c>
      <c r="H341" s="128" t="s">
        <v>1561</v>
      </c>
      <c r="I341" s="128" t="str">
        <f>INDEX(二三级标准!$M:$M,MATCH(数统二级标签!$H341,二三级标准!$L:$L,0))</f>
        <v>DSMB/DMC/IDMC章程起草</v>
      </c>
      <c r="J341" s="128" t="s">
        <v>3065</v>
      </c>
      <c r="K341" s="128" t="s">
        <v>639</v>
      </c>
      <c r="L341" s="166">
        <v>22.5</v>
      </c>
      <c r="M341" s="156">
        <v>24</v>
      </c>
      <c r="N341" s="156">
        <v>22.5</v>
      </c>
      <c r="O341" s="156">
        <v>22.5</v>
      </c>
      <c r="P341" s="156">
        <v>22.5</v>
      </c>
      <c r="Q341" s="156">
        <v>22.5</v>
      </c>
      <c r="R341" s="156">
        <v>22.5</v>
      </c>
      <c r="S341" s="156">
        <v>22.5</v>
      </c>
      <c r="T341" s="156">
        <v>22.5</v>
      </c>
    </row>
    <row r="342" ht="27" customHeight="1" spans="1:20">
      <c r="A342" s="154" t="str">
        <f>INDEX('Rate Card'!$A:$A,MATCH(数统二级标签!$K342,'Rate Card'!$F:$F,0))</f>
        <v>数统</v>
      </c>
      <c r="B342" s="154" t="str">
        <f t="shared" si="35"/>
        <v>A225SAM</v>
      </c>
      <c r="C342" s="154" t="str">
        <f t="shared" si="36"/>
        <v>T0663SAM</v>
      </c>
      <c r="D342" s="128" t="s">
        <v>924</v>
      </c>
      <c r="E342" s="128" t="str">
        <f>INDEX(二三级标准!$Q:$Q,MATCH(数统二级标签!D342,二三级标准!$O:$O,0))</f>
        <v>生物统计及分析</v>
      </c>
      <c r="F342" s="128" t="s">
        <v>1083</v>
      </c>
      <c r="G342" s="128" t="str">
        <f>INDEX(二三级标准!C:C,MATCH(数统二级标签!F342,二三级标准!$B:$B,0))</f>
        <v>撰写DSMB/DMC/IDMC章程</v>
      </c>
      <c r="H342" s="128" t="s">
        <v>1562</v>
      </c>
      <c r="I342" s="128" t="str">
        <f>INDEX(二三级标准!$M:$M,MATCH(数统二级标签!$H342,二三级标准!$L:$L,0))</f>
        <v>DSMB/DMC/IDMC章程审核</v>
      </c>
      <c r="J342" s="128" t="s">
        <v>3065</v>
      </c>
      <c r="K342" s="128" t="s">
        <v>638</v>
      </c>
      <c r="L342" s="167">
        <v>4</v>
      </c>
      <c r="M342" s="167">
        <v>4</v>
      </c>
      <c r="N342" s="167">
        <v>4</v>
      </c>
      <c r="O342" s="167">
        <v>4</v>
      </c>
      <c r="P342" s="167">
        <v>4</v>
      </c>
      <c r="Q342" s="167">
        <v>4</v>
      </c>
      <c r="R342" s="167">
        <v>4</v>
      </c>
      <c r="S342" s="167">
        <v>4</v>
      </c>
      <c r="T342" s="167">
        <v>4</v>
      </c>
    </row>
    <row r="343" ht="27" customHeight="1" spans="1:20">
      <c r="A343" s="154" t="str">
        <f>INDEX('Rate Card'!$A:$A,MATCH(数统二级标签!$K343,'Rate Card'!$F:$F,0))</f>
        <v>数统</v>
      </c>
      <c r="B343" s="154" t="str">
        <f t="shared" si="35"/>
        <v>A225ST</v>
      </c>
      <c r="C343" s="154" t="str">
        <f t="shared" si="36"/>
        <v>T0664ST</v>
      </c>
      <c r="D343" s="128" t="s">
        <v>924</v>
      </c>
      <c r="E343" s="128" t="str">
        <f>INDEX(二三级标准!$Q:$Q,MATCH(数统二级标签!D343,二三级标准!$O:$O,0))</f>
        <v>生物统计及分析</v>
      </c>
      <c r="F343" s="128" t="s">
        <v>1083</v>
      </c>
      <c r="G343" s="128" t="str">
        <f>INDEX(二三级标准!C:C,MATCH(数统二级标签!F343,二三级标准!$B:$B,0))</f>
        <v>撰写DSMB/DMC/IDMC章程</v>
      </c>
      <c r="H343" s="128" t="s">
        <v>1563</v>
      </c>
      <c r="I343" s="128" t="str">
        <f>INDEX(二三级标准!$M:$M,MATCH(数统二级标签!$H343,二三级标准!$L:$L,0))</f>
        <v>DSMB/DMC/IDMC章程修订</v>
      </c>
      <c r="J343" s="128" t="s">
        <v>3065</v>
      </c>
      <c r="K343" s="128" t="s">
        <v>639</v>
      </c>
      <c r="L343" s="166">
        <v>8</v>
      </c>
      <c r="M343" s="166">
        <v>8</v>
      </c>
      <c r="N343" s="166">
        <v>8</v>
      </c>
      <c r="O343" s="166">
        <v>8</v>
      </c>
      <c r="P343" s="166">
        <v>8</v>
      </c>
      <c r="Q343" s="166">
        <v>8</v>
      </c>
      <c r="R343" s="166">
        <v>8</v>
      </c>
      <c r="S343" s="166">
        <v>8</v>
      </c>
      <c r="T343" s="166">
        <v>8</v>
      </c>
    </row>
    <row r="344" ht="27" customHeight="1" spans="1:20">
      <c r="A344" s="154" t="str">
        <f>INDEX('Rate Card'!$A:$A,MATCH(数统二级标签!$K344,'Rate Card'!$F:$F,0))</f>
        <v>数统</v>
      </c>
      <c r="B344" s="154" t="str">
        <f t="shared" si="35"/>
        <v>A226ST</v>
      </c>
      <c r="C344" s="154" t="str">
        <f t="shared" si="36"/>
        <v>T0665ST</v>
      </c>
      <c r="D344" s="128" t="s">
        <v>924</v>
      </c>
      <c r="E344" s="128" t="str">
        <f>INDEX(二三级标准!$Q:$Q,MATCH(数统二级标签!D344,二三级标准!$O:$O,0))</f>
        <v>生物统计及分析</v>
      </c>
      <c r="F344" s="128" t="s">
        <v>1084</v>
      </c>
      <c r="G344" s="128" t="str">
        <f>INDEX(二三级标准!C:C,MATCH(数统二级标签!F344,二三级标准!$B:$B,0))</f>
        <v>撰写DSMB/DMC/IDMC统计分析计划</v>
      </c>
      <c r="H344" s="128" t="s">
        <v>1564</v>
      </c>
      <c r="I344" s="128" t="str">
        <f>INDEX(二三级标准!$M:$M,MATCH(数统二级标签!$H344,二三级标准!$L:$L,0))</f>
        <v>DSMB/DMC/IDMC统计分析计划起草</v>
      </c>
      <c r="J344" s="128" t="s">
        <v>3065</v>
      </c>
      <c r="K344" s="128" t="s">
        <v>639</v>
      </c>
      <c r="L344" s="166">
        <v>16</v>
      </c>
      <c r="M344" s="166">
        <v>24</v>
      </c>
      <c r="N344" s="166">
        <v>16</v>
      </c>
      <c r="O344" s="166">
        <v>16</v>
      </c>
      <c r="P344" s="166">
        <v>16</v>
      </c>
      <c r="Q344" s="166">
        <v>16</v>
      </c>
      <c r="R344" s="166">
        <v>16</v>
      </c>
      <c r="S344" s="166">
        <v>16</v>
      </c>
      <c r="T344" s="166">
        <v>16</v>
      </c>
    </row>
    <row r="345" ht="27" customHeight="1" spans="1:20">
      <c r="A345" s="154" t="str">
        <f>INDEX('Rate Card'!$A:$A,MATCH(数统二级标签!$K345,'Rate Card'!$F:$F,0))</f>
        <v>数统</v>
      </c>
      <c r="B345" s="154" t="str">
        <f t="shared" si="35"/>
        <v>A226SAM</v>
      </c>
      <c r="C345" s="154" t="str">
        <f t="shared" si="36"/>
        <v>T0666SAM</v>
      </c>
      <c r="D345" s="128" t="s">
        <v>924</v>
      </c>
      <c r="E345" s="128" t="str">
        <f>INDEX(二三级标准!$Q:$Q,MATCH(数统二级标签!D345,二三级标准!$O:$O,0))</f>
        <v>生物统计及分析</v>
      </c>
      <c r="F345" s="128" t="s">
        <v>1084</v>
      </c>
      <c r="G345" s="128" t="str">
        <f>INDEX(二三级标准!C:C,MATCH(数统二级标签!F345,二三级标准!$B:$B,0))</f>
        <v>撰写DSMB/DMC/IDMC统计分析计划</v>
      </c>
      <c r="H345" s="128" t="s">
        <v>1565</v>
      </c>
      <c r="I345" s="128" t="str">
        <f>INDEX(二三级标准!$M:$M,MATCH(数统二级标签!$H345,二三级标准!$L:$L,0))</f>
        <v>DSMB/DMC/IDMC统计分析计划审核</v>
      </c>
      <c r="J345" s="128" t="s">
        <v>3065</v>
      </c>
      <c r="K345" s="128" t="s">
        <v>638</v>
      </c>
      <c r="L345" s="166">
        <v>2</v>
      </c>
      <c r="M345" s="166">
        <v>2</v>
      </c>
      <c r="N345" s="166">
        <v>2</v>
      </c>
      <c r="O345" s="166">
        <v>2</v>
      </c>
      <c r="P345" s="166">
        <v>2</v>
      </c>
      <c r="Q345" s="166">
        <v>2</v>
      </c>
      <c r="R345" s="166">
        <v>2</v>
      </c>
      <c r="S345" s="166">
        <v>2</v>
      </c>
      <c r="T345" s="166">
        <v>2</v>
      </c>
    </row>
    <row r="346" ht="27" customHeight="1" spans="1:20">
      <c r="A346" s="154" t="str">
        <f>INDEX('Rate Card'!$A:$A,MATCH(数统二级标签!$K346,'Rate Card'!$F:$F,0))</f>
        <v>数统</v>
      </c>
      <c r="B346" s="154" t="str">
        <f t="shared" si="35"/>
        <v>A226ST</v>
      </c>
      <c r="C346" s="154" t="str">
        <f t="shared" si="36"/>
        <v>T0667ST</v>
      </c>
      <c r="D346" s="128" t="s">
        <v>924</v>
      </c>
      <c r="E346" s="128" t="str">
        <f>INDEX(二三级标准!$Q:$Q,MATCH(数统二级标签!D346,二三级标准!$O:$O,0))</f>
        <v>生物统计及分析</v>
      </c>
      <c r="F346" s="128" t="s">
        <v>1084</v>
      </c>
      <c r="G346" s="128" t="str">
        <f>INDEX(二三级标准!C:C,MATCH(数统二级标签!F346,二三级标准!$B:$B,0))</f>
        <v>撰写DSMB/DMC/IDMC统计分析计划</v>
      </c>
      <c r="H346" s="128" t="s">
        <v>1566</v>
      </c>
      <c r="I346" s="128" t="str">
        <f>INDEX(二三级标准!$M:$M,MATCH(数统二级标签!$H346,二三级标准!$L:$L,0))</f>
        <v>DSMB/DMC/IDMC统计分析计划的修订</v>
      </c>
      <c r="J346" s="128" t="s">
        <v>3065</v>
      </c>
      <c r="K346" s="128" t="s">
        <v>639</v>
      </c>
      <c r="L346" s="166">
        <v>4</v>
      </c>
      <c r="M346" s="166">
        <v>4</v>
      </c>
      <c r="N346" s="166">
        <v>4</v>
      </c>
      <c r="O346" s="166">
        <v>4</v>
      </c>
      <c r="P346" s="166">
        <v>4</v>
      </c>
      <c r="Q346" s="166">
        <v>4</v>
      </c>
      <c r="R346" s="166">
        <v>4</v>
      </c>
      <c r="S346" s="166">
        <v>4</v>
      </c>
      <c r="T346" s="166">
        <v>4</v>
      </c>
    </row>
    <row r="347" ht="27" customHeight="1" spans="1:20">
      <c r="A347" s="154" t="str">
        <f>INDEX('Rate Card'!$A:$A,MATCH(数统二级标签!$K347,'Rate Card'!$F:$F,0))</f>
        <v>数统</v>
      </c>
      <c r="B347" s="154" t="str">
        <f t="shared" si="35"/>
        <v>A227ST</v>
      </c>
      <c r="C347" s="154" t="str">
        <f t="shared" si="36"/>
        <v>T0668ST</v>
      </c>
      <c r="D347" s="128" t="s">
        <v>924</v>
      </c>
      <c r="E347" s="128" t="str">
        <f>INDEX(二三级标准!$Q:$Q,MATCH(数统二级标签!D347,二三级标准!$O:$O,0))</f>
        <v>生物统计及分析</v>
      </c>
      <c r="F347" s="128" t="s">
        <v>1085</v>
      </c>
      <c r="G347" s="128" t="str">
        <f>INDEX(二三级标准!C:C,MATCH(数统二级标签!F347,二三级标准!$B:$B,0))</f>
        <v>制定DSMB/DMC/IDMC统计TFLs模版</v>
      </c>
      <c r="H347" s="128" t="s">
        <v>3066</v>
      </c>
      <c r="I347" s="128" t="str">
        <f>INDEX(二三级标准!$M:$M,MATCH(数统二级标签!$H347,二三级标准!$L:$L,0))</f>
        <v>DSMB/DMC/IDMC统计TFLs模板起草- Unique</v>
      </c>
      <c r="J347" s="128" t="s">
        <v>3065</v>
      </c>
      <c r="K347" s="128" t="s">
        <v>639</v>
      </c>
      <c r="L347" s="166">
        <v>10</v>
      </c>
      <c r="M347" s="166">
        <v>0.4</v>
      </c>
      <c r="N347" s="166">
        <v>10</v>
      </c>
      <c r="O347" s="166">
        <v>10</v>
      </c>
      <c r="P347" s="166">
        <v>10</v>
      </c>
      <c r="Q347" s="166">
        <v>10</v>
      </c>
      <c r="R347" s="166">
        <v>10</v>
      </c>
      <c r="S347" s="166">
        <v>10</v>
      </c>
      <c r="T347" s="166">
        <v>10</v>
      </c>
    </row>
    <row r="348" ht="27" customHeight="1" spans="1:20">
      <c r="A348" s="154" t="str">
        <f>INDEX('Rate Card'!$A:$A,MATCH(数统二级标签!$K348,'Rate Card'!$F:$F,0))</f>
        <v>数统</v>
      </c>
      <c r="B348" s="154" t="str">
        <f t="shared" si="35"/>
        <v>A227SAM</v>
      </c>
      <c r="C348" s="154" t="str">
        <f t="shared" si="36"/>
        <v>T0669SAM</v>
      </c>
      <c r="D348" s="128" t="s">
        <v>924</v>
      </c>
      <c r="E348" s="128" t="str">
        <f>INDEX(二三级标准!$Q:$Q,MATCH(数统二级标签!D348,二三级标准!$O:$O,0))</f>
        <v>生物统计及分析</v>
      </c>
      <c r="F348" s="128" t="s">
        <v>1085</v>
      </c>
      <c r="G348" s="128" t="str">
        <f>INDEX(二三级标准!C:C,MATCH(数统二级标签!F348,二三级标准!$B:$B,0))</f>
        <v>制定DSMB/DMC/IDMC统计TFLs模版</v>
      </c>
      <c r="H348" s="128" t="s">
        <v>3067</v>
      </c>
      <c r="I348" s="128" t="str">
        <f>INDEX(二三级标准!$M:$M,MATCH(数统二级标签!$H348,二三级标准!$L:$L,0))</f>
        <v>DSMB/DMC/IDMC统计TFLs模板审核- Unique</v>
      </c>
      <c r="J348" s="128" t="s">
        <v>3065</v>
      </c>
      <c r="K348" s="128" t="s">
        <v>638</v>
      </c>
      <c r="L348" s="166">
        <v>2</v>
      </c>
      <c r="M348" s="166">
        <v>0.1</v>
      </c>
      <c r="N348" s="166">
        <v>2</v>
      </c>
      <c r="O348" s="166">
        <v>2</v>
      </c>
      <c r="P348" s="166">
        <v>2</v>
      </c>
      <c r="Q348" s="166">
        <v>2</v>
      </c>
      <c r="R348" s="166">
        <v>2</v>
      </c>
      <c r="S348" s="166">
        <v>2</v>
      </c>
      <c r="T348" s="166">
        <v>2</v>
      </c>
    </row>
    <row r="349" ht="27" customHeight="1" spans="1:20">
      <c r="A349" s="154" t="str">
        <f>INDEX('Rate Card'!$A:$A,MATCH(数统二级标签!$K349,'Rate Card'!$F:$F,0))</f>
        <v>数统</v>
      </c>
      <c r="B349" s="154" t="str">
        <f t="shared" si="35"/>
        <v>A227ST</v>
      </c>
      <c r="C349" s="154" t="str">
        <f t="shared" si="36"/>
        <v>T0670ST</v>
      </c>
      <c r="D349" s="128" t="s">
        <v>924</v>
      </c>
      <c r="E349" s="128" t="str">
        <f>INDEX(二三级标准!$Q:$Q,MATCH(数统二级标签!D349,二三级标准!$O:$O,0))</f>
        <v>生物统计及分析</v>
      </c>
      <c r="F349" s="128" t="s">
        <v>1085</v>
      </c>
      <c r="G349" s="128" t="str">
        <f>INDEX(二三级标准!C:C,MATCH(数统二级标签!F349,二三级标准!$B:$B,0))</f>
        <v>制定DSMB/DMC/IDMC统计TFLs模版</v>
      </c>
      <c r="H349" s="128" t="s">
        <v>3068</v>
      </c>
      <c r="I349" s="128" t="str">
        <f>INDEX(二三级标准!$M:$M,MATCH(数统二级标签!$H349,二三级标准!$L:$L,0))</f>
        <v>DSMB/DMC/IDMC统计TFLs模板的修订- Unique</v>
      </c>
      <c r="J349" s="128" t="s">
        <v>3065</v>
      </c>
      <c r="K349" s="128" t="s">
        <v>639</v>
      </c>
      <c r="L349" s="166">
        <v>4</v>
      </c>
      <c r="M349" s="166">
        <v>0.2</v>
      </c>
      <c r="N349" s="166">
        <v>4</v>
      </c>
      <c r="O349" s="166">
        <v>4</v>
      </c>
      <c r="P349" s="166">
        <v>4</v>
      </c>
      <c r="Q349" s="166">
        <v>4</v>
      </c>
      <c r="R349" s="166">
        <v>4</v>
      </c>
      <c r="S349" s="166">
        <v>4</v>
      </c>
      <c r="T349" s="166">
        <v>4</v>
      </c>
    </row>
    <row r="350" ht="27" customHeight="1" spans="1:20">
      <c r="A350" s="154" t="str">
        <f>INDEX('Rate Card'!$A:$A,MATCH(数统二级标签!$K350,'Rate Card'!$F:$F,0))</f>
        <v>数统</v>
      </c>
      <c r="B350" s="154" t="str">
        <f t="shared" si="35"/>
        <v>A228SA</v>
      </c>
      <c r="C350" s="154" t="str">
        <f t="shared" si="36"/>
        <v>T0671SA</v>
      </c>
      <c r="D350" s="128" t="s">
        <v>924</v>
      </c>
      <c r="E350" s="128" t="str">
        <f>INDEX(二三级标准!$Q:$Q,MATCH(数统二级标签!D350,二三级标准!$O:$O,0))</f>
        <v>生物统计及分析</v>
      </c>
      <c r="F350" s="128" t="s">
        <v>3069</v>
      </c>
      <c r="G350" s="128" t="str">
        <f>INDEX(二三级标准!C:C,MATCH(数统二级标签!F350,二三级标准!$B:$B,0))</f>
        <v>撰写DSMB/DMC/IDMC分析数据集衍生规范</v>
      </c>
      <c r="H350" s="128" t="s">
        <v>3070</v>
      </c>
      <c r="I350" s="128" t="str">
        <f>INDEX(二三级标准!$M:$M,MATCH(数统二级标签!$H350,二三级标准!$L:$L,0))</f>
        <v>编写DSMB/DMC/IDMC分析数据集衍生规范</v>
      </c>
      <c r="J350" s="128" t="s">
        <v>3065</v>
      </c>
      <c r="K350" s="128" t="s">
        <v>635</v>
      </c>
      <c r="M350" s="156">
        <v>2</v>
      </c>
    </row>
    <row r="351" ht="27" customHeight="1" spans="1:20">
      <c r="A351" s="154" t="str">
        <f>INDEX('Rate Card'!$A:$A,MATCH(数统二级标签!$K351,'Rate Card'!$F:$F,0))</f>
        <v>数统</v>
      </c>
      <c r="B351" s="154" t="str">
        <f t="shared" si="35"/>
        <v>A228SA</v>
      </c>
      <c r="C351" s="154" t="str">
        <f t="shared" si="36"/>
        <v>T0672SA</v>
      </c>
      <c r="D351" s="128" t="s">
        <v>924</v>
      </c>
      <c r="E351" s="128" t="str">
        <f>INDEX(二三级标准!$Q:$Q,MATCH(数统二级标签!D351,二三级标准!$O:$O,0))</f>
        <v>生物统计及分析</v>
      </c>
      <c r="F351" s="128" t="s">
        <v>3069</v>
      </c>
      <c r="G351" s="128" t="str">
        <f>INDEX(二三级标准!C:C,MATCH(数统二级标签!F351,二三级标准!$B:$B,0))</f>
        <v>撰写DSMB/DMC/IDMC分析数据集衍生规范</v>
      </c>
      <c r="H351" s="128" t="s">
        <v>3071</v>
      </c>
      <c r="I351" s="128" t="str">
        <f>INDEX(二三级标准!$M:$M,MATCH(数统二级标签!$H351,二三级标准!$L:$L,0))</f>
        <v>审核DSMB/DMC/IDMC分析数据集衍生规范</v>
      </c>
      <c r="J351" s="128" t="s">
        <v>3065</v>
      </c>
      <c r="K351" s="128" t="s">
        <v>635</v>
      </c>
      <c r="M351" s="156">
        <v>2</v>
      </c>
    </row>
    <row r="352" ht="27" customHeight="1" spans="1:20">
      <c r="A352" s="154" t="str">
        <f>INDEX('Rate Card'!$A:$A,MATCH(数统二级标签!$K352,'Rate Card'!$F:$F,0))</f>
        <v>数统</v>
      </c>
      <c r="B352" s="154" t="str">
        <f t="shared" si="35"/>
        <v>A228ST</v>
      </c>
      <c r="C352" s="154" t="str">
        <f t="shared" si="36"/>
        <v>T0672ST</v>
      </c>
      <c r="D352" s="128" t="s">
        <v>924</v>
      </c>
      <c r="E352" s="128" t="str">
        <f>INDEX(二三级标准!$Q:$Q,MATCH(数统二级标签!D352,二三级标准!$O:$O,0))</f>
        <v>生物统计及分析</v>
      </c>
      <c r="F352" s="128" t="s">
        <v>3069</v>
      </c>
      <c r="G352" s="128" t="str">
        <f>INDEX(二三级标准!C:C,MATCH(数统二级标签!F352,二三级标准!$B:$B,0))</f>
        <v>撰写DSMB/DMC/IDMC分析数据集衍生规范</v>
      </c>
      <c r="H352" s="128" t="s">
        <v>3071</v>
      </c>
      <c r="I352" s="128" t="str">
        <f>INDEX(二三级标准!$M:$M,MATCH(数统二级标签!$H352,二三级标准!$L:$L,0))</f>
        <v>审核DSMB/DMC/IDMC分析数据集衍生规范</v>
      </c>
      <c r="J352" s="128" t="s">
        <v>3065</v>
      </c>
      <c r="K352" s="128" t="s">
        <v>639</v>
      </c>
      <c r="M352" s="156">
        <v>1</v>
      </c>
    </row>
    <row r="353" ht="27" customHeight="1" spans="1:20">
      <c r="A353" s="154" t="str">
        <f>INDEX('Rate Card'!$A:$A,MATCH(数统二级标签!$K353,'Rate Card'!$F:$F,0))</f>
        <v>数统</v>
      </c>
      <c r="B353" s="154" t="str">
        <f t="shared" si="35"/>
        <v>A229SA</v>
      </c>
      <c r="C353" s="154" t="str">
        <f t="shared" si="36"/>
        <v>T0673SA</v>
      </c>
      <c r="D353" s="128" t="s">
        <v>924</v>
      </c>
      <c r="E353" s="128" t="str">
        <f>INDEX(二三级标准!$Q:$Q,MATCH(数统二级标签!D353,二三级标准!$O:$O,0))</f>
        <v>生物统计及分析</v>
      </c>
      <c r="F353" s="128" t="s">
        <v>3072</v>
      </c>
      <c r="G353" s="128" t="str">
        <f>INDEX(二三级标准!C:C,MATCH(数统二级标签!F353,二三级标准!$B:$B,0))</f>
        <v>生成DSMB/DMC/IDMC分析数据集</v>
      </c>
      <c r="H353" s="128" t="s">
        <v>3073</v>
      </c>
      <c r="I353" s="128" t="str">
        <f>INDEX(二三级标准!$M:$M,MATCH(数统二级标签!$H353,二三级标准!$L:$L,0))</f>
        <v>产生DSMB/DMC/IDMC分析数据集</v>
      </c>
      <c r="J353" s="128" t="s">
        <v>3065</v>
      </c>
      <c r="K353" s="128" t="s">
        <v>635</v>
      </c>
      <c r="L353" s="156">
        <v>8</v>
      </c>
      <c r="M353" s="156">
        <v>3</v>
      </c>
      <c r="N353" s="156">
        <v>8</v>
      </c>
      <c r="O353" s="156">
        <v>8</v>
      </c>
      <c r="P353" s="156">
        <v>8</v>
      </c>
      <c r="Q353" s="156">
        <v>8</v>
      </c>
      <c r="R353" s="156">
        <v>8</v>
      </c>
      <c r="S353" s="156">
        <v>8</v>
      </c>
      <c r="T353" s="156">
        <v>8</v>
      </c>
    </row>
    <row r="354" ht="27" customHeight="1" spans="1:20">
      <c r="A354" s="154" t="str">
        <f>INDEX('Rate Card'!$A:$A,MATCH(数统二级标签!$K354,'Rate Card'!$F:$F,0))</f>
        <v>数统</v>
      </c>
      <c r="B354" s="154" t="str">
        <f t="shared" si="35"/>
        <v>A229SA</v>
      </c>
      <c r="C354" s="154" t="str">
        <f t="shared" si="36"/>
        <v>T0674SA</v>
      </c>
      <c r="D354" s="128" t="s">
        <v>924</v>
      </c>
      <c r="E354" s="128" t="str">
        <f>INDEX(二三级标准!$Q:$Q,MATCH(数统二级标签!D354,二三级标准!$O:$O,0))</f>
        <v>生物统计及分析</v>
      </c>
      <c r="F354" s="128" t="s">
        <v>3072</v>
      </c>
      <c r="G354" s="128" t="str">
        <f>INDEX(二三级标准!C:C,MATCH(数统二级标签!F354,二三级标准!$B:$B,0))</f>
        <v>生成DSMB/DMC/IDMC分析数据集</v>
      </c>
      <c r="H354" s="128" t="s">
        <v>3074</v>
      </c>
      <c r="I354" s="128" t="str">
        <f>INDEX(二三级标准!$M:$M,MATCH(数统二级标签!$H354,二三级标准!$L:$L,0))</f>
        <v>验证DSMB/DMC/IDMC分析数据集</v>
      </c>
      <c r="J354" s="128" t="s">
        <v>3065</v>
      </c>
      <c r="K354" s="128" t="s">
        <v>635</v>
      </c>
      <c r="L354" s="156">
        <v>8</v>
      </c>
      <c r="M354" s="156">
        <v>3</v>
      </c>
      <c r="N354" s="156">
        <v>8</v>
      </c>
      <c r="O354" s="156">
        <v>8</v>
      </c>
      <c r="P354" s="156">
        <v>8</v>
      </c>
      <c r="Q354" s="156">
        <v>8</v>
      </c>
      <c r="R354" s="156">
        <v>8</v>
      </c>
      <c r="S354" s="156">
        <v>8</v>
      </c>
      <c r="T354" s="156">
        <v>8</v>
      </c>
    </row>
    <row r="355" ht="27" customHeight="1" spans="1:20">
      <c r="A355" s="154" t="str">
        <f>INDEX('Rate Card'!$A:$A,MATCH(数统二级标签!$K355,'Rate Card'!$F:$F,0))</f>
        <v>数统</v>
      </c>
      <c r="B355" s="154" t="str">
        <f t="shared" si="35"/>
        <v>A229SAM</v>
      </c>
      <c r="C355" s="154" t="str">
        <f t="shared" si="36"/>
        <v>T0675SAM</v>
      </c>
      <c r="D355" s="128" t="s">
        <v>924</v>
      </c>
      <c r="E355" s="128" t="str">
        <f>INDEX(二三级标准!$Q:$Q,MATCH(数统二级标签!D355,二三级标准!$O:$O,0))</f>
        <v>生物统计及分析</v>
      </c>
      <c r="F355" s="128" t="s">
        <v>3072</v>
      </c>
      <c r="G355" s="128" t="str">
        <f>INDEX(二三级标准!C:C,MATCH(数统二级标签!F355,二三级标准!$B:$B,0))</f>
        <v>生成DSMB/DMC/IDMC分析数据集</v>
      </c>
      <c r="H355" s="128" t="s">
        <v>3075</v>
      </c>
      <c r="I355" s="128" t="str">
        <f>INDEX(二三级标准!$M:$M,MATCH(数统二级标签!$H355,二三级标准!$L:$L,0))</f>
        <v>审核DSMB/DMC/IDMC分析数据集</v>
      </c>
      <c r="J355" s="128" t="s">
        <v>3065</v>
      </c>
      <c r="K355" s="128" t="s">
        <v>638</v>
      </c>
      <c r="L355" s="156">
        <v>1</v>
      </c>
      <c r="M355" s="156">
        <v>3</v>
      </c>
      <c r="N355" s="156">
        <v>1</v>
      </c>
      <c r="O355" s="156">
        <v>1</v>
      </c>
      <c r="P355" s="156">
        <v>1</v>
      </c>
      <c r="Q355" s="156">
        <v>1</v>
      </c>
      <c r="R355" s="156">
        <v>1</v>
      </c>
      <c r="S355" s="156">
        <v>1</v>
      </c>
      <c r="T355" s="156">
        <v>1</v>
      </c>
    </row>
    <row r="356" ht="27" customHeight="1" spans="1:20">
      <c r="A356" s="154" t="str">
        <f>INDEX('Rate Card'!$A:$A,MATCH(数统二级标签!$K356,'Rate Card'!$F:$F,0))</f>
        <v>数统</v>
      </c>
      <c r="B356" s="154" t="str">
        <f t="shared" si="35"/>
        <v>A229ST</v>
      </c>
      <c r="C356" s="154" t="str">
        <f t="shared" si="36"/>
        <v>T0675ST</v>
      </c>
      <c r="D356" s="128" t="s">
        <v>924</v>
      </c>
      <c r="E356" s="128" t="str">
        <f>INDEX(二三级标准!$Q:$Q,MATCH(数统二级标签!D356,二三级标准!$O:$O,0))</f>
        <v>生物统计及分析</v>
      </c>
      <c r="F356" s="128" t="s">
        <v>3072</v>
      </c>
      <c r="G356" s="128" t="str">
        <f>INDEX(二三级标准!C:C,MATCH(数统二级标签!F356,二三级标准!$B:$B,0))</f>
        <v>生成DSMB/DMC/IDMC分析数据集</v>
      </c>
      <c r="H356" s="128" t="s">
        <v>3075</v>
      </c>
      <c r="I356" s="128" t="str">
        <f>INDEX(二三级标准!$M:$M,MATCH(数统二级标签!$H356,二三级标准!$L:$L,0))</f>
        <v>审核DSMB/DMC/IDMC分析数据集</v>
      </c>
      <c r="J356" s="128" t="s">
        <v>3065</v>
      </c>
      <c r="K356" s="128" t="s">
        <v>639</v>
      </c>
      <c r="L356" s="156">
        <v>1</v>
      </c>
      <c r="M356" s="156">
        <v>1</v>
      </c>
      <c r="N356" s="156">
        <v>1</v>
      </c>
      <c r="O356" s="156">
        <v>1</v>
      </c>
      <c r="P356" s="156">
        <v>1</v>
      </c>
      <c r="Q356" s="156">
        <v>1</v>
      </c>
      <c r="R356" s="156">
        <v>1</v>
      </c>
      <c r="S356" s="156">
        <v>1</v>
      </c>
      <c r="T356" s="156">
        <v>1</v>
      </c>
    </row>
    <row r="357" ht="27" customHeight="1" spans="1:20">
      <c r="A357" s="154" t="str">
        <f>INDEX('Rate Card'!$A:$A,MATCH(数统二级标签!$K357,'Rate Card'!$F:$F,0))</f>
        <v>数统</v>
      </c>
      <c r="B357" s="154" t="str">
        <f t="shared" si="35"/>
        <v>A230SA</v>
      </c>
      <c r="C357" s="154" t="str">
        <f t="shared" si="36"/>
        <v>T0676SA</v>
      </c>
      <c r="D357" s="128" t="s">
        <v>924</v>
      </c>
      <c r="E357" s="128" t="str">
        <f>INDEX(二三级标准!$Q:$Q,MATCH(数统二级标签!D357,二三级标准!$O:$O,0))</f>
        <v>生物统计及分析</v>
      </c>
      <c r="F357" s="128" t="s">
        <v>3076</v>
      </c>
      <c r="G357" s="128" t="str">
        <f>INDEX(二三级标准!C:C,MATCH(数统二级标签!F357,二三级标准!$B:$B,0))</f>
        <v>生成DSMB/DMC/IDMC统计TFLs</v>
      </c>
      <c r="H357" s="128" t="s">
        <v>3077</v>
      </c>
      <c r="I357" s="128" t="str">
        <f>INDEX(二三级标准!$M:$M,MATCH(数统二级标签!$H357,二三级标准!$L:$L,0))</f>
        <v>产生DSMB/DMC/IDMC统计TFLs</v>
      </c>
      <c r="J357" s="128" t="s">
        <v>3065</v>
      </c>
      <c r="K357" s="128" t="s">
        <v>635</v>
      </c>
      <c r="L357" s="156">
        <v>3</v>
      </c>
      <c r="M357" s="156">
        <v>2</v>
      </c>
      <c r="N357" s="156">
        <v>3</v>
      </c>
      <c r="O357" s="156">
        <v>3</v>
      </c>
      <c r="P357" s="156">
        <v>3</v>
      </c>
      <c r="Q357" s="156">
        <v>3</v>
      </c>
      <c r="R357" s="156">
        <v>3</v>
      </c>
      <c r="S357" s="156">
        <v>3</v>
      </c>
      <c r="T357" s="156">
        <v>3</v>
      </c>
    </row>
    <row r="358" ht="27" customHeight="1" spans="1:20">
      <c r="A358" s="154" t="str">
        <f>INDEX('Rate Card'!$A:$A,MATCH(数统二级标签!$K358,'Rate Card'!$F:$F,0))</f>
        <v>数统</v>
      </c>
      <c r="B358" s="154" t="str">
        <f t="shared" si="35"/>
        <v>A230SA</v>
      </c>
      <c r="C358" s="154" t="str">
        <f t="shared" ref="C358:C373" si="40">H358&amp;K358</f>
        <v>T0677SA</v>
      </c>
      <c r="D358" s="128" t="s">
        <v>924</v>
      </c>
      <c r="E358" s="128" t="str">
        <f>INDEX(二三级标准!$Q:$Q,MATCH(数统二级标签!D358,二三级标准!$O:$O,0))</f>
        <v>生物统计及分析</v>
      </c>
      <c r="F358" s="128" t="s">
        <v>3076</v>
      </c>
      <c r="G358" s="128" t="str">
        <f>INDEX(二三级标准!C:C,MATCH(数统二级标签!F358,二三级标准!$B:$B,0))</f>
        <v>生成DSMB/DMC/IDMC统计TFLs</v>
      </c>
      <c r="H358" s="128" t="s">
        <v>3078</v>
      </c>
      <c r="I358" s="128" t="str">
        <f>INDEX(二三级标准!$M:$M,MATCH(数统二级标签!$H358,二三级标准!$L:$L,0))</f>
        <v>验证DSMB/DMC/IDMC统计TFLs</v>
      </c>
      <c r="J358" s="128" t="s">
        <v>3065</v>
      </c>
      <c r="K358" s="128" t="s">
        <v>635</v>
      </c>
      <c r="L358" s="156">
        <v>3</v>
      </c>
      <c r="M358" s="156">
        <v>3</v>
      </c>
      <c r="N358" s="156">
        <v>3</v>
      </c>
      <c r="O358" s="156">
        <v>3</v>
      </c>
      <c r="P358" s="156">
        <v>3</v>
      </c>
      <c r="Q358" s="156">
        <v>3</v>
      </c>
      <c r="R358" s="156">
        <v>3</v>
      </c>
      <c r="S358" s="156">
        <v>3</v>
      </c>
      <c r="T358" s="156">
        <v>3</v>
      </c>
    </row>
    <row r="359" ht="27" customHeight="1" spans="1:20">
      <c r="A359" s="154" t="str">
        <f>INDEX('Rate Card'!$A:$A,MATCH(数统二级标签!$K359,'Rate Card'!$F:$F,0))</f>
        <v>数统</v>
      </c>
      <c r="B359" s="154" t="str">
        <f t="shared" ref="B359:B373" si="41">F359&amp;K359</f>
        <v>A230SAM</v>
      </c>
      <c r="C359" s="154" t="str">
        <f t="shared" si="40"/>
        <v>T0678SAM</v>
      </c>
      <c r="D359" s="128" t="s">
        <v>924</v>
      </c>
      <c r="E359" s="128" t="str">
        <f>INDEX(二三级标准!$Q:$Q,MATCH(数统二级标签!D359,二三级标准!$O:$O,0))</f>
        <v>生物统计及分析</v>
      </c>
      <c r="F359" s="128" t="s">
        <v>3076</v>
      </c>
      <c r="G359" s="128" t="str">
        <f>INDEX(二三级标准!C:C,MATCH(数统二级标签!F359,二三级标准!$B:$B,0))</f>
        <v>生成DSMB/DMC/IDMC统计TFLs</v>
      </c>
      <c r="H359" s="128" t="s">
        <v>3079</v>
      </c>
      <c r="I359" s="128" t="str">
        <f>INDEX(二三级标准!$M:$M,MATCH(数统二级标签!$H359,二三级标准!$L:$L,0))</f>
        <v>审核DSMB/DMC/IDMC统计TFLs</v>
      </c>
      <c r="J359" s="128" t="s">
        <v>3065</v>
      </c>
      <c r="K359" s="128" t="s">
        <v>638</v>
      </c>
      <c r="L359" s="156">
        <v>1.5</v>
      </c>
      <c r="M359" s="156">
        <v>2</v>
      </c>
      <c r="N359" s="156">
        <v>1.5</v>
      </c>
      <c r="O359" s="156">
        <v>1.5</v>
      </c>
      <c r="P359" s="156">
        <v>1.5</v>
      </c>
      <c r="Q359" s="156">
        <v>1.5</v>
      </c>
      <c r="R359" s="156">
        <v>1.5</v>
      </c>
      <c r="S359" s="156">
        <v>1.5</v>
      </c>
      <c r="T359" s="156">
        <v>1.5</v>
      </c>
    </row>
    <row r="360" ht="27" customHeight="1" spans="1:20">
      <c r="A360" s="154" t="str">
        <f>INDEX('Rate Card'!$A:$A,MATCH(数统二级标签!$K360,'Rate Card'!$F:$F,0))</f>
        <v>数统</v>
      </c>
      <c r="B360" s="154" t="str">
        <f t="shared" si="41"/>
        <v>A230ST</v>
      </c>
      <c r="C360" s="154" t="str">
        <f t="shared" si="40"/>
        <v>T0678ST</v>
      </c>
      <c r="D360" s="128" t="s">
        <v>924</v>
      </c>
      <c r="E360" s="128" t="str">
        <f>INDEX(二三级标准!$Q:$Q,MATCH(数统二级标签!D360,二三级标准!$O:$O,0))</f>
        <v>生物统计及分析</v>
      </c>
      <c r="F360" s="128" t="s">
        <v>3076</v>
      </c>
      <c r="G360" s="128" t="str">
        <f>INDEX(二三级标准!C:C,MATCH(数统二级标签!F360,二三级标准!$B:$B,0))</f>
        <v>生成DSMB/DMC/IDMC统计TFLs</v>
      </c>
      <c r="H360" s="128" t="s">
        <v>3079</v>
      </c>
      <c r="I360" s="128" t="str">
        <f>INDEX(二三级标准!$M:$M,MATCH(数统二级标签!$H360,二三级标准!$L:$L,0))</f>
        <v>审核DSMB/DMC/IDMC统计TFLs</v>
      </c>
      <c r="J360" s="128" t="s">
        <v>3065</v>
      </c>
      <c r="K360" s="128" t="s">
        <v>639</v>
      </c>
      <c r="L360" s="156">
        <v>1.5</v>
      </c>
      <c r="M360" s="156">
        <v>0.3</v>
      </c>
      <c r="N360" s="156">
        <v>1.5</v>
      </c>
      <c r="O360" s="156">
        <v>1.5</v>
      </c>
      <c r="P360" s="156">
        <v>1.5</v>
      </c>
      <c r="Q360" s="156">
        <v>1.5</v>
      </c>
      <c r="R360" s="156">
        <v>1.5</v>
      </c>
      <c r="S360" s="156">
        <v>1.5</v>
      </c>
      <c r="T360" s="156">
        <v>1.5</v>
      </c>
    </row>
    <row r="361" ht="27" customHeight="1" spans="1:20">
      <c r="A361" s="154" t="str">
        <f>INDEX('Rate Card'!$A:$A,MATCH(数统二级标签!$K361,'Rate Card'!$F:$F,0))</f>
        <v>数统</v>
      </c>
      <c r="B361" s="154" t="str">
        <f t="shared" si="41"/>
        <v>A231SAM</v>
      </c>
      <c r="C361" s="154" t="str">
        <f t="shared" si="40"/>
        <v>T0679SAM</v>
      </c>
      <c r="D361" s="128" t="s">
        <v>924</v>
      </c>
      <c r="E361" s="128" t="str">
        <f>INDEX(二三级标准!$Q:$Q,MATCH(数统二级标签!D361,二三级标准!$O:$O,0))</f>
        <v>生物统计及分析</v>
      </c>
      <c r="F361" s="128" t="s">
        <v>1086</v>
      </c>
      <c r="G361" s="128" t="str">
        <f>INDEX(二三级标准!C:C,MATCH(数统二级标签!F361,二三级标准!$B:$B,0))</f>
        <v>DSMB/DMC/IDMC统计TFLs Dry Run</v>
      </c>
      <c r="H361" s="128" t="s">
        <v>1570</v>
      </c>
      <c r="I361" s="128" t="str">
        <f>INDEX(二三级标准!$M:$M,MATCH(数统二级标签!$H361,二三级标准!$L:$L,0))</f>
        <v>DSMB/DMC/IDMC统计TFLs Dry Run的程序运行</v>
      </c>
      <c r="J361" s="128" t="s">
        <v>3065</v>
      </c>
      <c r="K361" s="128" t="s">
        <v>638</v>
      </c>
      <c r="L361" s="156">
        <v>0.0375</v>
      </c>
      <c r="M361" s="156">
        <v>24</v>
      </c>
      <c r="N361" s="156">
        <v>0.0375</v>
      </c>
      <c r="O361" s="156">
        <v>0.0375</v>
      </c>
      <c r="P361" s="156">
        <v>0.0375</v>
      </c>
      <c r="Q361" s="156">
        <v>0.0375</v>
      </c>
      <c r="R361" s="156">
        <v>0.0375</v>
      </c>
      <c r="S361" s="156">
        <v>0.0375</v>
      </c>
      <c r="T361" s="156">
        <v>0.0375</v>
      </c>
    </row>
    <row r="362" ht="27" customHeight="1" spans="1:20">
      <c r="A362" s="154" t="str">
        <f>INDEX('Rate Card'!$A:$A,MATCH(数统二级标签!$K362,'Rate Card'!$F:$F,0))</f>
        <v>数统</v>
      </c>
      <c r="B362" s="154" t="str">
        <f t="shared" si="41"/>
        <v>A231ST</v>
      </c>
      <c r="C362" s="154" t="str">
        <f t="shared" si="40"/>
        <v>T0680ST</v>
      </c>
      <c r="D362" s="128" t="s">
        <v>924</v>
      </c>
      <c r="E362" s="128" t="str">
        <f>INDEX(二三级标准!$Q:$Q,MATCH(数统二级标签!D362,二三级标准!$O:$O,0))</f>
        <v>生物统计及分析</v>
      </c>
      <c r="F362" s="128" t="s">
        <v>1086</v>
      </c>
      <c r="G362" s="128" t="str">
        <f>INDEX(二三级标准!C:C,MATCH(数统二级标签!F362,二三级标准!$B:$B,0))</f>
        <v>DSMB/DMC/IDMC统计TFLs Dry Run</v>
      </c>
      <c r="H362" s="128" t="s">
        <v>1572</v>
      </c>
      <c r="I362" s="128" t="str">
        <f>INDEX(二三级标准!$M:$M,MATCH(数统二级标签!$H362,二三级标准!$L:$L,0))</f>
        <v>DSMB/DMC/IDMC统计TFLs Dry Run的结果审核</v>
      </c>
      <c r="J362" s="128" t="s">
        <v>3065</v>
      </c>
      <c r="K362" s="128" t="s">
        <v>639</v>
      </c>
      <c r="L362" s="166">
        <v>0.5</v>
      </c>
      <c r="M362" s="166">
        <v>12</v>
      </c>
      <c r="N362" s="166">
        <v>0.5</v>
      </c>
      <c r="O362" s="166">
        <v>0.5</v>
      </c>
      <c r="P362" s="166">
        <v>0.5</v>
      </c>
      <c r="Q362" s="166">
        <v>0.5</v>
      </c>
      <c r="R362" s="166">
        <v>0.5</v>
      </c>
      <c r="S362" s="166">
        <v>0.5</v>
      </c>
      <c r="T362" s="166">
        <v>0.5</v>
      </c>
    </row>
    <row r="363" ht="27" customHeight="1" spans="1:20">
      <c r="A363" s="154" t="str">
        <f>INDEX('Rate Card'!$A:$A,MATCH(数统二级标签!$K363,'Rate Card'!$F:$F,0))</f>
        <v>数统</v>
      </c>
      <c r="B363" s="154" t="str">
        <f t="shared" si="41"/>
        <v>A232ST</v>
      </c>
      <c r="C363" s="154" t="str">
        <f t="shared" si="40"/>
        <v>T0681ST</v>
      </c>
      <c r="D363" s="128" t="s">
        <v>924</v>
      </c>
      <c r="E363" s="128" t="str">
        <f>INDEX(二三级标准!$Q:$Q,MATCH(数统二级标签!D363,二三级标准!$O:$O,0))</f>
        <v>生物统计及分析</v>
      </c>
      <c r="F363" s="128" t="s">
        <v>1087</v>
      </c>
      <c r="G363" s="128" t="str">
        <f>INDEX(二三级标准!C:C,MATCH(数统二级标签!F363,二三级标准!$B:$B,0))</f>
        <v>参加和协助DSMB/DMC/IDMC启动会</v>
      </c>
      <c r="H363" s="128" t="s">
        <v>1573</v>
      </c>
      <c r="I363" s="128" t="str">
        <f>INDEX(二三级标准!$M:$M,MATCH(数统二级标签!$H363,二三级标准!$L:$L,0))</f>
        <v>准备DSMB/DMC/IDMC启动会材料</v>
      </c>
      <c r="J363" s="128" t="s">
        <v>3065</v>
      </c>
      <c r="K363" s="128" t="s">
        <v>639</v>
      </c>
      <c r="L363" s="166">
        <v>24</v>
      </c>
      <c r="M363" s="166">
        <v>16</v>
      </c>
      <c r="N363" s="166">
        <v>24</v>
      </c>
      <c r="O363" s="166">
        <v>24</v>
      </c>
      <c r="P363" s="166">
        <v>24</v>
      </c>
      <c r="Q363" s="166">
        <v>24</v>
      </c>
      <c r="R363" s="166">
        <v>24</v>
      </c>
      <c r="S363" s="166">
        <v>24</v>
      </c>
      <c r="T363" s="166">
        <v>24</v>
      </c>
    </row>
    <row r="364" ht="27" customHeight="1" spans="1:20">
      <c r="A364" s="154" t="str">
        <f>INDEX('Rate Card'!$A:$A,MATCH(数统二级标签!$K364,'Rate Card'!$F:$F,0))</f>
        <v>数统</v>
      </c>
      <c r="B364" s="154" t="str">
        <f t="shared" si="41"/>
        <v>A232ST</v>
      </c>
      <c r="C364" s="154" t="str">
        <f t="shared" si="40"/>
        <v>T0682ST</v>
      </c>
      <c r="D364" s="128" t="s">
        <v>924</v>
      </c>
      <c r="E364" s="128" t="str">
        <f>INDEX(二三级标准!$Q:$Q,MATCH(数统二级标签!D364,二三级标准!$O:$O,0))</f>
        <v>生物统计及分析</v>
      </c>
      <c r="F364" s="128" t="s">
        <v>1087</v>
      </c>
      <c r="G364" s="128" t="str">
        <f>INDEX(二三级标准!C:C,MATCH(数统二级标签!F364,二三级标准!$B:$B,0))</f>
        <v>参加和协助DSMB/DMC/IDMC启动会</v>
      </c>
      <c r="H364" s="128" t="s">
        <v>1574</v>
      </c>
      <c r="I364" s="128" t="str">
        <f>INDEX(二三级标准!$M:$M,MATCH(数统二级标签!$H364,二三级标准!$L:$L,0))</f>
        <v>参加DSMB/DMC/IDMC启动会</v>
      </c>
      <c r="J364" s="128" t="s">
        <v>3065</v>
      </c>
      <c r="K364" s="128" t="s">
        <v>639</v>
      </c>
      <c r="L364" s="166">
        <v>8</v>
      </c>
      <c r="M364" s="166">
        <v>2</v>
      </c>
      <c r="N364" s="166">
        <v>8</v>
      </c>
      <c r="O364" s="166">
        <v>8</v>
      </c>
      <c r="P364" s="166">
        <v>8</v>
      </c>
      <c r="Q364" s="166">
        <v>8</v>
      </c>
      <c r="R364" s="166">
        <v>8</v>
      </c>
      <c r="S364" s="166">
        <v>8</v>
      </c>
      <c r="T364" s="166">
        <v>8</v>
      </c>
    </row>
    <row r="365" ht="27" customHeight="1" spans="1:20">
      <c r="A365" s="154" t="str">
        <f>INDEX('Rate Card'!$A:$A,MATCH(数统二级标签!$K365,'Rate Card'!$F:$F,0))</f>
        <v>数统</v>
      </c>
      <c r="B365" s="154" t="str">
        <f t="shared" si="41"/>
        <v>A232SAM</v>
      </c>
      <c r="C365" s="154" t="str">
        <f t="shared" si="40"/>
        <v>T0682SAM</v>
      </c>
      <c r="D365" s="128" t="s">
        <v>924</v>
      </c>
      <c r="E365" s="128" t="str">
        <f>INDEX(二三级标准!$Q:$Q,MATCH(数统二级标签!D365,二三级标准!$O:$O,0))</f>
        <v>生物统计及分析</v>
      </c>
      <c r="F365" s="128" t="s">
        <v>1087</v>
      </c>
      <c r="G365" s="128" t="str">
        <f>INDEX(二三级标准!C:C,MATCH(数统二级标签!F365,二三级标准!$B:$B,0))</f>
        <v>参加和协助DSMB/DMC/IDMC启动会</v>
      </c>
      <c r="H365" s="128" t="s">
        <v>1574</v>
      </c>
      <c r="I365" s="128" t="str">
        <f>INDEX(二三级标准!$M:$M,MATCH(数统二级标签!$H365,二三级标准!$L:$L,0))</f>
        <v>参加DSMB/DMC/IDMC启动会</v>
      </c>
      <c r="J365" s="128" t="s">
        <v>3065</v>
      </c>
      <c r="K365" s="128" t="s">
        <v>638</v>
      </c>
      <c r="L365" s="166">
        <v>8</v>
      </c>
      <c r="M365" s="166">
        <v>2</v>
      </c>
      <c r="N365" s="166">
        <v>8</v>
      </c>
      <c r="O365" s="166">
        <v>8</v>
      </c>
      <c r="P365" s="166">
        <v>8</v>
      </c>
      <c r="Q365" s="166">
        <v>8</v>
      </c>
      <c r="R365" s="166">
        <v>8</v>
      </c>
      <c r="S365" s="166">
        <v>8</v>
      </c>
      <c r="T365" s="166">
        <v>8</v>
      </c>
    </row>
    <row r="366" ht="27" customHeight="1" spans="1:20">
      <c r="A366" s="154" t="str">
        <f>INDEX('Rate Card'!$A:$A,MATCH(数统二级标签!$K366,'Rate Card'!$F:$F,0))</f>
        <v>数统</v>
      </c>
      <c r="B366" s="154" t="str">
        <f t="shared" si="41"/>
        <v>A233SAM</v>
      </c>
      <c r="C366" s="154" t="str">
        <f t="shared" si="40"/>
        <v>T0683SAM</v>
      </c>
      <c r="D366" s="128" t="s">
        <v>924</v>
      </c>
      <c r="E366" s="128" t="str">
        <f>INDEX(二三级标准!$Q:$Q,MATCH(数统二级标签!D366,二三级标准!$O:$O,0))</f>
        <v>生物统计及分析</v>
      </c>
      <c r="F366" s="128" t="s">
        <v>1088</v>
      </c>
      <c r="G366" s="128" t="str">
        <f>INDEX(二三级标准!C:C,MATCH(数统二级标签!F366,二三级标准!$B:$B,0))</f>
        <v>参加和协助DSMB/DMC/IDMC会议</v>
      </c>
      <c r="H366" s="128" t="s">
        <v>1576</v>
      </c>
      <c r="I366" s="128" t="str">
        <f>INDEX(二三级标准!$M:$M,MATCH(数统二级标签!$H366,二三级标准!$L:$L,0))</f>
        <v>DSMB/DMC/IDMC会议统计TFLs的程序运行</v>
      </c>
      <c r="J366" s="128" t="s">
        <v>3065</v>
      </c>
      <c r="K366" s="128" t="s">
        <v>638</v>
      </c>
      <c r="L366" s="166">
        <v>2</v>
      </c>
      <c r="M366" s="166">
        <v>24</v>
      </c>
      <c r="N366" s="166">
        <v>2</v>
      </c>
      <c r="O366" s="166">
        <v>2</v>
      </c>
      <c r="P366" s="166">
        <v>2</v>
      </c>
      <c r="Q366" s="166">
        <v>2</v>
      </c>
      <c r="R366" s="166">
        <v>2</v>
      </c>
      <c r="S366" s="166">
        <v>2</v>
      </c>
      <c r="T366" s="166">
        <v>2</v>
      </c>
    </row>
    <row r="367" ht="27" customHeight="1" spans="1:20">
      <c r="A367" s="154" t="str">
        <f>INDEX('Rate Card'!$A:$A,MATCH(数统二级标签!$K367,'Rate Card'!$F:$F,0))</f>
        <v>数统</v>
      </c>
      <c r="B367" s="154" t="str">
        <f t="shared" si="41"/>
        <v>A233ST</v>
      </c>
      <c r="C367" s="154" t="str">
        <f t="shared" si="40"/>
        <v>T0684ST</v>
      </c>
      <c r="D367" s="128" t="s">
        <v>924</v>
      </c>
      <c r="E367" s="128" t="str">
        <f>INDEX(二三级标准!$Q:$Q,MATCH(数统二级标签!D367,二三级标准!$O:$O,0))</f>
        <v>生物统计及分析</v>
      </c>
      <c r="F367" s="128" t="s">
        <v>1088</v>
      </c>
      <c r="G367" s="128" t="str">
        <f>INDEX(二三级标准!C:C,MATCH(数统二级标签!F367,二三级标准!$B:$B,0))</f>
        <v>参加和协助DSMB/DMC/IDMC会议</v>
      </c>
      <c r="H367" s="128" t="s">
        <v>1577</v>
      </c>
      <c r="I367" s="128" t="str">
        <f>INDEX(二三级标准!$M:$M,MATCH(数统二级标签!$H367,二三级标准!$L:$L,0))</f>
        <v>DSMB/DMC/IDMC会议统计TFLs的结果审核</v>
      </c>
      <c r="J367" s="128" t="s">
        <v>3065</v>
      </c>
      <c r="K367" s="128" t="s">
        <v>639</v>
      </c>
      <c r="L367" s="166">
        <v>2</v>
      </c>
      <c r="M367" s="166">
        <v>12</v>
      </c>
      <c r="N367" s="166">
        <v>2</v>
      </c>
      <c r="O367" s="166">
        <v>2</v>
      </c>
      <c r="P367" s="166">
        <v>2</v>
      </c>
      <c r="Q367" s="166">
        <v>2</v>
      </c>
      <c r="R367" s="166">
        <v>2</v>
      </c>
      <c r="S367" s="166">
        <v>2</v>
      </c>
      <c r="T367" s="166">
        <v>2</v>
      </c>
    </row>
    <row r="368" ht="27" customHeight="1" spans="1:20">
      <c r="A368" s="154" t="str">
        <f>INDEX('Rate Card'!$A:$A,MATCH(数统二级标签!$K368,'Rate Card'!$F:$F,0))</f>
        <v>数统</v>
      </c>
      <c r="B368" s="154" t="str">
        <f t="shared" si="41"/>
        <v>A233ST</v>
      </c>
      <c r="C368" s="154" t="str">
        <f t="shared" si="40"/>
        <v>T0685ST</v>
      </c>
      <c r="D368" s="128" t="s">
        <v>924</v>
      </c>
      <c r="E368" s="128" t="str">
        <f>INDEX(二三级标准!$Q:$Q,MATCH(数统二级标签!D368,二三级标准!$O:$O,0))</f>
        <v>生物统计及分析</v>
      </c>
      <c r="F368" s="128" t="s">
        <v>1088</v>
      </c>
      <c r="G368" s="128" t="str">
        <f>INDEX(二三级标准!C:C,MATCH(数统二级标签!F368,二三级标准!$B:$B,0))</f>
        <v>参加和协助DSMB/DMC/IDMC会议</v>
      </c>
      <c r="H368" s="128" t="s">
        <v>1578</v>
      </c>
      <c r="I368" s="128" t="str">
        <f>INDEX(二三级标准!$M:$M,MATCH(数统二级标签!$H368,二三级标准!$L:$L,0))</f>
        <v>准备DSMB/DMC/IDMC会议材料</v>
      </c>
      <c r="J368" s="128" t="s">
        <v>3065</v>
      </c>
      <c r="K368" s="128" t="s">
        <v>639</v>
      </c>
      <c r="L368" s="166">
        <v>24</v>
      </c>
      <c r="M368" s="166">
        <v>16</v>
      </c>
      <c r="N368" s="166">
        <v>24</v>
      </c>
      <c r="O368" s="166">
        <v>24</v>
      </c>
      <c r="P368" s="166">
        <v>24</v>
      </c>
      <c r="Q368" s="166">
        <v>24</v>
      </c>
      <c r="R368" s="166">
        <v>24</v>
      </c>
      <c r="S368" s="166">
        <v>24</v>
      </c>
      <c r="T368" s="166">
        <v>24</v>
      </c>
    </row>
    <row r="369" ht="27" customHeight="1" spans="1:20">
      <c r="A369" s="154" t="str">
        <f>INDEX('Rate Card'!$A:$A,MATCH(数统二级标签!$K369,'Rate Card'!$F:$F,0))</f>
        <v>数统</v>
      </c>
      <c r="B369" s="154" t="str">
        <f t="shared" si="41"/>
        <v>A233ST</v>
      </c>
      <c r="C369" s="154" t="str">
        <f t="shared" si="40"/>
        <v>T0686ST</v>
      </c>
      <c r="D369" s="128" t="s">
        <v>924</v>
      </c>
      <c r="E369" s="128" t="str">
        <f>INDEX(二三级标准!$Q:$Q,MATCH(数统二级标签!D369,二三级标准!$O:$O,0))</f>
        <v>生物统计及分析</v>
      </c>
      <c r="F369" s="128" t="s">
        <v>1088</v>
      </c>
      <c r="G369" s="128" t="str">
        <f>INDEX(二三级标准!C:C,MATCH(数统二级标签!F369,二三级标准!$B:$B,0))</f>
        <v>参加和协助DSMB/DMC/IDMC会议</v>
      </c>
      <c r="H369" s="128" t="s">
        <v>1579</v>
      </c>
      <c r="I369" s="128" t="str">
        <f>INDEX(二三级标准!$M:$M,MATCH(数统二级标签!$H369,二三级标准!$L:$L,0))</f>
        <v>参加和协助DSMB/DMC/IDMC会议</v>
      </c>
      <c r="J369" s="128" t="s">
        <v>3065</v>
      </c>
      <c r="K369" s="128" t="s">
        <v>639</v>
      </c>
      <c r="L369" s="166">
        <v>8</v>
      </c>
      <c r="M369" s="166">
        <v>8</v>
      </c>
      <c r="N369" s="166">
        <v>8</v>
      </c>
      <c r="O369" s="166">
        <v>8</v>
      </c>
      <c r="P369" s="166">
        <v>8</v>
      </c>
      <c r="Q369" s="166">
        <v>8</v>
      </c>
      <c r="R369" s="166">
        <v>8</v>
      </c>
      <c r="S369" s="166">
        <v>8</v>
      </c>
      <c r="T369" s="166">
        <v>8</v>
      </c>
    </row>
    <row r="370" ht="27" customHeight="1" spans="1:20">
      <c r="A370" s="154" t="str">
        <f>INDEX('Rate Card'!$A:$A,MATCH(数统二级标签!$K370,'Rate Card'!$F:$F,0))</f>
        <v>数统</v>
      </c>
      <c r="B370" s="154" t="str">
        <f t="shared" si="41"/>
        <v>A233SAM</v>
      </c>
      <c r="C370" s="154" t="str">
        <f t="shared" si="40"/>
        <v>T0687SAM</v>
      </c>
      <c r="D370" s="128" t="s">
        <v>924</v>
      </c>
      <c r="E370" s="128" t="str">
        <f>INDEX(二三级标准!$Q:$Q,MATCH(数统二级标签!D370,二三级标准!$O:$O,0))</f>
        <v>生物统计及分析</v>
      </c>
      <c r="F370" s="128" t="s">
        <v>1088</v>
      </c>
      <c r="G370" s="128" t="str">
        <f>INDEX(二三级标准!C:C,MATCH(数统二级标签!F370,二三级标准!$B:$B,0))</f>
        <v>参加和协助DSMB/DMC/IDMC会议</v>
      </c>
      <c r="H370" s="128" t="s">
        <v>1580</v>
      </c>
      <c r="I370" s="128" t="str">
        <f>INDEX(二三级标准!$M:$M,MATCH(数统二级标签!$H370,二三级标准!$L:$L,0))</f>
        <v>参加DSMB/DMC/IDMC会议</v>
      </c>
      <c r="J370" s="128" t="s">
        <v>3065</v>
      </c>
      <c r="K370" s="128" t="s">
        <v>638</v>
      </c>
      <c r="L370" s="166">
        <v>8</v>
      </c>
      <c r="M370" s="166">
        <v>2</v>
      </c>
      <c r="N370" s="166">
        <v>8</v>
      </c>
      <c r="O370" s="166">
        <v>8</v>
      </c>
      <c r="P370" s="166">
        <v>8</v>
      </c>
      <c r="Q370" s="166">
        <v>8</v>
      </c>
      <c r="R370" s="166">
        <v>8</v>
      </c>
      <c r="S370" s="166">
        <v>8</v>
      </c>
      <c r="T370" s="166">
        <v>8</v>
      </c>
    </row>
    <row r="371" ht="27" customHeight="1" spans="1:20">
      <c r="A371" s="154" t="str">
        <f>INDEX('Rate Card'!$A:$A,MATCH(数统二级标签!$K371,'Rate Card'!$F:$F,0))</f>
        <v>数统</v>
      </c>
      <c r="B371" s="154" t="str">
        <f t="shared" si="41"/>
        <v>A233ST</v>
      </c>
      <c r="C371" s="154" t="str">
        <f t="shared" si="40"/>
        <v>T0688ST</v>
      </c>
      <c r="D371" s="128" t="s">
        <v>924</v>
      </c>
      <c r="E371" s="128" t="str">
        <f>INDEX(二三级标准!$Q:$Q,MATCH(数统二级标签!D371,二三级标准!$O:$O,0))</f>
        <v>生物统计及分析</v>
      </c>
      <c r="F371" s="128" t="s">
        <v>1088</v>
      </c>
      <c r="G371" s="128" t="str">
        <f>INDEX(二三级标准!C:C,MATCH(数统二级标签!F371,二三级标准!$B:$B,0))</f>
        <v>参加和协助DSMB/DMC/IDMC会议</v>
      </c>
      <c r="H371" s="128" t="s">
        <v>1581</v>
      </c>
      <c r="I371" s="128" t="str">
        <f>INDEX(二三级标准!$M:$M,MATCH(数统二级标签!$H371,二三级标准!$L:$L,0))</f>
        <v>完成DSMB/DMC/IDMC会议纪要</v>
      </c>
      <c r="J371" s="128" t="s">
        <v>3065</v>
      </c>
      <c r="K371" s="128" t="s">
        <v>639</v>
      </c>
      <c r="L371" s="166">
        <v>8</v>
      </c>
      <c r="M371" s="166">
        <v>2</v>
      </c>
      <c r="N371" s="166">
        <v>8</v>
      </c>
      <c r="O371" s="166">
        <v>8</v>
      </c>
      <c r="P371" s="166">
        <v>8</v>
      </c>
      <c r="Q371" s="166">
        <v>8</v>
      </c>
      <c r="R371" s="166">
        <v>8</v>
      </c>
      <c r="S371" s="166">
        <v>8</v>
      </c>
      <c r="T371" s="166">
        <v>8</v>
      </c>
    </row>
    <row r="372" ht="27" customHeight="1" spans="1:20">
      <c r="A372" s="154" t="str">
        <f>INDEX('Rate Card'!$A:$A,MATCH(数统二级标签!$K372,'Rate Card'!$F:$F,0))</f>
        <v>数统</v>
      </c>
      <c r="B372" s="154" t="str">
        <f t="shared" si="41"/>
        <v>A233ST</v>
      </c>
      <c r="C372" s="154" t="str">
        <f t="shared" si="40"/>
        <v>T0689ST</v>
      </c>
      <c r="D372" s="128" t="s">
        <v>924</v>
      </c>
      <c r="E372" s="128" t="str">
        <f>INDEX(二三级标准!$Q:$Q,MATCH(数统二级标签!D372,二三级标准!$O:$O,0))</f>
        <v>生物统计及分析</v>
      </c>
      <c r="F372" s="128" t="s">
        <v>1088</v>
      </c>
      <c r="G372" s="128" t="str">
        <f>INDEX(二三级标准!C:C,MATCH(数统二级标签!F372,二三级标准!$B:$B,0))</f>
        <v>参加和协助DSMB/DMC/IDMC会议</v>
      </c>
      <c r="H372" s="128" t="s">
        <v>3080</v>
      </c>
      <c r="I372" s="128" t="str">
        <f>INDEX(二三级标准!$M:$M,MATCH(数统二级标签!$H372,二三级标准!$L:$L,0))</f>
        <v>生物统计的DSMB/DMC/IDMC项目管理</v>
      </c>
      <c r="J372" s="128" t="s">
        <v>3065</v>
      </c>
      <c r="K372" s="128" t="s">
        <v>639</v>
      </c>
      <c r="L372" s="166">
        <v>4</v>
      </c>
      <c r="M372" s="166">
        <v>40</v>
      </c>
      <c r="N372" s="166">
        <v>4</v>
      </c>
      <c r="O372" s="166">
        <v>4</v>
      </c>
      <c r="P372" s="166">
        <v>4</v>
      </c>
      <c r="Q372" s="166">
        <v>4</v>
      </c>
      <c r="R372" s="166">
        <v>4</v>
      </c>
      <c r="S372" s="166">
        <v>4</v>
      </c>
      <c r="T372" s="166">
        <v>4</v>
      </c>
    </row>
    <row r="373" ht="27" customHeight="1" spans="1:20">
      <c r="A373" s="154" t="str">
        <f>INDEX('Rate Card'!$A:$A,MATCH(数统二级标签!$K373,'Rate Card'!$F:$F,0))</f>
        <v>数统</v>
      </c>
      <c r="B373" s="154" t="str">
        <f t="shared" si="41"/>
        <v>A233SAM</v>
      </c>
      <c r="C373" s="154" t="str">
        <f t="shared" si="40"/>
        <v>T0690SAM</v>
      </c>
      <c r="D373" s="128" t="s">
        <v>924</v>
      </c>
      <c r="E373" s="128" t="str">
        <f>INDEX(二三级标准!$Q:$Q,MATCH(数统二级标签!D373,二三级标准!$O:$O,0))</f>
        <v>生物统计及分析</v>
      </c>
      <c r="F373" s="128" t="s">
        <v>1088</v>
      </c>
      <c r="G373" s="128" t="str">
        <f>INDEX(二三级标准!C:C,MATCH(数统二级标签!F373,二三级标准!$B:$B,0))</f>
        <v>参加和协助DSMB/DMC/IDMC会议</v>
      </c>
      <c r="H373" s="128" t="s">
        <v>3081</v>
      </c>
      <c r="I373" s="128" t="str">
        <f>INDEX(二三级标准!$M:$M,MATCH(数统二级标签!$H373,二三级标准!$L:$L,0))</f>
        <v>统计分析的DSMB/DMC/IDMC项目管理</v>
      </c>
      <c r="J373" s="128" t="s">
        <v>3065</v>
      </c>
      <c r="K373" s="128" t="s">
        <v>638</v>
      </c>
      <c r="L373" s="166">
        <v>4</v>
      </c>
      <c r="M373" s="166">
        <v>20</v>
      </c>
      <c r="N373" s="166">
        <v>4</v>
      </c>
      <c r="O373" s="166">
        <v>4</v>
      </c>
      <c r="P373" s="166">
        <v>4</v>
      </c>
      <c r="Q373" s="166">
        <v>4</v>
      </c>
      <c r="R373" s="166">
        <v>4</v>
      </c>
      <c r="S373" s="166">
        <v>4</v>
      </c>
      <c r="T373" s="166">
        <v>4</v>
      </c>
    </row>
    <row r="374" ht="27" hidden="1" customHeight="1" spans="1:20">
      <c r="A374" s="154"/>
      <c r="B374" s="154"/>
      <c r="C374" s="154"/>
      <c r="L374" s="166">
        <v>24</v>
      </c>
      <c r="M374" s="156">
        <v>2</v>
      </c>
    </row>
    <row r="375" ht="27" hidden="1" customHeight="1" spans="1:20">
      <c r="A375" s="154"/>
      <c r="B375" s="154"/>
      <c r="C375" s="154"/>
      <c r="L375" s="166">
        <v>12</v>
      </c>
      <c r="M375" s="156">
        <v>1</v>
      </c>
    </row>
    <row r="376" ht="27" hidden="1" customHeight="1" spans="1:20">
      <c r="A376" s="154"/>
      <c r="B376" s="154"/>
      <c r="C376" s="154"/>
      <c r="M376" s="156">
        <v>1</v>
      </c>
    </row>
    <row r="377" ht="27" hidden="1" customHeight="1" spans="1:20">
      <c r="A377" s="154"/>
      <c r="B377" s="154"/>
      <c r="C377" s="154"/>
      <c r="M377" s="156">
        <v>8</v>
      </c>
    </row>
    <row r="378" ht="27" customHeight="1" spans="1:20">
      <c r="A378" s="154" t="str">
        <f>INDEX('Rate Card'!$A:$A,MATCH(数统二级标签!$K378,'Rate Card'!$F:$F,0))</f>
        <v>数统</v>
      </c>
      <c r="B378" s="154" t="str">
        <f t="shared" ref="B378:B384" si="42">F378&amp;K378</f>
        <v>A142LDM</v>
      </c>
      <c r="C378" s="154" t="str">
        <f t="shared" ref="C378:C384" si="43">H378&amp;K378</f>
        <v>T0487LDM</v>
      </c>
      <c r="D378" s="128" t="s">
        <v>926</v>
      </c>
      <c r="E378" s="128" t="str">
        <f>INDEX(二三级标准!$Q:$Q,MATCH(数统二级标签!D378,二三级标准!$O:$O,0))</f>
        <v>安全警戒</v>
      </c>
      <c r="F378" s="128" t="s">
        <v>389</v>
      </c>
      <c r="G378" s="128" t="str">
        <f>INDEX(二三级标准!C:C,MATCH(数统二级标签!F378,二三级标准!$B:$B,0))</f>
        <v>DSUR撰写(中文)</v>
      </c>
      <c r="H378" s="128" t="s">
        <v>1661</v>
      </c>
      <c r="I378" s="128" t="str">
        <f>INDEX(二三级标准!$M:$M,MATCH(数统二级标签!$H378,二三级标准!$L:$L,0))</f>
        <v>DSUR数据清理和导出提供</v>
      </c>
      <c r="K378" s="128" t="s">
        <v>633</v>
      </c>
      <c r="L378" s="156">
        <v>2</v>
      </c>
      <c r="M378" s="156">
        <v>8</v>
      </c>
      <c r="N378" s="156">
        <v>1.5</v>
      </c>
      <c r="O378" s="156">
        <v>1.5</v>
      </c>
      <c r="P378" s="156">
        <v>1.125</v>
      </c>
      <c r="Q378" s="156">
        <v>1.5</v>
      </c>
      <c r="R378" s="156">
        <v>1.5</v>
      </c>
      <c r="S378" s="156">
        <v>1.5</v>
      </c>
      <c r="T378" s="156">
        <v>1.5</v>
      </c>
    </row>
    <row r="379" ht="27" customHeight="1" spans="1:20">
      <c r="A379" s="154" t="str">
        <f>INDEX('Rate Card'!$A:$A,MATCH(数统二级标签!$K379,'Rate Card'!$F:$F,0))</f>
        <v>数统</v>
      </c>
      <c r="B379" s="154" t="str">
        <f t="shared" si="42"/>
        <v>A142SA</v>
      </c>
      <c r="C379" s="154" t="str">
        <f t="shared" si="43"/>
        <v>T0490SA</v>
      </c>
      <c r="D379" s="128" t="s">
        <v>926</v>
      </c>
      <c r="E379" s="128" t="str">
        <f>INDEX(二三级标准!$Q:$Q,MATCH(数统二级标签!D379,二三级标准!$O:$O,0))</f>
        <v>安全警戒</v>
      </c>
      <c r="F379" s="128" t="s">
        <v>389</v>
      </c>
      <c r="G379" s="128" t="str">
        <f>INDEX(二三级标准!C:C,MATCH(数统二级标签!F379,二三级标准!$B:$B,0))</f>
        <v>DSUR撰写(中文)</v>
      </c>
      <c r="H379" s="128" t="s">
        <v>3082</v>
      </c>
      <c r="I379" s="128" t="str">
        <f>INDEX(二三级标准!$M:$M,MATCH(数统二级标签!$H379,二三级标准!$L:$L,0))</f>
        <v>产生DSUR统计TFLs</v>
      </c>
      <c r="K379" s="128" t="s">
        <v>635</v>
      </c>
      <c r="L379" s="156">
        <v>1</v>
      </c>
      <c r="M379" s="156">
        <v>4</v>
      </c>
      <c r="N379" s="156">
        <v>1</v>
      </c>
      <c r="O379" s="156">
        <v>1</v>
      </c>
      <c r="P379" s="156">
        <v>1.5</v>
      </c>
      <c r="Q379" s="156">
        <v>1.5</v>
      </c>
      <c r="R379" s="156">
        <v>3</v>
      </c>
      <c r="S379" s="156">
        <v>1</v>
      </c>
      <c r="T379" s="156">
        <v>1</v>
      </c>
    </row>
    <row r="380" ht="27" customHeight="1" spans="1:20">
      <c r="A380" s="154" t="str">
        <f>INDEX('Rate Card'!$A:$A,MATCH(数统二级标签!$K380,'Rate Card'!$F:$F,0))</f>
        <v>数统</v>
      </c>
      <c r="B380" s="154" t="str">
        <f t="shared" si="42"/>
        <v>A142SA</v>
      </c>
      <c r="C380" s="154" t="str">
        <f t="shared" si="43"/>
        <v>T0491SA</v>
      </c>
      <c r="D380" s="128" t="s">
        <v>926</v>
      </c>
      <c r="E380" s="128" t="str">
        <f>INDEX(二三级标准!$Q:$Q,MATCH(数统二级标签!D380,二三级标准!$O:$O,0))</f>
        <v>安全警戒</v>
      </c>
      <c r="F380" s="128" t="s">
        <v>389</v>
      </c>
      <c r="G380" s="128" t="str">
        <f>INDEX(二三级标准!C:C,MATCH(数统二级标签!F380,二三级标准!$B:$B,0))</f>
        <v>DSUR撰写(中文)</v>
      </c>
      <c r="H380" s="128" t="s">
        <v>3083</v>
      </c>
      <c r="I380" s="128" t="str">
        <f>INDEX(二三级标准!$M:$M,MATCH(数统二级标签!$H380,二三级标准!$L:$L,0))</f>
        <v>验证DSUR统计TFLs</v>
      </c>
      <c r="K380" s="128" t="s">
        <v>635</v>
      </c>
      <c r="L380" s="156">
        <v>1</v>
      </c>
      <c r="M380" s="156">
        <v>1</v>
      </c>
      <c r="N380" s="156">
        <v>1</v>
      </c>
      <c r="O380" s="156">
        <v>1</v>
      </c>
      <c r="P380" s="156">
        <v>1.5</v>
      </c>
      <c r="Q380" s="156">
        <v>1.5</v>
      </c>
      <c r="R380" s="156">
        <v>3</v>
      </c>
      <c r="S380" s="156">
        <v>1</v>
      </c>
      <c r="T380" s="156">
        <v>1</v>
      </c>
    </row>
    <row r="381" ht="27" customHeight="1" spans="1:20">
      <c r="A381" s="154" t="str">
        <f>INDEX('Rate Card'!$A:$A,MATCH(数统二级标签!$K381,'Rate Card'!$F:$F,0))</f>
        <v>数统</v>
      </c>
      <c r="B381" s="154" t="str">
        <f t="shared" si="42"/>
        <v>A142SA</v>
      </c>
      <c r="C381" s="154" t="str">
        <f t="shared" si="43"/>
        <v>T0492SA</v>
      </c>
      <c r="D381" s="128" t="s">
        <v>926</v>
      </c>
      <c r="E381" s="128" t="str">
        <f>INDEX(二三级标准!$Q:$Q,MATCH(数统二级标签!D381,二三级标准!$O:$O,0))</f>
        <v>安全警戒</v>
      </c>
      <c r="F381" s="128" t="s">
        <v>389</v>
      </c>
      <c r="G381" s="128" t="str">
        <f>INDEX(二三级标准!C:C,MATCH(数统二级标签!F381,二三级标准!$B:$B,0))</f>
        <v>DSUR撰写(中文)</v>
      </c>
      <c r="H381" s="128" t="s">
        <v>1663</v>
      </c>
      <c r="I381" s="128" t="str">
        <f>INDEX(二三级标准!$M:$M,MATCH(数统二级标签!$H381,二三级标准!$L:$L,0))</f>
        <v>运行DSUR统计TFLs</v>
      </c>
      <c r="K381" s="128" t="s">
        <v>635</v>
      </c>
      <c r="L381" s="156">
        <v>6</v>
      </c>
      <c r="M381" s="156">
        <v>6</v>
      </c>
      <c r="N381" s="156">
        <v>6</v>
      </c>
      <c r="O381" s="156">
        <v>6</v>
      </c>
      <c r="P381" s="156">
        <v>8</v>
      </c>
      <c r="Q381" s="156">
        <v>8</v>
      </c>
      <c r="R381" s="156">
        <v>3</v>
      </c>
      <c r="S381" s="156">
        <v>6</v>
      </c>
      <c r="T381" s="156">
        <v>6</v>
      </c>
    </row>
    <row r="382" ht="27" customHeight="1" spans="1:20">
      <c r="A382" s="154" t="str">
        <f>INDEX('Rate Card'!$A:$A,MATCH(数统二级标签!$K382,'Rate Card'!$F:$F,0))</f>
        <v>数统</v>
      </c>
      <c r="B382" s="154" t="str">
        <f t="shared" si="42"/>
        <v>A150ST</v>
      </c>
      <c r="C382" s="154" t="str">
        <f t="shared" si="43"/>
        <v>T0509ST</v>
      </c>
      <c r="D382" s="128" t="s">
        <v>927</v>
      </c>
      <c r="E382" s="128" t="str">
        <f>INDEX(二三级标准!$Q:$Q,MATCH(数统二级标签!D382,二三级标准!$O:$O,0))</f>
        <v>医学撰写</v>
      </c>
      <c r="F382" s="128" t="s">
        <v>407</v>
      </c>
      <c r="G382" s="128" t="str">
        <f>INDEX(二三级标准!C:C,MATCH(数统二级标签!F382,二三级标准!$B:$B,0))</f>
        <v>研究总结报告撰写</v>
      </c>
      <c r="H382" s="128" t="s">
        <v>1681</v>
      </c>
      <c r="I382" s="128" t="str">
        <f>INDEX(二三级标准!$M:$M,MATCH(数统二级标签!$H382,二三级标准!$L:$L,0))</f>
        <v>研究总结报告撰写</v>
      </c>
      <c r="J382" s="128" t="s">
        <v>2904</v>
      </c>
      <c r="K382" s="128" t="s">
        <v>639</v>
      </c>
      <c r="L382" s="162">
        <v>10</v>
      </c>
      <c r="M382" s="156">
        <v>10</v>
      </c>
      <c r="N382" s="156">
        <v>10.4</v>
      </c>
      <c r="O382" s="156">
        <v>12</v>
      </c>
      <c r="P382" s="156">
        <v>18</v>
      </c>
      <c r="Q382" s="156">
        <v>30</v>
      </c>
      <c r="R382" s="156">
        <v>9</v>
      </c>
      <c r="S382" s="156">
        <v>12</v>
      </c>
      <c r="T382" s="156">
        <v>12</v>
      </c>
    </row>
    <row r="383" ht="27" customHeight="1" spans="1:20">
      <c r="A383" s="154" t="str">
        <f>INDEX('Rate Card'!$A:$A,MATCH(数统二级标签!$K383,'Rate Card'!$F:$F,0))</f>
        <v>数统</v>
      </c>
      <c r="B383" s="154" t="str">
        <f t="shared" si="42"/>
        <v>A150ST</v>
      </c>
      <c r="C383" s="154" t="str">
        <f t="shared" si="43"/>
        <v>T0510ST</v>
      </c>
      <c r="D383" s="128" t="s">
        <v>927</v>
      </c>
      <c r="E383" s="128" t="str">
        <f>INDEX(二三级标准!$Q:$Q,MATCH(数统二级标签!D383,二三级标准!$O:$O,0))</f>
        <v>医学撰写</v>
      </c>
      <c r="F383" s="128" t="s">
        <v>407</v>
      </c>
      <c r="G383" s="128" t="str">
        <f>INDEX(二三级标准!C:C,MATCH(数统二级标签!F383,二三级标准!$B:$B,0))</f>
        <v>研究总结报告撰写</v>
      </c>
      <c r="H383" s="128" t="s">
        <v>1682</v>
      </c>
      <c r="I383" s="128" t="str">
        <f>INDEX(二三级标准!$M:$M,MATCH(数统二级标签!$H383,二三级标准!$L:$L,0))</f>
        <v>研究总结报告审阅</v>
      </c>
      <c r="J383" s="128" t="s">
        <v>2904</v>
      </c>
      <c r="K383" s="128" t="s">
        <v>639</v>
      </c>
      <c r="L383" s="162">
        <v>4</v>
      </c>
      <c r="M383" s="156">
        <v>4</v>
      </c>
      <c r="N383" s="156">
        <v>4</v>
      </c>
      <c r="O383" s="156">
        <v>6</v>
      </c>
      <c r="P383" s="156">
        <v>6</v>
      </c>
      <c r="Q383" s="156">
        <v>12</v>
      </c>
      <c r="R383" s="156">
        <v>6</v>
      </c>
      <c r="S383" s="156">
        <v>6</v>
      </c>
      <c r="T383" s="156">
        <v>6</v>
      </c>
    </row>
    <row r="384" s="128" customFormat="1" ht="15.6" spans="1:20">
      <c r="A384" s="154"/>
      <c r="B384" s="154" t="str">
        <f t="shared" si="42"/>
        <v/>
      </c>
      <c r="C384" s="154" t="str">
        <f t="shared" si="43"/>
        <v/>
      </c>
      <c r="L384" s="156"/>
      <c r="M384" s="156"/>
      <c r="N384" s="156"/>
      <c r="O384" s="156"/>
      <c r="P384" s="156"/>
      <c r="Q384" s="156"/>
      <c r="R384" s="156"/>
      <c r="S384" s="156"/>
      <c r="T384" s="156"/>
    </row>
    <row r="385" spans="12:20">
      <c r="L385" s="128"/>
      <c r="P385" s="128"/>
      <c r="Q385" s="128"/>
      <c r="T385" s="128"/>
    </row>
    <row r="386" s="128" customFormat="1" spans="12:20">
      <c r="O386" s="156"/>
      <c r="R386" s="156"/>
    </row>
  </sheetData>
  <autoFilter xmlns:etc="http://www.wps.cn/officeDocument/2017/etCustomData" ref="A2:L384" etc:filterBottomFollowUsedRange="0">
    <extLst/>
  </autoFilter>
  <conditionalFormatting sqref="E19">
    <cfRule type="expression" dxfId="73" priority="79">
      <formula>ISEVEN(MID($F19,4,1))</formula>
    </cfRule>
    <cfRule type="expression" dxfId="74" priority="80" stopIfTrue="1">
      <formula>$D19&lt;&gt;""</formula>
    </cfRule>
  </conditionalFormatting>
  <conditionalFormatting sqref="G19">
    <cfRule type="expression" dxfId="73" priority="77">
      <formula>ISEVEN(MID($F19,4,1))</formula>
    </cfRule>
    <cfRule type="expression" dxfId="74" priority="78" stopIfTrue="1">
      <formula>$D19&lt;&gt;""</formula>
    </cfRule>
  </conditionalFormatting>
  <conditionalFormatting sqref="I19">
    <cfRule type="expression" dxfId="73" priority="75">
      <formula>ISEVEN(MID($F19,4,1))</formula>
    </cfRule>
    <cfRule type="expression" dxfId="74" priority="76" stopIfTrue="1">
      <formula>$D19&lt;&gt;""</formula>
    </cfRule>
  </conditionalFormatting>
  <conditionalFormatting sqref="K26">
    <cfRule type="expression" dxfId="73" priority="97">
      <formula>ISEVEN(MID($L26,4,1))</formula>
    </cfRule>
    <cfRule type="expression" dxfId="74" priority="98" stopIfTrue="1">
      <formula>$J26&lt;&gt;""</formula>
    </cfRule>
  </conditionalFormatting>
  <conditionalFormatting sqref="K38">
    <cfRule type="expression" dxfId="73" priority="91">
      <formula>ISEVEN(MID($L38,4,1))</formula>
    </cfRule>
    <cfRule type="expression" dxfId="74" priority="92" stopIfTrue="1">
      <formula>$J38&lt;&gt;""</formula>
    </cfRule>
  </conditionalFormatting>
  <conditionalFormatting sqref="H95">
    <cfRule type="expression" dxfId="74" priority="58" stopIfTrue="1">
      <formula>$I95&lt;&gt;""</formula>
    </cfRule>
    <cfRule type="expression" dxfId="73" priority="57">
      <formula>ISEVEN(MID($K95,4,1))</formula>
    </cfRule>
  </conditionalFormatting>
  <conditionalFormatting sqref="H113">
    <cfRule type="expression" dxfId="74" priority="46" stopIfTrue="1">
      <formula>$I113&lt;&gt;""</formula>
    </cfRule>
    <cfRule type="expression" dxfId="73" priority="45">
      <formula>ISEVEN(MID($K113,4,1))</formula>
    </cfRule>
  </conditionalFormatting>
  <conditionalFormatting sqref="E115">
    <cfRule type="expression" dxfId="73" priority="53">
      <formula>ISEVEN(MID($F115,4,1))</formula>
    </cfRule>
    <cfRule type="expression" dxfId="74" priority="54" stopIfTrue="1">
      <formula>$D115&lt;&gt;""</formula>
    </cfRule>
  </conditionalFormatting>
  <conditionalFormatting sqref="G115">
    <cfRule type="expression" dxfId="73" priority="51">
      <formula>ISEVEN(MID($F115,4,1))</formula>
    </cfRule>
    <cfRule type="expression" dxfId="74" priority="52" stopIfTrue="1">
      <formula>$D115&lt;&gt;""</formula>
    </cfRule>
  </conditionalFormatting>
  <conditionalFormatting sqref="I115">
    <cfRule type="expression" dxfId="74" priority="50" stopIfTrue="1">
      <formula>$D115&lt;&gt;""</formula>
    </cfRule>
    <cfRule type="expression" dxfId="73" priority="49">
      <formula>ISEVEN(MID($F115,4,1))</formula>
    </cfRule>
  </conditionalFormatting>
  <conditionalFormatting sqref="H123">
    <cfRule type="expression" dxfId="73" priority="43">
      <formula>ISEVEN(MID($K123,4,1))</formula>
    </cfRule>
    <cfRule type="expression" dxfId="74" priority="44" stopIfTrue="1">
      <formula>$I123&lt;&gt;""</formula>
    </cfRule>
  </conditionalFormatting>
  <conditionalFormatting sqref="H148">
    <cfRule type="expression" dxfId="73" priority="41">
      <formula>ISEVEN(MID($K148,4,1))</formula>
    </cfRule>
    <cfRule type="expression" dxfId="74" priority="42" stopIfTrue="1">
      <formula>$I148&lt;&gt;""</formula>
    </cfRule>
  </conditionalFormatting>
  <conditionalFormatting sqref="H169">
    <cfRule type="expression" dxfId="73" priority="37">
      <formula>ISEVEN(MID($K169,4,1))</formula>
    </cfRule>
    <cfRule type="expression" dxfId="74" priority="38" stopIfTrue="1">
      <formula>$I169&lt;&gt;""</formula>
    </cfRule>
  </conditionalFormatting>
  <conditionalFormatting sqref="T183">
    <cfRule type="expression" dxfId="74" priority="22" stopIfTrue="1">
      <formula>$D183&lt;&gt;""</formula>
    </cfRule>
    <cfRule type="expression" dxfId="73" priority="21">
      <formula>ISEVEN(MID($F183,4,1))</formula>
    </cfRule>
  </conditionalFormatting>
  <conditionalFormatting sqref="H217">
    <cfRule type="expression" dxfId="73" priority="35">
      <formula>ISEVEN(MID($K217,4,1))</formula>
    </cfRule>
    <cfRule type="expression" dxfId="74" priority="36" stopIfTrue="1">
      <formula>$I217&lt;&gt;""</formula>
    </cfRule>
  </conditionalFormatting>
  <conditionalFormatting sqref="H221">
    <cfRule type="expression" dxfId="73" priority="33">
      <formula>ISEVEN(MID($K221,4,1))</formula>
    </cfRule>
    <cfRule type="expression" dxfId="74" priority="34" stopIfTrue="1">
      <formula>$I221&lt;&gt;""</formula>
    </cfRule>
  </conditionalFormatting>
  <conditionalFormatting sqref="F351">
    <cfRule type="expression" dxfId="74" priority="18" stopIfTrue="1">
      <formula>$I351&lt;&gt;""</formula>
    </cfRule>
    <cfRule type="expression" dxfId="73" priority="17">
      <formula>ISEVEN(MID($K351,4,1))</formula>
    </cfRule>
  </conditionalFormatting>
  <conditionalFormatting sqref="F355">
    <cfRule type="expression" dxfId="74" priority="16" stopIfTrue="1">
      <formula>$I355&lt;&gt;""</formula>
    </cfRule>
    <cfRule type="expression" dxfId="73" priority="15">
      <formula>ISEVEN(MID($K355,4,1))</formula>
    </cfRule>
  </conditionalFormatting>
  <conditionalFormatting sqref="F359">
    <cfRule type="expression" dxfId="74" priority="14" stopIfTrue="1">
      <formula>$I359&lt;&gt;""</formula>
    </cfRule>
    <cfRule type="expression" dxfId="73" priority="13">
      <formula>ISEVEN(MID($K359,4,1))</formula>
    </cfRule>
  </conditionalFormatting>
  <conditionalFormatting sqref="L362:T362">
    <cfRule type="expression" dxfId="74" priority="4" stopIfTrue="1">
      <formula>$D362&lt;&gt;""</formula>
    </cfRule>
    <cfRule type="expression" dxfId="73" priority="3">
      <formula>ISEVEN(MID($F362,4,1))</formula>
    </cfRule>
  </conditionalFormatting>
  <conditionalFormatting sqref="F364">
    <cfRule type="expression" dxfId="74" priority="12" stopIfTrue="1">
      <formula>$I364&lt;&gt;""</formula>
    </cfRule>
    <cfRule type="expression" dxfId="73" priority="11">
      <formula>ISEVEN(MID($K364,4,1))</formula>
    </cfRule>
  </conditionalFormatting>
  <conditionalFormatting sqref="F334:F338">
    <cfRule type="expression" dxfId="73" priority="27">
      <formula>ISEVEN(MID($K334,4,1))</formula>
    </cfRule>
    <cfRule type="expression" dxfId="74" priority="28" stopIfTrue="1">
      <formula>$I334&lt;&gt;""</formula>
    </cfRule>
  </conditionalFormatting>
  <conditionalFormatting sqref="H49:H53">
    <cfRule type="expression" dxfId="74" priority="62" stopIfTrue="1">
      <formula>$I49&lt;&gt;""</formula>
    </cfRule>
    <cfRule type="expression" dxfId="73" priority="61">
      <formula>ISEVEN(MID($K49,4,1))</formula>
    </cfRule>
  </conditionalFormatting>
  <conditionalFormatting sqref="H162:H163">
    <cfRule type="expression" dxfId="73" priority="39">
      <formula>ISEVEN(MID($K162,4,1))</formula>
    </cfRule>
    <cfRule type="expression" dxfId="74" priority="40" stopIfTrue="1">
      <formula>$I162&lt;&gt;""</formula>
    </cfRule>
  </conditionalFormatting>
  <conditionalFormatting sqref="H261:H264">
    <cfRule type="expression" dxfId="73" priority="31">
      <formula>ISEVEN(MID($K261,4,1))</formula>
    </cfRule>
    <cfRule type="expression" dxfId="74" priority="32" stopIfTrue="1">
      <formula>$I261&lt;&gt;""</formula>
    </cfRule>
  </conditionalFormatting>
  <conditionalFormatting sqref="H273:H276">
    <cfRule type="expression" dxfId="73" priority="29">
      <formula>ISEVEN(MID($K273,4,1))</formula>
    </cfRule>
    <cfRule type="expression" dxfId="74" priority="30" stopIfTrue="1">
      <formula>$I273&lt;&gt;""</formula>
    </cfRule>
  </conditionalFormatting>
  <conditionalFormatting sqref="H334:H338">
    <cfRule type="expression" dxfId="73" priority="25">
      <formula>ISEVEN(MID($K334,4,1))</formula>
    </cfRule>
    <cfRule type="expression" dxfId="74" priority="26" stopIfTrue="1">
      <formula>$I334&lt;&gt;""</formula>
    </cfRule>
  </conditionalFormatting>
  <conditionalFormatting sqref="K27:K30">
    <cfRule type="expression" dxfId="73" priority="73">
      <formula>ISEVEN(MID($K27,4,1))</formula>
    </cfRule>
    <cfRule type="expression" dxfId="74" priority="74" stopIfTrue="1">
      <formula>$I27&lt;&gt;""</formula>
    </cfRule>
  </conditionalFormatting>
  <conditionalFormatting sqref="K49:K53">
    <cfRule type="expression" dxfId="73" priority="59">
      <formula>ISEVEN(MID($K49,4,1))</formula>
    </cfRule>
    <cfRule type="expression" dxfId="74" priority="60" stopIfTrue="1">
      <formula>$I49&lt;&gt;""</formula>
    </cfRule>
  </conditionalFormatting>
  <conditionalFormatting sqref="A2:I18 K2:S18 A19:C19 A20:I48 K31:K37 K39:K48 A49:G53 I49:I53 A54:I94 K54:K94 A95:G95 I95 K95:S161 A96:I112 A113:G113 I113 A114:I114 A115:C115 A116:I122 A123:G123 I123 A124:I147 A148:G148 I148 A149:I161 A162:G163 I162:I163 L162:S167 K162:K182 K184:K216 A164:I168 L168:T169 A169:G169 I169 L170:S182 L184:S185 A170:I182 A184:I216 K20:M25 L26:M94 N20:S94 K19:T19 M186:S186 L187:S216 A217:G217 I217 K217:S341 K342:K360 K361:S361 A218:I220 A221:G221 I221 A222:I260 A261:G264 I261:I264 A265:I272 A273:G276 I273:I276 A277:I333 A334:E338 G334:G338 I334:I338 A339:I340 A341:E373 G341:I373 A374:I9619 L363:L373 L374:S383 K362:K384 L384:N384 R384:R387 O384:O388 S384:S9619 P385:Q387 K385:N9619 P388:R388 O389:R9619">
    <cfRule type="expression" dxfId="73" priority="177">
      <formula>ISEVEN(MID($F2,4,1))</formula>
    </cfRule>
    <cfRule type="expression" dxfId="74" priority="178" stopIfTrue="1">
      <formula>$D2&lt;&gt;""</formula>
    </cfRule>
  </conditionalFormatting>
  <conditionalFormatting sqref="T2:T18 T170:T182 T184:T341 T361 T374:T9619 T20:T167">
    <cfRule type="expression" dxfId="73" priority="83">
      <formula>ISEVEN(MID($F2,4,1))</formula>
    </cfRule>
    <cfRule type="expression" dxfId="74" priority="84" stopIfTrue="1">
      <formula>$D2&lt;&gt;""</formula>
    </cfRule>
  </conditionalFormatting>
  <conditionalFormatting sqref="D19 F19 H19">
    <cfRule type="expression" dxfId="73" priority="81">
      <formula>ISEVEN(MID($K19,4,1))</formula>
    </cfRule>
    <cfRule type="expression" dxfId="74" priority="82" stopIfTrue="1">
      <formula>$I19&lt;&gt;""</formula>
    </cfRule>
  </conditionalFormatting>
  <conditionalFormatting sqref="D115 F115 H115">
    <cfRule type="expression" dxfId="74" priority="56" stopIfTrue="1">
      <formula>$I115&lt;&gt;""</formula>
    </cfRule>
    <cfRule type="expression" dxfId="73" priority="55">
      <formula>ISEVEN(MID($K115,4,1))</formula>
    </cfRule>
  </conditionalFormatting>
  <conditionalFormatting sqref="K183 L183:S183 A183:I183">
    <cfRule type="expression" dxfId="74" priority="24" stopIfTrue="1">
      <formula>$D183&lt;&gt;""</formula>
    </cfRule>
    <cfRule type="expression" dxfId="73" priority="23">
      <formula>ISEVEN(MID($F183,4,1))</formula>
    </cfRule>
  </conditionalFormatting>
  <conditionalFormatting sqref="F341:F350 F352:F354 F356:F358 F360:F363 F365:F373">
    <cfRule type="expression" dxfId="74" priority="20" stopIfTrue="1">
      <formula>$I341&lt;&gt;""</formula>
    </cfRule>
    <cfRule type="expression" dxfId="73" priority="19">
      <formula>ISEVEN(MID($K341,4,1))</formula>
    </cfRule>
  </conditionalFormatting>
  <conditionalFormatting sqref="L342:T352">
    <cfRule type="expression" dxfId="74" priority="10" stopIfTrue="1">
      <formula>$D342&lt;&gt;""</formula>
    </cfRule>
    <cfRule type="expression" dxfId="73" priority="9">
      <formula>ISEVEN(MID($F342,4,1))</formula>
    </cfRule>
  </conditionalFormatting>
  <conditionalFormatting sqref="L353:T358">
    <cfRule type="expression" dxfId="74" priority="8" stopIfTrue="1">
      <formula>$D353&lt;&gt;""</formula>
    </cfRule>
    <cfRule type="expression" dxfId="73" priority="7">
      <formula>ISEVEN(MID($F353,4,1))</formula>
    </cfRule>
  </conditionalFormatting>
  <conditionalFormatting sqref="L359:T360">
    <cfRule type="expression" dxfId="74" priority="6" stopIfTrue="1">
      <formula>$D359&lt;&gt;""</formula>
    </cfRule>
    <cfRule type="expression" dxfId="73" priority="5">
      <formula>ISEVEN(MID($F359,4,1))</formula>
    </cfRule>
  </conditionalFormatting>
  <conditionalFormatting sqref="M363:T373">
    <cfRule type="expression" dxfId="74" priority="2" stopIfTrue="1">
      <formula>$D363&lt;&gt;""</formula>
    </cfRule>
    <cfRule type="expression" dxfId="73" priority="1">
      <formula>ISEVEN(MID($F363,4,1))</formula>
    </cfRule>
  </conditionalFormatting>
  <dataValidations count="1">
    <dataValidation type="list" allowBlank="1" showInputMessage="1" showErrorMessage="1" sqref="K3:K383">
      <formula1>'Rate Card'!$F$3:$F$26</formula1>
    </dataValidation>
  </dataValidations>
  <pageMargins left="0.7" right="0.7" top="0.75" bottom="0.75" header="0.3" footer="0.3"/>
  <pageSetup paperSize="9" orientation="portrait" horizontalDpi="1200" verticalDpi="1200"/>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15">
    <tabColor theme="1"/>
  </sheetPr>
  <dimension ref="A1:AC939"/>
  <sheetViews>
    <sheetView zoomScale="70" zoomScaleNormal="70" topLeftCell="A257" workbookViewId="0">
      <selection activeCell="B31" sqref="B31"/>
    </sheetView>
  </sheetViews>
  <sheetFormatPr defaultColWidth="8.88888888888889" defaultRowHeight="15.6"/>
  <cols>
    <col min="1" max="1" width="9.22222222222222" style="81" customWidth="1"/>
    <col min="2" max="2" width="11.7777777777778" style="81" customWidth="1"/>
    <col min="3" max="3" width="42.7777777777778" style="81" customWidth="1"/>
    <col min="4" max="4" width="14.8888888888889" style="81" customWidth="1"/>
    <col min="5" max="5" width="45.0462962962963" style="81" customWidth="1"/>
    <col min="6" max="6" width="34.3333333333333" style="81" customWidth="1"/>
    <col min="7" max="7" width="9.55555555555556" style="81" customWidth="1"/>
    <col min="8" max="8" width="13.8888888888889" style="81" customWidth="1"/>
    <col min="9" max="9" width="38.4444444444444" style="81" customWidth="1"/>
    <col min="10" max="10" width="38.1851851851852" style="81" customWidth="1"/>
    <col min="11" max="12" width="9" style="81" customWidth="1"/>
    <col min="13" max="13" width="76.7777777777778" style="81" customWidth="1"/>
    <col min="14" max="14" width="20.1111111111111" style="81" customWidth="1"/>
    <col min="15" max="16" width="9.55555555555556" style="81" customWidth="1"/>
    <col min="17" max="17" width="10.1018518518519" style="81" customWidth="1"/>
    <col min="18" max="18" width="20.7962962962963" style="81" customWidth="1"/>
    <col min="19" max="19" width="14.5555555555556" style="81" customWidth="1"/>
    <col min="20" max="23" width="8.88888888888889" style="81" customWidth="1"/>
    <col min="24" max="24" width="6.33333333333333" style="81" customWidth="1"/>
    <col min="25" max="25" width="13.8888888888889" style="81" customWidth="1"/>
    <col min="26" max="26" width="8.88888888888889" style="81"/>
    <col min="27" max="27" width="16.8888888888889" style="81" customWidth="1"/>
    <col min="28" max="28" width="8.88888888888889" style="81"/>
    <col min="29" max="29" width="10.3333333333333" style="81" customWidth="1"/>
    <col min="30" max="16384" width="8.88888888888889" style="81"/>
  </cols>
  <sheetData>
    <row r="1" ht="16.2" spans="1:29">
      <c r="A1" s="102"/>
      <c r="B1" s="102" t="s">
        <v>3084</v>
      </c>
    </row>
    <row r="3" s="82" customFormat="1" ht="16.2" spans="1:29">
      <c r="A3" s="103" t="s">
        <v>1155</v>
      </c>
      <c r="B3" s="103" t="s">
        <v>88</v>
      </c>
      <c r="C3" s="103" t="s">
        <v>89</v>
      </c>
      <c r="D3" s="103" t="s">
        <v>3085</v>
      </c>
      <c r="E3" s="103" t="s">
        <v>3086</v>
      </c>
      <c r="F3" s="103" t="s">
        <v>3087</v>
      </c>
      <c r="G3" s="103" t="s">
        <v>970</v>
      </c>
      <c r="H3" s="103" t="s">
        <v>3088</v>
      </c>
      <c r="I3" s="103" t="s">
        <v>747</v>
      </c>
      <c r="J3" s="104"/>
      <c r="K3" s="103" t="s">
        <v>88</v>
      </c>
      <c r="L3" s="103" t="s">
        <v>1158</v>
      </c>
      <c r="M3" s="103" t="s">
        <v>1159</v>
      </c>
      <c r="O3" s="103" t="s">
        <v>3089</v>
      </c>
      <c r="P3" s="103"/>
      <c r="Q3" s="103" t="s">
        <v>3090</v>
      </c>
      <c r="S3" s="103" t="s">
        <v>749</v>
      </c>
      <c r="T3" s="104"/>
      <c r="U3" s="103" t="s">
        <v>750</v>
      </c>
      <c r="V3" s="104"/>
      <c r="W3" s="104" t="s">
        <v>751</v>
      </c>
      <c r="Y3" s="103" t="s">
        <v>3091</v>
      </c>
      <c r="AA3" s="103" t="s">
        <v>3092</v>
      </c>
      <c r="AC3" s="104" t="s">
        <v>3093</v>
      </c>
    </row>
    <row r="4" spans="1:29">
      <c r="A4" s="105" t="s">
        <v>916</v>
      </c>
      <c r="B4" s="105" t="s">
        <v>91</v>
      </c>
      <c r="C4" s="105" t="s">
        <v>92</v>
      </c>
      <c r="D4" s="105" t="s">
        <v>577</v>
      </c>
      <c r="E4" s="105" t="s">
        <v>3094</v>
      </c>
      <c r="F4" s="105" t="s">
        <v>3095</v>
      </c>
      <c r="G4" s="105" t="s">
        <v>1176</v>
      </c>
      <c r="H4" s="105" t="s">
        <v>3096</v>
      </c>
      <c r="I4" s="105"/>
      <c r="K4" s="106" t="s">
        <v>91</v>
      </c>
      <c r="L4" s="106" t="s">
        <v>1175</v>
      </c>
      <c r="M4" s="106" t="s">
        <v>3097</v>
      </c>
      <c r="O4" s="106" t="s">
        <v>916</v>
      </c>
      <c r="P4" s="106"/>
      <c r="Q4" s="106" t="s">
        <v>3098</v>
      </c>
      <c r="S4" s="106" t="s">
        <v>1753</v>
      </c>
      <c r="U4" s="106" t="s">
        <v>3099</v>
      </c>
      <c r="Y4" s="106" t="s">
        <v>3100</v>
      </c>
      <c r="AA4" s="106" t="s">
        <v>2890</v>
      </c>
      <c r="AC4" s="81" t="s">
        <v>2200</v>
      </c>
    </row>
    <row r="5" spans="1:29">
      <c r="A5" s="105" t="s">
        <v>916</v>
      </c>
      <c r="B5" s="105" t="s">
        <v>94</v>
      </c>
      <c r="C5" s="105" t="s">
        <v>95</v>
      </c>
      <c r="D5" s="105" t="s">
        <v>573</v>
      </c>
      <c r="E5" s="105" t="s">
        <v>3101</v>
      </c>
      <c r="F5" s="105" t="s">
        <v>3102</v>
      </c>
      <c r="G5" s="105" t="s">
        <v>1176</v>
      </c>
      <c r="H5" s="105" t="s">
        <v>3096</v>
      </c>
      <c r="I5" s="105"/>
      <c r="K5" s="106" t="s">
        <v>91</v>
      </c>
      <c r="L5" s="106" t="s">
        <v>1177</v>
      </c>
      <c r="M5" s="106" t="s">
        <v>3103</v>
      </c>
      <c r="O5" s="106" t="s">
        <v>917</v>
      </c>
      <c r="P5" s="106"/>
      <c r="Q5" s="106" t="s">
        <v>2282</v>
      </c>
      <c r="S5" s="106" t="s">
        <v>3104</v>
      </c>
      <c r="U5" s="106" t="s">
        <v>3105</v>
      </c>
      <c r="Y5" s="106" t="s">
        <v>3106</v>
      </c>
      <c r="AA5" s="106" t="s">
        <v>2891</v>
      </c>
      <c r="AC5" s="81" t="s">
        <v>2206</v>
      </c>
    </row>
    <row r="6" spans="1:29">
      <c r="A6" s="105" t="s">
        <v>916</v>
      </c>
      <c r="B6" s="105" t="s">
        <v>96</v>
      </c>
      <c r="C6" s="105" t="s">
        <v>97</v>
      </c>
      <c r="D6" s="105" t="s">
        <v>577</v>
      </c>
      <c r="E6" s="105" t="s">
        <v>3107</v>
      </c>
      <c r="F6" s="105" t="s">
        <v>3095</v>
      </c>
      <c r="G6" s="105" t="s">
        <v>1178</v>
      </c>
      <c r="H6" s="105" t="s">
        <v>3108</v>
      </c>
      <c r="I6" s="105" t="s">
        <v>3109</v>
      </c>
      <c r="K6" s="106" t="s">
        <v>91</v>
      </c>
      <c r="L6" s="106" t="s">
        <v>1179</v>
      </c>
      <c r="M6" s="106" t="s">
        <v>3110</v>
      </c>
      <c r="O6" s="106" t="s">
        <v>918</v>
      </c>
      <c r="P6" s="106"/>
      <c r="Q6" s="106" t="s">
        <v>755</v>
      </c>
      <c r="S6" s="106" t="s">
        <v>1759</v>
      </c>
      <c r="U6" s="106" t="s">
        <v>3111</v>
      </c>
      <c r="Y6" s="106" t="s">
        <v>3112</v>
      </c>
      <c r="AA6" s="106" t="s">
        <v>2892</v>
      </c>
      <c r="AC6" s="81" t="s">
        <v>2216</v>
      </c>
    </row>
    <row r="7" spans="1:29">
      <c r="A7" s="105" t="s">
        <v>916</v>
      </c>
      <c r="B7" s="105" t="s">
        <v>99</v>
      </c>
      <c r="C7" s="105" t="s">
        <v>100</v>
      </c>
      <c r="D7" s="105" t="s">
        <v>577</v>
      </c>
      <c r="E7" s="105" t="s">
        <v>3113</v>
      </c>
      <c r="F7" s="105" t="s">
        <v>3095</v>
      </c>
      <c r="G7" s="105" t="s">
        <v>1178</v>
      </c>
      <c r="H7" s="105" t="s">
        <v>3096</v>
      </c>
      <c r="I7" s="105"/>
      <c r="K7" s="106" t="s">
        <v>91</v>
      </c>
      <c r="L7" s="106" t="s">
        <v>3114</v>
      </c>
      <c r="M7" s="106" t="s">
        <v>3115</v>
      </c>
      <c r="O7" s="106" t="s">
        <v>919</v>
      </c>
      <c r="P7" s="106"/>
      <c r="Q7" s="106" t="s">
        <v>3116</v>
      </c>
      <c r="S7" s="106" t="s">
        <v>1762</v>
      </c>
      <c r="U7" s="106" t="s">
        <v>1900</v>
      </c>
      <c r="Y7" s="106" t="s">
        <v>3117</v>
      </c>
      <c r="AA7" s="106" t="s">
        <v>2893</v>
      </c>
      <c r="AC7" s="81" t="s">
        <v>2227</v>
      </c>
    </row>
    <row r="8" spans="1:29">
      <c r="A8" s="105" t="s">
        <v>916</v>
      </c>
      <c r="B8" s="105" t="s">
        <v>101</v>
      </c>
      <c r="C8" s="105" t="s">
        <v>102</v>
      </c>
      <c r="D8" s="105" t="s">
        <v>577</v>
      </c>
      <c r="E8" s="105" t="s">
        <v>3118</v>
      </c>
      <c r="F8" s="105" t="s">
        <v>3095</v>
      </c>
      <c r="G8" s="105" t="s">
        <v>1176</v>
      </c>
      <c r="H8" s="105" t="s">
        <v>3096</v>
      </c>
      <c r="I8" s="105" t="s">
        <v>3109</v>
      </c>
      <c r="K8" s="106" t="s">
        <v>91</v>
      </c>
      <c r="L8" s="106" t="s">
        <v>1180</v>
      </c>
      <c r="M8" s="106" t="s">
        <v>3119</v>
      </c>
      <c r="O8" s="106" t="s">
        <v>920</v>
      </c>
      <c r="P8" s="106"/>
      <c r="Q8" s="106" t="s">
        <v>2284</v>
      </c>
      <c r="S8" s="106" t="s">
        <v>3120</v>
      </c>
      <c r="Y8" s="106" t="s">
        <v>3121</v>
      </c>
      <c r="AA8" s="106" t="s">
        <v>2894</v>
      </c>
      <c r="AC8" s="81" t="s">
        <v>2253</v>
      </c>
    </row>
    <row r="9" spans="1:29">
      <c r="A9" s="105" t="s">
        <v>916</v>
      </c>
      <c r="B9" s="105" t="s">
        <v>104</v>
      </c>
      <c r="C9" s="105" t="s">
        <v>3122</v>
      </c>
      <c r="D9" s="105" t="s">
        <v>569</v>
      </c>
      <c r="E9" s="105" t="s">
        <v>3123</v>
      </c>
      <c r="F9" s="105"/>
      <c r="G9" s="105" t="s">
        <v>1178</v>
      </c>
      <c r="H9" s="105" t="s">
        <v>3108</v>
      </c>
      <c r="I9" s="105"/>
      <c r="K9" s="106" t="s">
        <v>91</v>
      </c>
      <c r="L9" s="106" t="s">
        <v>1181</v>
      </c>
      <c r="M9" s="106" t="s">
        <v>3124</v>
      </c>
      <c r="O9" s="106" t="s">
        <v>921</v>
      </c>
      <c r="P9" s="106"/>
      <c r="Q9" s="106" t="s">
        <v>570</v>
      </c>
      <c r="S9" s="106" t="s">
        <v>3125</v>
      </c>
      <c r="Y9" s="106" t="s">
        <v>3126</v>
      </c>
      <c r="AA9" s="106" t="s">
        <v>2895</v>
      </c>
      <c r="AC9" s="81" t="s">
        <v>2234</v>
      </c>
    </row>
    <row r="10" spans="1:29">
      <c r="A10" s="105" t="s">
        <v>916</v>
      </c>
      <c r="B10" s="105" t="s">
        <v>107</v>
      </c>
      <c r="C10" s="105" t="s">
        <v>3127</v>
      </c>
      <c r="D10" s="105" t="s">
        <v>569</v>
      </c>
      <c r="E10" s="105" t="s">
        <v>3128</v>
      </c>
      <c r="F10" s="105"/>
      <c r="G10" s="105" t="s">
        <v>1176</v>
      </c>
      <c r="H10" s="105" t="s">
        <v>3096</v>
      </c>
      <c r="I10" s="105"/>
      <c r="K10" s="106" t="s">
        <v>91</v>
      </c>
      <c r="L10" s="106" t="s">
        <v>1182</v>
      </c>
      <c r="M10" s="106" t="s">
        <v>3129</v>
      </c>
      <c r="O10" s="106" t="s">
        <v>922</v>
      </c>
      <c r="P10" s="106"/>
      <c r="Q10" s="106" t="s">
        <v>579</v>
      </c>
      <c r="S10" s="106" t="s">
        <v>3126</v>
      </c>
      <c r="Y10" s="106" t="s">
        <v>613</v>
      </c>
      <c r="AA10" s="107" t="s">
        <v>2896</v>
      </c>
    </row>
    <row r="11" spans="1:29">
      <c r="A11" s="105" t="s">
        <v>917</v>
      </c>
      <c r="B11" s="105" t="s">
        <v>110</v>
      </c>
      <c r="C11" s="105" t="s">
        <v>111</v>
      </c>
      <c r="D11" s="105" t="s">
        <v>569</v>
      </c>
      <c r="E11" s="105" t="s">
        <v>3130</v>
      </c>
      <c r="F11" s="105"/>
      <c r="G11" s="105" t="s">
        <v>1178</v>
      </c>
      <c r="H11" s="105" t="s">
        <v>3096</v>
      </c>
      <c r="I11" s="105"/>
      <c r="K11" s="106" t="s">
        <v>94</v>
      </c>
      <c r="L11" s="106" t="s">
        <v>2899</v>
      </c>
      <c r="M11" s="106" t="s">
        <v>3131</v>
      </c>
      <c r="O11" s="106" t="s">
        <v>923</v>
      </c>
      <c r="P11" s="106"/>
      <c r="Q11" s="106" t="s">
        <v>573</v>
      </c>
      <c r="S11" s="106" t="s">
        <v>3132</v>
      </c>
      <c r="AA11" s="107" t="s">
        <v>613</v>
      </c>
    </row>
    <row r="12" spans="1:29">
      <c r="A12" s="105" t="s">
        <v>917</v>
      </c>
      <c r="B12" s="105" t="s">
        <v>113</v>
      </c>
      <c r="C12" s="105" t="s">
        <v>114</v>
      </c>
      <c r="D12" s="105" t="s">
        <v>577</v>
      </c>
      <c r="E12" s="105" t="s">
        <v>3133</v>
      </c>
      <c r="F12" s="105" t="s">
        <v>3134</v>
      </c>
      <c r="G12" s="105" t="s">
        <v>1178</v>
      </c>
      <c r="H12" s="105" t="s">
        <v>3096</v>
      </c>
      <c r="I12" s="105"/>
      <c r="K12" s="106" t="s">
        <v>94</v>
      </c>
      <c r="L12" s="106" t="s">
        <v>1186</v>
      </c>
      <c r="M12" s="106" t="s">
        <v>3135</v>
      </c>
      <c r="O12" s="106" t="s">
        <v>924</v>
      </c>
      <c r="P12" s="106"/>
      <c r="Q12" s="106" t="s">
        <v>634</v>
      </c>
      <c r="S12" s="106" t="s">
        <v>3132</v>
      </c>
      <c r="AA12" s="107" t="s">
        <v>1900</v>
      </c>
    </row>
    <row r="13" spans="1:29">
      <c r="A13" s="105" t="s">
        <v>917</v>
      </c>
      <c r="B13" s="105" t="s">
        <v>116</v>
      </c>
      <c r="C13" s="105" t="s">
        <v>117</v>
      </c>
      <c r="D13" s="105" t="s">
        <v>569</v>
      </c>
      <c r="E13" s="105" t="s">
        <v>3136</v>
      </c>
      <c r="F13" s="105"/>
      <c r="G13" s="105" t="s">
        <v>1178</v>
      </c>
      <c r="H13" s="105" t="s">
        <v>3108</v>
      </c>
      <c r="I13" s="105"/>
      <c r="K13" s="106" t="s">
        <v>94</v>
      </c>
      <c r="L13" s="106" t="s">
        <v>1188</v>
      </c>
      <c r="M13" s="106" t="s">
        <v>3137</v>
      </c>
      <c r="O13" s="106" t="s">
        <v>925</v>
      </c>
      <c r="P13" s="106"/>
      <c r="Q13" s="106" t="s">
        <v>568</v>
      </c>
      <c r="S13" s="106" t="s">
        <v>613</v>
      </c>
    </row>
    <row r="14" spans="1:29">
      <c r="A14" s="105" t="s">
        <v>917</v>
      </c>
      <c r="B14" s="105" t="s">
        <v>119</v>
      </c>
      <c r="C14" s="105" t="s">
        <v>120</v>
      </c>
      <c r="D14" s="105" t="s">
        <v>569</v>
      </c>
      <c r="E14" s="105" t="s">
        <v>3138</v>
      </c>
      <c r="F14" s="105"/>
      <c r="G14" s="105" t="s">
        <v>1178</v>
      </c>
      <c r="H14" s="105" t="s">
        <v>3108</v>
      </c>
      <c r="I14" s="105"/>
      <c r="K14" s="106" t="s">
        <v>94</v>
      </c>
      <c r="L14" s="106" t="s">
        <v>1189</v>
      </c>
      <c r="M14" s="106" t="s">
        <v>3139</v>
      </c>
      <c r="O14" s="106" t="s">
        <v>926</v>
      </c>
      <c r="P14" s="106"/>
      <c r="Q14" s="106" t="s">
        <v>2310</v>
      </c>
      <c r="S14" s="106" t="s">
        <v>3121</v>
      </c>
    </row>
    <row r="15" spans="1:29">
      <c r="A15" s="105" t="s">
        <v>917</v>
      </c>
      <c r="B15" s="105" t="s">
        <v>121</v>
      </c>
      <c r="C15" s="105" t="s">
        <v>122</v>
      </c>
      <c r="D15" s="105" t="s">
        <v>569</v>
      </c>
      <c r="E15" s="105" t="s">
        <v>3140</v>
      </c>
      <c r="F15" s="105"/>
      <c r="G15" s="105" t="s">
        <v>1178</v>
      </c>
      <c r="H15" s="105" t="s">
        <v>3108</v>
      </c>
      <c r="I15" s="105"/>
      <c r="K15" s="106" t="s">
        <v>94</v>
      </c>
      <c r="L15" s="106" t="s">
        <v>2901</v>
      </c>
      <c r="M15" s="106" t="s">
        <v>3141</v>
      </c>
      <c r="O15" s="106" t="s">
        <v>927</v>
      </c>
      <c r="P15" s="106"/>
      <c r="Q15" s="106" t="s">
        <v>578</v>
      </c>
    </row>
    <row r="16" spans="1:29">
      <c r="A16" s="105" t="s">
        <v>917</v>
      </c>
      <c r="B16" s="105" t="s">
        <v>123</v>
      </c>
      <c r="C16" s="105" t="s">
        <v>124</v>
      </c>
      <c r="D16" s="105" t="s">
        <v>569</v>
      </c>
      <c r="E16" s="105" t="s">
        <v>3142</v>
      </c>
      <c r="F16" s="105"/>
      <c r="G16" s="105" t="s">
        <v>1178</v>
      </c>
      <c r="H16" s="105" t="s">
        <v>3108</v>
      </c>
      <c r="I16" s="105"/>
      <c r="K16" s="106" t="s">
        <v>96</v>
      </c>
      <c r="L16" s="106" t="s">
        <v>1190</v>
      </c>
      <c r="M16" s="106" t="s">
        <v>3143</v>
      </c>
      <c r="O16" s="106" t="s">
        <v>928</v>
      </c>
      <c r="P16" s="106"/>
      <c r="Q16" s="106" t="s">
        <v>835</v>
      </c>
    </row>
    <row r="17" spans="1:17">
      <c r="A17" s="105" t="s">
        <v>917</v>
      </c>
      <c r="B17" s="105" t="s">
        <v>125</v>
      </c>
      <c r="C17" s="105" t="s">
        <v>126</v>
      </c>
      <c r="D17" s="105" t="s">
        <v>569</v>
      </c>
      <c r="E17" s="105" t="s">
        <v>3144</v>
      </c>
      <c r="F17" s="105"/>
      <c r="G17" s="105" t="s">
        <v>1176</v>
      </c>
      <c r="H17" s="105" t="s">
        <v>3108</v>
      </c>
      <c r="I17" s="105"/>
      <c r="K17" s="106" t="s">
        <v>96</v>
      </c>
      <c r="L17" s="106" t="s">
        <v>3145</v>
      </c>
      <c r="M17" s="106" t="s">
        <v>3146</v>
      </c>
      <c r="O17" s="106" t="s">
        <v>929</v>
      </c>
      <c r="P17" s="106"/>
      <c r="Q17" s="106" t="s">
        <v>580</v>
      </c>
    </row>
    <row r="18" spans="1:17">
      <c r="A18" s="105" t="s">
        <v>917</v>
      </c>
      <c r="B18" s="105" t="s">
        <v>127</v>
      </c>
      <c r="C18" s="105" t="s">
        <v>128</v>
      </c>
      <c r="D18" s="105" t="s">
        <v>569</v>
      </c>
      <c r="E18" s="105" t="s">
        <v>3147</v>
      </c>
      <c r="F18" s="105"/>
      <c r="G18" s="105" t="s">
        <v>1178</v>
      </c>
      <c r="H18" s="105" t="s">
        <v>3096</v>
      </c>
      <c r="I18" s="105"/>
      <c r="K18" s="106" t="s">
        <v>96</v>
      </c>
      <c r="L18" s="106" t="s">
        <v>1191</v>
      </c>
      <c r="M18" s="106" t="s">
        <v>3148</v>
      </c>
      <c r="O18" s="106" t="s">
        <v>930</v>
      </c>
      <c r="P18" s="106"/>
      <c r="Q18" s="106" t="s">
        <v>3149</v>
      </c>
    </row>
    <row r="19" spans="1:17">
      <c r="A19" s="105" t="s">
        <v>917</v>
      </c>
      <c r="B19" s="105" t="s">
        <v>129</v>
      </c>
      <c r="C19" s="105" t="s">
        <v>130</v>
      </c>
      <c r="D19" s="105" t="s">
        <v>569</v>
      </c>
      <c r="E19" s="105" t="s">
        <v>3150</v>
      </c>
      <c r="F19" s="105"/>
      <c r="G19" s="105" t="s">
        <v>1178</v>
      </c>
      <c r="H19" s="105" t="s">
        <v>3108</v>
      </c>
      <c r="I19" s="105"/>
      <c r="K19" s="106" t="s">
        <v>99</v>
      </c>
      <c r="L19" s="106" t="s">
        <v>1192</v>
      </c>
      <c r="M19" s="106" t="s">
        <v>3151</v>
      </c>
      <c r="O19" s="106" t="s">
        <v>1959</v>
      </c>
      <c r="P19" s="106"/>
      <c r="Q19" s="106" t="s">
        <v>3152</v>
      </c>
    </row>
    <row r="20" spans="1:17">
      <c r="A20" s="105" t="s">
        <v>917</v>
      </c>
      <c r="B20" s="105" t="s">
        <v>131</v>
      </c>
      <c r="C20" s="105" t="s">
        <v>132</v>
      </c>
      <c r="D20" s="105" t="s">
        <v>569</v>
      </c>
      <c r="E20" s="105" t="s">
        <v>3153</v>
      </c>
      <c r="F20" s="105"/>
      <c r="G20" s="105" t="s">
        <v>1178</v>
      </c>
      <c r="H20" s="105" t="s">
        <v>3096</v>
      </c>
      <c r="I20" s="105"/>
      <c r="K20" s="106" t="s">
        <v>99</v>
      </c>
      <c r="L20" s="106" t="s">
        <v>3154</v>
      </c>
      <c r="M20" s="106" t="s">
        <v>3155</v>
      </c>
      <c r="O20" s="106" t="s">
        <v>1960</v>
      </c>
      <c r="P20" s="106"/>
      <c r="Q20" s="106" t="s">
        <v>3156</v>
      </c>
    </row>
    <row r="21" spans="1:17">
      <c r="A21" s="105" t="s">
        <v>917</v>
      </c>
      <c r="B21" s="105" t="s">
        <v>133</v>
      </c>
      <c r="C21" s="105" t="s">
        <v>134</v>
      </c>
      <c r="D21" s="105" t="s">
        <v>569</v>
      </c>
      <c r="E21" s="105" t="s">
        <v>3157</v>
      </c>
      <c r="F21" s="105"/>
      <c r="G21" s="105" t="s">
        <v>1178</v>
      </c>
      <c r="H21" s="105" t="s">
        <v>3108</v>
      </c>
      <c r="I21" s="105"/>
      <c r="K21" s="106" t="s">
        <v>99</v>
      </c>
      <c r="L21" s="106" t="s">
        <v>1193</v>
      </c>
      <c r="M21" s="106" t="s">
        <v>3158</v>
      </c>
      <c r="O21" s="106" t="s">
        <v>1964</v>
      </c>
      <c r="P21" s="106"/>
      <c r="Q21" s="106" t="s">
        <v>3159</v>
      </c>
    </row>
    <row r="22" spans="1:17">
      <c r="A22" s="105" t="s">
        <v>917</v>
      </c>
      <c r="B22" s="105" t="s">
        <v>136</v>
      </c>
      <c r="C22" s="105" t="s">
        <v>137</v>
      </c>
      <c r="D22" s="105" t="s">
        <v>577</v>
      </c>
      <c r="E22" s="105" t="s">
        <v>3160</v>
      </c>
      <c r="F22" s="105" t="s">
        <v>3161</v>
      </c>
      <c r="G22" s="105" t="s">
        <v>1178</v>
      </c>
      <c r="H22" s="105" t="s">
        <v>3096</v>
      </c>
      <c r="I22" s="105" t="s">
        <v>3109</v>
      </c>
      <c r="K22" s="106" t="s">
        <v>101</v>
      </c>
      <c r="L22" s="106" t="s">
        <v>1194</v>
      </c>
      <c r="M22" s="106" t="s">
        <v>3162</v>
      </c>
      <c r="O22" s="106" t="s">
        <v>1967</v>
      </c>
      <c r="P22" s="106"/>
      <c r="Q22" s="106" t="s">
        <v>3163</v>
      </c>
    </row>
    <row r="23" spans="1:17">
      <c r="A23" s="108" t="s">
        <v>918</v>
      </c>
      <c r="B23" s="108" t="s">
        <v>138</v>
      </c>
      <c r="C23" s="108" t="s">
        <v>139</v>
      </c>
      <c r="D23" s="108" t="s">
        <v>569</v>
      </c>
      <c r="E23" s="108" t="s">
        <v>3164</v>
      </c>
      <c r="F23" s="108"/>
      <c r="G23" s="108" t="s">
        <v>1178</v>
      </c>
      <c r="H23" s="108" t="s">
        <v>3096</v>
      </c>
      <c r="I23" s="108"/>
      <c r="K23" s="106" t="s">
        <v>101</v>
      </c>
      <c r="L23" s="106" t="s">
        <v>1195</v>
      </c>
      <c r="M23" s="106" t="s">
        <v>3165</v>
      </c>
      <c r="O23" s="106" t="s">
        <v>1972</v>
      </c>
      <c r="P23" s="106"/>
      <c r="Q23" s="106" t="s">
        <v>3166</v>
      </c>
    </row>
    <row r="24" spans="1:17">
      <c r="A24" s="108" t="s">
        <v>918</v>
      </c>
      <c r="B24" s="108" t="s">
        <v>141</v>
      </c>
      <c r="C24" s="108" t="s">
        <v>142</v>
      </c>
      <c r="D24" s="108" t="s">
        <v>569</v>
      </c>
      <c r="E24" s="108" t="s">
        <v>3167</v>
      </c>
      <c r="F24" s="108"/>
      <c r="G24" s="108" t="s">
        <v>1178</v>
      </c>
      <c r="H24" s="108" t="s">
        <v>3096</v>
      </c>
      <c r="I24" s="108"/>
      <c r="K24" s="106" t="s">
        <v>104</v>
      </c>
      <c r="L24" s="106" t="s">
        <v>1196</v>
      </c>
      <c r="M24" s="106" t="s">
        <v>3122</v>
      </c>
      <c r="O24" s="106" t="s">
        <v>1973</v>
      </c>
      <c r="P24" s="106"/>
      <c r="Q24" s="106" t="s">
        <v>3168</v>
      </c>
    </row>
    <row r="25" spans="1:17">
      <c r="A25" s="108" t="s">
        <v>918</v>
      </c>
      <c r="B25" s="108" t="s">
        <v>143</v>
      </c>
      <c r="C25" s="108" t="s">
        <v>144</v>
      </c>
      <c r="D25" s="108" t="s">
        <v>569</v>
      </c>
      <c r="E25" s="108" t="s">
        <v>3169</v>
      </c>
      <c r="F25" s="108"/>
      <c r="G25" s="108" t="s">
        <v>1178</v>
      </c>
      <c r="H25" s="108" t="s">
        <v>3096</v>
      </c>
      <c r="I25" s="108" t="s">
        <v>3170</v>
      </c>
      <c r="K25" s="106" t="s">
        <v>104</v>
      </c>
      <c r="L25" s="106" t="s">
        <v>1197</v>
      </c>
      <c r="M25" s="106" t="s">
        <v>3171</v>
      </c>
      <c r="O25" s="106" t="s">
        <v>1974</v>
      </c>
      <c r="P25" s="106"/>
      <c r="Q25" s="106" t="s">
        <v>3172</v>
      </c>
    </row>
    <row r="26" spans="1:17">
      <c r="A26" s="108" t="s">
        <v>918</v>
      </c>
      <c r="B26" s="108" t="s">
        <v>146</v>
      </c>
      <c r="C26" s="108" t="s">
        <v>147</v>
      </c>
      <c r="D26" s="108" t="s">
        <v>569</v>
      </c>
      <c r="E26" s="108" t="s">
        <v>3173</v>
      </c>
      <c r="F26" s="108"/>
      <c r="G26" s="108" t="s">
        <v>1178</v>
      </c>
      <c r="H26" s="108" t="s">
        <v>3108</v>
      </c>
      <c r="I26" s="108" t="s">
        <v>3174</v>
      </c>
      <c r="K26" s="106" t="s">
        <v>107</v>
      </c>
      <c r="L26" s="106" t="s">
        <v>1198</v>
      </c>
      <c r="M26" s="106" t="s">
        <v>3127</v>
      </c>
      <c r="O26" s="106" t="s">
        <v>1975</v>
      </c>
      <c r="P26" s="106"/>
      <c r="Q26" s="106" t="s">
        <v>3175</v>
      </c>
    </row>
    <row r="27" spans="1:17">
      <c r="A27" s="108" t="s">
        <v>918</v>
      </c>
      <c r="B27" s="108" t="s">
        <v>149</v>
      </c>
      <c r="C27" s="108" t="s">
        <v>3176</v>
      </c>
      <c r="D27" s="108" t="s">
        <v>569</v>
      </c>
      <c r="E27" s="108" t="s">
        <v>3177</v>
      </c>
      <c r="F27" s="108"/>
      <c r="G27" s="108" t="s">
        <v>1178</v>
      </c>
      <c r="H27" s="108" t="s">
        <v>3096</v>
      </c>
      <c r="I27" s="108"/>
      <c r="K27" s="106" t="s">
        <v>107</v>
      </c>
      <c r="L27" s="106" t="s">
        <v>1199</v>
      </c>
      <c r="M27" s="106" t="s">
        <v>3178</v>
      </c>
      <c r="O27" s="106" t="s">
        <v>1977</v>
      </c>
      <c r="P27" s="106"/>
      <c r="Q27" s="106" t="s">
        <v>3179</v>
      </c>
    </row>
    <row r="28" spans="1:17">
      <c r="A28" s="105" t="s">
        <v>919</v>
      </c>
      <c r="B28" s="105" t="s">
        <v>151</v>
      </c>
      <c r="C28" s="105" t="s">
        <v>152</v>
      </c>
      <c r="D28" s="105" t="s">
        <v>577</v>
      </c>
      <c r="E28" s="105" t="s">
        <v>3180</v>
      </c>
      <c r="F28" s="105" t="s">
        <v>3134</v>
      </c>
      <c r="G28" s="105" t="s">
        <v>1178</v>
      </c>
      <c r="H28" s="105" t="s">
        <v>3108</v>
      </c>
      <c r="I28" s="105"/>
      <c r="K28" s="106" t="s">
        <v>110</v>
      </c>
      <c r="L28" s="106" t="s">
        <v>1202</v>
      </c>
      <c r="M28" s="106" t="s">
        <v>3181</v>
      </c>
      <c r="O28" s="106" t="s">
        <v>1978</v>
      </c>
      <c r="P28" s="106"/>
      <c r="Q28" s="106" t="s">
        <v>3182</v>
      </c>
    </row>
    <row r="29" spans="1:17">
      <c r="A29" s="105" t="s">
        <v>919</v>
      </c>
      <c r="B29" s="105" t="s">
        <v>154</v>
      </c>
      <c r="C29" s="105" t="s">
        <v>155</v>
      </c>
      <c r="D29" s="105" t="s">
        <v>569</v>
      </c>
      <c r="E29" s="105" t="s">
        <v>3183</v>
      </c>
      <c r="F29" s="105"/>
      <c r="G29" s="105" t="s">
        <v>1178</v>
      </c>
      <c r="H29" s="105" t="s">
        <v>3096</v>
      </c>
      <c r="I29" s="105"/>
      <c r="K29" s="106" t="s">
        <v>110</v>
      </c>
      <c r="L29" s="106" t="s">
        <v>1203</v>
      </c>
      <c r="M29" s="106" t="s">
        <v>3184</v>
      </c>
      <c r="O29" s="106" t="s">
        <v>1980</v>
      </c>
      <c r="P29" s="106"/>
      <c r="Q29" s="106" t="s">
        <v>516</v>
      </c>
    </row>
    <row r="30" spans="1:17">
      <c r="A30" s="105" t="s">
        <v>919</v>
      </c>
      <c r="B30" s="105" t="s">
        <v>157</v>
      </c>
      <c r="C30" s="105" t="s">
        <v>158</v>
      </c>
      <c r="D30" s="105" t="s">
        <v>577</v>
      </c>
      <c r="E30" s="105" t="s">
        <v>3185</v>
      </c>
      <c r="F30" s="105" t="s">
        <v>3186</v>
      </c>
      <c r="G30" s="105" t="s">
        <v>1178</v>
      </c>
      <c r="H30" s="105" t="s">
        <v>3096</v>
      </c>
      <c r="I30" s="105"/>
      <c r="K30" s="106" t="s">
        <v>113</v>
      </c>
      <c r="L30" s="106" t="s">
        <v>1207</v>
      </c>
      <c r="M30" s="106" t="s">
        <v>3187</v>
      </c>
      <c r="O30" s="106" t="s">
        <v>1982</v>
      </c>
      <c r="P30" s="106"/>
      <c r="Q30" s="106" t="s">
        <v>518</v>
      </c>
    </row>
    <row r="31" spans="1:17">
      <c r="A31" s="105" t="s">
        <v>919</v>
      </c>
      <c r="B31" s="105" t="s">
        <v>159</v>
      </c>
      <c r="C31" s="105" t="s">
        <v>160</v>
      </c>
      <c r="D31" s="105" t="s">
        <v>577</v>
      </c>
      <c r="E31" s="105" t="s">
        <v>3188</v>
      </c>
      <c r="F31" s="105" t="s">
        <v>3134</v>
      </c>
      <c r="G31" s="105" t="s">
        <v>1178</v>
      </c>
      <c r="H31" s="105" t="s">
        <v>3108</v>
      </c>
      <c r="I31" s="105"/>
      <c r="K31" s="106" t="s">
        <v>113</v>
      </c>
      <c r="L31" s="106" t="s">
        <v>1208</v>
      </c>
      <c r="M31" s="106" t="s">
        <v>3189</v>
      </c>
      <c r="O31" s="106" t="s">
        <v>1983</v>
      </c>
      <c r="P31" s="106"/>
      <c r="Q31" s="106" t="s">
        <v>3190</v>
      </c>
    </row>
    <row r="32" spans="1:17">
      <c r="A32" s="105" t="s">
        <v>919</v>
      </c>
      <c r="B32" s="105" t="s">
        <v>161</v>
      </c>
      <c r="C32" s="105" t="s">
        <v>162</v>
      </c>
      <c r="D32" s="105" t="s">
        <v>569</v>
      </c>
      <c r="E32" s="105" t="s">
        <v>3191</v>
      </c>
      <c r="F32" s="105"/>
      <c r="G32" s="105" t="s">
        <v>1178</v>
      </c>
      <c r="H32" s="105" t="s">
        <v>3108</v>
      </c>
      <c r="I32" s="105" t="s">
        <v>3109</v>
      </c>
      <c r="K32" s="106" t="s">
        <v>116</v>
      </c>
      <c r="L32" s="106" t="s">
        <v>3192</v>
      </c>
      <c r="M32" s="106" t="s">
        <v>3193</v>
      </c>
      <c r="O32" s="106" t="s">
        <v>2019</v>
      </c>
      <c r="P32" s="106"/>
      <c r="Q32" s="106" t="s">
        <v>3194</v>
      </c>
    </row>
    <row r="33" spans="1:17">
      <c r="A33" s="105" t="s">
        <v>919</v>
      </c>
      <c r="B33" s="105" t="s">
        <v>163</v>
      </c>
      <c r="C33" s="105" t="s">
        <v>164</v>
      </c>
      <c r="D33" s="105" t="s">
        <v>569</v>
      </c>
      <c r="E33" s="105" t="s">
        <v>3195</v>
      </c>
      <c r="F33" s="105"/>
      <c r="G33" s="105" t="s">
        <v>1178</v>
      </c>
      <c r="H33" s="105" t="s">
        <v>3096</v>
      </c>
      <c r="I33" s="105" t="s">
        <v>3109</v>
      </c>
      <c r="K33" s="106" t="s">
        <v>116</v>
      </c>
      <c r="L33" s="106" t="s">
        <v>1210</v>
      </c>
      <c r="M33" s="106" t="s">
        <v>3196</v>
      </c>
      <c r="O33" s="106" t="s">
        <v>2025</v>
      </c>
      <c r="P33" s="106"/>
      <c r="Q33" s="106" t="s">
        <v>3197</v>
      </c>
    </row>
    <row r="34" spans="1:17">
      <c r="A34" s="105" t="s">
        <v>920</v>
      </c>
      <c r="B34" s="105" t="s">
        <v>165</v>
      </c>
      <c r="C34" s="105" t="s">
        <v>166</v>
      </c>
      <c r="D34" s="105" t="s">
        <v>569</v>
      </c>
      <c r="E34" s="105" t="s">
        <v>3198</v>
      </c>
      <c r="F34" s="105"/>
      <c r="G34" s="105" t="s">
        <v>1176</v>
      </c>
      <c r="H34" s="105" t="s">
        <v>3108</v>
      </c>
      <c r="I34" s="105"/>
      <c r="K34" s="106" t="s">
        <v>116</v>
      </c>
      <c r="L34" s="106" t="s">
        <v>3199</v>
      </c>
      <c r="M34" s="106" t="s">
        <v>3200</v>
      </c>
      <c r="O34" s="106" t="s">
        <v>2029</v>
      </c>
      <c r="P34" s="106"/>
      <c r="Q34" s="106" t="s">
        <v>3201</v>
      </c>
    </row>
    <row r="35" spans="1:17">
      <c r="A35" s="105" t="s">
        <v>920</v>
      </c>
      <c r="B35" s="105" t="s">
        <v>167</v>
      </c>
      <c r="C35" s="105" t="s">
        <v>168</v>
      </c>
      <c r="D35" s="105" t="s">
        <v>569</v>
      </c>
      <c r="E35" s="105" t="s">
        <v>3202</v>
      </c>
      <c r="F35" s="105"/>
      <c r="G35" s="105" t="s">
        <v>1178</v>
      </c>
      <c r="H35" s="105" t="s">
        <v>3108</v>
      </c>
      <c r="I35" s="105"/>
      <c r="K35" s="106" t="s">
        <v>119</v>
      </c>
      <c r="L35" s="106" t="s">
        <v>1211</v>
      </c>
      <c r="M35" s="106" t="s">
        <v>3203</v>
      </c>
      <c r="O35" s="106" t="s">
        <v>2034</v>
      </c>
      <c r="P35" s="106"/>
      <c r="Q35" s="106" t="s">
        <v>3204</v>
      </c>
    </row>
    <row r="36" spans="1:17">
      <c r="A36" s="105" t="s">
        <v>920</v>
      </c>
      <c r="B36" s="105" t="s">
        <v>169</v>
      </c>
      <c r="C36" s="105" t="s">
        <v>170</v>
      </c>
      <c r="D36" s="105" t="s">
        <v>569</v>
      </c>
      <c r="E36" s="105" t="s">
        <v>3205</v>
      </c>
      <c r="F36" s="105"/>
      <c r="G36" s="105" t="s">
        <v>1178</v>
      </c>
      <c r="H36" s="105" t="s">
        <v>3108</v>
      </c>
      <c r="I36" s="109" t="s">
        <v>3206</v>
      </c>
      <c r="J36" s="110"/>
      <c r="K36" s="106" t="s">
        <v>119</v>
      </c>
      <c r="L36" s="106" t="s">
        <v>1212</v>
      </c>
      <c r="M36" s="106" t="s">
        <v>3207</v>
      </c>
      <c r="O36" s="106" t="s">
        <v>2037</v>
      </c>
      <c r="P36" s="106"/>
      <c r="Q36" s="106" t="s">
        <v>3208</v>
      </c>
    </row>
    <row r="37" spans="1:17">
      <c r="A37" s="105" t="s">
        <v>920</v>
      </c>
      <c r="B37" s="105" t="s">
        <v>171</v>
      </c>
      <c r="C37" s="105" t="s">
        <v>172</v>
      </c>
      <c r="D37" s="105" t="s">
        <v>569</v>
      </c>
      <c r="E37" s="105" t="s">
        <v>3209</v>
      </c>
      <c r="F37" s="105"/>
      <c r="G37" s="105" t="s">
        <v>1178</v>
      </c>
      <c r="H37" s="105" t="s">
        <v>3108</v>
      </c>
      <c r="I37" s="105"/>
      <c r="K37" s="106" t="s">
        <v>119</v>
      </c>
      <c r="L37" s="106" t="s">
        <v>1213</v>
      </c>
      <c r="M37" s="106" t="s">
        <v>3210</v>
      </c>
      <c r="O37" s="106" t="s">
        <v>2040</v>
      </c>
      <c r="P37" s="106"/>
      <c r="Q37" s="106" t="s">
        <v>3211</v>
      </c>
    </row>
    <row r="38" spans="1:17">
      <c r="A38" s="105" t="s">
        <v>920</v>
      </c>
      <c r="B38" s="105" t="s">
        <v>173</v>
      </c>
      <c r="C38" s="105" t="s">
        <v>174</v>
      </c>
      <c r="D38" s="105" t="s">
        <v>569</v>
      </c>
      <c r="E38" s="105" t="s">
        <v>3212</v>
      </c>
      <c r="F38" s="105"/>
      <c r="G38" s="105" t="s">
        <v>1178</v>
      </c>
      <c r="H38" s="105" t="s">
        <v>3108</v>
      </c>
      <c r="I38" s="105"/>
      <c r="K38" s="106" t="s">
        <v>121</v>
      </c>
      <c r="L38" s="106" t="s">
        <v>1214</v>
      </c>
      <c r="M38" s="106" t="s">
        <v>3213</v>
      </c>
    </row>
    <row r="39" spans="1:17">
      <c r="A39" s="105" t="s">
        <v>920</v>
      </c>
      <c r="B39" s="105" t="s">
        <v>175</v>
      </c>
      <c r="C39" s="105" t="s">
        <v>176</v>
      </c>
      <c r="D39" s="105" t="s">
        <v>569</v>
      </c>
      <c r="E39" s="105" t="s">
        <v>3214</v>
      </c>
      <c r="F39" s="105"/>
      <c r="G39" s="105" t="s">
        <v>1178</v>
      </c>
      <c r="H39" s="105" t="s">
        <v>3108</v>
      </c>
      <c r="I39" s="105"/>
      <c r="K39" s="106" t="s">
        <v>121</v>
      </c>
      <c r="L39" s="106" t="s">
        <v>1215</v>
      </c>
      <c r="M39" s="106" t="s">
        <v>3215</v>
      </c>
    </row>
    <row r="40" spans="1:17">
      <c r="A40" s="105" t="s">
        <v>920</v>
      </c>
      <c r="B40" s="105" t="s">
        <v>177</v>
      </c>
      <c r="C40" s="105" t="s">
        <v>178</v>
      </c>
      <c r="D40" s="105" t="s">
        <v>569</v>
      </c>
      <c r="E40" s="105" t="s">
        <v>3216</v>
      </c>
      <c r="F40" s="105"/>
      <c r="G40" s="105" t="s">
        <v>1178</v>
      </c>
      <c r="H40" s="105" t="s">
        <v>3108</v>
      </c>
      <c r="I40" s="105" t="s">
        <v>3217</v>
      </c>
      <c r="K40" s="106" t="s">
        <v>123</v>
      </c>
      <c r="L40" s="106" t="s">
        <v>1216</v>
      </c>
      <c r="M40" s="106" t="s">
        <v>3218</v>
      </c>
    </row>
    <row r="41" spans="1:17">
      <c r="A41" s="105" t="s">
        <v>920</v>
      </c>
      <c r="B41" s="105" t="s">
        <v>179</v>
      </c>
      <c r="C41" s="105" t="s">
        <v>180</v>
      </c>
      <c r="D41" s="105" t="s">
        <v>569</v>
      </c>
      <c r="E41" s="105" t="s">
        <v>3219</v>
      </c>
      <c r="F41" s="105"/>
      <c r="G41" s="105" t="s">
        <v>1178</v>
      </c>
      <c r="H41" s="105" t="s">
        <v>3108</v>
      </c>
      <c r="I41" s="105"/>
      <c r="K41" s="106" t="s">
        <v>123</v>
      </c>
      <c r="L41" s="106" t="s">
        <v>1217</v>
      </c>
      <c r="M41" s="106" t="s">
        <v>3220</v>
      </c>
    </row>
    <row r="42" spans="1:17">
      <c r="A42" s="105" t="s">
        <v>920</v>
      </c>
      <c r="B42" s="105" t="s">
        <v>181</v>
      </c>
      <c r="C42" s="105" t="s">
        <v>182</v>
      </c>
      <c r="D42" s="105" t="s">
        <v>569</v>
      </c>
      <c r="E42" s="105" t="s">
        <v>3221</v>
      </c>
      <c r="F42" s="105"/>
      <c r="G42" s="105" t="s">
        <v>1178</v>
      </c>
      <c r="H42" s="105" t="s">
        <v>3108</v>
      </c>
      <c r="I42" s="105" t="s">
        <v>3109</v>
      </c>
      <c r="K42" s="106" t="s">
        <v>125</v>
      </c>
      <c r="L42" s="106" t="s">
        <v>1221</v>
      </c>
      <c r="M42" s="106" t="s">
        <v>126</v>
      </c>
    </row>
    <row r="43" spans="1:17">
      <c r="A43" s="105" t="s">
        <v>920</v>
      </c>
      <c r="B43" s="105" t="s">
        <v>183</v>
      </c>
      <c r="C43" s="105" t="s">
        <v>184</v>
      </c>
      <c r="D43" s="105" t="s">
        <v>569</v>
      </c>
      <c r="E43" s="105" t="s">
        <v>3222</v>
      </c>
      <c r="F43" s="105"/>
      <c r="G43" s="105" t="s">
        <v>1281</v>
      </c>
      <c r="H43" s="105" t="s">
        <v>3108</v>
      </c>
      <c r="I43" s="105"/>
      <c r="K43" s="106" t="s">
        <v>125</v>
      </c>
      <c r="L43" s="106" t="s">
        <v>1222</v>
      </c>
      <c r="M43" s="106" t="s">
        <v>3223</v>
      </c>
    </row>
    <row r="44" spans="1:17">
      <c r="A44" s="105" t="s">
        <v>920</v>
      </c>
      <c r="B44" s="105" t="s">
        <v>185</v>
      </c>
      <c r="C44" s="105" t="s">
        <v>186</v>
      </c>
      <c r="D44" s="105" t="s">
        <v>569</v>
      </c>
      <c r="E44" s="111" t="s">
        <v>3224</v>
      </c>
      <c r="F44" s="111"/>
      <c r="G44" s="105" t="s">
        <v>1178</v>
      </c>
      <c r="H44" s="105" t="s">
        <v>3108</v>
      </c>
      <c r="I44" s="105"/>
      <c r="K44" s="106" t="s">
        <v>127</v>
      </c>
      <c r="L44" s="106" t="s">
        <v>1223</v>
      </c>
      <c r="M44" s="106" t="s">
        <v>128</v>
      </c>
    </row>
    <row r="45" spans="1:17">
      <c r="A45" s="105" t="s">
        <v>920</v>
      </c>
      <c r="B45" s="105" t="s">
        <v>188</v>
      </c>
      <c r="C45" s="105" t="s">
        <v>189</v>
      </c>
      <c r="D45" s="105" t="s">
        <v>569</v>
      </c>
      <c r="E45" s="105" t="s">
        <v>3225</v>
      </c>
      <c r="F45" s="105"/>
      <c r="G45" s="105" t="s">
        <v>1176</v>
      </c>
      <c r="H45" s="105" t="s">
        <v>3108</v>
      </c>
      <c r="I45" s="105"/>
      <c r="K45" s="106" t="s">
        <v>129</v>
      </c>
      <c r="L45" s="106" t="s">
        <v>1224</v>
      </c>
      <c r="M45" s="106" t="s">
        <v>3226</v>
      </c>
    </row>
    <row r="46" spans="1:17">
      <c r="A46" s="105" t="s">
        <v>920</v>
      </c>
      <c r="B46" s="105" t="s">
        <v>190</v>
      </c>
      <c r="C46" s="105" t="s">
        <v>191</v>
      </c>
      <c r="D46" s="105" t="s">
        <v>569</v>
      </c>
      <c r="E46" s="105" t="s">
        <v>3227</v>
      </c>
      <c r="F46" s="105"/>
      <c r="G46" s="105" t="s">
        <v>1178</v>
      </c>
      <c r="H46" s="105" t="s">
        <v>3108</v>
      </c>
      <c r="I46" s="105"/>
      <c r="K46" s="106" t="s">
        <v>129</v>
      </c>
      <c r="L46" s="106" t="s">
        <v>1225</v>
      </c>
      <c r="M46" s="106" t="s">
        <v>3228</v>
      </c>
    </row>
    <row r="47" spans="1:17">
      <c r="A47" s="105" t="s">
        <v>920</v>
      </c>
      <c r="B47" s="105" t="s">
        <v>192</v>
      </c>
      <c r="C47" s="105" t="s">
        <v>193</v>
      </c>
      <c r="D47" s="105" t="s">
        <v>569</v>
      </c>
      <c r="E47" s="105" t="s">
        <v>3229</v>
      </c>
      <c r="F47" s="105"/>
      <c r="G47" s="105" t="s">
        <v>2285</v>
      </c>
      <c r="H47" s="105" t="s">
        <v>3108</v>
      </c>
      <c r="I47" s="105"/>
      <c r="K47" s="106" t="s">
        <v>131</v>
      </c>
      <c r="L47" s="106" t="s">
        <v>1226</v>
      </c>
      <c r="M47" s="106" t="s">
        <v>132</v>
      </c>
    </row>
    <row r="48" spans="1:17">
      <c r="A48" s="105" t="s">
        <v>920</v>
      </c>
      <c r="B48" s="105" t="s">
        <v>194</v>
      </c>
      <c r="C48" s="105" t="s">
        <v>195</v>
      </c>
      <c r="D48" s="105" t="s">
        <v>569</v>
      </c>
      <c r="E48" s="105" t="s">
        <v>3230</v>
      </c>
      <c r="F48" s="105"/>
      <c r="G48" s="105" t="s">
        <v>1178</v>
      </c>
      <c r="H48" s="105" t="s">
        <v>3108</v>
      </c>
      <c r="I48" s="105" t="s">
        <v>3109</v>
      </c>
      <c r="K48" s="106" t="s">
        <v>133</v>
      </c>
      <c r="L48" s="106" t="s">
        <v>1227</v>
      </c>
      <c r="M48" s="106" t="s">
        <v>134</v>
      </c>
    </row>
    <row r="49" spans="1:14">
      <c r="A49" s="105" t="s">
        <v>920</v>
      </c>
      <c r="B49" s="105" t="s">
        <v>196</v>
      </c>
      <c r="C49" s="105" t="s">
        <v>197</v>
      </c>
      <c r="D49" s="105" t="s">
        <v>569</v>
      </c>
      <c r="E49" s="105" t="s">
        <v>3231</v>
      </c>
      <c r="F49" s="105"/>
      <c r="G49" s="105" t="s">
        <v>1178</v>
      </c>
      <c r="H49" s="105" t="s">
        <v>3108</v>
      </c>
      <c r="I49" s="105"/>
      <c r="K49" s="106" t="s">
        <v>136</v>
      </c>
      <c r="L49" s="106" t="s">
        <v>1229</v>
      </c>
      <c r="M49" s="106" t="s">
        <v>137</v>
      </c>
    </row>
    <row r="50" spans="1:14">
      <c r="A50" s="105" t="s">
        <v>920</v>
      </c>
      <c r="B50" s="105" t="s">
        <v>198</v>
      </c>
      <c r="C50" s="105" t="s">
        <v>199</v>
      </c>
      <c r="D50" s="105" t="s">
        <v>569</v>
      </c>
      <c r="E50" s="105" t="s">
        <v>3150</v>
      </c>
      <c r="F50" s="105"/>
      <c r="G50" s="105" t="s">
        <v>1295</v>
      </c>
      <c r="H50" s="105" t="s">
        <v>3108</v>
      </c>
      <c r="I50" s="105"/>
      <c r="K50" s="106" t="s">
        <v>136</v>
      </c>
      <c r="L50" s="106" t="s">
        <v>1230</v>
      </c>
      <c r="M50" s="106" t="s">
        <v>3232</v>
      </c>
    </row>
    <row r="51" spans="1:14">
      <c r="A51" s="105" t="s">
        <v>920</v>
      </c>
      <c r="B51" s="105" t="s">
        <v>200</v>
      </c>
      <c r="C51" s="105" t="s">
        <v>2286</v>
      </c>
      <c r="D51" s="105" t="s">
        <v>569</v>
      </c>
      <c r="E51" s="105" t="s">
        <v>3233</v>
      </c>
      <c r="F51" s="105"/>
      <c r="G51" s="105" t="s">
        <v>1178</v>
      </c>
      <c r="H51" s="105" t="s">
        <v>3108</v>
      </c>
      <c r="I51" s="105"/>
      <c r="K51" s="112" t="s">
        <v>138</v>
      </c>
      <c r="L51" s="112" t="s">
        <v>3234</v>
      </c>
      <c r="M51" s="112" t="s">
        <v>3235</v>
      </c>
      <c r="N51" s="81" t="s">
        <v>3236</v>
      </c>
    </row>
    <row r="52" spans="1:14">
      <c r="A52" s="105" t="s">
        <v>920</v>
      </c>
      <c r="B52" s="105" t="s">
        <v>203</v>
      </c>
      <c r="C52" s="105" t="s">
        <v>204</v>
      </c>
      <c r="D52" s="105" t="s">
        <v>569</v>
      </c>
      <c r="E52" s="105" t="s">
        <v>3237</v>
      </c>
      <c r="F52" s="105"/>
      <c r="G52" s="105" t="s">
        <v>1178</v>
      </c>
      <c r="H52" s="105" t="s">
        <v>3108</v>
      </c>
      <c r="I52" s="105"/>
      <c r="K52" s="112" t="s">
        <v>138</v>
      </c>
      <c r="L52" s="112" t="s">
        <v>3238</v>
      </c>
      <c r="M52" s="112" t="s">
        <v>3239</v>
      </c>
    </row>
    <row r="53" spans="1:14">
      <c r="A53" s="105" t="s">
        <v>920</v>
      </c>
      <c r="B53" s="105" t="s">
        <v>205</v>
      </c>
      <c r="C53" s="105" t="s">
        <v>206</v>
      </c>
      <c r="D53" s="105" t="s">
        <v>569</v>
      </c>
      <c r="E53" s="105" t="s">
        <v>3240</v>
      </c>
      <c r="F53" s="105"/>
      <c r="G53" s="105" t="s">
        <v>1176</v>
      </c>
      <c r="H53" s="105" t="s">
        <v>3096</v>
      </c>
      <c r="I53" s="105"/>
      <c r="K53" s="112" t="s">
        <v>138</v>
      </c>
      <c r="L53" s="112" t="s">
        <v>3241</v>
      </c>
      <c r="M53" s="112" t="s">
        <v>3242</v>
      </c>
    </row>
    <row r="54" spans="1:14">
      <c r="A54" s="105" t="s">
        <v>920</v>
      </c>
      <c r="B54" s="105" t="s">
        <v>207</v>
      </c>
      <c r="C54" s="105" t="s">
        <v>208</v>
      </c>
      <c r="D54" s="105" t="s">
        <v>569</v>
      </c>
      <c r="E54" s="105" t="s">
        <v>3243</v>
      </c>
      <c r="F54" s="105"/>
      <c r="G54" s="105" t="s">
        <v>1178</v>
      </c>
      <c r="H54" s="105" t="s">
        <v>3108</v>
      </c>
      <c r="I54" s="105"/>
      <c r="K54" s="112" t="s">
        <v>141</v>
      </c>
      <c r="L54" s="112" t="s">
        <v>3244</v>
      </c>
      <c r="M54" s="112" t="s">
        <v>3245</v>
      </c>
    </row>
    <row r="55" spans="1:14">
      <c r="A55" s="105" t="s">
        <v>921</v>
      </c>
      <c r="B55" s="105" t="s">
        <v>209</v>
      </c>
      <c r="C55" s="105" t="s">
        <v>210</v>
      </c>
      <c r="D55" s="105" t="s">
        <v>569</v>
      </c>
      <c r="E55" s="105" t="s">
        <v>3246</v>
      </c>
      <c r="F55" s="105"/>
      <c r="G55" s="105" t="s">
        <v>1176</v>
      </c>
      <c r="H55" s="105" t="s">
        <v>3096</v>
      </c>
      <c r="I55" s="105"/>
      <c r="K55" s="112" t="s">
        <v>141</v>
      </c>
      <c r="L55" s="112" t="s">
        <v>3247</v>
      </c>
      <c r="M55" s="112" t="s">
        <v>3248</v>
      </c>
    </row>
    <row r="56" spans="1:14">
      <c r="A56" s="105" t="s">
        <v>921</v>
      </c>
      <c r="B56" s="105" t="s">
        <v>211</v>
      </c>
      <c r="C56" s="105" t="s">
        <v>212</v>
      </c>
      <c r="D56" s="105" t="s">
        <v>569</v>
      </c>
      <c r="E56" s="105" t="s">
        <v>3249</v>
      </c>
      <c r="F56" s="105"/>
      <c r="G56" s="105" t="s">
        <v>1176</v>
      </c>
      <c r="H56" s="105" t="s">
        <v>3096</v>
      </c>
      <c r="I56" s="105"/>
      <c r="K56" s="112" t="s">
        <v>143</v>
      </c>
      <c r="L56" s="112" t="s">
        <v>3250</v>
      </c>
      <c r="M56" s="112" t="s">
        <v>3251</v>
      </c>
    </row>
    <row r="57" spans="1:14">
      <c r="A57" s="105" t="s">
        <v>921</v>
      </c>
      <c r="B57" s="105" t="s">
        <v>213</v>
      </c>
      <c r="C57" s="105" t="s">
        <v>214</v>
      </c>
      <c r="D57" s="105" t="s">
        <v>569</v>
      </c>
      <c r="E57" s="105" t="s">
        <v>3252</v>
      </c>
      <c r="F57" s="105"/>
      <c r="G57" s="105" t="s">
        <v>1178</v>
      </c>
      <c r="H57" s="105" t="s">
        <v>3096</v>
      </c>
      <c r="I57" s="105"/>
      <c r="K57" s="112" t="s">
        <v>143</v>
      </c>
      <c r="L57" s="112" t="s">
        <v>3253</v>
      </c>
      <c r="M57" s="112" t="s">
        <v>3254</v>
      </c>
    </row>
    <row r="58" spans="1:14">
      <c r="A58" s="105" t="s">
        <v>921</v>
      </c>
      <c r="B58" s="105" t="s">
        <v>215</v>
      </c>
      <c r="C58" s="105" t="s">
        <v>216</v>
      </c>
      <c r="D58" s="105" t="s">
        <v>569</v>
      </c>
      <c r="E58" s="105" t="s">
        <v>3255</v>
      </c>
      <c r="F58" s="105"/>
      <c r="G58" s="105" t="s">
        <v>1178</v>
      </c>
      <c r="H58" s="105" t="s">
        <v>3096</v>
      </c>
      <c r="I58" s="105"/>
      <c r="K58" s="112" t="s">
        <v>146</v>
      </c>
      <c r="L58" s="112" t="s">
        <v>3256</v>
      </c>
      <c r="M58" s="112" t="s">
        <v>3257</v>
      </c>
    </row>
    <row r="59" spans="1:14">
      <c r="A59" s="105" t="s">
        <v>921</v>
      </c>
      <c r="B59" s="105" t="s">
        <v>217</v>
      </c>
      <c r="C59" s="105" t="s">
        <v>218</v>
      </c>
      <c r="D59" s="105" t="s">
        <v>569</v>
      </c>
      <c r="E59" s="105" t="s">
        <v>3258</v>
      </c>
      <c r="F59" s="105"/>
      <c r="G59" s="105" t="s">
        <v>1220</v>
      </c>
      <c r="H59" s="105" t="s">
        <v>3108</v>
      </c>
      <c r="I59" s="105"/>
      <c r="K59" s="112" t="s">
        <v>146</v>
      </c>
      <c r="L59" s="112" t="s">
        <v>3259</v>
      </c>
      <c r="M59" s="112" t="s">
        <v>3260</v>
      </c>
    </row>
    <row r="60" spans="1:14">
      <c r="A60" s="105" t="s">
        <v>921</v>
      </c>
      <c r="B60" s="105" t="s">
        <v>219</v>
      </c>
      <c r="C60" s="105" t="s">
        <v>220</v>
      </c>
      <c r="D60" s="105" t="s">
        <v>569</v>
      </c>
      <c r="E60" s="105" t="s">
        <v>3261</v>
      </c>
      <c r="F60" s="105"/>
      <c r="G60" s="105" t="s">
        <v>1281</v>
      </c>
      <c r="H60" s="105" t="s">
        <v>3108</v>
      </c>
      <c r="I60" s="105"/>
      <c r="K60" s="112" t="s">
        <v>146</v>
      </c>
      <c r="L60" s="112" t="s">
        <v>3262</v>
      </c>
      <c r="M60" s="112" t="s">
        <v>3263</v>
      </c>
    </row>
    <row r="61" spans="1:14">
      <c r="A61" s="105" t="s">
        <v>921</v>
      </c>
      <c r="B61" s="105" t="s">
        <v>221</v>
      </c>
      <c r="C61" s="105" t="s">
        <v>222</v>
      </c>
      <c r="D61" s="105" t="s">
        <v>569</v>
      </c>
      <c r="E61" s="105" t="s">
        <v>3264</v>
      </c>
      <c r="F61" s="105"/>
      <c r="G61" s="105" t="s">
        <v>1220</v>
      </c>
      <c r="H61" s="105" t="s">
        <v>3108</v>
      </c>
      <c r="I61" s="105"/>
      <c r="K61" s="112" t="s">
        <v>149</v>
      </c>
      <c r="L61" s="112" t="s">
        <v>3265</v>
      </c>
      <c r="M61" s="112" t="s">
        <v>3266</v>
      </c>
    </row>
    <row r="62" spans="1:14">
      <c r="A62" s="105" t="s">
        <v>921</v>
      </c>
      <c r="B62" s="105" t="s">
        <v>223</v>
      </c>
      <c r="C62" s="105" t="s">
        <v>224</v>
      </c>
      <c r="D62" s="105" t="s">
        <v>569</v>
      </c>
      <c r="E62" s="105" t="s">
        <v>3267</v>
      </c>
      <c r="F62" s="105"/>
      <c r="G62" s="105" t="s">
        <v>1220</v>
      </c>
      <c r="H62" s="105" t="s">
        <v>3108</v>
      </c>
      <c r="I62" s="105"/>
      <c r="K62" s="112" t="s">
        <v>149</v>
      </c>
      <c r="L62" s="112" t="s">
        <v>3268</v>
      </c>
      <c r="M62" s="112" t="s">
        <v>3269</v>
      </c>
    </row>
    <row r="63" spans="1:14">
      <c r="A63" s="105" t="s">
        <v>921</v>
      </c>
      <c r="B63" s="105" t="s">
        <v>225</v>
      </c>
      <c r="C63" s="105" t="s">
        <v>226</v>
      </c>
      <c r="D63" s="105" t="s">
        <v>569</v>
      </c>
      <c r="E63" s="105" t="s">
        <v>3270</v>
      </c>
      <c r="F63" s="105"/>
      <c r="G63" s="105" t="s">
        <v>1220</v>
      </c>
      <c r="H63" s="105" t="s">
        <v>3108</v>
      </c>
      <c r="I63" s="105"/>
      <c r="K63" s="112" t="s">
        <v>149</v>
      </c>
      <c r="L63" s="112" t="s">
        <v>3271</v>
      </c>
      <c r="M63" s="112" t="s">
        <v>3272</v>
      </c>
    </row>
    <row r="64" spans="1:14">
      <c r="A64" s="105" t="s">
        <v>921</v>
      </c>
      <c r="B64" s="105" t="s">
        <v>227</v>
      </c>
      <c r="C64" s="113" t="s">
        <v>228</v>
      </c>
      <c r="D64" s="105" t="s">
        <v>569</v>
      </c>
      <c r="E64" s="113" t="s">
        <v>3273</v>
      </c>
      <c r="F64" s="105"/>
      <c r="G64" s="105" t="s">
        <v>1220</v>
      </c>
      <c r="H64" s="105" t="s">
        <v>3108</v>
      </c>
      <c r="I64" s="105"/>
      <c r="K64" s="106" t="s">
        <v>151</v>
      </c>
      <c r="L64" s="106" t="s">
        <v>1238</v>
      </c>
      <c r="M64" s="106" t="s">
        <v>3274</v>
      </c>
    </row>
    <row r="65" spans="1:14">
      <c r="A65" s="105" t="s">
        <v>921</v>
      </c>
      <c r="B65" s="105" t="s">
        <v>229</v>
      </c>
      <c r="C65" s="105" t="s">
        <v>230</v>
      </c>
      <c r="D65" s="105" t="s">
        <v>569</v>
      </c>
      <c r="E65" s="105" t="s">
        <v>3275</v>
      </c>
      <c r="F65" s="105"/>
      <c r="G65" s="105" t="s">
        <v>1220</v>
      </c>
      <c r="H65" s="105" t="s">
        <v>3108</v>
      </c>
      <c r="I65" s="105"/>
      <c r="K65" s="106" t="s">
        <v>151</v>
      </c>
      <c r="L65" s="106" t="s">
        <v>1239</v>
      </c>
      <c r="M65" s="106" t="s">
        <v>3276</v>
      </c>
    </row>
    <row r="66" spans="1:14">
      <c r="A66" s="105" t="s">
        <v>921</v>
      </c>
      <c r="B66" s="105" t="s">
        <v>231</v>
      </c>
      <c r="C66" s="105" t="s">
        <v>232</v>
      </c>
      <c r="D66" s="105" t="s">
        <v>569</v>
      </c>
      <c r="E66" s="105" t="s">
        <v>3277</v>
      </c>
      <c r="F66" s="105"/>
      <c r="G66" s="105" t="s">
        <v>1178</v>
      </c>
      <c r="H66" s="105" t="s">
        <v>3108</v>
      </c>
      <c r="I66" s="105"/>
      <c r="K66" s="106" t="s">
        <v>154</v>
      </c>
      <c r="L66" s="106" t="s">
        <v>1240</v>
      </c>
      <c r="M66" s="106" t="s">
        <v>3278</v>
      </c>
    </row>
    <row r="67" spans="1:14">
      <c r="A67" s="105" t="s">
        <v>921</v>
      </c>
      <c r="B67" s="105" t="s">
        <v>233</v>
      </c>
      <c r="C67" s="105" t="s">
        <v>234</v>
      </c>
      <c r="D67" s="105" t="s">
        <v>569</v>
      </c>
      <c r="E67" s="105" t="s">
        <v>3279</v>
      </c>
      <c r="F67" s="105"/>
      <c r="G67" s="105" t="s">
        <v>1220</v>
      </c>
      <c r="H67" s="105" t="s">
        <v>3108</v>
      </c>
      <c r="I67" s="105"/>
      <c r="K67" s="106" t="s">
        <v>154</v>
      </c>
      <c r="L67" s="106" t="s">
        <v>1241</v>
      </c>
      <c r="M67" s="106" t="s">
        <v>3280</v>
      </c>
    </row>
    <row r="68" spans="1:14">
      <c r="A68" s="105" t="s">
        <v>921</v>
      </c>
      <c r="B68" s="105" t="s">
        <v>235</v>
      </c>
      <c r="C68" s="105" t="s">
        <v>236</v>
      </c>
      <c r="D68" s="105" t="s">
        <v>569</v>
      </c>
      <c r="E68" s="105" t="s">
        <v>3281</v>
      </c>
      <c r="F68" s="105"/>
      <c r="G68" s="105" t="s">
        <v>1220</v>
      </c>
      <c r="H68" s="105" t="s">
        <v>3108</v>
      </c>
      <c r="I68" s="105"/>
      <c r="K68" s="112" t="s">
        <v>154</v>
      </c>
      <c r="L68" s="112" t="s">
        <v>3282</v>
      </c>
      <c r="M68" s="112" t="s">
        <v>3283</v>
      </c>
      <c r="N68" s="81" t="s">
        <v>3284</v>
      </c>
    </row>
    <row r="69" spans="1:14">
      <c r="A69" s="105" t="s">
        <v>921</v>
      </c>
      <c r="B69" s="105" t="s">
        <v>237</v>
      </c>
      <c r="C69" s="105" t="s">
        <v>238</v>
      </c>
      <c r="D69" s="105" t="s">
        <v>569</v>
      </c>
      <c r="E69" s="105" t="s">
        <v>3285</v>
      </c>
      <c r="F69" s="105"/>
      <c r="G69" s="105" t="s">
        <v>1178</v>
      </c>
      <c r="H69" s="105" t="s">
        <v>3108</v>
      </c>
      <c r="I69" s="105"/>
      <c r="K69" s="106" t="s">
        <v>157</v>
      </c>
      <c r="L69" s="106" t="s">
        <v>1242</v>
      </c>
      <c r="M69" s="106" t="s">
        <v>158</v>
      </c>
    </row>
    <row r="70" spans="1:14">
      <c r="A70" s="105" t="s">
        <v>921</v>
      </c>
      <c r="B70" s="105" t="s">
        <v>239</v>
      </c>
      <c r="C70" s="105" t="s">
        <v>240</v>
      </c>
      <c r="D70" s="105" t="s">
        <v>569</v>
      </c>
      <c r="E70" s="105" t="s">
        <v>3286</v>
      </c>
      <c r="F70" s="105"/>
      <c r="G70" s="105" t="s">
        <v>1176</v>
      </c>
      <c r="H70" s="105" t="s">
        <v>3108</v>
      </c>
      <c r="I70" s="105"/>
      <c r="K70" s="106" t="s">
        <v>157</v>
      </c>
      <c r="L70" s="106" t="s">
        <v>1243</v>
      </c>
      <c r="M70" s="106" t="s">
        <v>3287</v>
      </c>
    </row>
    <row r="71" spans="1:14">
      <c r="A71" s="105" t="s">
        <v>921</v>
      </c>
      <c r="B71" s="105" t="s">
        <v>241</v>
      </c>
      <c r="C71" s="105" t="s">
        <v>242</v>
      </c>
      <c r="D71" s="105" t="s">
        <v>569</v>
      </c>
      <c r="E71" s="105" t="s">
        <v>3288</v>
      </c>
      <c r="F71" s="105"/>
      <c r="G71" s="105" t="s">
        <v>1178</v>
      </c>
      <c r="H71" s="105" t="s">
        <v>3108</v>
      </c>
      <c r="I71" s="105"/>
      <c r="K71" s="106" t="s">
        <v>159</v>
      </c>
      <c r="L71" s="106" t="s">
        <v>1244</v>
      </c>
      <c r="M71" s="106" t="s">
        <v>3289</v>
      </c>
    </row>
    <row r="72" spans="1:14">
      <c r="A72" s="105" t="s">
        <v>921</v>
      </c>
      <c r="B72" s="105" t="s">
        <v>243</v>
      </c>
      <c r="C72" s="105" t="s">
        <v>244</v>
      </c>
      <c r="D72" s="105" t="s">
        <v>569</v>
      </c>
      <c r="E72" s="105" t="s">
        <v>3290</v>
      </c>
      <c r="F72" s="105"/>
      <c r="G72" s="105" t="s">
        <v>1178</v>
      </c>
      <c r="H72" s="105" t="s">
        <v>3108</v>
      </c>
      <c r="I72" s="105"/>
      <c r="K72" s="106" t="s">
        <v>159</v>
      </c>
      <c r="L72" s="106" t="s">
        <v>1245</v>
      </c>
      <c r="M72" s="106" t="s">
        <v>3291</v>
      </c>
    </row>
    <row r="73" spans="1:14">
      <c r="A73" s="105" t="s">
        <v>921</v>
      </c>
      <c r="B73" s="105" t="s">
        <v>245</v>
      </c>
      <c r="C73" s="105" t="s">
        <v>246</v>
      </c>
      <c r="D73" s="105" t="s">
        <v>569</v>
      </c>
      <c r="E73" s="105" t="s">
        <v>3292</v>
      </c>
      <c r="F73" s="105"/>
      <c r="G73" s="105" t="s">
        <v>1178</v>
      </c>
      <c r="H73" s="105" t="s">
        <v>3108</v>
      </c>
      <c r="I73" s="105"/>
      <c r="K73" s="106" t="s">
        <v>159</v>
      </c>
      <c r="L73" s="106" t="s">
        <v>2903</v>
      </c>
      <c r="M73" s="106" t="s">
        <v>3293</v>
      </c>
      <c r="N73" s="81" t="s">
        <v>3294</v>
      </c>
    </row>
    <row r="74" spans="1:14">
      <c r="A74" s="105" t="s">
        <v>921</v>
      </c>
      <c r="B74" s="105" t="s">
        <v>247</v>
      </c>
      <c r="C74" s="105" t="s">
        <v>248</v>
      </c>
      <c r="D74" s="105" t="s">
        <v>569</v>
      </c>
      <c r="E74" s="105" t="s">
        <v>3295</v>
      </c>
      <c r="F74" s="105"/>
      <c r="G74" s="105" t="s">
        <v>1178</v>
      </c>
      <c r="H74" s="105" t="s">
        <v>3108</v>
      </c>
      <c r="I74" s="105"/>
      <c r="K74" s="106" t="s">
        <v>159</v>
      </c>
      <c r="L74" s="106" t="s">
        <v>2905</v>
      </c>
      <c r="M74" s="106" t="s">
        <v>3296</v>
      </c>
      <c r="N74" s="81" t="s">
        <v>3294</v>
      </c>
    </row>
    <row r="75" spans="1:14">
      <c r="A75" s="105" t="s">
        <v>922</v>
      </c>
      <c r="B75" s="105" t="s">
        <v>249</v>
      </c>
      <c r="C75" s="105" t="s">
        <v>250</v>
      </c>
      <c r="D75" s="105" t="s">
        <v>577</v>
      </c>
      <c r="E75" s="105" t="s">
        <v>3297</v>
      </c>
      <c r="F75" s="105" t="s">
        <v>3298</v>
      </c>
      <c r="G75" s="105" t="s">
        <v>1176</v>
      </c>
      <c r="H75" s="105" t="s">
        <v>3096</v>
      </c>
      <c r="I75" s="105"/>
      <c r="K75" s="106" t="s">
        <v>159</v>
      </c>
      <c r="L75" s="106" t="s">
        <v>1246</v>
      </c>
      <c r="M75" s="106" t="s">
        <v>3299</v>
      </c>
      <c r="N75" s="81" t="s">
        <v>3294</v>
      </c>
    </row>
    <row r="76" spans="1:14">
      <c r="A76" s="105" t="s">
        <v>922</v>
      </c>
      <c r="B76" s="105" t="s">
        <v>251</v>
      </c>
      <c r="C76" s="105" t="s">
        <v>252</v>
      </c>
      <c r="D76" s="105" t="s">
        <v>577</v>
      </c>
      <c r="E76" s="105" t="s">
        <v>3300</v>
      </c>
      <c r="F76" s="105" t="s">
        <v>3134</v>
      </c>
      <c r="G76" s="105" t="s">
        <v>1178</v>
      </c>
      <c r="H76" s="105" t="s">
        <v>3096</v>
      </c>
      <c r="I76" s="105"/>
      <c r="K76" s="114" t="s">
        <v>159</v>
      </c>
      <c r="L76" s="114" t="s">
        <v>2906</v>
      </c>
      <c r="M76" s="114" t="s">
        <v>3301</v>
      </c>
      <c r="N76" s="110" t="s">
        <v>2907</v>
      </c>
    </row>
    <row r="77" spans="1:14">
      <c r="A77" s="105" t="s">
        <v>922</v>
      </c>
      <c r="B77" s="105" t="s">
        <v>253</v>
      </c>
      <c r="C77" s="105" t="s">
        <v>254</v>
      </c>
      <c r="D77" s="105" t="s">
        <v>577</v>
      </c>
      <c r="E77" s="105" t="s">
        <v>3302</v>
      </c>
      <c r="F77" s="105" t="s">
        <v>3303</v>
      </c>
      <c r="G77" s="105" t="s">
        <v>1220</v>
      </c>
      <c r="H77" s="105" t="s">
        <v>3304</v>
      </c>
      <c r="I77" s="105"/>
      <c r="K77" s="106" t="s">
        <v>159</v>
      </c>
      <c r="L77" s="106" t="s">
        <v>1247</v>
      </c>
      <c r="M77" s="106" t="s">
        <v>3305</v>
      </c>
    </row>
    <row r="78" spans="1:14">
      <c r="A78" s="105" t="s">
        <v>922</v>
      </c>
      <c r="B78" s="105" t="s">
        <v>255</v>
      </c>
      <c r="C78" s="105" t="s">
        <v>3306</v>
      </c>
      <c r="D78" s="105" t="s">
        <v>577</v>
      </c>
      <c r="E78" s="105" t="s">
        <v>3307</v>
      </c>
      <c r="F78" s="105" t="s">
        <v>3308</v>
      </c>
      <c r="G78" s="105" t="s">
        <v>1262</v>
      </c>
      <c r="H78" s="105" t="s">
        <v>3108</v>
      </c>
      <c r="I78" s="105"/>
      <c r="K78" s="106" t="s">
        <v>161</v>
      </c>
      <c r="L78" s="106" t="s">
        <v>1248</v>
      </c>
      <c r="M78" s="106" t="s">
        <v>3309</v>
      </c>
    </row>
    <row r="79" spans="1:14">
      <c r="A79" s="105" t="s">
        <v>922</v>
      </c>
      <c r="B79" s="105" t="s">
        <v>257</v>
      </c>
      <c r="C79" s="105" t="s">
        <v>3310</v>
      </c>
      <c r="D79" s="105" t="s">
        <v>577</v>
      </c>
      <c r="E79" s="105" t="s">
        <v>3311</v>
      </c>
      <c r="F79" s="105" t="s">
        <v>3312</v>
      </c>
      <c r="G79" s="105" t="s">
        <v>1262</v>
      </c>
      <c r="H79" s="105" t="s">
        <v>3108</v>
      </c>
      <c r="I79" s="105"/>
      <c r="K79" s="106" t="s">
        <v>161</v>
      </c>
      <c r="L79" s="106" t="s">
        <v>1249</v>
      </c>
      <c r="M79" s="106" t="s">
        <v>3313</v>
      </c>
    </row>
    <row r="80" spans="1:14">
      <c r="A80" s="105" t="s">
        <v>922</v>
      </c>
      <c r="B80" s="105" t="s">
        <v>259</v>
      </c>
      <c r="C80" s="105" t="s">
        <v>260</v>
      </c>
      <c r="D80" s="105" t="s">
        <v>577</v>
      </c>
      <c r="E80" s="105" t="s">
        <v>3314</v>
      </c>
      <c r="F80" s="105" t="s">
        <v>3315</v>
      </c>
      <c r="G80" s="105" t="s">
        <v>1220</v>
      </c>
      <c r="H80" s="105" t="s">
        <v>3108</v>
      </c>
      <c r="I80" s="105"/>
      <c r="K80" s="106" t="s">
        <v>163</v>
      </c>
      <c r="L80" s="106" t="s">
        <v>1250</v>
      </c>
      <c r="M80" s="106" t="s">
        <v>3316</v>
      </c>
    </row>
    <row r="81" spans="1:13">
      <c r="A81" s="105" t="s">
        <v>922</v>
      </c>
      <c r="B81" s="105" t="s">
        <v>261</v>
      </c>
      <c r="C81" s="105" t="s">
        <v>262</v>
      </c>
      <c r="D81" s="105" t="s">
        <v>577</v>
      </c>
      <c r="E81" s="105" t="s">
        <v>3317</v>
      </c>
      <c r="F81" s="105" t="s">
        <v>3318</v>
      </c>
      <c r="G81" s="105" t="s">
        <v>1220</v>
      </c>
      <c r="H81" s="105" t="s">
        <v>3108</v>
      </c>
      <c r="I81" s="105"/>
      <c r="K81" s="106" t="s">
        <v>163</v>
      </c>
      <c r="L81" s="106" t="s">
        <v>1251</v>
      </c>
      <c r="M81" s="106" t="s">
        <v>3319</v>
      </c>
    </row>
    <row r="82" spans="1:13">
      <c r="A82" s="105" t="s">
        <v>922</v>
      </c>
      <c r="B82" s="105" t="s">
        <v>263</v>
      </c>
      <c r="C82" s="105" t="s">
        <v>264</v>
      </c>
      <c r="D82" s="105" t="s">
        <v>577</v>
      </c>
      <c r="E82" s="105" t="s">
        <v>3320</v>
      </c>
      <c r="F82" s="105" t="s">
        <v>3315</v>
      </c>
      <c r="G82" s="105" t="s">
        <v>1220</v>
      </c>
      <c r="H82" s="105" t="s">
        <v>3108</v>
      </c>
      <c r="I82" s="105"/>
      <c r="K82" s="106" t="s">
        <v>165</v>
      </c>
      <c r="L82" s="106" t="s">
        <v>3321</v>
      </c>
      <c r="M82" s="106" t="s">
        <v>3322</v>
      </c>
    </row>
    <row r="83" spans="1:13">
      <c r="A83" s="105" t="s">
        <v>922</v>
      </c>
      <c r="B83" s="105" t="s">
        <v>265</v>
      </c>
      <c r="C83" s="105" t="s">
        <v>266</v>
      </c>
      <c r="D83" s="105" t="s">
        <v>577</v>
      </c>
      <c r="E83" s="105" t="s">
        <v>3323</v>
      </c>
      <c r="F83" s="105" t="s">
        <v>3315</v>
      </c>
      <c r="G83" s="105" t="s">
        <v>1220</v>
      </c>
      <c r="H83" s="105" t="s">
        <v>3108</v>
      </c>
      <c r="I83" s="105"/>
      <c r="K83" s="106" t="s">
        <v>165</v>
      </c>
      <c r="L83" s="106" t="s">
        <v>1252</v>
      </c>
      <c r="M83" s="106" t="s">
        <v>3324</v>
      </c>
    </row>
    <row r="84" spans="1:13">
      <c r="A84" s="105" t="s">
        <v>922</v>
      </c>
      <c r="B84" s="105" t="s">
        <v>267</v>
      </c>
      <c r="C84" s="105" t="s">
        <v>268</v>
      </c>
      <c r="D84" s="105" t="s">
        <v>577</v>
      </c>
      <c r="E84" s="105" t="s">
        <v>3325</v>
      </c>
      <c r="F84" s="105" t="s">
        <v>3326</v>
      </c>
      <c r="G84" s="105" t="s">
        <v>1176</v>
      </c>
      <c r="H84" s="105" t="s">
        <v>3108</v>
      </c>
      <c r="I84" s="105"/>
      <c r="K84" s="106" t="s">
        <v>165</v>
      </c>
      <c r="L84" s="106" t="s">
        <v>1253</v>
      </c>
      <c r="M84" s="106" t="s">
        <v>3327</v>
      </c>
    </row>
    <row r="85" spans="1:13">
      <c r="A85" s="105" t="s">
        <v>922</v>
      </c>
      <c r="B85" s="105" t="s">
        <v>269</v>
      </c>
      <c r="C85" s="105" t="s">
        <v>270</v>
      </c>
      <c r="D85" s="105" t="s">
        <v>577</v>
      </c>
      <c r="E85" s="105" t="s">
        <v>3328</v>
      </c>
      <c r="F85" s="105" t="s">
        <v>3329</v>
      </c>
      <c r="G85" s="105" t="s">
        <v>1178</v>
      </c>
      <c r="H85" s="105" t="s">
        <v>3108</v>
      </c>
      <c r="I85" s="105" t="s">
        <v>3109</v>
      </c>
      <c r="K85" s="106" t="s">
        <v>165</v>
      </c>
      <c r="L85" s="106" t="s">
        <v>1254</v>
      </c>
      <c r="M85" s="106" t="s">
        <v>3330</v>
      </c>
    </row>
    <row r="86" spans="1:13">
      <c r="A86" s="105" t="s">
        <v>922</v>
      </c>
      <c r="B86" s="105" t="s">
        <v>271</v>
      </c>
      <c r="C86" s="105" t="s">
        <v>272</v>
      </c>
      <c r="D86" s="105" t="s">
        <v>577</v>
      </c>
      <c r="E86" s="105" t="s">
        <v>3331</v>
      </c>
      <c r="F86" s="105" t="s">
        <v>3329</v>
      </c>
      <c r="G86" s="105" t="s">
        <v>1178</v>
      </c>
      <c r="H86" s="105" t="s">
        <v>3108</v>
      </c>
      <c r="I86" s="105" t="s">
        <v>3109</v>
      </c>
      <c r="K86" s="106" t="s">
        <v>167</v>
      </c>
      <c r="L86" s="106" t="s">
        <v>1255</v>
      </c>
      <c r="M86" s="106" t="s">
        <v>3332</v>
      </c>
    </row>
    <row r="87" spans="1:13">
      <c r="A87" s="105" t="s">
        <v>922</v>
      </c>
      <c r="B87" s="105" t="s">
        <v>273</v>
      </c>
      <c r="C87" s="105" t="s">
        <v>274</v>
      </c>
      <c r="D87" s="105" t="s">
        <v>577</v>
      </c>
      <c r="E87" s="105" t="s">
        <v>3150</v>
      </c>
      <c r="F87" s="105" t="s">
        <v>3333</v>
      </c>
      <c r="G87" s="105" t="s">
        <v>1220</v>
      </c>
      <c r="H87" s="105" t="s">
        <v>3108</v>
      </c>
      <c r="I87" s="105"/>
      <c r="K87" s="106" t="s">
        <v>167</v>
      </c>
      <c r="L87" s="106" t="s">
        <v>1256</v>
      </c>
      <c r="M87" s="106" t="s">
        <v>3334</v>
      </c>
    </row>
    <row r="88" s="82" customFormat="1" spans="1:13">
      <c r="A88" s="108" t="s">
        <v>923</v>
      </c>
      <c r="B88" s="108" t="s">
        <v>275</v>
      </c>
      <c r="C88" s="115" t="s">
        <v>276</v>
      </c>
      <c r="D88" s="115" t="s">
        <v>573</v>
      </c>
      <c r="E88" s="115" t="s">
        <v>3335</v>
      </c>
      <c r="F88" s="115" t="s">
        <v>3336</v>
      </c>
      <c r="G88" s="115" t="s">
        <v>1176</v>
      </c>
      <c r="H88" s="115" t="s">
        <v>3108</v>
      </c>
      <c r="I88" s="108" t="s">
        <v>3337</v>
      </c>
      <c r="J88" s="81"/>
      <c r="K88" s="106" t="s">
        <v>167</v>
      </c>
      <c r="L88" s="106" t="s">
        <v>1257</v>
      </c>
      <c r="M88" s="106" t="s">
        <v>3338</v>
      </c>
    </row>
    <row r="89" spans="1:13">
      <c r="A89" s="105" t="s">
        <v>923</v>
      </c>
      <c r="B89" s="105" t="s">
        <v>277</v>
      </c>
      <c r="C89" s="105" t="s">
        <v>278</v>
      </c>
      <c r="D89" s="116" t="s">
        <v>573</v>
      </c>
      <c r="E89" s="116" t="s">
        <v>3339</v>
      </c>
      <c r="F89" s="116" t="s">
        <v>3340</v>
      </c>
      <c r="G89" s="105" t="s">
        <v>1583</v>
      </c>
      <c r="H89" s="105" t="s">
        <v>3108</v>
      </c>
      <c r="I89" s="105"/>
      <c r="K89" s="106" t="s">
        <v>169</v>
      </c>
      <c r="L89" s="106" t="s">
        <v>1258</v>
      </c>
      <c r="M89" s="106" t="s">
        <v>3341</v>
      </c>
    </row>
    <row r="90" spans="1:13">
      <c r="A90" s="105" t="s">
        <v>923</v>
      </c>
      <c r="B90" s="105" t="s">
        <v>279</v>
      </c>
      <c r="C90" s="105" t="s">
        <v>280</v>
      </c>
      <c r="D90" s="116" t="s">
        <v>573</v>
      </c>
      <c r="E90" s="116" t="s">
        <v>3342</v>
      </c>
      <c r="F90" s="116" t="s">
        <v>3343</v>
      </c>
      <c r="G90" s="105" t="s">
        <v>1380</v>
      </c>
      <c r="H90" s="105" t="s">
        <v>3108</v>
      </c>
      <c r="I90" s="105"/>
      <c r="K90" s="106" t="s">
        <v>169</v>
      </c>
      <c r="L90" s="106" t="s">
        <v>1259</v>
      </c>
      <c r="M90" s="106" t="s">
        <v>3344</v>
      </c>
    </row>
    <row r="91" spans="1:13">
      <c r="A91" s="105" t="s">
        <v>923</v>
      </c>
      <c r="B91" s="105" t="s">
        <v>281</v>
      </c>
      <c r="C91" s="105" t="s">
        <v>282</v>
      </c>
      <c r="D91" s="116" t="s">
        <v>573</v>
      </c>
      <c r="E91" s="116" t="s">
        <v>3345</v>
      </c>
      <c r="F91" s="116" t="s">
        <v>3346</v>
      </c>
      <c r="G91" s="105" t="s">
        <v>1178</v>
      </c>
      <c r="H91" s="105" t="s">
        <v>3096</v>
      </c>
      <c r="I91" s="105"/>
      <c r="K91" s="106" t="s">
        <v>171</v>
      </c>
      <c r="L91" s="106" t="s">
        <v>1264</v>
      </c>
      <c r="M91" s="106" t="s">
        <v>3347</v>
      </c>
    </row>
    <row r="92" spans="1:13">
      <c r="A92" s="105" t="s">
        <v>923</v>
      </c>
      <c r="B92" s="105" t="s">
        <v>283</v>
      </c>
      <c r="C92" s="105" t="s">
        <v>284</v>
      </c>
      <c r="D92" s="116" t="s">
        <v>573</v>
      </c>
      <c r="E92" s="116" t="s">
        <v>3348</v>
      </c>
      <c r="F92" s="116" t="s">
        <v>3349</v>
      </c>
      <c r="G92" s="105" t="s">
        <v>1281</v>
      </c>
      <c r="H92" s="105" t="s">
        <v>3096</v>
      </c>
      <c r="I92" s="105"/>
      <c r="K92" s="106" t="s">
        <v>171</v>
      </c>
      <c r="L92" s="106" t="s">
        <v>1265</v>
      </c>
      <c r="M92" s="106" t="s">
        <v>3350</v>
      </c>
    </row>
    <row r="93" spans="1:13">
      <c r="A93" s="105" t="s">
        <v>923</v>
      </c>
      <c r="B93" s="105" t="s">
        <v>285</v>
      </c>
      <c r="C93" s="105" t="s">
        <v>2307</v>
      </c>
      <c r="D93" s="116" t="s">
        <v>573</v>
      </c>
      <c r="E93" s="116" t="s">
        <v>3351</v>
      </c>
      <c r="F93" s="116" t="s">
        <v>3352</v>
      </c>
      <c r="G93" s="105" t="s">
        <v>1380</v>
      </c>
      <c r="H93" s="105" t="s">
        <v>3108</v>
      </c>
      <c r="I93" s="105"/>
      <c r="K93" s="106" t="s">
        <v>171</v>
      </c>
      <c r="L93" s="106" t="s">
        <v>1266</v>
      </c>
      <c r="M93" s="106" t="s">
        <v>3353</v>
      </c>
    </row>
    <row r="94" spans="1:13">
      <c r="A94" s="108" t="s">
        <v>923</v>
      </c>
      <c r="B94" s="108" t="s">
        <v>287</v>
      </c>
      <c r="C94" s="108" t="s">
        <v>3354</v>
      </c>
      <c r="D94" s="115" t="s">
        <v>573</v>
      </c>
      <c r="E94" s="115" t="s">
        <v>3355</v>
      </c>
      <c r="F94" s="115" t="s">
        <v>3356</v>
      </c>
      <c r="G94" s="108" t="s">
        <v>1178</v>
      </c>
      <c r="H94" s="108" t="s">
        <v>3108</v>
      </c>
      <c r="I94" s="108"/>
      <c r="K94" s="106" t="s">
        <v>173</v>
      </c>
      <c r="L94" s="106" t="s">
        <v>1267</v>
      </c>
      <c r="M94" s="106" t="s">
        <v>3357</v>
      </c>
    </row>
    <row r="95" spans="1:13">
      <c r="A95" s="105" t="s">
        <v>923</v>
      </c>
      <c r="B95" s="105" t="s">
        <v>289</v>
      </c>
      <c r="C95" s="105" t="s">
        <v>290</v>
      </c>
      <c r="D95" s="116" t="s">
        <v>573</v>
      </c>
      <c r="E95" s="116" t="s">
        <v>3358</v>
      </c>
      <c r="F95" s="116" t="s">
        <v>3359</v>
      </c>
      <c r="G95" s="105" t="s">
        <v>1178</v>
      </c>
      <c r="H95" s="105" t="s">
        <v>3108</v>
      </c>
      <c r="I95" s="105"/>
      <c r="K95" s="106" t="s">
        <v>173</v>
      </c>
      <c r="L95" s="106" t="s">
        <v>1268</v>
      </c>
      <c r="M95" s="106" t="s">
        <v>3360</v>
      </c>
    </row>
    <row r="96" spans="1:13">
      <c r="A96" s="108" t="s">
        <v>923</v>
      </c>
      <c r="B96" s="108" t="s">
        <v>291</v>
      </c>
      <c r="C96" s="108" t="s">
        <v>292</v>
      </c>
      <c r="D96" s="115" t="s">
        <v>573</v>
      </c>
      <c r="E96" s="115" t="s">
        <v>3361</v>
      </c>
      <c r="F96" s="115" t="s">
        <v>3362</v>
      </c>
      <c r="G96" s="108" t="s">
        <v>1380</v>
      </c>
      <c r="H96" s="108" t="s">
        <v>3108</v>
      </c>
      <c r="I96" s="108" t="s">
        <v>3337</v>
      </c>
      <c r="K96" s="106" t="s">
        <v>173</v>
      </c>
      <c r="L96" s="106" t="s">
        <v>1269</v>
      </c>
      <c r="M96" s="106" t="s">
        <v>3363</v>
      </c>
    </row>
    <row r="97" spans="1:13">
      <c r="A97" s="105" t="s">
        <v>923</v>
      </c>
      <c r="B97" s="105" t="s">
        <v>293</v>
      </c>
      <c r="C97" s="105" t="s">
        <v>294</v>
      </c>
      <c r="D97" s="116" t="s">
        <v>573</v>
      </c>
      <c r="E97" s="116" t="s">
        <v>3364</v>
      </c>
      <c r="F97" s="116" t="s">
        <v>3365</v>
      </c>
      <c r="G97" s="109" t="s">
        <v>1178</v>
      </c>
      <c r="H97" s="105" t="s">
        <v>3108</v>
      </c>
      <c r="I97" s="105" t="s">
        <v>3366</v>
      </c>
      <c r="K97" s="106" t="s">
        <v>175</v>
      </c>
      <c r="L97" s="106" t="s">
        <v>1270</v>
      </c>
      <c r="M97" s="106" t="s">
        <v>3367</v>
      </c>
    </row>
    <row r="98" spans="1:13">
      <c r="A98" s="105" t="s">
        <v>923</v>
      </c>
      <c r="B98" s="105" t="s">
        <v>295</v>
      </c>
      <c r="C98" s="105" t="s">
        <v>296</v>
      </c>
      <c r="D98" s="116" t="s">
        <v>573</v>
      </c>
      <c r="E98" s="116" t="s">
        <v>3368</v>
      </c>
      <c r="F98" s="116" t="s">
        <v>3369</v>
      </c>
      <c r="G98" s="105" t="s">
        <v>1176</v>
      </c>
      <c r="H98" s="109" t="s">
        <v>3108</v>
      </c>
      <c r="I98" s="105"/>
      <c r="K98" s="106" t="s">
        <v>175</v>
      </c>
      <c r="L98" s="106" t="s">
        <v>1271</v>
      </c>
      <c r="M98" s="106" t="s">
        <v>3370</v>
      </c>
    </row>
    <row r="99" spans="1:13">
      <c r="A99" s="105" t="s">
        <v>923</v>
      </c>
      <c r="B99" s="105" t="s">
        <v>297</v>
      </c>
      <c r="C99" s="105" t="s">
        <v>298</v>
      </c>
      <c r="D99" s="116" t="s">
        <v>573</v>
      </c>
      <c r="E99" s="116" t="s">
        <v>3371</v>
      </c>
      <c r="F99" s="116" t="s">
        <v>3372</v>
      </c>
      <c r="G99" s="105" t="s">
        <v>1281</v>
      </c>
      <c r="H99" s="109" t="s">
        <v>3108</v>
      </c>
      <c r="I99" s="105"/>
      <c r="K99" s="106" t="s">
        <v>175</v>
      </c>
      <c r="L99" s="106" t="s">
        <v>1272</v>
      </c>
      <c r="M99" s="106" t="s">
        <v>3373</v>
      </c>
    </row>
    <row r="100" spans="1:13">
      <c r="A100" s="108" t="s">
        <v>923</v>
      </c>
      <c r="B100" s="108" t="s">
        <v>299</v>
      </c>
      <c r="C100" s="108" t="s">
        <v>300</v>
      </c>
      <c r="D100" s="115" t="s">
        <v>573</v>
      </c>
      <c r="E100" s="115" t="s">
        <v>3374</v>
      </c>
      <c r="F100" s="115" t="s">
        <v>3375</v>
      </c>
      <c r="G100" s="108" t="s">
        <v>1380</v>
      </c>
      <c r="H100" s="108" t="s">
        <v>3108</v>
      </c>
      <c r="I100" s="108" t="s">
        <v>3217</v>
      </c>
      <c r="K100" s="106" t="s">
        <v>177</v>
      </c>
      <c r="L100" s="106" t="s">
        <v>1273</v>
      </c>
      <c r="M100" s="106" t="s">
        <v>3376</v>
      </c>
    </row>
    <row r="101" spans="1:13">
      <c r="A101" s="108" t="s">
        <v>923</v>
      </c>
      <c r="B101" s="108" t="s">
        <v>301</v>
      </c>
      <c r="C101" s="108" t="s">
        <v>302</v>
      </c>
      <c r="D101" s="115" t="s">
        <v>573</v>
      </c>
      <c r="E101" s="115" t="s">
        <v>3377</v>
      </c>
      <c r="F101" s="115" t="s">
        <v>3378</v>
      </c>
      <c r="G101" s="108" t="s">
        <v>1220</v>
      </c>
      <c r="H101" s="108" t="s">
        <v>3304</v>
      </c>
      <c r="I101" s="108" t="s">
        <v>3337</v>
      </c>
      <c r="K101" s="106" t="s">
        <v>177</v>
      </c>
      <c r="L101" s="106" t="s">
        <v>1274</v>
      </c>
      <c r="M101" s="106" t="s">
        <v>3379</v>
      </c>
    </row>
    <row r="102" spans="1:13">
      <c r="A102" s="105" t="s">
        <v>923</v>
      </c>
      <c r="B102" s="105" t="s">
        <v>303</v>
      </c>
      <c r="C102" s="105" t="s">
        <v>304</v>
      </c>
      <c r="D102" s="116" t="s">
        <v>573</v>
      </c>
      <c r="E102" s="117" t="s">
        <v>3380</v>
      </c>
      <c r="F102" s="116" t="s">
        <v>3381</v>
      </c>
      <c r="G102" s="105" t="s">
        <v>1178</v>
      </c>
      <c r="H102" s="118" t="s">
        <v>3096</v>
      </c>
      <c r="I102" s="105"/>
      <c r="K102" s="106" t="s">
        <v>177</v>
      </c>
      <c r="L102" s="106" t="s">
        <v>1275</v>
      </c>
      <c r="M102" s="106" t="s">
        <v>3382</v>
      </c>
    </row>
    <row r="103" spans="1:13">
      <c r="A103" s="105" t="s">
        <v>923</v>
      </c>
      <c r="B103" s="105" t="s">
        <v>305</v>
      </c>
      <c r="C103" s="105" t="s">
        <v>306</v>
      </c>
      <c r="D103" s="116" t="s">
        <v>573</v>
      </c>
      <c r="E103" s="116" t="s">
        <v>3383</v>
      </c>
      <c r="F103" s="116" t="s">
        <v>3383</v>
      </c>
      <c r="G103" s="105" t="s">
        <v>1583</v>
      </c>
      <c r="H103" s="118" t="s">
        <v>3096</v>
      </c>
      <c r="I103" s="105"/>
      <c r="K103" s="106" t="s">
        <v>179</v>
      </c>
      <c r="L103" s="106" t="s">
        <v>1276</v>
      </c>
      <c r="M103" s="106" t="s">
        <v>3384</v>
      </c>
    </row>
    <row r="104" spans="1:13">
      <c r="A104" s="105" t="s">
        <v>923</v>
      </c>
      <c r="B104" s="105" t="s">
        <v>307</v>
      </c>
      <c r="C104" s="105" t="s">
        <v>308</v>
      </c>
      <c r="D104" s="116" t="s">
        <v>573</v>
      </c>
      <c r="E104" s="116" t="s">
        <v>3385</v>
      </c>
      <c r="F104" s="116" t="s">
        <v>3385</v>
      </c>
      <c r="G104" s="105" t="s">
        <v>1176</v>
      </c>
      <c r="H104" s="118" t="s">
        <v>3096</v>
      </c>
      <c r="I104" s="105"/>
      <c r="K104" s="106" t="s">
        <v>179</v>
      </c>
      <c r="L104" s="106" t="s">
        <v>1277</v>
      </c>
      <c r="M104" s="106" t="s">
        <v>3386</v>
      </c>
    </row>
    <row r="105" spans="1:13">
      <c r="A105" s="105" t="s">
        <v>923</v>
      </c>
      <c r="B105" s="105" t="s">
        <v>309</v>
      </c>
      <c r="C105" s="105" t="s">
        <v>310</v>
      </c>
      <c r="D105" s="116" t="s">
        <v>573</v>
      </c>
      <c r="E105" s="116" t="s">
        <v>3150</v>
      </c>
      <c r="F105" s="116" t="s">
        <v>3387</v>
      </c>
      <c r="G105" s="105" t="s">
        <v>1220</v>
      </c>
      <c r="H105" s="105" t="s">
        <v>3108</v>
      </c>
      <c r="I105" s="105" t="s">
        <v>3388</v>
      </c>
      <c r="K105" s="106" t="s">
        <v>179</v>
      </c>
      <c r="L105" s="106" t="s">
        <v>1278</v>
      </c>
      <c r="M105" s="106" t="s">
        <v>3389</v>
      </c>
    </row>
    <row r="106" spans="1:13">
      <c r="A106" s="105" t="s">
        <v>923</v>
      </c>
      <c r="B106" s="105" t="s">
        <v>311</v>
      </c>
      <c r="C106" s="105" t="s">
        <v>312</v>
      </c>
      <c r="D106" s="116" t="s">
        <v>573</v>
      </c>
      <c r="E106" s="116" t="s">
        <v>3390</v>
      </c>
      <c r="F106" s="116" t="s">
        <v>3390</v>
      </c>
      <c r="G106" s="105" t="s">
        <v>1178</v>
      </c>
      <c r="H106" s="105" t="s">
        <v>3108</v>
      </c>
      <c r="I106" s="105" t="s">
        <v>3217</v>
      </c>
      <c r="K106" s="106" t="s">
        <v>181</v>
      </c>
      <c r="L106" s="106" t="s">
        <v>1279</v>
      </c>
      <c r="M106" s="106" t="s">
        <v>182</v>
      </c>
    </row>
    <row r="107" spans="1:13">
      <c r="A107" s="105" t="s">
        <v>924</v>
      </c>
      <c r="B107" s="105" t="s">
        <v>313</v>
      </c>
      <c r="C107" s="105" t="s">
        <v>314</v>
      </c>
      <c r="D107" s="105" t="s">
        <v>574</v>
      </c>
      <c r="E107" s="105" t="s">
        <v>3391</v>
      </c>
      <c r="F107" s="105"/>
      <c r="G107" s="105" t="s">
        <v>1176</v>
      </c>
      <c r="H107" s="105" t="s">
        <v>3108</v>
      </c>
      <c r="I107" s="105"/>
      <c r="K107" s="106" t="s">
        <v>183</v>
      </c>
      <c r="L107" s="106" t="s">
        <v>1280</v>
      </c>
      <c r="M107" s="106" t="s">
        <v>3392</v>
      </c>
    </row>
    <row r="108" spans="1:13">
      <c r="A108" s="105" t="s">
        <v>924</v>
      </c>
      <c r="B108" s="105" t="s">
        <v>315</v>
      </c>
      <c r="C108" s="105" t="s">
        <v>316</v>
      </c>
      <c r="D108" s="105" t="s">
        <v>574</v>
      </c>
      <c r="E108" s="105" t="s">
        <v>3393</v>
      </c>
      <c r="F108" s="105"/>
      <c r="G108" s="105" t="s">
        <v>1176</v>
      </c>
      <c r="H108" s="105" t="s">
        <v>3108</v>
      </c>
      <c r="I108" s="105"/>
      <c r="K108" s="106" t="s">
        <v>183</v>
      </c>
      <c r="L108" s="106" t="s">
        <v>1282</v>
      </c>
      <c r="M108" s="106" t="s">
        <v>3394</v>
      </c>
    </row>
    <row r="109" spans="1:13">
      <c r="A109" s="105" t="s">
        <v>924</v>
      </c>
      <c r="B109" s="105" t="s">
        <v>317</v>
      </c>
      <c r="C109" s="105" t="s">
        <v>318</v>
      </c>
      <c r="D109" s="105" t="s">
        <v>574</v>
      </c>
      <c r="E109" s="105" t="s">
        <v>3395</v>
      </c>
      <c r="F109" s="105"/>
      <c r="G109" s="105" t="s">
        <v>1178</v>
      </c>
      <c r="H109" s="105" t="s">
        <v>3108</v>
      </c>
      <c r="I109" s="105"/>
      <c r="K109" s="106" t="s">
        <v>185</v>
      </c>
      <c r="L109" s="106" t="s">
        <v>1283</v>
      </c>
      <c r="M109" s="106" t="s">
        <v>3396</v>
      </c>
    </row>
    <row r="110" spans="1:13">
      <c r="A110" s="105" t="s">
        <v>924</v>
      </c>
      <c r="B110" s="105" t="s">
        <v>319</v>
      </c>
      <c r="C110" s="105" t="s">
        <v>3397</v>
      </c>
      <c r="D110" s="105" t="s">
        <v>574</v>
      </c>
      <c r="E110" s="118" t="s">
        <v>3398</v>
      </c>
      <c r="F110" s="105"/>
      <c r="G110" s="105" t="s">
        <v>1176</v>
      </c>
      <c r="H110" s="105" t="s">
        <v>3108</v>
      </c>
      <c r="I110" s="105"/>
      <c r="K110" s="106" t="s">
        <v>185</v>
      </c>
      <c r="L110" s="106" t="s">
        <v>1284</v>
      </c>
      <c r="M110" s="106" t="s">
        <v>3399</v>
      </c>
    </row>
    <row r="111" spans="1:13">
      <c r="A111" s="105" t="s">
        <v>924</v>
      </c>
      <c r="B111" s="105" t="s">
        <v>321</v>
      </c>
      <c r="C111" s="105" t="s">
        <v>3400</v>
      </c>
      <c r="D111" s="105" t="s">
        <v>575</v>
      </c>
      <c r="E111" s="118" t="s">
        <v>3401</v>
      </c>
      <c r="F111" s="105"/>
      <c r="G111" s="105" t="s">
        <v>1176</v>
      </c>
      <c r="H111" s="105" t="s">
        <v>3108</v>
      </c>
      <c r="I111" s="105" t="s">
        <v>3402</v>
      </c>
      <c r="K111" s="106" t="s">
        <v>185</v>
      </c>
      <c r="L111" s="106" t="s">
        <v>1285</v>
      </c>
      <c r="M111" s="106" t="s">
        <v>3403</v>
      </c>
    </row>
    <row r="112" spans="1:13">
      <c r="A112" s="105" t="s">
        <v>924</v>
      </c>
      <c r="B112" s="105" t="s">
        <v>1074</v>
      </c>
      <c r="C112" s="105" t="s">
        <v>3404</v>
      </c>
      <c r="D112" s="105" t="s">
        <v>575</v>
      </c>
      <c r="E112" s="118" t="s">
        <v>3405</v>
      </c>
      <c r="F112" s="105"/>
      <c r="G112" s="105" t="s">
        <v>1281</v>
      </c>
      <c r="H112" s="105" t="s">
        <v>3108</v>
      </c>
      <c r="I112" s="105" t="s">
        <v>3406</v>
      </c>
      <c r="K112" s="106" t="s">
        <v>188</v>
      </c>
      <c r="L112" s="106" t="s">
        <v>1286</v>
      </c>
      <c r="M112" s="106" t="s">
        <v>3407</v>
      </c>
    </row>
    <row r="113" spans="1:13">
      <c r="A113" s="105" t="s">
        <v>924</v>
      </c>
      <c r="B113" s="105" t="s">
        <v>323</v>
      </c>
      <c r="C113" s="105" t="s">
        <v>324</v>
      </c>
      <c r="D113" s="105" t="s">
        <v>575</v>
      </c>
      <c r="E113" s="105" t="s">
        <v>3408</v>
      </c>
      <c r="F113" s="105"/>
      <c r="G113" s="105" t="s">
        <v>1281</v>
      </c>
      <c r="H113" s="105" t="s">
        <v>3108</v>
      </c>
      <c r="I113" s="105"/>
      <c r="K113" s="106" t="s">
        <v>188</v>
      </c>
      <c r="L113" s="106" t="s">
        <v>1287</v>
      </c>
      <c r="M113" s="106" t="s">
        <v>3409</v>
      </c>
    </row>
    <row r="114" spans="1:13">
      <c r="A114" s="105" t="s">
        <v>924</v>
      </c>
      <c r="B114" s="105" t="s">
        <v>325</v>
      </c>
      <c r="C114" s="105" t="s">
        <v>3410</v>
      </c>
      <c r="D114" s="105" t="s">
        <v>575</v>
      </c>
      <c r="E114" s="118" t="s">
        <v>3411</v>
      </c>
      <c r="F114" s="105"/>
      <c r="G114" s="105" t="s">
        <v>1281</v>
      </c>
      <c r="H114" s="105" t="s">
        <v>3108</v>
      </c>
      <c r="I114" s="105" t="s">
        <v>3402</v>
      </c>
      <c r="K114" s="106" t="s">
        <v>190</v>
      </c>
      <c r="L114" s="106" t="s">
        <v>1288</v>
      </c>
      <c r="M114" s="106" t="s">
        <v>191</v>
      </c>
    </row>
    <row r="115" spans="1:13">
      <c r="A115" s="105" t="s">
        <v>924</v>
      </c>
      <c r="B115" s="105" t="s">
        <v>327</v>
      </c>
      <c r="C115" s="105" t="s">
        <v>3412</v>
      </c>
      <c r="D115" s="105" t="s">
        <v>575</v>
      </c>
      <c r="E115" s="118" t="s">
        <v>3413</v>
      </c>
      <c r="F115" s="105"/>
      <c r="G115" s="105" t="s">
        <v>1281</v>
      </c>
      <c r="H115" s="105" t="s">
        <v>3108</v>
      </c>
      <c r="I115" s="105" t="s">
        <v>3402</v>
      </c>
      <c r="K115" s="106" t="s">
        <v>192</v>
      </c>
      <c r="L115" s="106" t="s">
        <v>1289</v>
      </c>
      <c r="M115" s="106" t="s">
        <v>193</v>
      </c>
    </row>
    <row r="116" spans="1:13">
      <c r="A116" s="108" t="s">
        <v>924</v>
      </c>
      <c r="B116" s="108" t="s">
        <v>329</v>
      </c>
      <c r="C116" s="108" t="s">
        <v>3414</v>
      </c>
      <c r="D116" s="108" t="s">
        <v>575</v>
      </c>
      <c r="E116" s="108" t="s">
        <v>3415</v>
      </c>
      <c r="F116" s="108"/>
      <c r="G116" s="108" t="s">
        <v>1281</v>
      </c>
      <c r="H116" s="108" t="s">
        <v>3108</v>
      </c>
      <c r="I116" s="108" t="s">
        <v>3337</v>
      </c>
      <c r="K116" s="106" t="s">
        <v>194</v>
      </c>
      <c r="L116" s="106" t="s">
        <v>1290</v>
      </c>
      <c r="M116" s="106" t="s">
        <v>195</v>
      </c>
    </row>
    <row r="117" spans="1:13">
      <c r="A117" s="108" t="s">
        <v>924</v>
      </c>
      <c r="B117" s="108" t="s">
        <v>331</v>
      </c>
      <c r="C117" s="108" t="s">
        <v>3416</v>
      </c>
      <c r="D117" s="108" t="s">
        <v>575</v>
      </c>
      <c r="E117" s="119" t="s">
        <v>3417</v>
      </c>
      <c r="F117" s="108"/>
      <c r="G117" s="108" t="s">
        <v>1281</v>
      </c>
      <c r="H117" s="108" t="s">
        <v>3108</v>
      </c>
      <c r="I117" s="108" t="s">
        <v>3402</v>
      </c>
      <c r="K117" s="106" t="s">
        <v>194</v>
      </c>
      <c r="L117" s="106" t="s">
        <v>1291</v>
      </c>
      <c r="M117" s="106" t="s">
        <v>3418</v>
      </c>
    </row>
    <row r="118" spans="1:13">
      <c r="A118" s="108" t="s">
        <v>924</v>
      </c>
      <c r="B118" s="108" t="s">
        <v>333</v>
      </c>
      <c r="C118" s="108" t="s">
        <v>334</v>
      </c>
      <c r="D118" s="108" t="s">
        <v>575</v>
      </c>
      <c r="E118" s="108" t="s">
        <v>3419</v>
      </c>
      <c r="F118" s="108"/>
      <c r="G118" s="108" t="s">
        <v>1281</v>
      </c>
      <c r="H118" s="108" t="s">
        <v>3108</v>
      </c>
      <c r="I118" s="119" t="s">
        <v>3420</v>
      </c>
      <c r="K118" s="106" t="s">
        <v>196</v>
      </c>
      <c r="L118" s="106" t="s">
        <v>1292</v>
      </c>
      <c r="M118" s="106" t="s">
        <v>197</v>
      </c>
    </row>
    <row r="119" spans="1:13">
      <c r="A119" s="105" t="s">
        <v>924</v>
      </c>
      <c r="B119" s="105" t="s">
        <v>335</v>
      </c>
      <c r="C119" s="105" t="s">
        <v>336</v>
      </c>
      <c r="D119" s="105" t="s">
        <v>575</v>
      </c>
      <c r="E119" s="105" t="s">
        <v>3421</v>
      </c>
      <c r="F119" s="105"/>
      <c r="G119" s="105" t="s">
        <v>1178</v>
      </c>
      <c r="H119" s="105" t="s">
        <v>3108</v>
      </c>
      <c r="I119" s="105"/>
      <c r="K119" s="106" t="s">
        <v>196</v>
      </c>
      <c r="L119" s="106" t="s">
        <v>1293</v>
      </c>
      <c r="M119" s="106" t="s">
        <v>3422</v>
      </c>
    </row>
    <row r="120" spans="1:13">
      <c r="A120" s="105" t="s">
        <v>924</v>
      </c>
      <c r="B120" s="105" t="s">
        <v>337</v>
      </c>
      <c r="C120" s="105" t="s">
        <v>338</v>
      </c>
      <c r="D120" s="105" t="s">
        <v>575</v>
      </c>
      <c r="E120" s="105" t="s">
        <v>3423</v>
      </c>
      <c r="F120" s="105"/>
      <c r="G120" s="105" t="s">
        <v>1178</v>
      </c>
      <c r="H120" s="105" t="s">
        <v>3108</v>
      </c>
      <c r="I120" s="105"/>
      <c r="K120" s="106" t="s">
        <v>198</v>
      </c>
      <c r="L120" s="106" t="s">
        <v>3424</v>
      </c>
      <c r="M120" s="106" t="s">
        <v>3425</v>
      </c>
    </row>
    <row r="121" spans="1:13">
      <c r="A121" s="105" t="s">
        <v>924</v>
      </c>
      <c r="B121" s="105" t="s">
        <v>339</v>
      </c>
      <c r="C121" s="105" t="s">
        <v>340</v>
      </c>
      <c r="D121" s="105" t="s">
        <v>575</v>
      </c>
      <c r="E121" s="105" t="s">
        <v>3426</v>
      </c>
      <c r="F121" s="105"/>
      <c r="G121" s="105" t="s">
        <v>1178</v>
      </c>
      <c r="H121" s="105" t="s">
        <v>3108</v>
      </c>
      <c r="I121" s="105"/>
      <c r="K121" s="106" t="s">
        <v>198</v>
      </c>
      <c r="L121" s="106" t="s">
        <v>3427</v>
      </c>
      <c r="M121" s="106" t="s">
        <v>3428</v>
      </c>
    </row>
    <row r="122" spans="1:13">
      <c r="A122" s="105" t="s">
        <v>924</v>
      </c>
      <c r="B122" s="105" t="s">
        <v>341</v>
      </c>
      <c r="C122" s="105" t="s">
        <v>342</v>
      </c>
      <c r="D122" s="105" t="s">
        <v>575</v>
      </c>
      <c r="E122" s="105" t="s">
        <v>3429</v>
      </c>
      <c r="F122" s="105"/>
      <c r="G122" s="105" t="s">
        <v>1176</v>
      </c>
      <c r="H122" s="105" t="s">
        <v>3108</v>
      </c>
      <c r="I122" s="105" t="s">
        <v>3217</v>
      </c>
      <c r="K122" s="106" t="s">
        <v>198</v>
      </c>
      <c r="L122" s="106" t="s">
        <v>3430</v>
      </c>
      <c r="M122" s="106" t="s">
        <v>3431</v>
      </c>
    </row>
    <row r="123" spans="1:13">
      <c r="A123" s="105" t="s">
        <v>924</v>
      </c>
      <c r="B123" s="105" t="s">
        <v>343</v>
      </c>
      <c r="C123" s="105" t="s">
        <v>344</v>
      </c>
      <c r="D123" s="105" t="s">
        <v>574</v>
      </c>
      <c r="E123" s="105" t="s">
        <v>3432</v>
      </c>
      <c r="F123" s="105"/>
      <c r="G123" s="105" t="s">
        <v>1176</v>
      </c>
      <c r="H123" s="105" t="s">
        <v>3108</v>
      </c>
      <c r="I123" s="105"/>
      <c r="K123" s="106" t="s">
        <v>198</v>
      </c>
      <c r="L123" s="106" t="s">
        <v>3433</v>
      </c>
      <c r="M123" s="106" t="s">
        <v>3434</v>
      </c>
    </row>
    <row r="124" spans="1:13">
      <c r="A124" s="105" t="s">
        <v>924</v>
      </c>
      <c r="B124" s="105" t="s">
        <v>345</v>
      </c>
      <c r="C124" s="105" t="s">
        <v>346</v>
      </c>
      <c r="D124" s="105" t="s">
        <v>574</v>
      </c>
      <c r="E124" s="116" t="s">
        <v>3150</v>
      </c>
      <c r="F124" s="116"/>
      <c r="G124" s="105" t="s">
        <v>1220</v>
      </c>
      <c r="H124" s="105" t="s">
        <v>3304</v>
      </c>
      <c r="I124" s="105"/>
      <c r="K124" s="106" t="s">
        <v>198</v>
      </c>
      <c r="L124" s="106" t="s">
        <v>3435</v>
      </c>
      <c r="M124" s="106" t="s">
        <v>3436</v>
      </c>
    </row>
    <row r="125" spans="1:13">
      <c r="A125" s="108" t="s">
        <v>924</v>
      </c>
      <c r="B125" s="108" t="s">
        <v>347</v>
      </c>
      <c r="C125" s="108" t="s">
        <v>348</v>
      </c>
      <c r="D125" s="108" t="s">
        <v>574</v>
      </c>
      <c r="E125" s="108" t="s">
        <v>3437</v>
      </c>
      <c r="F125" s="108"/>
      <c r="G125" s="108" t="s">
        <v>1176</v>
      </c>
      <c r="H125" s="108" t="s">
        <v>3096</v>
      </c>
      <c r="I125" s="108"/>
      <c r="K125" s="106" t="s">
        <v>198</v>
      </c>
      <c r="L125" s="106" t="s">
        <v>1294</v>
      </c>
      <c r="M125" s="106" t="s">
        <v>3438</v>
      </c>
    </row>
    <row r="126" spans="1:13">
      <c r="A126" s="108" t="s">
        <v>924</v>
      </c>
      <c r="B126" s="108" t="s">
        <v>349</v>
      </c>
      <c r="C126" s="108" t="s">
        <v>350</v>
      </c>
      <c r="D126" s="108" t="s">
        <v>574</v>
      </c>
      <c r="E126" s="108" t="s">
        <v>3439</v>
      </c>
      <c r="F126" s="108"/>
      <c r="G126" s="108" t="s">
        <v>1281</v>
      </c>
      <c r="H126" s="108" t="s">
        <v>3108</v>
      </c>
      <c r="I126" s="108"/>
      <c r="K126" s="106" t="s">
        <v>200</v>
      </c>
      <c r="L126" s="106" t="s">
        <v>1296</v>
      </c>
      <c r="M126" s="106" t="s">
        <v>3440</v>
      </c>
    </row>
    <row r="127" spans="1:13">
      <c r="A127" s="108" t="s">
        <v>924</v>
      </c>
      <c r="B127" s="108" t="s">
        <v>351</v>
      </c>
      <c r="C127" s="108" t="s">
        <v>352</v>
      </c>
      <c r="D127" s="108" t="s">
        <v>574</v>
      </c>
      <c r="E127" s="108" t="s">
        <v>3441</v>
      </c>
      <c r="F127" s="108"/>
      <c r="G127" s="108" t="s">
        <v>1281</v>
      </c>
      <c r="H127" s="108" t="s">
        <v>3108</v>
      </c>
      <c r="I127" s="108"/>
      <c r="K127" s="106" t="s">
        <v>200</v>
      </c>
      <c r="L127" s="106" t="s">
        <v>1297</v>
      </c>
      <c r="M127" s="106" t="s">
        <v>3442</v>
      </c>
    </row>
    <row r="128" spans="1:13">
      <c r="A128" s="105" t="s">
        <v>925</v>
      </c>
      <c r="B128" s="105" t="s">
        <v>353</v>
      </c>
      <c r="C128" s="105" t="s">
        <v>3443</v>
      </c>
      <c r="D128" s="105" t="s">
        <v>568</v>
      </c>
      <c r="E128" s="105" t="s">
        <v>3444</v>
      </c>
      <c r="F128" s="105"/>
      <c r="G128" s="105" t="s">
        <v>1178</v>
      </c>
      <c r="H128" s="105" t="s">
        <v>3108</v>
      </c>
      <c r="I128" s="105" t="s">
        <v>3402</v>
      </c>
      <c r="K128" s="106" t="s">
        <v>200</v>
      </c>
      <c r="L128" s="106" t="s">
        <v>1298</v>
      </c>
      <c r="M128" s="106" t="s">
        <v>3445</v>
      </c>
    </row>
    <row r="129" spans="1:13">
      <c r="A129" s="105" t="s">
        <v>925</v>
      </c>
      <c r="B129" s="105" t="s">
        <v>355</v>
      </c>
      <c r="C129" s="105" t="s">
        <v>356</v>
      </c>
      <c r="D129" s="105" t="s">
        <v>568</v>
      </c>
      <c r="E129" s="105" t="s">
        <v>3446</v>
      </c>
      <c r="F129" s="105"/>
      <c r="G129" s="105" t="s">
        <v>1178</v>
      </c>
      <c r="H129" s="105" t="s">
        <v>3096</v>
      </c>
      <c r="I129" s="105"/>
      <c r="K129" s="106" t="s">
        <v>203</v>
      </c>
      <c r="L129" s="106" t="s">
        <v>1299</v>
      </c>
      <c r="M129" s="106" t="s">
        <v>3447</v>
      </c>
    </row>
    <row r="130" spans="1:13">
      <c r="A130" s="105" t="s">
        <v>925</v>
      </c>
      <c r="B130" s="105" t="s">
        <v>357</v>
      </c>
      <c r="C130" s="105" t="s">
        <v>358</v>
      </c>
      <c r="D130" s="105" t="s">
        <v>568</v>
      </c>
      <c r="E130" s="105" t="s">
        <v>3448</v>
      </c>
      <c r="F130" s="105"/>
      <c r="G130" s="105" t="s">
        <v>1178</v>
      </c>
      <c r="H130" s="105" t="s">
        <v>3096</v>
      </c>
      <c r="I130" s="105"/>
      <c r="K130" s="106" t="s">
        <v>203</v>
      </c>
      <c r="L130" s="106" t="s">
        <v>1300</v>
      </c>
      <c r="M130" s="106" t="s">
        <v>3449</v>
      </c>
    </row>
    <row r="131" spans="1:13">
      <c r="A131" s="105" t="s">
        <v>925</v>
      </c>
      <c r="B131" s="105" t="s">
        <v>359</v>
      </c>
      <c r="C131" s="105" t="s">
        <v>360</v>
      </c>
      <c r="D131" s="105" t="s">
        <v>568</v>
      </c>
      <c r="E131" s="105" t="s">
        <v>3450</v>
      </c>
      <c r="F131" s="105"/>
      <c r="G131" s="105" t="s">
        <v>1178</v>
      </c>
      <c r="H131" s="105" t="s">
        <v>3096</v>
      </c>
      <c r="I131" s="105"/>
      <c r="K131" s="106" t="s">
        <v>203</v>
      </c>
      <c r="L131" s="106" t="s">
        <v>1301</v>
      </c>
      <c r="M131" s="106" t="s">
        <v>3451</v>
      </c>
    </row>
    <row r="132" spans="1:13">
      <c r="A132" s="105" t="s">
        <v>925</v>
      </c>
      <c r="B132" s="105" t="s">
        <v>361</v>
      </c>
      <c r="C132" s="105" t="s">
        <v>362</v>
      </c>
      <c r="D132" s="105" t="s">
        <v>568</v>
      </c>
      <c r="E132" s="105" t="s">
        <v>3452</v>
      </c>
      <c r="F132" s="105"/>
      <c r="G132" s="105" t="s">
        <v>1178</v>
      </c>
      <c r="H132" s="105" t="s">
        <v>3096</v>
      </c>
      <c r="I132" s="105"/>
      <c r="K132" s="106" t="s">
        <v>205</v>
      </c>
      <c r="L132" s="106" t="s">
        <v>1302</v>
      </c>
      <c r="M132" s="106" t="s">
        <v>3453</v>
      </c>
    </row>
    <row r="133" spans="1:13">
      <c r="A133" s="105" t="s">
        <v>925</v>
      </c>
      <c r="B133" s="105" t="s">
        <v>363</v>
      </c>
      <c r="C133" s="105" t="s">
        <v>364</v>
      </c>
      <c r="D133" s="105" t="s">
        <v>568</v>
      </c>
      <c r="E133" s="116" t="s">
        <v>3150</v>
      </c>
      <c r="F133" s="116"/>
      <c r="G133" s="105" t="s">
        <v>1220</v>
      </c>
      <c r="H133" s="105" t="s">
        <v>3304</v>
      </c>
      <c r="I133" s="105"/>
      <c r="K133" s="106" t="s">
        <v>207</v>
      </c>
      <c r="L133" s="106" t="s">
        <v>1303</v>
      </c>
      <c r="M133" s="106" t="s">
        <v>3454</v>
      </c>
    </row>
    <row r="134" spans="1:13">
      <c r="A134" s="105" t="s">
        <v>926</v>
      </c>
      <c r="B134" s="105" t="s">
        <v>365</v>
      </c>
      <c r="C134" s="105" t="s">
        <v>366</v>
      </c>
      <c r="D134" s="105" t="s">
        <v>576</v>
      </c>
      <c r="E134" s="105" t="s">
        <v>3455</v>
      </c>
      <c r="F134" s="105"/>
      <c r="G134" s="105" t="s">
        <v>1176</v>
      </c>
      <c r="H134" s="105" t="s">
        <v>3096</v>
      </c>
      <c r="I134" s="105"/>
      <c r="K134" s="106" t="s">
        <v>207</v>
      </c>
      <c r="L134" s="106" t="s">
        <v>1304</v>
      </c>
      <c r="M134" s="106" t="s">
        <v>3456</v>
      </c>
    </row>
    <row r="135" spans="1:13">
      <c r="A135" s="105" t="s">
        <v>926</v>
      </c>
      <c r="B135" s="105" t="s">
        <v>367</v>
      </c>
      <c r="C135" s="105" t="s">
        <v>368</v>
      </c>
      <c r="D135" s="105" t="s">
        <v>576</v>
      </c>
      <c r="E135" s="105" t="s">
        <v>3457</v>
      </c>
      <c r="F135" s="105"/>
      <c r="G135" s="105" t="s">
        <v>1176</v>
      </c>
      <c r="H135" s="105" t="s">
        <v>3096</v>
      </c>
      <c r="I135" s="105" t="s">
        <v>3217</v>
      </c>
      <c r="K135" s="106" t="s">
        <v>207</v>
      </c>
      <c r="L135" s="106" t="s">
        <v>1305</v>
      </c>
      <c r="M135" s="106" t="s">
        <v>3458</v>
      </c>
    </row>
    <row r="136" spans="1:13">
      <c r="A136" s="105" t="s">
        <v>926</v>
      </c>
      <c r="B136" s="105" t="s">
        <v>369</v>
      </c>
      <c r="C136" s="105" t="s">
        <v>370</v>
      </c>
      <c r="D136" s="105" t="s">
        <v>576</v>
      </c>
      <c r="E136" s="105" t="s">
        <v>3459</v>
      </c>
      <c r="F136" s="105"/>
      <c r="G136" s="105" t="s">
        <v>1176</v>
      </c>
      <c r="H136" s="105" t="s">
        <v>3096</v>
      </c>
      <c r="I136" s="105" t="s">
        <v>3217</v>
      </c>
      <c r="K136" s="106" t="s">
        <v>209</v>
      </c>
      <c r="L136" s="106" t="s">
        <v>1306</v>
      </c>
      <c r="M136" s="106" t="s">
        <v>3460</v>
      </c>
    </row>
    <row r="137" spans="1:13">
      <c r="A137" s="105" t="s">
        <v>926</v>
      </c>
      <c r="B137" s="105" t="s">
        <v>371</v>
      </c>
      <c r="C137" s="105" t="s">
        <v>3461</v>
      </c>
      <c r="D137" s="105" t="s">
        <v>576</v>
      </c>
      <c r="E137" s="105" t="s">
        <v>3462</v>
      </c>
      <c r="F137" s="105"/>
      <c r="G137" s="105" t="s">
        <v>1281</v>
      </c>
      <c r="H137" s="105" t="s">
        <v>3096</v>
      </c>
      <c r="I137" s="105" t="s">
        <v>3463</v>
      </c>
      <c r="K137" s="106" t="s">
        <v>209</v>
      </c>
      <c r="L137" s="106" t="s">
        <v>1307</v>
      </c>
      <c r="M137" s="106" t="s">
        <v>3464</v>
      </c>
    </row>
    <row r="138" spans="1:13">
      <c r="A138" s="105" t="s">
        <v>926</v>
      </c>
      <c r="B138" s="105" t="s">
        <v>373</v>
      </c>
      <c r="C138" s="105" t="s">
        <v>374</v>
      </c>
      <c r="D138" s="105" t="s">
        <v>576</v>
      </c>
      <c r="E138" s="113" t="s">
        <v>3465</v>
      </c>
      <c r="F138" s="113" t="s">
        <v>3465</v>
      </c>
      <c r="G138" s="105" t="s">
        <v>1178</v>
      </c>
      <c r="H138" s="105" t="s">
        <v>3096</v>
      </c>
      <c r="I138" s="105"/>
      <c r="K138" s="106" t="s">
        <v>209</v>
      </c>
      <c r="L138" s="106" t="s">
        <v>1308</v>
      </c>
      <c r="M138" s="106" t="s">
        <v>3466</v>
      </c>
    </row>
    <row r="139" spans="1:13">
      <c r="A139" s="105" t="s">
        <v>926</v>
      </c>
      <c r="B139" s="105" t="s">
        <v>375</v>
      </c>
      <c r="C139" s="105" t="s">
        <v>376</v>
      </c>
      <c r="D139" s="105" t="s">
        <v>576</v>
      </c>
      <c r="E139" s="113" t="s">
        <v>3467</v>
      </c>
      <c r="F139" s="113" t="s">
        <v>3468</v>
      </c>
      <c r="G139" s="105" t="s">
        <v>1178</v>
      </c>
      <c r="H139" s="105" t="s">
        <v>3108</v>
      </c>
      <c r="I139" s="105"/>
      <c r="K139" s="106" t="s">
        <v>209</v>
      </c>
      <c r="L139" s="106" t="s">
        <v>1309</v>
      </c>
      <c r="M139" s="106" t="s">
        <v>3469</v>
      </c>
    </row>
    <row r="140" spans="1:13">
      <c r="A140" s="105" t="s">
        <v>926</v>
      </c>
      <c r="B140" s="105" t="s">
        <v>377</v>
      </c>
      <c r="C140" s="105" t="s">
        <v>378</v>
      </c>
      <c r="D140" s="105" t="s">
        <v>576</v>
      </c>
      <c r="E140" s="113" t="s">
        <v>3470</v>
      </c>
      <c r="F140" s="113" t="s">
        <v>3471</v>
      </c>
      <c r="G140" s="120" t="s">
        <v>1125</v>
      </c>
      <c r="H140" s="105" t="s">
        <v>3108</v>
      </c>
      <c r="I140" s="105"/>
      <c r="K140" s="106" t="s">
        <v>209</v>
      </c>
      <c r="L140" s="106" t="s">
        <v>1310</v>
      </c>
      <c r="M140" s="106" t="s">
        <v>3472</v>
      </c>
    </row>
    <row r="141" spans="1:13">
      <c r="A141" s="108" t="s">
        <v>926</v>
      </c>
      <c r="B141" s="108" t="s">
        <v>379</v>
      </c>
      <c r="C141" s="108" t="s">
        <v>380</v>
      </c>
      <c r="D141" s="108" t="s">
        <v>576</v>
      </c>
      <c r="E141" s="121" t="s">
        <v>3473</v>
      </c>
      <c r="F141" s="121" t="s">
        <v>3474</v>
      </c>
      <c r="G141" s="108" t="s">
        <v>1178</v>
      </c>
      <c r="H141" s="108" t="s">
        <v>3108</v>
      </c>
      <c r="I141" s="108" t="s">
        <v>2937</v>
      </c>
      <c r="K141" s="106" t="s">
        <v>211</v>
      </c>
      <c r="L141" s="106" t="s">
        <v>1311</v>
      </c>
      <c r="M141" s="106" t="s">
        <v>3475</v>
      </c>
    </row>
    <row r="142" spans="1:13">
      <c r="A142" s="108" t="s">
        <v>926</v>
      </c>
      <c r="B142" s="108" t="s">
        <v>381</v>
      </c>
      <c r="C142" s="108" t="s">
        <v>382</v>
      </c>
      <c r="D142" s="108" t="s">
        <v>576</v>
      </c>
      <c r="E142" s="121" t="s">
        <v>3476</v>
      </c>
      <c r="F142" s="121" t="s">
        <v>3471</v>
      </c>
      <c r="G142" s="122" t="s">
        <v>1125</v>
      </c>
      <c r="H142" s="108" t="s">
        <v>3108</v>
      </c>
      <c r="I142" s="108" t="s">
        <v>2937</v>
      </c>
      <c r="K142" s="106" t="s">
        <v>211</v>
      </c>
      <c r="L142" s="106" t="s">
        <v>1312</v>
      </c>
      <c r="M142" s="106" t="s">
        <v>3477</v>
      </c>
    </row>
    <row r="143" spans="1:13">
      <c r="A143" s="108" t="s">
        <v>926</v>
      </c>
      <c r="B143" s="108" t="s">
        <v>383</v>
      </c>
      <c r="C143" s="108" t="s">
        <v>384</v>
      </c>
      <c r="D143" s="108" t="s">
        <v>576</v>
      </c>
      <c r="E143" s="121" t="s">
        <v>3478</v>
      </c>
      <c r="F143" s="121" t="s">
        <v>3471</v>
      </c>
      <c r="G143" s="122" t="s">
        <v>1125</v>
      </c>
      <c r="H143" s="108" t="s">
        <v>3108</v>
      </c>
      <c r="I143" s="108" t="s">
        <v>3463</v>
      </c>
      <c r="K143" s="106" t="s">
        <v>213</v>
      </c>
      <c r="L143" s="106" t="s">
        <v>1313</v>
      </c>
      <c r="M143" s="106" t="s">
        <v>214</v>
      </c>
    </row>
    <row r="144" spans="1:13">
      <c r="A144" s="105" t="s">
        <v>926</v>
      </c>
      <c r="B144" s="105" t="s">
        <v>385</v>
      </c>
      <c r="C144" s="105" t="s">
        <v>3479</v>
      </c>
      <c r="D144" s="105" t="s">
        <v>576</v>
      </c>
      <c r="E144" s="113" t="s">
        <v>3480</v>
      </c>
      <c r="F144" s="113" t="s">
        <v>3481</v>
      </c>
      <c r="G144" s="105" t="s">
        <v>1281</v>
      </c>
      <c r="H144" s="105" t="s">
        <v>3108</v>
      </c>
      <c r="I144" s="105"/>
      <c r="K144" s="106" t="s">
        <v>215</v>
      </c>
      <c r="L144" s="106" t="s">
        <v>1314</v>
      </c>
      <c r="M144" s="106" t="s">
        <v>216</v>
      </c>
    </row>
    <row r="145" spans="1:13">
      <c r="A145" s="108" t="s">
        <v>926</v>
      </c>
      <c r="B145" s="108" t="s">
        <v>387</v>
      </c>
      <c r="C145" s="108" t="s">
        <v>388</v>
      </c>
      <c r="D145" s="108" t="s">
        <v>576</v>
      </c>
      <c r="E145" s="121" t="s">
        <v>3482</v>
      </c>
      <c r="F145" s="121" t="s">
        <v>3471</v>
      </c>
      <c r="G145" s="108" t="s">
        <v>1178</v>
      </c>
      <c r="H145" s="108" t="s">
        <v>3108</v>
      </c>
      <c r="I145" s="108" t="s">
        <v>3483</v>
      </c>
      <c r="K145" s="106" t="s">
        <v>217</v>
      </c>
      <c r="L145" s="106" t="s">
        <v>3484</v>
      </c>
      <c r="M145" s="123" t="s">
        <v>3485</v>
      </c>
    </row>
    <row r="146" spans="1:13">
      <c r="A146" s="105" t="s">
        <v>926</v>
      </c>
      <c r="B146" s="105" t="s">
        <v>389</v>
      </c>
      <c r="C146" s="105" t="s">
        <v>390</v>
      </c>
      <c r="D146" s="105" t="s">
        <v>576</v>
      </c>
      <c r="E146" s="105" t="s">
        <v>3486</v>
      </c>
      <c r="F146" s="105"/>
      <c r="G146" s="105" t="s">
        <v>1176</v>
      </c>
      <c r="H146" s="105" t="s">
        <v>3108</v>
      </c>
      <c r="I146" s="105"/>
      <c r="K146" s="106" t="s">
        <v>217</v>
      </c>
      <c r="L146" s="106" t="s">
        <v>3487</v>
      </c>
      <c r="M146" s="106" t="s">
        <v>3488</v>
      </c>
    </row>
    <row r="147" ht="31.2" spans="1:13">
      <c r="A147" s="105" t="s">
        <v>926</v>
      </c>
      <c r="B147" s="105" t="s">
        <v>392</v>
      </c>
      <c r="C147" s="105" t="s">
        <v>3489</v>
      </c>
      <c r="D147" s="105" t="s">
        <v>576</v>
      </c>
      <c r="E147" s="105" t="s">
        <v>3490</v>
      </c>
      <c r="F147" s="105"/>
      <c r="G147" s="105" t="s">
        <v>1176</v>
      </c>
      <c r="H147" s="105" t="s">
        <v>3108</v>
      </c>
      <c r="I147" s="105" t="s">
        <v>3217</v>
      </c>
      <c r="J147" s="124" t="s">
        <v>3491</v>
      </c>
      <c r="K147" s="106" t="s">
        <v>217</v>
      </c>
      <c r="L147" s="106" t="s">
        <v>3492</v>
      </c>
      <c r="M147" s="106" t="s">
        <v>3493</v>
      </c>
    </row>
    <row r="148" spans="1:13">
      <c r="A148" s="105" t="s">
        <v>926</v>
      </c>
      <c r="B148" s="105" t="s">
        <v>394</v>
      </c>
      <c r="C148" s="105" t="s">
        <v>395</v>
      </c>
      <c r="D148" s="105" t="s">
        <v>576</v>
      </c>
      <c r="E148" s="105" t="s">
        <v>3494</v>
      </c>
      <c r="F148" s="105" t="s">
        <v>3495</v>
      </c>
      <c r="G148" s="105" t="s">
        <v>1176</v>
      </c>
      <c r="H148" s="105" t="s">
        <v>3108</v>
      </c>
      <c r="I148" s="105" t="s">
        <v>3217</v>
      </c>
      <c r="K148" s="106" t="s">
        <v>217</v>
      </c>
      <c r="L148" s="106" t="s">
        <v>3496</v>
      </c>
      <c r="M148" s="106" t="s">
        <v>3497</v>
      </c>
    </row>
    <row r="149" spans="1:13">
      <c r="A149" s="105" t="s">
        <v>926</v>
      </c>
      <c r="B149" s="105" t="s">
        <v>396</v>
      </c>
      <c r="C149" s="105" t="s">
        <v>397</v>
      </c>
      <c r="D149" s="105" t="s">
        <v>576</v>
      </c>
      <c r="E149" s="105" t="s">
        <v>3498</v>
      </c>
      <c r="F149" s="105"/>
      <c r="G149" s="105" t="s">
        <v>1178</v>
      </c>
      <c r="H149" s="105" t="s">
        <v>3108</v>
      </c>
      <c r="I149" s="105" t="s">
        <v>3217</v>
      </c>
      <c r="K149" s="106" t="s">
        <v>217</v>
      </c>
      <c r="L149" s="106" t="s">
        <v>3499</v>
      </c>
      <c r="M149" s="106" t="s">
        <v>3500</v>
      </c>
    </row>
    <row r="150" spans="1:13">
      <c r="A150" s="105" t="s">
        <v>926</v>
      </c>
      <c r="B150" s="105" t="s">
        <v>398</v>
      </c>
      <c r="C150" s="105" t="s">
        <v>399</v>
      </c>
      <c r="D150" s="105" t="s">
        <v>576</v>
      </c>
      <c r="E150" s="105" t="s">
        <v>3501</v>
      </c>
      <c r="F150" s="105"/>
      <c r="G150" s="105" t="s">
        <v>1178</v>
      </c>
      <c r="H150" s="105" t="s">
        <v>3108</v>
      </c>
      <c r="I150" s="105" t="s">
        <v>3217</v>
      </c>
      <c r="K150" s="106" t="s">
        <v>217</v>
      </c>
      <c r="L150" s="106" t="s">
        <v>1317</v>
      </c>
      <c r="M150" s="106" t="s">
        <v>3502</v>
      </c>
    </row>
    <row r="151" spans="1:13">
      <c r="A151" s="105" t="s">
        <v>926</v>
      </c>
      <c r="B151" s="105" t="s">
        <v>400</v>
      </c>
      <c r="C151" s="105" t="s">
        <v>401</v>
      </c>
      <c r="D151" s="105" t="s">
        <v>576</v>
      </c>
      <c r="E151" s="105" t="s">
        <v>3503</v>
      </c>
      <c r="F151" s="105"/>
      <c r="G151" s="105" t="s">
        <v>1178</v>
      </c>
      <c r="H151" s="105" t="s">
        <v>3108</v>
      </c>
      <c r="I151" s="105"/>
      <c r="K151" s="106" t="s">
        <v>219</v>
      </c>
      <c r="L151" s="106" t="s">
        <v>1318</v>
      </c>
      <c r="M151" s="106" t="s">
        <v>220</v>
      </c>
    </row>
    <row r="152" spans="1:13">
      <c r="A152" s="105" t="s">
        <v>926</v>
      </c>
      <c r="B152" s="105" t="s">
        <v>402</v>
      </c>
      <c r="C152" s="105" t="s">
        <v>403</v>
      </c>
      <c r="D152" s="105" t="s">
        <v>576</v>
      </c>
      <c r="E152" s="116" t="s">
        <v>3150</v>
      </c>
      <c r="F152" s="105"/>
      <c r="G152" s="105" t="s">
        <v>1220</v>
      </c>
      <c r="H152" s="105" t="s">
        <v>3304</v>
      </c>
      <c r="I152" s="105"/>
      <c r="K152" s="106" t="s">
        <v>221</v>
      </c>
      <c r="L152" s="106" t="s">
        <v>1319</v>
      </c>
      <c r="M152" s="106" t="s">
        <v>222</v>
      </c>
    </row>
    <row r="153" spans="1:13">
      <c r="A153" s="105" t="s">
        <v>927</v>
      </c>
      <c r="B153" s="105" t="s">
        <v>405</v>
      </c>
      <c r="C153" s="105" t="s">
        <v>406</v>
      </c>
      <c r="D153" s="105" t="s">
        <v>577</v>
      </c>
      <c r="E153" s="105" t="s">
        <v>3504</v>
      </c>
      <c r="F153" s="105" t="s">
        <v>3505</v>
      </c>
      <c r="G153" s="105" t="s">
        <v>1178</v>
      </c>
      <c r="H153" s="105" t="s">
        <v>3108</v>
      </c>
      <c r="I153" s="105" t="s">
        <v>3217</v>
      </c>
      <c r="K153" s="106" t="s">
        <v>223</v>
      </c>
      <c r="L153" s="106" t="s">
        <v>1320</v>
      </c>
      <c r="M153" s="106" t="s">
        <v>224</v>
      </c>
    </row>
    <row r="154" spans="1:13">
      <c r="A154" s="105" t="s">
        <v>927</v>
      </c>
      <c r="B154" s="105" t="s">
        <v>407</v>
      </c>
      <c r="C154" s="105" t="s">
        <v>408</v>
      </c>
      <c r="D154" s="105" t="s">
        <v>577</v>
      </c>
      <c r="E154" s="105" t="s">
        <v>3506</v>
      </c>
      <c r="F154" s="105" t="s">
        <v>3505</v>
      </c>
      <c r="G154" s="105" t="s">
        <v>1176</v>
      </c>
      <c r="H154" s="105" t="s">
        <v>3096</v>
      </c>
      <c r="I154" s="105"/>
      <c r="K154" s="106" t="s">
        <v>225</v>
      </c>
      <c r="L154" s="106" t="s">
        <v>1321</v>
      </c>
      <c r="M154" s="106" t="s">
        <v>226</v>
      </c>
    </row>
    <row r="155" spans="1:13">
      <c r="A155" s="105" t="s">
        <v>927</v>
      </c>
      <c r="B155" s="105" t="s">
        <v>409</v>
      </c>
      <c r="C155" s="105" t="s">
        <v>410</v>
      </c>
      <c r="D155" s="105" t="s">
        <v>577</v>
      </c>
      <c r="E155" s="105" t="s">
        <v>3507</v>
      </c>
      <c r="F155" s="105" t="s">
        <v>3508</v>
      </c>
      <c r="G155" s="105" t="s">
        <v>1671</v>
      </c>
      <c r="H155" s="105" t="s">
        <v>3108</v>
      </c>
      <c r="I155" s="105"/>
      <c r="K155" s="106" t="s">
        <v>227</v>
      </c>
      <c r="L155" s="106" t="s">
        <v>1322</v>
      </c>
      <c r="M155" s="106" t="s">
        <v>228</v>
      </c>
    </row>
    <row r="156" spans="1:13">
      <c r="A156" s="105" t="s">
        <v>927</v>
      </c>
      <c r="B156" s="105" t="s">
        <v>411</v>
      </c>
      <c r="C156" s="105" t="s">
        <v>412</v>
      </c>
      <c r="D156" s="105" t="s">
        <v>577</v>
      </c>
      <c r="E156" s="105" t="s">
        <v>3509</v>
      </c>
      <c r="F156" s="105" t="s">
        <v>3505</v>
      </c>
      <c r="G156" s="105" t="s">
        <v>1176</v>
      </c>
      <c r="H156" s="105" t="s">
        <v>3108</v>
      </c>
      <c r="I156" s="105" t="s">
        <v>3217</v>
      </c>
      <c r="K156" s="106" t="s">
        <v>229</v>
      </c>
      <c r="L156" s="106" t="s">
        <v>1323</v>
      </c>
      <c r="M156" s="106" t="s">
        <v>230</v>
      </c>
    </row>
    <row r="157" spans="1:13">
      <c r="A157" s="105" t="s">
        <v>928</v>
      </c>
      <c r="B157" s="105" t="s">
        <v>413</v>
      </c>
      <c r="C157" s="105" t="s">
        <v>414</v>
      </c>
      <c r="D157" s="105" t="s">
        <v>569</v>
      </c>
      <c r="E157" s="105" t="s">
        <v>3510</v>
      </c>
      <c r="F157" s="105"/>
      <c r="G157" s="105" t="s">
        <v>1176</v>
      </c>
      <c r="H157" s="105" t="s">
        <v>3096</v>
      </c>
      <c r="I157" s="105"/>
      <c r="K157" s="106" t="s">
        <v>231</v>
      </c>
      <c r="L157" s="106" t="s">
        <v>1324</v>
      </c>
      <c r="M157" s="106" t="s">
        <v>232</v>
      </c>
    </row>
    <row r="158" spans="1:13">
      <c r="A158" s="105" t="s">
        <v>928</v>
      </c>
      <c r="B158" s="105" t="s">
        <v>415</v>
      </c>
      <c r="C158" s="105" t="s">
        <v>416</v>
      </c>
      <c r="D158" s="105" t="s">
        <v>569</v>
      </c>
      <c r="E158" s="105" t="s">
        <v>3511</v>
      </c>
      <c r="F158" s="105"/>
      <c r="G158" s="105" t="s">
        <v>1176</v>
      </c>
      <c r="H158" s="105" t="s">
        <v>3096</v>
      </c>
      <c r="I158" s="105"/>
      <c r="K158" s="106" t="s">
        <v>233</v>
      </c>
      <c r="L158" s="106" t="s">
        <v>1325</v>
      </c>
      <c r="M158" s="106" t="s">
        <v>234</v>
      </c>
    </row>
    <row r="159" spans="1:13">
      <c r="A159" s="105" t="s">
        <v>928</v>
      </c>
      <c r="B159" s="105" t="s">
        <v>417</v>
      </c>
      <c r="C159" s="105" t="s">
        <v>418</v>
      </c>
      <c r="D159" s="105" t="s">
        <v>569</v>
      </c>
      <c r="E159" s="105" t="s">
        <v>3512</v>
      </c>
      <c r="F159" s="105"/>
      <c r="G159" s="105" t="s">
        <v>1176</v>
      </c>
      <c r="H159" s="105" t="s">
        <v>3096</v>
      </c>
      <c r="I159" s="105"/>
      <c r="K159" s="106" t="s">
        <v>235</v>
      </c>
      <c r="L159" s="106" t="s">
        <v>1326</v>
      </c>
      <c r="M159" s="106" t="s">
        <v>236</v>
      </c>
    </row>
    <row r="160" spans="1:13">
      <c r="A160" s="105" t="s">
        <v>928</v>
      </c>
      <c r="B160" s="105" t="s">
        <v>419</v>
      </c>
      <c r="C160" s="105" t="s">
        <v>420</v>
      </c>
      <c r="D160" s="105" t="s">
        <v>569</v>
      </c>
      <c r="E160" s="105" t="s">
        <v>3513</v>
      </c>
      <c r="F160" s="105"/>
      <c r="G160" s="105" t="s">
        <v>1178</v>
      </c>
      <c r="H160" s="105" t="s">
        <v>3096</v>
      </c>
      <c r="I160" s="105"/>
      <c r="K160" s="106" t="s">
        <v>237</v>
      </c>
      <c r="L160" s="106" t="s">
        <v>1329</v>
      </c>
      <c r="M160" s="106" t="s">
        <v>3514</v>
      </c>
    </row>
    <row r="161" spans="1:13">
      <c r="A161" s="105" t="s">
        <v>928</v>
      </c>
      <c r="B161" s="105" t="s">
        <v>421</v>
      </c>
      <c r="C161" s="105" t="s">
        <v>422</v>
      </c>
      <c r="D161" s="105" t="s">
        <v>569</v>
      </c>
      <c r="E161" s="105" t="s">
        <v>3515</v>
      </c>
      <c r="F161" s="105"/>
      <c r="G161" s="105" t="s">
        <v>1178</v>
      </c>
      <c r="H161" s="105" t="s">
        <v>3108</v>
      </c>
      <c r="I161" s="105"/>
      <c r="K161" s="106" t="s">
        <v>237</v>
      </c>
      <c r="L161" s="106" t="s">
        <v>1330</v>
      </c>
      <c r="M161" s="106" t="s">
        <v>3516</v>
      </c>
    </row>
    <row r="162" spans="1:13">
      <c r="A162" s="105" t="s">
        <v>928</v>
      </c>
      <c r="B162" s="105" t="s">
        <v>423</v>
      </c>
      <c r="C162" s="105" t="s">
        <v>424</v>
      </c>
      <c r="D162" s="105" t="s">
        <v>569</v>
      </c>
      <c r="E162" s="105" t="s">
        <v>3517</v>
      </c>
      <c r="F162" s="105"/>
      <c r="G162" s="105" t="s">
        <v>1178</v>
      </c>
      <c r="H162" s="105" t="s">
        <v>3108</v>
      </c>
      <c r="I162" s="105"/>
      <c r="K162" s="106" t="s">
        <v>239</v>
      </c>
      <c r="L162" s="106" t="s">
        <v>1331</v>
      </c>
      <c r="M162" s="106" t="s">
        <v>240</v>
      </c>
    </row>
    <row r="163" spans="1:13">
      <c r="A163" s="105" t="s">
        <v>928</v>
      </c>
      <c r="B163" s="105" t="s">
        <v>425</v>
      </c>
      <c r="C163" s="105" t="s">
        <v>426</v>
      </c>
      <c r="D163" s="105" t="s">
        <v>569</v>
      </c>
      <c r="E163" s="105" t="s">
        <v>3518</v>
      </c>
      <c r="F163" s="105"/>
      <c r="G163" s="105" t="s">
        <v>1178</v>
      </c>
      <c r="H163" s="105" t="s">
        <v>3108</v>
      </c>
      <c r="I163" s="105"/>
      <c r="K163" s="106" t="s">
        <v>241</v>
      </c>
      <c r="L163" s="106" t="s">
        <v>1332</v>
      </c>
      <c r="M163" s="106" t="s">
        <v>3519</v>
      </c>
    </row>
    <row r="164" spans="1:13">
      <c r="A164" s="105" t="s">
        <v>928</v>
      </c>
      <c r="B164" s="105" t="s">
        <v>427</v>
      </c>
      <c r="C164" s="105" t="s">
        <v>428</v>
      </c>
      <c r="D164" s="105" t="s">
        <v>569</v>
      </c>
      <c r="E164" s="105" t="s">
        <v>3520</v>
      </c>
      <c r="F164" s="105"/>
      <c r="G164" s="105" t="s">
        <v>1178</v>
      </c>
      <c r="H164" s="105" t="s">
        <v>3108</v>
      </c>
      <c r="I164" s="105"/>
      <c r="K164" s="106" t="s">
        <v>243</v>
      </c>
      <c r="L164" s="106" t="s">
        <v>1333</v>
      </c>
      <c r="M164" s="106" t="s">
        <v>3521</v>
      </c>
    </row>
    <row r="165" spans="1:13">
      <c r="A165" s="105" t="s">
        <v>928</v>
      </c>
      <c r="B165" s="105" t="s">
        <v>429</v>
      </c>
      <c r="C165" s="105" t="s">
        <v>430</v>
      </c>
      <c r="D165" s="105" t="s">
        <v>569</v>
      </c>
      <c r="E165" s="105" t="s">
        <v>3150</v>
      </c>
      <c r="F165" s="105"/>
      <c r="G165" s="105" t="s">
        <v>1295</v>
      </c>
      <c r="H165" s="105" t="s">
        <v>3108</v>
      </c>
      <c r="I165" s="105"/>
      <c r="K165" s="106" t="s">
        <v>243</v>
      </c>
      <c r="L165" s="106" t="s">
        <v>1334</v>
      </c>
      <c r="M165" s="106" t="s">
        <v>3522</v>
      </c>
    </row>
    <row r="166" spans="1:13">
      <c r="A166" s="105" t="s">
        <v>928</v>
      </c>
      <c r="B166" s="105" t="s">
        <v>431</v>
      </c>
      <c r="C166" s="105" t="s">
        <v>432</v>
      </c>
      <c r="D166" s="105" t="s">
        <v>569</v>
      </c>
      <c r="E166" s="105" t="s">
        <v>3523</v>
      </c>
      <c r="F166" s="105"/>
      <c r="G166" s="105" t="s">
        <v>1220</v>
      </c>
      <c r="H166" s="105" t="s">
        <v>3304</v>
      </c>
      <c r="I166" s="105"/>
      <c r="K166" s="106" t="s">
        <v>245</v>
      </c>
      <c r="L166" s="106" t="s">
        <v>1337</v>
      </c>
      <c r="M166" s="106" t="s">
        <v>3524</v>
      </c>
    </row>
    <row r="167" spans="1:13">
      <c r="A167" s="105" t="s">
        <v>928</v>
      </c>
      <c r="B167" s="105" t="s">
        <v>433</v>
      </c>
      <c r="C167" s="105" t="s">
        <v>434</v>
      </c>
      <c r="D167" s="105" t="s">
        <v>569</v>
      </c>
      <c r="E167" s="105" t="s">
        <v>3150</v>
      </c>
      <c r="F167" s="105"/>
      <c r="G167" s="105" t="s">
        <v>1220</v>
      </c>
      <c r="H167" s="105" t="s">
        <v>3304</v>
      </c>
      <c r="I167" s="105"/>
      <c r="K167" s="106" t="s">
        <v>247</v>
      </c>
      <c r="L167" s="106" t="s">
        <v>1341</v>
      </c>
      <c r="M167" s="106" t="s">
        <v>248</v>
      </c>
    </row>
    <row r="168" spans="1:13">
      <c r="A168" s="105" t="s">
        <v>929</v>
      </c>
      <c r="B168" s="105" t="s">
        <v>435</v>
      </c>
      <c r="C168" s="105" t="s">
        <v>436</v>
      </c>
      <c r="D168" s="105" t="s">
        <v>580</v>
      </c>
      <c r="E168" s="105" t="s">
        <v>3525</v>
      </c>
      <c r="F168" s="105"/>
      <c r="G168" s="105" t="s">
        <v>1176</v>
      </c>
      <c r="H168" s="105" t="s">
        <v>3096</v>
      </c>
      <c r="I168" s="105"/>
      <c r="K168" s="106" t="s">
        <v>249</v>
      </c>
      <c r="L168" s="106" t="s">
        <v>1342</v>
      </c>
      <c r="M168" s="106" t="s">
        <v>3526</v>
      </c>
    </row>
    <row r="169" spans="1:13">
      <c r="A169" s="105" t="s">
        <v>929</v>
      </c>
      <c r="B169" s="105" t="s">
        <v>437</v>
      </c>
      <c r="C169" s="105" t="s">
        <v>438</v>
      </c>
      <c r="D169" s="105" t="s">
        <v>580</v>
      </c>
      <c r="E169" s="105" t="s">
        <v>3527</v>
      </c>
      <c r="F169" s="105"/>
      <c r="G169" s="105" t="s">
        <v>1178</v>
      </c>
      <c r="H169" s="105" t="s">
        <v>3108</v>
      </c>
      <c r="I169" s="105"/>
      <c r="K169" s="106" t="s">
        <v>249</v>
      </c>
      <c r="L169" s="106" t="s">
        <v>1343</v>
      </c>
      <c r="M169" s="106" t="s">
        <v>3528</v>
      </c>
    </row>
    <row r="170" spans="1:13">
      <c r="A170" s="105" t="s">
        <v>929</v>
      </c>
      <c r="B170" s="105" t="s">
        <v>439</v>
      </c>
      <c r="C170" s="105" t="s">
        <v>440</v>
      </c>
      <c r="D170" s="105" t="s">
        <v>580</v>
      </c>
      <c r="E170" s="105" t="s">
        <v>3529</v>
      </c>
      <c r="F170" s="105"/>
      <c r="G170" s="105" t="s">
        <v>1178</v>
      </c>
      <c r="H170" s="105" t="s">
        <v>3108</v>
      </c>
      <c r="I170" s="105"/>
      <c r="K170" s="106" t="s">
        <v>249</v>
      </c>
      <c r="L170" s="106" t="s">
        <v>1344</v>
      </c>
      <c r="M170" s="106" t="s">
        <v>3530</v>
      </c>
    </row>
    <row r="171" spans="1:13">
      <c r="A171" s="105" t="s">
        <v>929</v>
      </c>
      <c r="B171" s="105" t="s">
        <v>441</v>
      </c>
      <c r="C171" s="105" t="s">
        <v>3531</v>
      </c>
      <c r="D171" s="105" t="s">
        <v>580</v>
      </c>
      <c r="E171" s="105" t="s">
        <v>3532</v>
      </c>
      <c r="F171" s="105"/>
      <c r="G171" s="105" t="s">
        <v>1178</v>
      </c>
      <c r="H171" s="105" t="s">
        <v>3108</v>
      </c>
      <c r="I171" s="105" t="s">
        <v>3533</v>
      </c>
      <c r="K171" s="106" t="s">
        <v>251</v>
      </c>
      <c r="L171" s="106" t="s">
        <v>1345</v>
      </c>
      <c r="M171" s="106" t="s">
        <v>3534</v>
      </c>
    </row>
    <row r="172" spans="1:13">
      <c r="A172" s="105" t="s">
        <v>930</v>
      </c>
      <c r="B172" s="105" t="s">
        <v>443</v>
      </c>
      <c r="C172" s="105" t="s">
        <v>444</v>
      </c>
      <c r="D172" s="105" t="s">
        <v>569</v>
      </c>
      <c r="E172" s="105" t="s">
        <v>3535</v>
      </c>
      <c r="F172" s="105"/>
      <c r="G172" s="105" t="s">
        <v>1178</v>
      </c>
      <c r="H172" s="105" t="s">
        <v>3108</v>
      </c>
      <c r="I172" s="105" t="s">
        <v>3217</v>
      </c>
      <c r="K172" s="106" t="s">
        <v>251</v>
      </c>
      <c r="L172" s="106" t="s">
        <v>1346</v>
      </c>
      <c r="M172" s="106" t="s">
        <v>3536</v>
      </c>
    </row>
    <row r="173" spans="1:13">
      <c r="A173" s="105" t="s">
        <v>930</v>
      </c>
      <c r="B173" s="105" t="s">
        <v>445</v>
      </c>
      <c r="C173" s="105" t="s">
        <v>446</v>
      </c>
      <c r="D173" s="105" t="s">
        <v>569</v>
      </c>
      <c r="E173" s="105" t="s">
        <v>3537</v>
      </c>
      <c r="F173" s="105"/>
      <c r="G173" s="105" t="s">
        <v>1178</v>
      </c>
      <c r="H173" s="105" t="s">
        <v>3108</v>
      </c>
      <c r="I173" s="105" t="s">
        <v>3217</v>
      </c>
      <c r="K173" s="106" t="s">
        <v>253</v>
      </c>
      <c r="L173" s="106" t="s">
        <v>1347</v>
      </c>
      <c r="M173" s="106" t="s">
        <v>254</v>
      </c>
    </row>
    <row r="174" spans="1:13">
      <c r="A174" s="105" t="s">
        <v>930</v>
      </c>
      <c r="B174" s="105" t="s">
        <v>447</v>
      </c>
      <c r="C174" s="105" t="s">
        <v>448</v>
      </c>
      <c r="D174" s="105" t="s">
        <v>569</v>
      </c>
      <c r="E174" s="105" t="s">
        <v>3538</v>
      </c>
      <c r="F174" s="105"/>
      <c r="G174" s="105" t="s">
        <v>1178</v>
      </c>
      <c r="H174" s="105" t="s">
        <v>3108</v>
      </c>
      <c r="I174" s="105" t="s">
        <v>3217</v>
      </c>
      <c r="K174" s="106" t="s">
        <v>255</v>
      </c>
      <c r="L174" s="106" t="s">
        <v>1349</v>
      </c>
      <c r="M174" s="106" t="s">
        <v>3306</v>
      </c>
    </row>
    <row r="175" spans="1:13">
      <c r="A175" s="105" t="s">
        <v>930</v>
      </c>
      <c r="B175" s="105" t="s">
        <v>449</v>
      </c>
      <c r="C175" s="105" t="s">
        <v>450</v>
      </c>
      <c r="D175" s="105" t="s">
        <v>569</v>
      </c>
      <c r="E175" s="105" t="s">
        <v>3539</v>
      </c>
      <c r="F175" s="105"/>
      <c r="G175" s="105" t="s">
        <v>1178</v>
      </c>
      <c r="H175" s="105" t="s">
        <v>3108</v>
      </c>
      <c r="I175" s="105" t="s">
        <v>3217</v>
      </c>
      <c r="K175" s="106" t="s">
        <v>255</v>
      </c>
      <c r="L175" s="106" t="s">
        <v>3540</v>
      </c>
      <c r="M175" s="106" t="s">
        <v>3541</v>
      </c>
    </row>
    <row r="176" spans="1:13">
      <c r="A176" s="105" t="s">
        <v>1959</v>
      </c>
      <c r="B176" s="105" t="s">
        <v>451</v>
      </c>
      <c r="C176" s="105" t="s">
        <v>452</v>
      </c>
      <c r="D176" s="105" t="s">
        <v>577</v>
      </c>
      <c r="E176" s="105" t="s">
        <v>3542</v>
      </c>
      <c r="F176" s="105" t="s">
        <v>3543</v>
      </c>
      <c r="G176" s="105" t="s">
        <v>1178</v>
      </c>
      <c r="H176" s="105" t="s">
        <v>3096</v>
      </c>
      <c r="I176" s="105"/>
      <c r="K176" s="106" t="s">
        <v>257</v>
      </c>
      <c r="L176" s="106" t="s">
        <v>1350</v>
      </c>
      <c r="M176" s="106" t="s">
        <v>3310</v>
      </c>
    </row>
    <row r="177" spans="1:14">
      <c r="A177" s="105" t="s">
        <v>1959</v>
      </c>
      <c r="B177" s="105" t="s">
        <v>453</v>
      </c>
      <c r="C177" s="105" t="s">
        <v>454</v>
      </c>
      <c r="D177" s="105" t="s">
        <v>577</v>
      </c>
      <c r="E177" s="105" t="s">
        <v>3544</v>
      </c>
      <c r="F177" s="105" t="s">
        <v>3543</v>
      </c>
      <c r="G177" s="105" t="s">
        <v>1178</v>
      </c>
      <c r="H177" s="105" t="s">
        <v>3096</v>
      </c>
      <c r="I177" s="105"/>
      <c r="K177" s="106" t="s">
        <v>257</v>
      </c>
      <c r="L177" s="106" t="s">
        <v>1351</v>
      </c>
      <c r="M177" s="106" t="s">
        <v>3545</v>
      </c>
    </row>
    <row r="178" spans="1:14">
      <c r="A178" s="105" t="s">
        <v>1960</v>
      </c>
      <c r="B178" s="105" t="s">
        <v>455</v>
      </c>
      <c r="C178" s="105" t="s">
        <v>456</v>
      </c>
      <c r="D178" s="105" t="s">
        <v>577</v>
      </c>
      <c r="E178" s="105" t="s">
        <v>3546</v>
      </c>
      <c r="F178" s="105" t="s">
        <v>3134</v>
      </c>
      <c r="G178" s="105" t="s">
        <v>1178</v>
      </c>
      <c r="H178" s="105" t="s">
        <v>3108</v>
      </c>
      <c r="I178" s="105"/>
      <c r="K178" s="106" t="s">
        <v>259</v>
      </c>
      <c r="L178" s="106" t="s">
        <v>1352</v>
      </c>
      <c r="M178" s="106" t="s">
        <v>3547</v>
      </c>
    </row>
    <row r="179" spans="1:14">
      <c r="A179" s="105" t="s">
        <v>1960</v>
      </c>
      <c r="B179" s="105" t="s">
        <v>457</v>
      </c>
      <c r="C179" s="105" t="s">
        <v>458</v>
      </c>
      <c r="D179" s="105" t="s">
        <v>577</v>
      </c>
      <c r="E179" s="105" t="s">
        <v>3548</v>
      </c>
      <c r="F179" s="105" t="s">
        <v>3134</v>
      </c>
      <c r="G179" s="105" t="s">
        <v>1178</v>
      </c>
      <c r="H179" s="105" t="s">
        <v>3108</v>
      </c>
      <c r="I179" s="105"/>
      <c r="K179" s="106" t="s">
        <v>259</v>
      </c>
      <c r="L179" s="106" t="s">
        <v>1353</v>
      </c>
      <c r="M179" s="106" t="s">
        <v>3549</v>
      </c>
    </row>
    <row r="180" spans="1:14">
      <c r="A180" s="105" t="s">
        <v>1964</v>
      </c>
      <c r="B180" s="105" t="s">
        <v>459</v>
      </c>
      <c r="C180" s="105" t="s">
        <v>460</v>
      </c>
      <c r="D180" s="105" t="s">
        <v>577</v>
      </c>
      <c r="E180" s="105" t="s">
        <v>3550</v>
      </c>
      <c r="F180" s="105" t="s">
        <v>3551</v>
      </c>
      <c r="G180" s="105" t="s">
        <v>1176</v>
      </c>
      <c r="H180" s="105" t="s">
        <v>3108</v>
      </c>
      <c r="I180" s="105"/>
      <c r="K180" s="106" t="s">
        <v>261</v>
      </c>
      <c r="L180" s="106" t="s">
        <v>1354</v>
      </c>
      <c r="M180" s="106" t="s">
        <v>3552</v>
      </c>
    </row>
    <row r="181" spans="1:14">
      <c r="A181" s="105" t="s">
        <v>1964</v>
      </c>
      <c r="B181" s="105" t="s">
        <v>523</v>
      </c>
      <c r="C181" s="109" t="s">
        <v>524</v>
      </c>
      <c r="D181" s="109" t="s">
        <v>577</v>
      </c>
      <c r="E181" s="105" t="s">
        <v>3553</v>
      </c>
      <c r="F181" s="105" t="s">
        <v>3551</v>
      </c>
      <c r="G181" s="109" t="s">
        <v>1176</v>
      </c>
      <c r="H181" s="109" t="s">
        <v>3108</v>
      </c>
      <c r="I181" s="109"/>
      <c r="K181" s="106" t="s">
        <v>261</v>
      </c>
      <c r="L181" s="106" t="s">
        <v>1355</v>
      </c>
      <c r="M181" s="106" t="s">
        <v>3554</v>
      </c>
    </row>
    <row r="182" spans="1:14">
      <c r="A182" s="105" t="s">
        <v>1967</v>
      </c>
      <c r="B182" s="105" t="s">
        <v>461</v>
      </c>
      <c r="C182" s="105" t="s">
        <v>462</v>
      </c>
      <c r="D182" s="105" t="s">
        <v>577</v>
      </c>
      <c r="E182" s="105" t="s">
        <v>3555</v>
      </c>
      <c r="F182" s="105" t="s">
        <v>3551</v>
      </c>
      <c r="G182" s="105" t="s">
        <v>1176</v>
      </c>
      <c r="H182" s="105" t="s">
        <v>3108</v>
      </c>
      <c r="I182" s="105"/>
      <c r="K182" s="106" t="s">
        <v>261</v>
      </c>
      <c r="L182" s="106" t="s">
        <v>1356</v>
      </c>
      <c r="M182" s="106" t="s">
        <v>3556</v>
      </c>
    </row>
    <row r="183" spans="1:14">
      <c r="A183" s="105" t="s">
        <v>1967</v>
      </c>
      <c r="B183" s="105" t="s">
        <v>463</v>
      </c>
      <c r="C183" s="105" t="s">
        <v>464</v>
      </c>
      <c r="D183" s="105" t="s">
        <v>577</v>
      </c>
      <c r="E183" s="105" t="s">
        <v>3557</v>
      </c>
      <c r="F183" s="105" t="s">
        <v>3551</v>
      </c>
      <c r="G183" s="105" t="s">
        <v>1176</v>
      </c>
      <c r="H183" s="105" t="s">
        <v>3108</v>
      </c>
      <c r="I183" s="105"/>
      <c r="K183" s="106" t="s">
        <v>261</v>
      </c>
      <c r="L183" s="106" t="s">
        <v>3558</v>
      </c>
      <c r="M183" s="106" t="s">
        <v>3559</v>
      </c>
    </row>
    <row r="184" spans="1:14">
      <c r="A184" s="105" t="s">
        <v>1967</v>
      </c>
      <c r="B184" s="105" t="s">
        <v>465</v>
      </c>
      <c r="C184" s="105" t="s">
        <v>466</v>
      </c>
      <c r="D184" s="105" t="s">
        <v>577</v>
      </c>
      <c r="E184" s="105" t="s">
        <v>3560</v>
      </c>
      <c r="F184" s="105" t="s">
        <v>3551</v>
      </c>
      <c r="G184" s="105" t="s">
        <v>1176</v>
      </c>
      <c r="H184" s="105" t="s">
        <v>3108</v>
      </c>
      <c r="I184" s="105"/>
      <c r="K184" s="106" t="s">
        <v>263</v>
      </c>
      <c r="L184" s="106" t="s">
        <v>1357</v>
      </c>
      <c r="M184" s="106" t="s">
        <v>264</v>
      </c>
    </row>
    <row r="185" spans="1:14">
      <c r="A185" s="105" t="s">
        <v>1967</v>
      </c>
      <c r="B185" s="105" t="s">
        <v>467</v>
      </c>
      <c r="C185" s="105" t="s">
        <v>3561</v>
      </c>
      <c r="D185" s="105" t="s">
        <v>577</v>
      </c>
      <c r="E185" s="105" t="s">
        <v>3562</v>
      </c>
      <c r="F185" s="105" t="s">
        <v>3551</v>
      </c>
      <c r="G185" s="105" t="s">
        <v>1176</v>
      </c>
      <c r="H185" s="105" t="s">
        <v>3108</v>
      </c>
      <c r="I185" s="105"/>
      <c r="K185" s="106" t="s">
        <v>263</v>
      </c>
      <c r="L185" s="106" t="s">
        <v>1358</v>
      </c>
      <c r="M185" s="106" t="s">
        <v>3563</v>
      </c>
    </row>
    <row r="186" spans="1:14">
      <c r="A186" s="105" t="s">
        <v>1967</v>
      </c>
      <c r="B186" s="105" t="s">
        <v>469</v>
      </c>
      <c r="C186" s="109" t="s">
        <v>3564</v>
      </c>
      <c r="D186" s="105" t="s">
        <v>577</v>
      </c>
      <c r="E186" s="105" t="s">
        <v>3565</v>
      </c>
      <c r="F186" s="105" t="s">
        <v>3551</v>
      </c>
      <c r="G186" s="105" t="s">
        <v>1176</v>
      </c>
      <c r="H186" s="105" t="s">
        <v>3108</v>
      </c>
      <c r="I186" s="105"/>
      <c r="K186" s="106" t="s">
        <v>265</v>
      </c>
      <c r="L186" s="106" t="s">
        <v>1359</v>
      </c>
      <c r="M186" s="106" t="s">
        <v>266</v>
      </c>
    </row>
    <row r="187" spans="1:14">
      <c r="A187" s="105" t="s">
        <v>1967</v>
      </c>
      <c r="B187" s="105" t="s">
        <v>471</v>
      </c>
      <c r="C187" s="105" t="s">
        <v>3566</v>
      </c>
      <c r="D187" s="105" t="s">
        <v>577</v>
      </c>
      <c r="E187" s="105" t="s">
        <v>3567</v>
      </c>
      <c r="F187" s="105" t="s">
        <v>3551</v>
      </c>
      <c r="G187" s="105" t="s">
        <v>1176</v>
      </c>
      <c r="H187" s="105" t="s">
        <v>3108</v>
      </c>
      <c r="I187" s="105"/>
      <c r="K187" s="106" t="s">
        <v>265</v>
      </c>
      <c r="L187" s="106" t="s">
        <v>1360</v>
      </c>
      <c r="M187" s="106" t="s">
        <v>3568</v>
      </c>
    </row>
    <row r="188" spans="1:14">
      <c r="A188" s="105" t="s">
        <v>1967</v>
      </c>
      <c r="B188" s="105" t="s">
        <v>473</v>
      </c>
      <c r="C188" s="105" t="s">
        <v>474</v>
      </c>
      <c r="D188" s="105" t="s">
        <v>577</v>
      </c>
      <c r="E188" s="105" t="s">
        <v>3569</v>
      </c>
      <c r="F188" s="105" t="s">
        <v>3551</v>
      </c>
      <c r="G188" s="105" t="s">
        <v>1176</v>
      </c>
      <c r="H188" s="105" t="s">
        <v>3108</v>
      </c>
      <c r="I188" s="105"/>
      <c r="K188" s="106" t="s">
        <v>267</v>
      </c>
      <c r="L188" s="106" t="s">
        <v>2908</v>
      </c>
      <c r="M188" s="106" t="s">
        <v>3570</v>
      </c>
    </row>
    <row r="189" spans="1:14">
      <c r="A189" s="105" t="s">
        <v>1972</v>
      </c>
      <c r="B189" s="105" t="s">
        <v>475</v>
      </c>
      <c r="C189" s="105" t="s">
        <v>476</v>
      </c>
      <c r="D189" s="105" t="s">
        <v>577</v>
      </c>
      <c r="E189" s="105" t="s">
        <v>3571</v>
      </c>
      <c r="F189" s="105" t="s">
        <v>3572</v>
      </c>
      <c r="G189" s="105" t="s">
        <v>1176</v>
      </c>
      <c r="H189" s="105" t="s">
        <v>3108</v>
      </c>
      <c r="I189" s="105"/>
      <c r="K189" s="106" t="s">
        <v>267</v>
      </c>
      <c r="L189" s="106" t="s">
        <v>2909</v>
      </c>
      <c r="M189" s="106" t="s">
        <v>3573</v>
      </c>
      <c r="N189" s="81" t="s">
        <v>3294</v>
      </c>
    </row>
    <row r="190" spans="1:14">
      <c r="A190" s="105" t="s">
        <v>1972</v>
      </c>
      <c r="B190" s="105" t="s">
        <v>477</v>
      </c>
      <c r="C190" s="105" t="s">
        <v>478</v>
      </c>
      <c r="D190" s="105" t="s">
        <v>577</v>
      </c>
      <c r="E190" s="105" t="s">
        <v>3574</v>
      </c>
      <c r="F190" s="105" t="s">
        <v>3551</v>
      </c>
      <c r="G190" s="105" t="s">
        <v>1176</v>
      </c>
      <c r="H190" s="105" t="s">
        <v>3108</v>
      </c>
      <c r="I190" s="105"/>
      <c r="K190" s="106" t="s">
        <v>267</v>
      </c>
      <c r="L190" s="106" t="s">
        <v>1361</v>
      </c>
      <c r="M190" s="106" t="s">
        <v>3575</v>
      </c>
      <c r="N190" s="81" t="s">
        <v>3294</v>
      </c>
    </row>
    <row r="191" spans="1:14">
      <c r="A191" s="105" t="s">
        <v>1972</v>
      </c>
      <c r="B191" s="105" t="s">
        <v>479</v>
      </c>
      <c r="C191" s="105" t="s">
        <v>480</v>
      </c>
      <c r="D191" s="105" t="s">
        <v>577</v>
      </c>
      <c r="E191" s="105" t="s">
        <v>3576</v>
      </c>
      <c r="F191" s="105" t="s">
        <v>3134</v>
      </c>
      <c r="G191" s="105" t="s">
        <v>1178</v>
      </c>
      <c r="H191" s="105" t="s">
        <v>3108</v>
      </c>
      <c r="I191" s="105"/>
      <c r="K191" s="106" t="s">
        <v>267</v>
      </c>
      <c r="L191" s="106" t="s">
        <v>2910</v>
      </c>
      <c r="M191" s="106" t="s">
        <v>3577</v>
      </c>
      <c r="N191" s="81" t="s">
        <v>3294</v>
      </c>
    </row>
    <row r="192" spans="1:14">
      <c r="A192" s="105" t="s">
        <v>1972</v>
      </c>
      <c r="B192" s="105" t="s">
        <v>481</v>
      </c>
      <c r="C192" s="105" t="s">
        <v>482</v>
      </c>
      <c r="D192" s="105" t="s">
        <v>577</v>
      </c>
      <c r="E192" s="105" t="s">
        <v>3578</v>
      </c>
      <c r="F192" s="105" t="s">
        <v>3134</v>
      </c>
      <c r="G192" s="105" t="s">
        <v>1178</v>
      </c>
      <c r="H192" s="105" t="s">
        <v>3108</v>
      </c>
      <c r="I192" s="105"/>
      <c r="K192" s="106" t="s">
        <v>267</v>
      </c>
      <c r="L192" s="106" t="s">
        <v>1362</v>
      </c>
      <c r="M192" s="106" t="s">
        <v>3579</v>
      </c>
      <c r="N192" s="81" t="s">
        <v>3294</v>
      </c>
    </row>
    <row r="193" spans="1:13">
      <c r="A193" s="105" t="s">
        <v>1972</v>
      </c>
      <c r="B193" s="105" t="s">
        <v>483</v>
      </c>
      <c r="C193" s="105" t="s">
        <v>484</v>
      </c>
      <c r="D193" s="105" t="s">
        <v>577</v>
      </c>
      <c r="E193" s="105" t="s">
        <v>3580</v>
      </c>
      <c r="F193" s="105" t="s">
        <v>3543</v>
      </c>
      <c r="G193" s="105" t="s">
        <v>1178</v>
      </c>
      <c r="H193" s="105" t="s">
        <v>3108</v>
      </c>
      <c r="I193" s="105"/>
      <c r="K193" s="106" t="s">
        <v>267</v>
      </c>
      <c r="L193" s="106" t="s">
        <v>1363</v>
      </c>
      <c r="M193" s="106" t="s">
        <v>3581</v>
      </c>
    </row>
    <row r="194" spans="1:13">
      <c r="A194" s="105" t="s">
        <v>1972</v>
      </c>
      <c r="B194" s="105" t="s">
        <v>485</v>
      </c>
      <c r="C194" s="105" t="s">
        <v>486</v>
      </c>
      <c r="D194" s="105" t="s">
        <v>577</v>
      </c>
      <c r="E194" s="105" t="s">
        <v>3582</v>
      </c>
      <c r="F194" s="105" t="s">
        <v>3551</v>
      </c>
      <c r="G194" s="105" t="s">
        <v>1176</v>
      </c>
      <c r="H194" s="105" t="s">
        <v>3108</v>
      </c>
      <c r="I194" s="105"/>
      <c r="K194" s="106" t="s">
        <v>269</v>
      </c>
      <c r="L194" s="106" t="s">
        <v>1364</v>
      </c>
      <c r="M194" s="106" t="s">
        <v>270</v>
      </c>
    </row>
    <row r="195" spans="1:13">
      <c r="A195" s="105" t="s">
        <v>1973</v>
      </c>
      <c r="B195" s="105" t="s">
        <v>487</v>
      </c>
      <c r="C195" s="105" t="s">
        <v>488</v>
      </c>
      <c r="D195" s="105" t="s">
        <v>605</v>
      </c>
      <c r="E195" s="116" t="s">
        <v>3583</v>
      </c>
      <c r="F195" s="125" t="s">
        <v>3474</v>
      </c>
      <c r="G195" s="105" t="s">
        <v>1178</v>
      </c>
      <c r="H195" s="105" t="s">
        <v>3096</v>
      </c>
      <c r="I195" s="105"/>
      <c r="K195" s="106" t="s">
        <v>271</v>
      </c>
      <c r="L195" s="106" t="s">
        <v>1365</v>
      </c>
      <c r="M195" s="106" t="s">
        <v>272</v>
      </c>
    </row>
    <row r="196" spans="1:13">
      <c r="A196" s="105" t="s">
        <v>1974</v>
      </c>
      <c r="B196" s="105" t="s">
        <v>489</v>
      </c>
      <c r="C196" s="105" t="s">
        <v>490</v>
      </c>
      <c r="D196" s="105" t="s">
        <v>605</v>
      </c>
      <c r="E196" s="116" t="s">
        <v>3584</v>
      </c>
      <c r="F196" s="125" t="s">
        <v>3474</v>
      </c>
      <c r="G196" s="105" t="s">
        <v>1176</v>
      </c>
      <c r="H196" s="105" t="s">
        <v>3096</v>
      </c>
      <c r="I196" s="105"/>
      <c r="K196" s="106" t="s">
        <v>273</v>
      </c>
      <c r="L196" s="106" t="s">
        <v>1367</v>
      </c>
      <c r="M196" s="106" t="s">
        <v>3585</v>
      </c>
    </row>
    <row r="197" spans="1:13">
      <c r="A197" s="105" t="s">
        <v>1975</v>
      </c>
      <c r="B197" s="105" t="s">
        <v>491</v>
      </c>
      <c r="C197" s="105" t="s">
        <v>492</v>
      </c>
      <c r="D197" s="105" t="s">
        <v>605</v>
      </c>
      <c r="E197" s="116" t="s">
        <v>3586</v>
      </c>
      <c r="F197" s="125" t="s">
        <v>3474</v>
      </c>
      <c r="G197" s="105" t="s">
        <v>1178</v>
      </c>
      <c r="H197" s="105" t="s">
        <v>3096</v>
      </c>
      <c r="I197" s="105"/>
      <c r="K197" s="106" t="s">
        <v>273</v>
      </c>
      <c r="L197" s="106" t="s">
        <v>1368</v>
      </c>
      <c r="M197" s="106" t="s">
        <v>3587</v>
      </c>
    </row>
    <row r="198" spans="1:13">
      <c r="A198" s="105" t="s">
        <v>1975</v>
      </c>
      <c r="B198" s="105" t="s">
        <v>493</v>
      </c>
      <c r="C198" s="105" t="s">
        <v>494</v>
      </c>
      <c r="D198" s="105" t="s">
        <v>605</v>
      </c>
      <c r="E198" s="116" t="s">
        <v>3588</v>
      </c>
      <c r="F198" s="125" t="s">
        <v>3474</v>
      </c>
      <c r="G198" s="105" t="s">
        <v>1178</v>
      </c>
      <c r="H198" s="105" t="s">
        <v>3096</v>
      </c>
      <c r="I198" s="105"/>
      <c r="K198" s="112" t="s">
        <v>275</v>
      </c>
      <c r="L198" s="112" t="s">
        <v>2911</v>
      </c>
      <c r="M198" s="112" t="s">
        <v>3589</v>
      </c>
    </row>
    <row r="199" spans="1:13">
      <c r="A199" s="105" t="s">
        <v>1975</v>
      </c>
      <c r="B199" s="105" t="s">
        <v>495</v>
      </c>
      <c r="C199" s="105" t="s">
        <v>496</v>
      </c>
      <c r="D199" s="105" t="s">
        <v>605</v>
      </c>
      <c r="E199" s="116" t="s">
        <v>3590</v>
      </c>
      <c r="F199" s="125" t="s">
        <v>3474</v>
      </c>
      <c r="G199" s="105" t="s">
        <v>1178</v>
      </c>
      <c r="H199" s="105" t="s">
        <v>3096</v>
      </c>
      <c r="I199" s="105"/>
      <c r="K199" s="112" t="s">
        <v>275</v>
      </c>
      <c r="L199" s="112" t="s">
        <v>2912</v>
      </c>
      <c r="M199" s="112" t="s">
        <v>3591</v>
      </c>
    </row>
    <row r="200" spans="1:13">
      <c r="A200" s="105" t="s">
        <v>1975</v>
      </c>
      <c r="B200" s="105" t="s">
        <v>497</v>
      </c>
      <c r="C200" s="105" t="s">
        <v>498</v>
      </c>
      <c r="D200" s="105" t="s">
        <v>605</v>
      </c>
      <c r="E200" s="116" t="s">
        <v>3592</v>
      </c>
      <c r="F200" s="125" t="s">
        <v>3474</v>
      </c>
      <c r="G200" s="105" t="s">
        <v>1178</v>
      </c>
      <c r="H200" s="105" t="s">
        <v>3096</v>
      </c>
      <c r="I200" s="105"/>
      <c r="K200" s="112" t="s">
        <v>275</v>
      </c>
      <c r="L200" s="112" t="s">
        <v>2914</v>
      </c>
      <c r="M200" s="112" t="s">
        <v>3593</v>
      </c>
    </row>
    <row r="201" spans="1:13">
      <c r="A201" s="105" t="s">
        <v>1977</v>
      </c>
      <c r="B201" s="105" t="s">
        <v>499</v>
      </c>
      <c r="C201" s="105" t="s">
        <v>500</v>
      </c>
      <c r="D201" s="105" t="s">
        <v>605</v>
      </c>
      <c r="E201" s="116" t="s">
        <v>3594</v>
      </c>
      <c r="F201" s="125" t="s">
        <v>3595</v>
      </c>
      <c r="G201" s="105" t="s">
        <v>1178</v>
      </c>
      <c r="H201" s="105" t="s">
        <v>3108</v>
      </c>
      <c r="I201" s="105"/>
      <c r="K201" s="112" t="s">
        <v>275</v>
      </c>
      <c r="L201" s="112" t="s">
        <v>2915</v>
      </c>
      <c r="M201" s="112" t="s">
        <v>3596</v>
      </c>
    </row>
    <row r="202" spans="1:13">
      <c r="A202" s="105" t="s">
        <v>1977</v>
      </c>
      <c r="B202" s="105" t="s">
        <v>501</v>
      </c>
      <c r="C202" s="105" t="s">
        <v>502</v>
      </c>
      <c r="D202" s="105" t="s">
        <v>605</v>
      </c>
      <c r="E202" s="116" t="s">
        <v>3597</v>
      </c>
      <c r="F202" s="125" t="s">
        <v>3474</v>
      </c>
      <c r="G202" s="105" t="s">
        <v>1178</v>
      </c>
      <c r="H202" s="105" t="s">
        <v>3108</v>
      </c>
      <c r="I202" s="105"/>
      <c r="K202" s="112" t="s">
        <v>275</v>
      </c>
      <c r="L202" s="112" t="s">
        <v>2916</v>
      </c>
      <c r="M202" s="112" t="s">
        <v>3598</v>
      </c>
    </row>
    <row r="203" spans="1:13">
      <c r="A203" s="105" t="s">
        <v>1977</v>
      </c>
      <c r="B203" s="105" t="s">
        <v>503</v>
      </c>
      <c r="C203" s="105" t="s">
        <v>504</v>
      </c>
      <c r="D203" s="105" t="s">
        <v>605</v>
      </c>
      <c r="E203" s="116" t="s">
        <v>3599</v>
      </c>
      <c r="F203" s="125" t="s">
        <v>3474</v>
      </c>
      <c r="G203" s="105" t="s">
        <v>1178</v>
      </c>
      <c r="H203" s="105" t="s">
        <v>3108</v>
      </c>
      <c r="I203" s="105"/>
      <c r="K203" s="112" t="s">
        <v>275</v>
      </c>
      <c r="L203" s="112" t="s">
        <v>2917</v>
      </c>
      <c r="M203" s="112" t="s">
        <v>3600</v>
      </c>
    </row>
    <row r="204" spans="1:13">
      <c r="A204" s="105" t="s">
        <v>1978</v>
      </c>
      <c r="B204" s="105" t="s">
        <v>505</v>
      </c>
      <c r="C204" s="105" t="s">
        <v>506</v>
      </c>
      <c r="D204" s="105" t="s">
        <v>605</v>
      </c>
      <c r="E204" s="116" t="s">
        <v>3601</v>
      </c>
      <c r="F204" s="125" t="s">
        <v>3602</v>
      </c>
      <c r="G204" s="105" t="s">
        <v>1178</v>
      </c>
      <c r="H204" s="105" t="s">
        <v>3108</v>
      </c>
      <c r="I204" s="105"/>
      <c r="K204" s="112" t="s">
        <v>275</v>
      </c>
      <c r="L204" s="112" t="s">
        <v>2918</v>
      </c>
      <c r="M204" s="112" t="s">
        <v>3603</v>
      </c>
    </row>
    <row r="205" spans="1:13">
      <c r="A205" s="105" t="s">
        <v>1978</v>
      </c>
      <c r="B205" s="105" t="s">
        <v>507</v>
      </c>
      <c r="C205" s="105" t="s">
        <v>508</v>
      </c>
      <c r="D205" s="105" t="s">
        <v>605</v>
      </c>
      <c r="E205" s="116" t="s">
        <v>3604</v>
      </c>
      <c r="F205" s="125" t="s">
        <v>3602</v>
      </c>
      <c r="G205" s="105" t="s">
        <v>1178</v>
      </c>
      <c r="H205" s="105" t="s">
        <v>3108</v>
      </c>
      <c r="I205" s="105"/>
      <c r="K205" s="112" t="s">
        <v>275</v>
      </c>
      <c r="L205" s="112" t="s">
        <v>2923</v>
      </c>
      <c r="M205" s="112" t="s">
        <v>3605</v>
      </c>
    </row>
    <row r="206" spans="1:13">
      <c r="A206" s="105" t="s">
        <v>1978</v>
      </c>
      <c r="B206" s="105" t="s">
        <v>509</v>
      </c>
      <c r="C206" s="105" t="s">
        <v>510</v>
      </c>
      <c r="D206" s="105" t="s">
        <v>605</v>
      </c>
      <c r="E206" s="116" t="s">
        <v>3606</v>
      </c>
      <c r="F206" s="125" t="s">
        <v>3602</v>
      </c>
      <c r="G206" s="105" t="s">
        <v>1178</v>
      </c>
      <c r="H206" s="105" t="s">
        <v>3108</v>
      </c>
      <c r="I206" s="105"/>
      <c r="K206" s="112" t="s">
        <v>275</v>
      </c>
      <c r="L206" s="112" t="s">
        <v>3607</v>
      </c>
      <c r="M206" s="112" t="s">
        <v>3608</v>
      </c>
    </row>
    <row r="207" spans="1:13">
      <c r="A207" s="105" t="s">
        <v>1978</v>
      </c>
      <c r="B207" s="105" t="s">
        <v>511</v>
      </c>
      <c r="C207" s="105" t="s">
        <v>512</v>
      </c>
      <c r="D207" s="105" t="s">
        <v>605</v>
      </c>
      <c r="E207" s="116" t="s">
        <v>3609</v>
      </c>
      <c r="F207" s="125" t="s">
        <v>3602</v>
      </c>
      <c r="G207" s="105" t="s">
        <v>1178</v>
      </c>
      <c r="H207" s="105" t="s">
        <v>3108</v>
      </c>
      <c r="I207" s="105"/>
      <c r="K207" s="112" t="s">
        <v>275</v>
      </c>
      <c r="L207" s="112" t="s">
        <v>2924</v>
      </c>
      <c r="M207" s="112" t="s">
        <v>3610</v>
      </c>
    </row>
    <row r="208" spans="1:13">
      <c r="A208" s="105" t="s">
        <v>1978</v>
      </c>
      <c r="B208" s="105" t="s">
        <v>513</v>
      </c>
      <c r="C208" s="105" t="s">
        <v>514</v>
      </c>
      <c r="D208" s="105" t="s">
        <v>605</v>
      </c>
      <c r="E208" s="116" t="s">
        <v>3611</v>
      </c>
      <c r="F208" s="125" t="s">
        <v>3602</v>
      </c>
      <c r="G208" s="105" t="s">
        <v>1178</v>
      </c>
      <c r="H208" s="105" t="s">
        <v>3108</v>
      </c>
      <c r="I208" s="105"/>
      <c r="K208" s="112" t="s">
        <v>275</v>
      </c>
      <c r="L208" s="112" t="s">
        <v>2925</v>
      </c>
      <c r="M208" s="112" t="s">
        <v>3612</v>
      </c>
    </row>
    <row r="209" spans="1:13">
      <c r="A209" s="105" t="s">
        <v>1980</v>
      </c>
      <c r="B209" s="105" t="s">
        <v>515</v>
      </c>
      <c r="C209" s="105" t="s">
        <v>516</v>
      </c>
      <c r="D209" s="105" t="s">
        <v>605</v>
      </c>
      <c r="E209" s="116" t="s">
        <v>3613</v>
      </c>
      <c r="F209" s="125" t="s">
        <v>3474</v>
      </c>
      <c r="G209" s="105" t="s">
        <v>1178</v>
      </c>
      <c r="H209" s="105" t="s">
        <v>3108</v>
      </c>
      <c r="I209" s="105"/>
      <c r="K209" s="112" t="s">
        <v>275</v>
      </c>
      <c r="L209" s="112" t="s">
        <v>2926</v>
      </c>
      <c r="M209" s="112" t="s">
        <v>3614</v>
      </c>
    </row>
    <row r="210" spans="1:13">
      <c r="A210" s="105" t="s">
        <v>1982</v>
      </c>
      <c r="B210" s="105" t="s">
        <v>517</v>
      </c>
      <c r="C210" s="105" t="s">
        <v>518</v>
      </c>
      <c r="D210" s="105" t="s">
        <v>605</v>
      </c>
      <c r="E210" s="116" t="s">
        <v>3615</v>
      </c>
      <c r="F210" s="125" t="s">
        <v>3474</v>
      </c>
      <c r="G210" s="105" t="s">
        <v>1178</v>
      </c>
      <c r="H210" s="105" t="s">
        <v>3096</v>
      </c>
      <c r="I210" s="105"/>
      <c r="K210" s="112" t="s">
        <v>275</v>
      </c>
      <c r="L210" s="112" t="s">
        <v>2927</v>
      </c>
      <c r="M210" s="112" t="s">
        <v>3616</v>
      </c>
    </row>
    <row r="211" ht="17.4" spans="1:13">
      <c r="A211" s="105" t="s">
        <v>1975</v>
      </c>
      <c r="B211" s="105" t="s">
        <v>519</v>
      </c>
      <c r="C211" s="105" t="s">
        <v>520</v>
      </c>
      <c r="D211" s="105" t="s">
        <v>605</v>
      </c>
      <c r="E211" s="116" t="s">
        <v>3617</v>
      </c>
      <c r="F211" s="125" t="s">
        <v>3602</v>
      </c>
      <c r="G211" s="105" t="s">
        <v>1178</v>
      </c>
      <c r="H211" s="105" t="s">
        <v>3096</v>
      </c>
      <c r="I211" s="105"/>
      <c r="K211" s="106" t="s">
        <v>277</v>
      </c>
      <c r="L211" s="106" t="s">
        <v>1385</v>
      </c>
      <c r="M211" s="126" t="s">
        <v>3618</v>
      </c>
    </row>
    <row r="212" spans="1:13">
      <c r="A212" s="105" t="s">
        <v>1975</v>
      </c>
      <c r="B212" s="105" t="s">
        <v>521</v>
      </c>
      <c r="C212" s="105" t="s">
        <v>522</v>
      </c>
      <c r="D212" s="105" t="s">
        <v>605</v>
      </c>
      <c r="E212" s="116" t="s">
        <v>3619</v>
      </c>
      <c r="F212" s="125" t="s">
        <v>3602</v>
      </c>
      <c r="G212" s="105" t="s">
        <v>1178</v>
      </c>
      <c r="H212" s="105" t="s">
        <v>3096</v>
      </c>
      <c r="I212" s="105"/>
      <c r="K212" s="106" t="s">
        <v>277</v>
      </c>
      <c r="L212" s="106" t="s">
        <v>2928</v>
      </c>
      <c r="M212" s="106" t="s">
        <v>3620</v>
      </c>
    </row>
    <row r="213" spans="1:13">
      <c r="A213" s="105" t="s">
        <v>917</v>
      </c>
      <c r="B213" s="105" t="s">
        <v>997</v>
      </c>
      <c r="C213" s="105" t="s">
        <v>3621</v>
      </c>
      <c r="D213" s="105" t="s">
        <v>569</v>
      </c>
      <c r="E213" s="105" t="s">
        <v>3622</v>
      </c>
      <c r="F213" s="105"/>
      <c r="G213" s="105" t="s">
        <v>1178</v>
      </c>
      <c r="H213" s="105" t="s">
        <v>3096</v>
      </c>
      <c r="I213" s="105" t="s">
        <v>3623</v>
      </c>
      <c r="K213" s="106" t="s">
        <v>277</v>
      </c>
      <c r="L213" s="106" t="s">
        <v>1389</v>
      </c>
      <c r="M213" s="106" t="s">
        <v>3624</v>
      </c>
    </row>
    <row r="214" spans="1:13">
      <c r="A214" s="108" t="s">
        <v>924</v>
      </c>
      <c r="B214" s="108" t="s">
        <v>3058</v>
      </c>
      <c r="C214" s="108" t="s">
        <v>3625</v>
      </c>
      <c r="D214" s="108" t="s">
        <v>575</v>
      </c>
      <c r="E214" s="119" t="s">
        <v>888</v>
      </c>
      <c r="F214" s="108"/>
      <c r="G214" s="108" t="s">
        <v>1380</v>
      </c>
      <c r="H214" s="108" t="s">
        <v>3108</v>
      </c>
      <c r="I214" s="108" t="s">
        <v>3626</v>
      </c>
      <c r="K214" s="106" t="s">
        <v>277</v>
      </c>
      <c r="L214" s="106" t="s">
        <v>2929</v>
      </c>
      <c r="M214" s="123" t="s">
        <v>3627</v>
      </c>
    </row>
    <row r="215" spans="1:13">
      <c r="A215" s="105" t="s">
        <v>920</v>
      </c>
      <c r="B215" s="105" t="s">
        <v>1006</v>
      </c>
      <c r="C215" s="105" t="s">
        <v>3628</v>
      </c>
      <c r="D215" s="105" t="s">
        <v>569</v>
      </c>
      <c r="E215" s="105" t="s">
        <v>3629</v>
      </c>
      <c r="F215" s="105"/>
      <c r="G215" s="105" t="s">
        <v>1178</v>
      </c>
      <c r="H215" s="105" t="s">
        <v>3108</v>
      </c>
      <c r="I215" s="105" t="s">
        <v>3630</v>
      </c>
      <c r="K215" s="106" t="s">
        <v>277</v>
      </c>
      <c r="L215" s="106" t="s">
        <v>2930</v>
      </c>
      <c r="M215" s="106" t="s">
        <v>3631</v>
      </c>
    </row>
    <row r="216" spans="1:13">
      <c r="A216" s="105" t="s">
        <v>921</v>
      </c>
      <c r="B216" s="105" t="s">
        <v>1026</v>
      </c>
      <c r="C216" s="105" t="s">
        <v>2303</v>
      </c>
      <c r="D216" s="105" t="s">
        <v>569</v>
      </c>
      <c r="E216" s="105" t="s">
        <v>3150</v>
      </c>
      <c r="F216" s="105"/>
      <c r="G216" s="105" t="s">
        <v>1220</v>
      </c>
      <c r="H216" s="105" t="s">
        <v>3304</v>
      </c>
      <c r="I216" s="105" t="s">
        <v>3630</v>
      </c>
      <c r="K216" s="106" t="s">
        <v>277</v>
      </c>
      <c r="L216" s="106" t="s">
        <v>2931</v>
      </c>
      <c r="M216" s="106" t="s">
        <v>3632</v>
      </c>
    </row>
    <row r="217" spans="1:13">
      <c r="A217" s="105" t="s">
        <v>921</v>
      </c>
      <c r="B217" s="105" t="s">
        <v>1027</v>
      </c>
      <c r="C217" s="105" t="s">
        <v>2304</v>
      </c>
      <c r="D217" s="105" t="s">
        <v>569</v>
      </c>
      <c r="E217" s="105" t="s">
        <v>3150</v>
      </c>
      <c r="F217" s="105"/>
      <c r="G217" s="105" t="s">
        <v>1220</v>
      </c>
      <c r="H217" s="105" t="s">
        <v>3304</v>
      </c>
      <c r="I217" s="105" t="s">
        <v>3630</v>
      </c>
      <c r="K217" s="106" t="s">
        <v>277</v>
      </c>
      <c r="L217" s="106" t="s">
        <v>2932</v>
      </c>
      <c r="M217" s="106" t="s">
        <v>3633</v>
      </c>
    </row>
    <row r="218" spans="1:13">
      <c r="A218" s="105" t="s">
        <v>925</v>
      </c>
      <c r="B218" s="105" t="s">
        <v>1093</v>
      </c>
      <c r="C218" s="105" t="s">
        <v>3634</v>
      </c>
      <c r="D218" s="105" t="s">
        <v>568</v>
      </c>
      <c r="E218" s="105" t="s">
        <v>3635</v>
      </c>
      <c r="F218" s="105"/>
      <c r="G218" s="105" t="s">
        <v>1178</v>
      </c>
      <c r="H218" s="105" t="s">
        <v>3096</v>
      </c>
      <c r="I218" s="105" t="s">
        <v>3406</v>
      </c>
      <c r="K218" s="106" t="s">
        <v>277</v>
      </c>
      <c r="L218" s="106" t="s">
        <v>2933</v>
      </c>
      <c r="M218" s="106" t="s">
        <v>3636</v>
      </c>
    </row>
    <row r="219" spans="1:13">
      <c r="A219" s="105" t="s">
        <v>925</v>
      </c>
      <c r="B219" s="105" t="s">
        <v>1094</v>
      </c>
      <c r="C219" s="105" t="s">
        <v>3637</v>
      </c>
      <c r="D219" s="105" t="s">
        <v>568</v>
      </c>
      <c r="E219" s="105" t="s">
        <v>3635</v>
      </c>
      <c r="F219" s="105"/>
      <c r="G219" s="105" t="s">
        <v>1178</v>
      </c>
      <c r="H219" s="105" t="s">
        <v>3096</v>
      </c>
      <c r="I219" s="105" t="s">
        <v>3406</v>
      </c>
      <c r="K219" s="106" t="s">
        <v>277</v>
      </c>
      <c r="L219" s="106" t="s">
        <v>2934</v>
      </c>
      <c r="M219" s="106" t="s">
        <v>3638</v>
      </c>
    </row>
    <row r="220" spans="1:13">
      <c r="A220" s="105" t="s">
        <v>925</v>
      </c>
      <c r="B220" s="105" t="s">
        <v>1095</v>
      </c>
      <c r="C220" s="105" t="s">
        <v>3639</v>
      </c>
      <c r="D220" s="105" t="s">
        <v>568</v>
      </c>
      <c r="E220" s="105" t="s">
        <v>3635</v>
      </c>
      <c r="F220" s="105"/>
      <c r="G220" s="105" t="s">
        <v>1178</v>
      </c>
      <c r="H220" s="105" t="s">
        <v>3096</v>
      </c>
      <c r="I220" s="105" t="s">
        <v>3406</v>
      </c>
      <c r="K220" s="106" t="s">
        <v>277</v>
      </c>
      <c r="L220" s="106" t="s">
        <v>1390</v>
      </c>
      <c r="M220" s="106" t="s">
        <v>3640</v>
      </c>
    </row>
    <row r="221" spans="1:13">
      <c r="A221" s="105" t="s">
        <v>925</v>
      </c>
      <c r="B221" s="105" t="s">
        <v>1096</v>
      </c>
      <c r="C221" s="105" t="s">
        <v>3641</v>
      </c>
      <c r="D221" s="105" t="s">
        <v>568</v>
      </c>
      <c r="E221" s="105" t="s">
        <v>3642</v>
      </c>
      <c r="F221" s="105"/>
      <c r="G221" s="105" t="s">
        <v>1178</v>
      </c>
      <c r="H221" s="105" t="s">
        <v>3096</v>
      </c>
      <c r="I221" s="105" t="s">
        <v>3406</v>
      </c>
      <c r="K221" s="106" t="s">
        <v>277</v>
      </c>
      <c r="L221" s="106" t="s">
        <v>1391</v>
      </c>
      <c r="M221" s="106" t="s">
        <v>3643</v>
      </c>
    </row>
    <row r="222" spans="1:13">
      <c r="A222" s="105" t="s">
        <v>925</v>
      </c>
      <c r="B222" s="105" t="s">
        <v>1097</v>
      </c>
      <c r="C222" s="105" t="s">
        <v>3644</v>
      </c>
      <c r="D222" s="105" t="s">
        <v>568</v>
      </c>
      <c r="E222" s="105" t="s">
        <v>3645</v>
      </c>
      <c r="F222" s="105"/>
      <c r="G222" s="105" t="s">
        <v>1178</v>
      </c>
      <c r="H222" s="105" t="s">
        <v>3096</v>
      </c>
      <c r="I222" s="105" t="s">
        <v>3406</v>
      </c>
      <c r="K222" s="106" t="s">
        <v>277</v>
      </c>
      <c r="L222" s="106" t="s">
        <v>2935</v>
      </c>
      <c r="M222" s="106" t="s">
        <v>3646</v>
      </c>
    </row>
    <row r="223" spans="1:13">
      <c r="A223" s="105" t="s">
        <v>925</v>
      </c>
      <c r="B223" s="105" t="s">
        <v>1098</v>
      </c>
      <c r="C223" s="105" t="s">
        <v>3647</v>
      </c>
      <c r="D223" s="105" t="s">
        <v>568</v>
      </c>
      <c r="E223" s="105" t="s">
        <v>3648</v>
      </c>
      <c r="F223" s="105"/>
      <c r="G223" s="105" t="s">
        <v>1178</v>
      </c>
      <c r="H223" s="105" t="s">
        <v>3096</v>
      </c>
      <c r="I223" s="105" t="s">
        <v>3406</v>
      </c>
      <c r="K223" s="106" t="s">
        <v>277</v>
      </c>
      <c r="L223" s="106" t="s">
        <v>2936</v>
      </c>
      <c r="M223" s="106" t="s">
        <v>3649</v>
      </c>
    </row>
    <row r="224" spans="1:13">
      <c r="A224" s="105" t="s">
        <v>925</v>
      </c>
      <c r="B224" s="105" t="s">
        <v>1099</v>
      </c>
      <c r="C224" s="105" t="s">
        <v>3650</v>
      </c>
      <c r="D224" s="105" t="s">
        <v>568</v>
      </c>
      <c r="E224" s="105" t="s">
        <v>3650</v>
      </c>
      <c r="F224" s="105"/>
      <c r="G224" s="105" t="s">
        <v>1176</v>
      </c>
      <c r="H224" s="105" t="s">
        <v>3096</v>
      </c>
      <c r="I224" s="105" t="s">
        <v>3406</v>
      </c>
      <c r="K224" s="106" t="s">
        <v>277</v>
      </c>
      <c r="L224" s="106" t="s">
        <v>1392</v>
      </c>
      <c r="M224" s="106" t="s">
        <v>3651</v>
      </c>
    </row>
    <row r="225" spans="1:14">
      <c r="A225" s="105" t="s">
        <v>925</v>
      </c>
      <c r="B225" s="105" t="s">
        <v>1100</v>
      </c>
      <c r="C225" s="105" t="s">
        <v>3652</v>
      </c>
      <c r="D225" s="105" t="s">
        <v>568</v>
      </c>
      <c r="E225" s="105" t="s">
        <v>3652</v>
      </c>
      <c r="F225" s="105"/>
      <c r="G225" s="105" t="s">
        <v>1176</v>
      </c>
      <c r="H225" s="105" t="s">
        <v>3096</v>
      </c>
      <c r="I225" s="105" t="s">
        <v>3406</v>
      </c>
      <c r="K225" s="106" t="s">
        <v>277</v>
      </c>
      <c r="L225" s="106" t="s">
        <v>1393</v>
      </c>
      <c r="M225" s="106" t="s">
        <v>3653</v>
      </c>
    </row>
    <row r="226" spans="1:14">
      <c r="A226" s="105" t="s">
        <v>925</v>
      </c>
      <c r="B226" s="105" t="s">
        <v>1102</v>
      </c>
      <c r="C226" s="105" t="s">
        <v>3654</v>
      </c>
      <c r="D226" s="105" t="s">
        <v>568</v>
      </c>
      <c r="E226" s="105" t="s">
        <v>3655</v>
      </c>
      <c r="F226" s="105"/>
      <c r="G226" s="105" t="s">
        <v>1281</v>
      </c>
      <c r="H226" s="105" t="s">
        <v>3108</v>
      </c>
      <c r="I226" s="105" t="s">
        <v>3406</v>
      </c>
      <c r="K226" s="106" t="s">
        <v>277</v>
      </c>
      <c r="L226" s="106" t="s">
        <v>1394</v>
      </c>
      <c r="M226" s="106" t="s">
        <v>3656</v>
      </c>
    </row>
    <row r="227" spans="1:14">
      <c r="A227" s="105" t="s">
        <v>925</v>
      </c>
      <c r="B227" s="105" t="s">
        <v>1104</v>
      </c>
      <c r="C227" s="105" t="s">
        <v>3657</v>
      </c>
      <c r="D227" s="105" t="s">
        <v>568</v>
      </c>
      <c r="E227" s="105" t="s">
        <v>3658</v>
      </c>
      <c r="F227" s="105"/>
      <c r="G227" s="105" t="s">
        <v>1178</v>
      </c>
      <c r="H227" s="105" t="s">
        <v>3108</v>
      </c>
      <c r="I227" s="105" t="s">
        <v>3402</v>
      </c>
      <c r="K227" s="106" t="s">
        <v>279</v>
      </c>
      <c r="L227" s="106" t="s">
        <v>1395</v>
      </c>
      <c r="M227" s="106" t="s">
        <v>3659</v>
      </c>
      <c r="N227" s="81" t="s">
        <v>3402</v>
      </c>
    </row>
    <row r="228" spans="1:14">
      <c r="A228" s="105" t="s">
        <v>924</v>
      </c>
      <c r="B228" s="105" t="s">
        <v>1083</v>
      </c>
      <c r="C228" s="105" t="s">
        <v>348</v>
      </c>
      <c r="D228" s="105" t="s">
        <v>574</v>
      </c>
      <c r="E228" s="118" t="s">
        <v>3660</v>
      </c>
      <c r="F228" s="105"/>
      <c r="G228" s="105" t="s">
        <v>1176</v>
      </c>
      <c r="H228" s="105" t="s">
        <v>3108</v>
      </c>
      <c r="I228" s="105" t="s">
        <v>3406</v>
      </c>
      <c r="K228" s="106" t="s">
        <v>279</v>
      </c>
      <c r="L228" s="106" t="s">
        <v>1396</v>
      </c>
      <c r="M228" s="106" t="s">
        <v>3661</v>
      </c>
    </row>
    <row r="229" spans="1:14">
      <c r="A229" s="105" t="s">
        <v>924</v>
      </c>
      <c r="B229" s="105" t="s">
        <v>1084</v>
      </c>
      <c r="C229" s="105" t="s">
        <v>3662</v>
      </c>
      <c r="D229" s="105" t="s">
        <v>574</v>
      </c>
      <c r="E229" s="118" t="s">
        <v>3663</v>
      </c>
      <c r="F229" s="105"/>
      <c r="G229" s="105" t="s">
        <v>1176</v>
      </c>
      <c r="H229" s="105" t="s">
        <v>3108</v>
      </c>
      <c r="I229" s="105" t="s">
        <v>3406</v>
      </c>
      <c r="K229" s="106" t="s">
        <v>279</v>
      </c>
      <c r="L229" s="106" t="s">
        <v>1397</v>
      </c>
      <c r="M229" s="106" t="s">
        <v>3664</v>
      </c>
    </row>
    <row r="230" spans="1:14">
      <c r="A230" s="105" t="s">
        <v>924</v>
      </c>
      <c r="B230" s="105" t="s">
        <v>1085</v>
      </c>
      <c r="C230" s="105" t="s">
        <v>3665</v>
      </c>
      <c r="D230" s="105" t="s">
        <v>574</v>
      </c>
      <c r="E230" s="118" t="s">
        <v>3666</v>
      </c>
      <c r="F230" s="105"/>
      <c r="G230" s="105" t="s">
        <v>1176</v>
      </c>
      <c r="H230" s="105" t="s">
        <v>3108</v>
      </c>
      <c r="I230" s="105" t="s">
        <v>3406</v>
      </c>
      <c r="K230" s="106" t="s">
        <v>279</v>
      </c>
      <c r="L230" s="106" t="s">
        <v>2938</v>
      </c>
      <c r="M230" s="106" t="s">
        <v>3667</v>
      </c>
    </row>
    <row r="231" spans="1:14">
      <c r="A231" s="108" t="s">
        <v>924</v>
      </c>
      <c r="B231" s="108" t="s">
        <v>3069</v>
      </c>
      <c r="C231" s="108" t="s">
        <v>3668</v>
      </c>
      <c r="D231" s="108" t="s">
        <v>574</v>
      </c>
      <c r="E231" s="119" t="s">
        <v>3669</v>
      </c>
      <c r="F231" s="108"/>
      <c r="G231" s="108" t="s">
        <v>1281</v>
      </c>
      <c r="H231" s="108" t="s">
        <v>3108</v>
      </c>
      <c r="I231" s="108" t="s">
        <v>3670</v>
      </c>
      <c r="K231" s="106" t="s">
        <v>279</v>
      </c>
      <c r="L231" s="106" t="s">
        <v>2939</v>
      </c>
      <c r="M231" s="106" t="s">
        <v>3671</v>
      </c>
    </row>
    <row r="232" spans="1:14">
      <c r="A232" s="108" t="s">
        <v>924</v>
      </c>
      <c r="B232" s="108" t="s">
        <v>3072</v>
      </c>
      <c r="C232" s="108" t="s">
        <v>3672</v>
      </c>
      <c r="D232" s="108" t="s">
        <v>574</v>
      </c>
      <c r="E232" s="119" t="s">
        <v>3673</v>
      </c>
      <c r="F232" s="108"/>
      <c r="G232" s="108" t="s">
        <v>1281</v>
      </c>
      <c r="H232" s="108" t="s">
        <v>3108</v>
      </c>
      <c r="I232" s="108" t="s">
        <v>3670</v>
      </c>
      <c r="K232" s="106" t="s">
        <v>279</v>
      </c>
      <c r="L232" s="106" t="s">
        <v>2940</v>
      </c>
      <c r="M232" s="106" t="s">
        <v>3674</v>
      </c>
    </row>
    <row r="233" spans="1:14">
      <c r="A233" s="108" t="s">
        <v>924</v>
      </c>
      <c r="B233" s="108" t="s">
        <v>3076</v>
      </c>
      <c r="C233" s="108" t="s">
        <v>3675</v>
      </c>
      <c r="D233" s="108" t="s">
        <v>574</v>
      </c>
      <c r="E233" s="119" t="s">
        <v>3676</v>
      </c>
      <c r="F233" s="108"/>
      <c r="G233" s="108" t="s">
        <v>1281</v>
      </c>
      <c r="H233" s="108" t="s">
        <v>3108</v>
      </c>
      <c r="I233" s="108" t="s">
        <v>3670</v>
      </c>
      <c r="K233" s="106" t="s">
        <v>281</v>
      </c>
      <c r="L233" s="106" t="s">
        <v>1398</v>
      </c>
      <c r="M233" s="106" t="s">
        <v>3677</v>
      </c>
    </row>
    <row r="234" spans="1:14">
      <c r="A234" s="105" t="s">
        <v>924</v>
      </c>
      <c r="B234" s="105" t="s">
        <v>1086</v>
      </c>
      <c r="C234" s="105" t="s">
        <v>3678</v>
      </c>
      <c r="D234" s="105" t="s">
        <v>574</v>
      </c>
      <c r="E234" s="118" t="s">
        <v>3679</v>
      </c>
      <c r="F234" s="105"/>
      <c r="G234" s="105" t="s">
        <v>1178</v>
      </c>
      <c r="H234" s="105" t="s">
        <v>3108</v>
      </c>
      <c r="I234" s="105" t="s">
        <v>3406</v>
      </c>
      <c r="K234" s="106" t="s">
        <v>281</v>
      </c>
      <c r="L234" s="106" t="s">
        <v>1399</v>
      </c>
      <c r="M234" s="106" t="s">
        <v>3680</v>
      </c>
    </row>
    <row r="235" spans="1:14">
      <c r="A235" s="105" t="s">
        <v>924</v>
      </c>
      <c r="B235" s="105" t="s">
        <v>1087</v>
      </c>
      <c r="C235" s="105" t="s">
        <v>3681</v>
      </c>
      <c r="D235" s="105" t="s">
        <v>574</v>
      </c>
      <c r="E235" s="118" t="s">
        <v>3682</v>
      </c>
      <c r="F235" s="105"/>
      <c r="G235" s="105" t="s">
        <v>1178</v>
      </c>
      <c r="H235" s="105" t="s">
        <v>3108</v>
      </c>
      <c r="I235" s="105" t="s">
        <v>3406</v>
      </c>
      <c r="K235" s="106" t="s">
        <v>281</v>
      </c>
      <c r="L235" s="106" t="s">
        <v>1400</v>
      </c>
      <c r="M235" s="106" t="s">
        <v>3683</v>
      </c>
    </row>
    <row r="236" spans="1:14">
      <c r="A236" s="105" t="s">
        <v>924</v>
      </c>
      <c r="B236" s="105" t="s">
        <v>1088</v>
      </c>
      <c r="C236" s="105" t="s">
        <v>352</v>
      </c>
      <c r="D236" s="105" t="s">
        <v>574</v>
      </c>
      <c r="E236" s="118" t="s">
        <v>3684</v>
      </c>
      <c r="F236" s="105"/>
      <c r="G236" s="105" t="s">
        <v>1178</v>
      </c>
      <c r="H236" s="105" t="s">
        <v>3108</v>
      </c>
      <c r="I236" s="105" t="s">
        <v>3406</v>
      </c>
      <c r="K236" s="106" t="s">
        <v>283</v>
      </c>
      <c r="L236" s="106" t="s">
        <v>1401</v>
      </c>
      <c r="M236" s="106" t="s">
        <v>3685</v>
      </c>
    </row>
    <row r="237" spans="1:14">
      <c r="A237" s="105" t="s">
        <v>924</v>
      </c>
      <c r="B237" s="105" t="s">
        <v>1089</v>
      </c>
      <c r="C237" s="105" t="s">
        <v>3686</v>
      </c>
      <c r="D237" s="105" t="s">
        <v>574</v>
      </c>
      <c r="E237" s="127" t="s">
        <v>3150</v>
      </c>
      <c r="F237" s="105"/>
      <c r="G237" s="118" t="s">
        <v>1583</v>
      </c>
      <c r="H237" s="105" t="s">
        <v>3108</v>
      </c>
      <c r="I237" s="105" t="s">
        <v>3687</v>
      </c>
      <c r="K237" s="106" t="s">
        <v>283</v>
      </c>
      <c r="L237" s="106" t="s">
        <v>1402</v>
      </c>
      <c r="M237" s="106" t="s">
        <v>3688</v>
      </c>
      <c r="N237" s="128" t="s">
        <v>3294</v>
      </c>
    </row>
    <row r="238" spans="1:14">
      <c r="A238" s="105" t="s">
        <v>927</v>
      </c>
      <c r="B238" s="105" t="s">
        <v>1135</v>
      </c>
      <c r="C238" s="105" t="s">
        <v>3689</v>
      </c>
      <c r="D238" s="105" t="s">
        <v>577</v>
      </c>
      <c r="E238" s="105" t="s">
        <v>3506</v>
      </c>
      <c r="F238" s="105" t="s">
        <v>3551</v>
      </c>
      <c r="G238" s="105" t="s">
        <v>1176</v>
      </c>
      <c r="H238" s="105" t="s">
        <v>3108</v>
      </c>
      <c r="I238" s="105" t="s">
        <v>3687</v>
      </c>
      <c r="K238" s="106" t="s">
        <v>283</v>
      </c>
      <c r="L238" s="106" t="s">
        <v>1403</v>
      </c>
      <c r="M238" s="106" t="s">
        <v>3690</v>
      </c>
      <c r="N238" s="128" t="s">
        <v>3294</v>
      </c>
    </row>
    <row r="239" spans="1:14">
      <c r="A239" s="105" t="s">
        <v>927</v>
      </c>
      <c r="B239" s="105" t="s">
        <v>1136</v>
      </c>
      <c r="C239" s="105" t="s">
        <v>3691</v>
      </c>
      <c r="D239" s="105" t="s">
        <v>577</v>
      </c>
      <c r="E239" s="105" t="s">
        <v>3507</v>
      </c>
      <c r="F239" s="105" t="s">
        <v>3551</v>
      </c>
      <c r="G239" s="105" t="s">
        <v>1671</v>
      </c>
      <c r="H239" s="105" t="s">
        <v>3108</v>
      </c>
      <c r="I239" s="105" t="s">
        <v>3692</v>
      </c>
      <c r="K239" s="106" t="s">
        <v>283</v>
      </c>
      <c r="L239" s="106" t="s">
        <v>1404</v>
      </c>
      <c r="M239" s="106" t="s">
        <v>3693</v>
      </c>
      <c r="N239" s="128" t="s">
        <v>3294</v>
      </c>
    </row>
    <row r="240" ht="17.4" spans="1:14">
      <c r="A240" s="105" t="s">
        <v>925</v>
      </c>
      <c r="B240" s="105" t="s">
        <v>1111</v>
      </c>
      <c r="C240" s="105" t="s">
        <v>3694</v>
      </c>
      <c r="D240" s="105" t="s">
        <v>568</v>
      </c>
      <c r="E240" s="105"/>
      <c r="F240" s="105"/>
      <c r="G240" s="120" t="s">
        <v>1178</v>
      </c>
      <c r="H240" s="105" t="s">
        <v>3108</v>
      </c>
      <c r="I240" s="105" t="s">
        <v>3695</v>
      </c>
      <c r="K240" s="106" t="s">
        <v>283</v>
      </c>
      <c r="L240" s="106" t="s">
        <v>1405</v>
      </c>
      <c r="M240" s="126" t="s">
        <v>3696</v>
      </c>
      <c r="N240" s="128" t="s">
        <v>3294</v>
      </c>
    </row>
    <row r="241" spans="1:14">
      <c r="A241" s="105" t="s">
        <v>925</v>
      </c>
      <c r="B241" s="105" t="s">
        <v>1112</v>
      </c>
      <c r="C241" s="105" t="s">
        <v>3697</v>
      </c>
      <c r="D241" s="105" t="s">
        <v>568</v>
      </c>
      <c r="E241" s="105"/>
      <c r="F241" s="105"/>
      <c r="G241" s="120" t="s">
        <v>1178</v>
      </c>
      <c r="H241" s="105" t="s">
        <v>3108</v>
      </c>
      <c r="I241" s="105" t="s">
        <v>3695</v>
      </c>
      <c r="K241" s="106" t="s">
        <v>283</v>
      </c>
      <c r="L241" s="106" t="s">
        <v>2942</v>
      </c>
      <c r="M241" s="106" t="s">
        <v>3698</v>
      </c>
      <c r="N241" s="128" t="s">
        <v>3294</v>
      </c>
    </row>
    <row r="242" spans="1:14">
      <c r="A242" s="105" t="s">
        <v>925</v>
      </c>
      <c r="B242" s="105" t="s">
        <v>1113</v>
      </c>
      <c r="C242" s="105" t="s">
        <v>3699</v>
      </c>
      <c r="D242" s="105" t="s">
        <v>568</v>
      </c>
      <c r="E242" s="105"/>
      <c r="F242" s="105"/>
      <c r="G242" s="120" t="s">
        <v>1178</v>
      </c>
      <c r="H242" s="105" t="s">
        <v>3108</v>
      </c>
      <c r="I242" s="105" t="s">
        <v>3695</v>
      </c>
      <c r="K242" s="106" t="s">
        <v>283</v>
      </c>
      <c r="L242" s="106" t="s">
        <v>2943</v>
      </c>
      <c r="M242" s="106" t="s">
        <v>3700</v>
      </c>
      <c r="N242" s="128" t="s">
        <v>3294</v>
      </c>
    </row>
    <row r="243" spans="1:14">
      <c r="A243" s="105" t="s">
        <v>925</v>
      </c>
      <c r="B243" s="105" t="s">
        <v>1114</v>
      </c>
      <c r="C243" s="105" t="s">
        <v>3701</v>
      </c>
      <c r="D243" s="105" t="s">
        <v>568</v>
      </c>
      <c r="E243" s="105"/>
      <c r="F243" s="105"/>
      <c r="G243" s="120" t="s">
        <v>1178</v>
      </c>
      <c r="H243" s="105" t="s">
        <v>3108</v>
      </c>
      <c r="I243" s="105" t="s">
        <v>3695</v>
      </c>
      <c r="K243" s="106" t="s">
        <v>283</v>
      </c>
      <c r="L243" s="106" t="s">
        <v>2944</v>
      </c>
      <c r="M243" s="106" t="s">
        <v>3702</v>
      </c>
    </row>
    <row r="244" spans="1:14">
      <c r="A244" s="105" t="s">
        <v>925</v>
      </c>
      <c r="B244" s="105" t="s">
        <v>1115</v>
      </c>
      <c r="C244" s="105" t="s">
        <v>3703</v>
      </c>
      <c r="D244" s="105" t="s">
        <v>568</v>
      </c>
      <c r="E244" s="105"/>
      <c r="F244" s="105"/>
      <c r="G244" s="120" t="s">
        <v>1178</v>
      </c>
      <c r="H244" s="105" t="s">
        <v>3108</v>
      </c>
      <c r="I244" s="105" t="s">
        <v>3695</v>
      </c>
      <c r="K244" s="106" t="s">
        <v>283</v>
      </c>
      <c r="L244" s="106" t="s">
        <v>2945</v>
      </c>
      <c r="M244" s="106" t="s">
        <v>3704</v>
      </c>
    </row>
    <row r="245" spans="1:14">
      <c r="A245" s="105" t="s">
        <v>925</v>
      </c>
      <c r="B245" s="105" t="s">
        <v>1116</v>
      </c>
      <c r="C245" s="105" t="s">
        <v>3705</v>
      </c>
      <c r="D245" s="105" t="s">
        <v>568</v>
      </c>
      <c r="E245" s="105"/>
      <c r="F245" s="105"/>
      <c r="G245" s="120" t="s">
        <v>1178</v>
      </c>
      <c r="H245" s="105" t="s">
        <v>3108</v>
      </c>
      <c r="I245" s="105" t="s">
        <v>3695</v>
      </c>
      <c r="K245" s="106" t="s">
        <v>283</v>
      </c>
      <c r="L245" s="106" t="s">
        <v>2946</v>
      </c>
      <c r="M245" s="106" t="s">
        <v>3706</v>
      </c>
    </row>
    <row r="246" spans="1:14">
      <c r="A246" s="105" t="s">
        <v>925</v>
      </c>
      <c r="B246" s="105" t="s">
        <v>1117</v>
      </c>
      <c r="C246" s="105" t="s">
        <v>3707</v>
      </c>
      <c r="D246" s="105" t="s">
        <v>568</v>
      </c>
      <c r="E246" s="105"/>
      <c r="F246" s="105"/>
      <c r="G246" s="120" t="s">
        <v>1178</v>
      </c>
      <c r="H246" s="105" t="s">
        <v>3108</v>
      </c>
      <c r="I246" s="105" t="s">
        <v>3695</v>
      </c>
      <c r="K246" s="106" t="s">
        <v>283</v>
      </c>
      <c r="L246" s="106" t="s">
        <v>2947</v>
      </c>
      <c r="M246" s="106" t="s">
        <v>3708</v>
      </c>
    </row>
    <row r="247" spans="1:14">
      <c r="A247" s="105" t="s">
        <v>925</v>
      </c>
      <c r="B247" s="105" t="s">
        <v>1101</v>
      </c>
      <c r="C247" s="105" t="s">
        <v>3709</v>
      </c>
      <c r="D247" s="105" t="s">
        <v>568</v>
      </c>
      <c r="E247" s="105" t="s">
        <v>3391</v>
      </c>
      <c r="F247" s="105"/>
      <c r="G247" s="105" t="s">
        <v>1176</v>
      </c>
      <c r="H247" s="105" t="s">
        <v>3108</v>
      </c>
      <c r="I247" s="105" t="s">
        <v>3710</v>
      </c>
      <c r="K247" s="106" t="s">
        <v>285</v>
      </c>
      <c r="L247" s="106" t="s">
        <v>1407</v>
      </c>
      <c r="M247" s="106" t="s">
        <v>3711</v>
      </c>
    </row>
    <row r="248" spans="1:14">
      <c r="A248" s="105" t="s">
        <v>925</v>
      </c>
      <c r="B248" s="105" t="s">
        <v>1107</v>
      </c>
      <c r="C248" s="105" t="s">
        <v>3712</v>
      </c>
      <c r="D248" s="105" t="s">
        <v>568</v>
      </c>
      <c r="E248" s="105" t="s">
        <v>3432</v>
      </c>
      <c r="F248" s="105"/>
      <c r="G248" s="105" t="s">
        <v>1176</v>
      </c>
      <c r="H248" s="105" t="s">
        <v>3108</v>
      </c>
      <c r="I248" s="105" t="s">
        <v>3710</v>
      </c>
      <c r="K248" s="106" t="s">
        <v>285</v>
      </c>
      <c r="L248" s="106" t="s">
        <v>2948</v>
      </c>
      <c r="M248" s="106" t="s">
        <v>3713</v>
      </c>
    </row>
    <row r="249" spans="1:14">
      <c r="A249" s="129" t="s">
        <v>1967</v>
      </c>
      <c r="B249" s="129" t="s">
        <v>1969</v>
      </c>
      <c r="C249" s="129" t="s">
        <v>3714</v>
      </c>
      <c r="D249" s="129" t="s">
        <v>577</v>
      </c>
      <c r="E249" s="129" t="s">
        <v>3555</v>
      </c>
      <c r="F249" s="129" t="s">
        <v>3551</v>
      </c>
      <c r="G249" s="129" t="s">
        <v>1178</v>
      </c>
      <c r="H249" s="129" t="s">
        <v>3108</v>
      </c>
      <c r="I249" s="129" t="s">
        <v>3715</v>
      </c>
      <c r="K249" s="112" t="s">
        <v>287</v>
      </c>
      <c r="L249" s="112" t="s">
        <v>2949</v>
      </c>
      <c r="M249" s="112" t="s">
        <v>3716</v>
      </c>
    </row>
    <row r="250" spans="1:14">
      <c r="A250" s="129" t="s">
        <v>1967</v>
      </c>
      <c r="B250" s="129" t="s">
        <v>1968</v>
      </c>
      <c r="C250" s="129" t="s">
        <v>3717</v>
      </c>
      <c r="D250" s="129" t="s">
        <v>577</v>
      </c>
      <c r="E250" s="129" t="s">
        <v>3555</v>
      </c>
      <c r="F250" s="129" t="s">
        <v>3551</v>
      </c>
      <c r="G250" s="129" t="s">
        <v>1176</v>
      </c>
      <c r="H250" s="129" t="s">
        <v>3108</v>
      </c>
      <c r="I250" s="129" t="s">
        <v>3715</v>
      </c>
      <c r="K250" s="112" t="s">
        <v>287</v>
      </c>
      <c r="L250" s="112" t="s">
        <v>2950</v>
      </c>
      <c r="M250" s="112" t="s">
        <v>3718</v>
      </c>
      <c r="N250" s="81" t="s">
        <v>3236</v>
      </c>
    </row>
    <row r="251" spans="1:14">
      <c r="A251" s="129" t="s">
        <v>1967</v>
      </c>
      <c r="B251" s="129" t="s">
        <v>1970</v>
      </c>
      <c r="C251" s="129" t="s">
        <v>3719</v>
      </c>
      <c r="D251" s="129" t="s">
        <v>577</v>
      </c>
      <c r="E251" s="129" t="s">
        <v>3555</v>
      </c>
      <c r="F251" s="129" t="s">
        <v>3551</v>
      </c>
      <c r="G251" s="129" t="s">
        <v>1178</v>
      </c>
      <c r="H251" s="129" t="s">
        <v>3108</v>
      </c>
      <c r="I251" s="129" t="s">
        <v>3715</v>
      </c>
      <c r="K251" s="112" t="s">
        <v>287</v>
      </c>
      <c r="L251" s="112" t="s">
        <v>2951</v>
      </c>
      <c r="M251" s="112" t="s">
        <v>3720</v>
      </c>
      <c r="N251" s="81" t="s">
        <v>3236</v>
      </c>
    </row>
    <row r="252" spans="1:14">
      <c r="A252" s="105" t="s">
        <v>922</v>
      </c>
      <c r="B252" s="105" t="s">
        <v>1036</v>
      </c>
      <c r="C252" s="105" t="s">
        <v>3721</v>
      </c>
      <c r="D252" s="105" t="s">
        <v>577</v>
      </c>
      <c r="E252" s="105" t="s">
        <v>3722</v>
      </c>
      <c r="F252" s="105" t="s">
        <v>3723</v>
      </c>
      <c r="G252" s="105" t="s">
        <v>1262</v>
      </c>
      <c r="H252" s="105" t="s">
        <v>3108</v>
      </c>
      <c r="I252" s="105" t="s">
        <v>3724</v>
      </c>
      <c r="K252" s="112" t="s">
        <v>287</v>
      </c>
      <c r="L252" s="112" t="s">
        <v>2952</v>
      </c>
      <c r="M252" s="112" t="s">
        <v>3725</v>
      </c>
      <c r="N252" s="81" t="s">
        <v>3236</v>
      </c>
    </row>
    <row r="253" spans="1:14">
      <c r="A253" s="105" t="s">
        <v>921</v>
      </c>
      <c r="B253" s="105" t="s">
        <v>1028</v>
      </c>
      <c r="C253" s="105" t="s">
        <v>260</v>
      </c>
      <c r="D253" s="105" t="s">
        <v>569</v>
      </c>
      <c r="E253" s="105" t="s">
        <v>3726</v>
      </c>
      <c r="F253" s="105" t="s">
        <v>3727</v>
      </c>
      <c r="G253" s="105" t="s">
        <v>1295</v>
      </c>
      <c r="H253" s="105" t="s">
        <v>3108</v>
      </c>
      <c r="I253" s="105" t="s">
        <v>3728</v>
      </c>
      <c r="K253" s="112" t="s">
        <v>287</v>
      </c>
      <c r="L253" s="112" t="s">
        <v>2954</v>
      </c>
      <c r="M253" s="112" t="s">
        <v>3729</v>
      </c>
      <c r="N253" s="81" t="s">
        <v>3236</v>
      </c>
    </row>
    <row r="254" spans="1:14">
      <c r="A254" s="105" t="s">
        <v>921</v>
      </c>
      <c r="B254" s="105" t="s">
        <v>1030</v>
      </c>
      <c r="C254" s="105" t="s">
        <v>3730</v>
      </c>
      <c r="D254" s="105" t="s">
        <v>569</v>
      </c>
      <c r="E254" s="105" t="s">
        <v>3731</v>
      </c>
      <c r="F254" s="105" t="s">
        <v>3727</v>
      </c>
      <c r="G254" s="105" t="s">
        <v>1178</v>
      </c>
      <c r="H254" s="105" t="s">
        <v>3108</v>
      </c>
      <c r="I254" s="105" t="s">
        <v>3728</v>
      </c>
      <c r="K254" s="106" t="s">
        <v>289</v>
      </c>
      <c r="L254" s="106" t="s">
        <v>2956</v>
      </c>
      <c r="M254" s="106" t="s">
        <v>3732</v>
      </c>
    </row>
    <row r="255" spans="1:14">
      <c r="A255" s="105" t="s">
        <v>921</v>
      </c>
      <c r="B255" s="105" t="s">
        <v>1023</v>
      </c>
      <c r="C255" s="105" t="s">
        <v>3733</v>
      </c>
      <c r="D255" s="105" t="s">
        <v>569</v>
      </c>
      <c r="E255" s="130" t="s">
        <v>3734</v>
      </c>
      <c r="F255" s="105" t="s">
        <v>3134</v>
      </c>
      <c r="G255" s="105" t="s">
        <v>1178</v>
      </c>
      <c r="H255" s="105" t="s">
        <v>3108</v>
      </c>
      <c r="I255" s="105" t="s">
        <v>3728</v>
      </c>
      <c r="J255" s="131"/>
      <c r="K255" s="106" t="s">
        <v>289</v>
      </c>
      <c r="L255" s="106" t="s">
        <v>2957</v>
      </c>
      <c r="M255" s="106" t="s">
        <v>3735</v>
      </c>
    </row>
    <row r="256" spans="1:14">
      <c r="A256" s="105" t="s">
        <v>921</v>
      </c>
      <c r="B256" s="105" t="s">
        <v>1019</v>
      </c>
      <c r="C256" s="105" t="s">
        <v>2287</v>
      </c>
      <c r="D256" s="105" t="s">
        <v>569</v>
      </c>
      <c r="E256" s="105" t="s">
        <v>3736</v>
      </c>
      <c r="F256" s="105" t="s">
        <v>3737</v>
      </c>
      <c r="G256" s="105" t="s">
        <v>1178</v>
      </c>
      <c r="H256" s="105" t="s">
        <v>3108</v>
      </c>
      <c r="I256" s="105" t="s">
        <v>3728</v>
      </c>
      <c r="J256" s="131"/>
      <c r="K256" s="112" t="s">
        <v>289</v>
      </c>
      <c r="L256" s="112" t="s">
        <v>2959</v>
      </c>
      <c r="M256" s="112" t="s">
        <v>3738</v>
      </c>
      <c r="N256" s="110" t="s">
        <v>2958</v>
      </c>
    </row>
    <row r="257" ht="17.4" spans="1:14">
      <c r="A257" s="105" t="s">
        <v>920</v>
      </c>
      <c r="B257" s="105" t="s">
        <v>1009</v>
      </c>
      <c r="C257" s="105" t="s">
        <v>3739</v>
      </c>
      <c r="D257" s="105" t="s">
        <v>569</v>
      </c>
      <c r="E257" s="105" t="s">
        <v>3740</v>
      </c>
      <c r="F257" s="105" t="s">
        <v>3737</v>
      </c>
      <c r="G257" s="105" t="s">
        <v>1262</v>
      </c>
      <c r="H257" s="105" t="s">
        <v>3108</v>
      </c>
      <c r="I257" s="105" t="s">
        <v>3728</v>
      </c>
      <c r="J257" s="131"/>
      <c r="K257" s="106" t="s">
        <v>289</v>
      </c>
      <c r="L257" s="106" t="s">
        <v>2960</v>
      </c>
      <c r="M257" s="126" t="s">
        <v>3741</v>
      </c>
      <c r="N257" s="132" t="s">
        <v>2897</v>
      </c>
    </row>
    <row r="258" spans="1:14">
      <c r="A258" s="105" t="s">
        <v>917</v>
      </c>
      <c r="B258" s="105" t="s">
        <v>991</v>
      </c>
      <c r="C258" s="105" t="s">
        <v>3742</v>
      </c>
      <c r="D258" s="105" t="s">
        <v>569</v>
      </c>
      <c r="E258" s="105" t="s">
        <v>3743</v>
      </c>
      <c r="F258" s="105" t="s">
        <v>3737</v>
      </c>
      <c r="G258" s="105" t="s">
        <v>1176</v>
      </c>
      <c r="H258" s="105" t="s">
        <v>3108</v>
      </c>
      <c r="I258" s="105" t="s">
        <v>3728</v>
      </c>
      <c r="J258" s="131"/>
      <c r="K258" s="106" t="s">
        <v>289</v>
      </c>
      <c r="L258" s="106" t="s">
        <v>2961</v>
      </c>
      <c r="M258" s="106" t="s">
        <v>3744</v>
      </c>
    </row>
    <row r="259" ht="17.4" spans="1:14">
      <c r="A259" s="105" t="s">
        <v>923</v>
      </c>
      <c r="B259" s="105" t="s">
        <v>1045</v>
      </c>
      <c r="C259" s="105" t="s">
        <v>3745</v>
      </c>
      <c r="D259" s="105" t="s">
        <v>573</v>
      </c>
      <c r="E259" s="105" t="s">
        <v>3746</v>
      </c>
      <c r="F259" s="105" t="s">
        <v>3747</v>
      </c>
      <c r="G259" s="105" t="s">
        <v>1176</v>
      </c>
      <c r="H259" s="105" t="s">
        <v>3108</v>
      </c>
      <c r="I259" s="105" t="s">
        <v>3728</v>
      </c>
      <c r="J259" s="131"/>
      <c r="K259" s="106" t="s">
        <v>289</v>
      </c>
      <c r="L259" s="106" t="s">
        <v>2962</v>
      </c>
      <c r="M259" s="126" t="s">
        <v>3748</v>
      </c>
    </row>
    <row r="260" spans="1:14">
      <c r="A260" s="105" t="s">
        <v>923</v>
      </c>
      <c r="B260" s="105" t="s">
        <v>1047</v>
      </c>
      <c r="C260" s="105" t="s">
        <v>3749</v>
      </c>
      <c r="D260" s="105" t="s">
        <v>573</v>
      </c>
      <c r="E260" s="105" t="s">
        <v>3750</v>
      </c>
      <c r="F260" s="105" t="s">
        <v>3747</v>
      </c>
      <c r="G260" s="105" t="s">
        <v>1176</v>
      </c>
      <c r="H260" s="105" t="s">
        <v>3108</v>
      </c>
      <c r="I260" s="105" t="s">
        <v>3728</v>
      </c>
      <c r="J260" s="131"/>
      <c r="K260" s="106" t="s">
        <v>289</v>
      </c>
      <c r="L260" s="106" t="s">
        <v>2963</v>
      </c>
      <c r="M260" s="106" t="s">
        <v>3751</v>
      </c>
    </row>
    <row r="261" spans="1:14">
      <c r="A261" s="105" t="s">
        <v>923</v>
      </c>
      <c r="B261" s="105" t="s">
        <v>1049</v>
      </c>
      <c r="C261" s="105" t="s">
        <v>3752</v>
      </c>
      <c r="D261" s="105" t="s">
        <v>573</v>
      </c>
      <c r="E261" s="105" t="s">
        <v>3753</v>
      </c>
      <c r="F261" s="105" t="s">
        <v>3747</v>
      </c>
      <c r="G261" s="105" t="s">
        <v>1176</v>
      </c>
      <c r="H261" s="105" t="s">
        <v>3108</v>
      </c>
      <c r="I261" s="105" t="s">
        <v>3728</v>
      </c>
      <c r="J261" s="131"/>
      <c r="K261" s="112" t="s">
        <v>291</v>
      </c>
      <c r="L261" s="112" t="s">
        <v>2965</v>
      </c>
      <c r="M261" s="112" t="s">
        <v>868</v>
      </c>
      <c r="N261" s="81" t="s">
        <v>3284</v>
      </c>
    </row>
    <row r="262" spans="1:14">
      <c r="A262" s="105" t="s">
        <v>923</v>
      </c>
      <c r="B262" s="105" t="s">
        <v>1051</v>
      </c>
      <c r="C262" s="105" t="s">
        <v>3754</v>
      </c>
      <c r="D262" s="105" t="s">
        <v>573</v>
      </c>
      <c r="E262" s="105" t="s">
        <v>3755</v>
      </c>
      <c r="F262" s="105" t="s">
        <v>3747</v>
      </c>
      <c r="G262" s="105" t="s">
        <v>1176</v>
      </c>
      <c r="H262" s="105" t="s">
        <v>3108</v>
      </c>
      <c r="I262" s="105" t="s">
        <v>3728</v>
      </c>
      <c r="J262" s="131"/>
      <c r="K262" s="112" t="s">
        <v>291</v>
      </c>
      <c r="L262" s="112" t="s">
        <v>2966</v>
      </c>
      <c r="M262" s="112" t="s">
        <v>869</v>
      </c>
      <c r="N262" s="81" t="s">
        <v>3284</v>
      </c>
    </row>
    <row r="263" spans="1:14">
      <c r="A263" s="105" t="s">
        <v>923</v>
      </c>
      <c r="B263" s="105" t="s">
        <v>1060</v>
      </c>
      <c r="C263" s="105" t="s">
        <v>868</v>
      </c>
      <c r="D263" s="105" t="s">
        <v>573</v>
      </c>
      <c r="E263" s="116" t="s">
        <v>3361</v>
      </c>
      <c r="F263" s="116" t="s">
        <v>3362</v>
      </c>
      <c r="G263" s="105" t="s">
        <v>1380</v>
      </c>
      <c r="H263" s="105" t="s">
        <v>3108</v>
      </c>
      <c r="I263" s="105" t="s">
        <v>3728</v>
      </c>
      <c r="J263" s="131"/>
      <c r="K263" s="112" t="s">
        <v>291</v>
      </c>
      <c r="L263" s="112" t="s">
        <v>2967</v>
      </c>
      <c r="M263" s="112" t="s">
        <v>3756</v>
      </c>
      <c r="N263" s="81" t="s">
        <v>3284</v>
      </c>
    </row>
    <row r="264" ht="17.4" spans="1:14">
      <c r="A264" s="105" t="s">
        <v>923</v>
      </c>
      <c r="B264" s="105" t="s">
        <v>1061</v>
      </c>
      <c r="C264" s="133" t="s">
        <v>2309</v>
      </c>
      <c r="D264" s="105" t="s">
        <v>573</v>
      </c>
      <c r="E264" s="116" t="s">
        <v>3361</v>
      </c>
      <c r="F264" s="116" t="s">
        <v>3362</v>
      </c>
      <c r="G264" s="105" t="s">
        <v>1380</v>
      </c>
      <c r="H264" s="105" t="s">
        <v>3108</v>
      </c>
      <c r="I264" s="105" t="s">
        <v>3728</v>
      </c>
      <c r="K264" s="112" t="s">
        <v>291</v>
      </c>
      <c r="L264" s="112" t="s">
        <v>2968</v>
      </c>
      <c r="M264" s="112" t="s">
        <v>3757</v>
      </c>
      <c r="N264" s="81" t="s">
        <v>3284</v>
      </c>
    </row>
    <row r="265" spans="1:14">
      <c r="A265" s="105" t="s">
        <v>923</v>
      </c>
      <c r="B265" s="105" t="s">
        <v>1064</v>
      </c>
      <c r="C265" s="105" t="s">
        <v>3758</v>
      </c>
      <c r="D265" s="105" t="s">
        <v>573</v>
      </c>
      <c r="E265" s="105" t="s">
        <v>3759</v>
      </c>
      <c r="F265" s="105" t="s">
        <v>3374</v>
      </c>
      <c r="G265" s="105" t="s">
        <v>1380</v>
      </c>
      <c r="H265" s="105" t="s">
        <v>3108</v>
      </c>
      <c r="I265" s="105" t="s">
        <v>3728</v>
      </c>
      <c r="K265" s="112" t="s">
        <v>291</v>
      </c>
      <c r="L265" s="112" t="s">
        <v>2969</v>
      </c>
      <c r="M265" s="112" t="s">
        <v>3760</v>
      </c>
      <c r="N265" s="81" t="s">
        <v>3284</v>
      </c>
    </row>
    <row r="266" spans="1:14">
      <c r="A266" s="105" t="s">
        <v>923</v>
      </c>
      <c r="B266" s="105" t="s">
        <v>1065</v>
      </c>
      <c r="C266" s="105" t="s">
        <v>300</v>
      </c>
      <c r="D266" s="105" t="s">
        <v>573</v>
      </c>
      <c r="E266" s="105" t="s">
        <v>3374</v>
      </c>
      <c r="F266" s="105" t="s">
        <v>3374</v>
      </c>
      <c r="G266" s="105" t="s">
        <v>1178</v>
      </c>
      <c r="H266" s="105" t="s">
        <v>3108</v>
      </c>
      <c r="I266" s="105" t="s">
        <v>3728</v>
      </c>
      <c r="K266" s="106" t="s">
        <v>293</v>
      </c>
      <c r="L266" s="106" t="s">
        <v>1421</v>
      </c>
      <c r="M266" s="106" t="s">
        <v>3761</v>
      </c>
    </row>
    <row r="267" ht="17.4" spans="1:14">
      <c r="A267" s="105" t="s">
        <v>923</v>
      </c>
      <c r="B267" s="105" t="s">
        <v>1068</v>
      </c>
      <c r="C267" s="105" t="s">
        <v>2338</v>
      </c>
      <c r="D267" s="105" t="s">
        <v>575</v>
      </c>
      <c r="E267" s="116" t="s">
        <v>3377</v>
      </c>
      <c r="F267" s="116" t="s">
        <v>3378</v>
      </c>
      <c r="G267" s="105" t="s">
        <v>1220</v>
      </c>
      <c r="H267" s="105" t="s">
        <v>3108</v>
      </c>
      <c r="I267" s="105" t="s">
        <v>3728</v>
      </c>
      <c r="K267" s="106" t="s">
        <v>293</v>
      </c>
      <c r="L267" s="106" t="s">
        <v>2970</v>
      </c>
      <c r="M267" s="126" t="s">
        <v>3762</v>
      </c>
      <c r="N267" s="81" t="s">
        <v>3294</v>
      </c>
    </row>
    <row r="268" spans="1:14">
      <c r="A268" s="105" t="s">
        <v>924</v>
      </c>
      <c r="B268" s="105" t="s">
        <v>1075</v>
      </c>
      <c r="C268" s="105" t="s">
        <v>3763</v>
      </c>
      <c r="D268" s="105" t="s">
        <v>575</v>
      </c>
      <c r="E268" s="105" t="s">
        <v>3764</v>
      </c>
      <c r="F268" s="105"/>
      <c r="G268" s="105" t="s">
        <v>1281</v>
      </c>
      <c r="H268" s="105" t="s">
        <v>3108</v>
      </c>
      <c r="I268" s="105" t="s">
        <v>3728</v>
      </c>
      <c r="K268" s="106" t="s">
        <v>293</v>
      </c>
      <c r="L268" s="106" t="s">
        <v>2971</v>
      </c>
      <c r="M268" s="106" t="s">
        <v>3765</v>
      </c>
    </row>
    <row r="269" ht="17.4" spans="1:14">
      <c r="A269" s="105" t="s">
        <v>924</v>
      </c>
      <c r="B269" s="105" t="s">
        <v>1077</v>
      </c>
      <c r="C269" s="105" t="s">
        <v>3766</v>
      </c>
      <c r="D269" s="105" t="s">
        <v>575</v>
      </c>
      <c r="E269" s="105" t="s">
        <v>3767</v>
      </c>
      <c r="F269" s="105"/>
      <c r="G269" s="105" t="s">
        <v>1281</v>
      </c>
      <c r="H269" s="105" t="s">
        <v>3108</v>
      </c>
      <c r="I269" s="105" t="s">
        <v>3728</v>
      </c>
      <c r="K269" s="106" t="s">
        <v>293</v>
      </c>
      <c r="L269" s="106" t="s">
        <v>2972</v>
      </c>
      <c r="M269" s="126" t="s">
        <v>3768</v>
      </c>
    </row>
    <row r="270" spans="1:14">
      <c r="A270" s="105" t="s">
        <v>924</v>
      </c>
      <c r="B270" s="105" t="s">
        <v>1078</v>
      </c>
      <c r="C270" s="105" t="s">
        <v>3769</v>
      </c>
      <c r="D270" s="105" t="s">
        <v>575</v>
      </c>
      <c r="E270" s="105" t="s">
        <v>3770</v>
      </c>
      <c r="F270" s="105"/>
      <c r="G270" s="105" t="s">
        <v>1281</v>
      </c>
      <c r="H270" s="105" t="s">
        <v>3108</v>
      </c>
      <c r="I270" s="105" t="s">
        <v>3728</v>
      </c>
      <c r="K270" s="106" t="s">
        <v>293</v>
      </c>
      <c r="L270" s="106" t="s">
        <v>2973</v>
      </c>
      <c r="M270" s="106" t="s">
        <v>3771</v>
      </c>
    </row>
    <row r="271" spans="1:14">
      <c r="A271" s="105" t="s">
        <v>925</v>
      </c>
      <c r="B271" s="105" t="s">
        <v>1108</v>
      </c>
      <c r="C271" s="105" t="s">
        <v>3772</v>
      </c>
      <c r="D271" s="105" t="s">
        <v>568</v>
      </c>
      <c r="E271" s="105" t="s">
        <v>3773</v>
      </c>
      <c r="F271" s="105"/>
      <c r="G271" s="105" t="s">
        <v>1281</v>
      </c>
      <c r="H271" s="105" t="s">
        <v>3108</v>
      </c>
      <c r="I271" s="105" t="s">
        <v>3728</v>
      </c>
      <c r="K271" s="106" t="s">
        <v>295</v>
      </c>
      <c r="L271" s="106" t="s">
        <v>1423</v>
      </c>
      <c r="M271" s="106" t="s">
        <v>296</v>
      </c>
    </row>
    <row r="272" spans="1:14">
      <c r="A272" s="105" t="s">
        <v>925</v>
      </c>
      <c r="B272" s="105" t="s">
        <v>1109</v>
      </c>
      <c r="C272" s="105" t="s">
        <v>3774</v>
      </c>
      <c r="D272" s="105" t="s">
        <v>568</v>
      </c>
      <c r="E272" s="105" t="s">
        <v>3775</v>
      </c>
      <c r="F272" s="105"/>
      <c r="G272" s="105" t="s">
        <v>1281</v>
      </c>
      <c r="H272" s="105" t="s">
        <v>3108</v>
      </c>
      <c r="I272" s="105" t="s">
        <v>3728</v>
      </c>
      <c r="K272" s="106" t="s">
        <v>297</v>
      </c>
      <c r="L272" s="106" t="s">
        <v>2976</v>
      </c>
      <c r="M272" s="106" t="s">
        <v>3776</v>
      </c>
      <c r="N272" s="81" t="s">
        <v>3402</v>
      </c>
    </row>
    <row r="273" spans="1:14">
      <c r="A273" s="105" t="s">
        <v>925</v>
      </c>
      <c r="B273" s="105" t="s">
        <v>1110</v>
      </c>
      <c r="C273" s="105" t="s">
        <v>3777</v>
      </c>
      <c r="D273" s="105" t="s">
        <v>568</v>
      </c>
      <c r="E273" s="105" t="s">
        <v>3778</v>
      </c>
      <c r="F273" s="105"/>
      <c r="G273" s="105" t="s">
        <v>1281</v>
      </c>
      <c r="H273" s="105" t="s">
        <v>3108</v>
      </c>
      <c r="I273" s="105" t="s">
        <v>3728</v>
      </c>
      <c r="K273" s="106" t="s">
        <v>297</v>
      </c>
      <c r="L273" s="106" t="s">
        <v>2977</v>
      </c>
      <c r="M273" s="106" t="s">
        <v>3779</v>
      </c>
    </row>
    <row r="274" spans="1:14">
      <c r="A274" s="105" t="s">
        <v>924</v>
      </c>
      <c r="B274" s="105" t="s">
        <v>1081</v>
      </c>
      <c r="C274" s="105" t="s">
        <v>3758</v>
      </c>
      <c r="D274" s="105" t="s">
        <v>575</v>
      </c>
      <c r="E274" s="105" t="s">
        <v>3780</v>
      </c>
      <c r="F274" s="105"/>
      <c r="G274" s="105" t="s">
        <v>1380</v>
      </c>
      <c r="H274" s="105" t="s">
        <v>3108</v>
      </c>
      <c r="I274" s="105" t="s">
        <v>3728</v>
      </c>
      <c r="K274" s="106" t="s">
        <v>297</v>
      </c>
      <c r="L274" s="106" t="s">
        <v>2978</v>
      </c>
      <c r="M274" s="106" t="s">
        <v>3781</v>
      </c>
      <c r="N274" s="81" t="s">
        <v>3782</v>
      </c>
    </row>
    <row r="275" spans="1:14">
      <c r="A275" s="105" t="s">
        <v>924</v>
      </c>
      <c r="B275" s="105" t="s">
        <v>1082</v>
      </c>
      <c r="C275" s="105" t="s">
        <v>3783</v>
      </c>
      <c r="D275" s="105" t="s">
        <v>575</v>
      </c>
      <c r="E275" s="105" t="s">
        <v>888</v>
      </c>
      <c r="F275" s="105"/>
      <c r="G275" s="105" t="s">
        <v>1178</v>
      </c>
      <c r="H275" s="105" t="s">
        <v>3108</v>
      </c>
      <c r="I275" s="105" t="s">
        <v>3728</v>
      </c>
      <c r="K275" s="106" t="s">
        <v>297</v>
      </c>
      <c r="L275" s="106" t="s">
        <v>2979</v>
      </c>
      <c r="M275" s="106" t="s">
        <v>3784</v>
      </c>
      <c r="N275" s="81" t="s">
        <v>3782</v>
      </c>
    </row>
    <row r="276" spans="1:14">
      <c r="A276" s="105" t="s">
        <v>923</v>
      </c>
      <c r="B276" s="105" t="s">
        <v>1067</v>
      </c>
      <c r="C276" s="105" t="s">
        <v>2337</v>
      </c>
      <c r="D276" s="105" t="s">
        <v>573</v>
      </c>
      <c r="E276" s="105"/>
      <c r="F276" s="105"/>
      <c r="G276" s="105" t="s">
        <v>1220</v>
      </c>
      <c r="H276" s="105" t="s">
        <v>3108</v>
      </c>
      <c r="I276" s="105" t="s">
        <v>3728</v>
      </c>
      <c r="K276" s="112" t="s">
        <v>299</v>
      </c>
      <c r="L276" s="112" t="s">
        <v>2980</v>
      </c>
      <c r="M276" s="112" t="s">
        <v>3785</v>
      </c>
      <c r="N276" s="81" t="s">
        <v>3782</v>
      </c>
    </row>
    <row r="277" spans="1:14">
      <c r="A277" s="105" t="s">
        <v>927</v>
      </c>
      <c r="B277" s="105" t="s">
        <v>1137</v>
      </c>
      <c r="C277" s="105" t="s">
        <v>3786</v>
      </c>
      <c r="D277" s="105" t="s">
        <v>578</v>
      </c>
      <c r="E277" s="105" t="s">
        <v>3787</v>
      </c>
      <c r="F277" s="105" t="s">
        <v>3505</v>
      </c>
      <c r="G277" s="105" t="s">
        <v>1176</v>
      </c>
      <c r="H277" s="105" t="s">
        <v>3096</v>
      </c>
      <c r="I277" s="105" t="s">
        <v>3728</v>
      </c>
      <c r="K277" s="112" t="s">
        <v>299</v>
      </c>
      <c r="L277" s="112" t="s">
        <v>2981</v>
      </c>
      <c r="M277" s="112" t="s">
        <v>3788</v>
      </c>
      <c r="N277" s="81" t="s">
        <v>3294</v>
      </c>
    </row>
    <row r="278" spans="1:14">
      <c r="A278" s="105" t="s">
        <v>927</v>
      </c>
      <c r="B278" s="105" t="s">
        <v>1138</v>
      </c>
      <c r="C278" s="105" t="s">
        <v>3789</v>
      </c>
      <c r="D278" s="105" t="s">
        <v>578</v>
      </c>
      <c r="E278" s="105" t="s">
        <v>3790</v>
      </c>
      <c r="F278" s="105" t="s">
        <v>3505</v>
      </c>
      <c r="G278" s="105" t="s">
        <v>1176</v>
      </c>
      <c r="H278" s="105" t="s">
        <v>3096</v>
      </c>
      <c r="I278" s="105" t="s">
        <v>3728</v>
      </c>
      <c r="K278" s="112" t="s">
        <v>299</v>
      </c>
      <c r="L278" s="112" t="s">
        <v>2983</v>
      </c>
      <c r="M278" s="112" t="s">
        <v>3791</v>
      </c>
    </row>
    <row r="279" spans="1:14">
      <c r="A279" s="105" t="s">
        <v>916</v>
      </c>
      <c r="B279" s="105" t="s">
        <v>981</v>
      </c>
      <c r="C279" s="105" t="s">
        <v>3792</v>
      </c>
      <c r="D279" s="105" t="s">
        <v>577</v>
      </c>
      <c r="E279" s="105" t="s">
        <v>3793</v>
      </c>
      <c r="F279" s="105" t="s">
        <v>3095</v>
      </c>
      <c r="G279" s="105" t="s">
        <v>1176</v>
      </c>
      <c r="H279" s="105" t="s">
        <v>3096</v>
      </c>
      <c r="I279" s="105" t="s">
        <v>3728</v>
      </c>
      <c r="K279" s="112" t="s">
        <v>299</v>
      </c>
      <c r="L279" s="112" t="s">
        <v>2984</v>
      </c>
      <c r="M279" s="112" t="s">
        <v>3794</v>
      </c>
    </row>
    <row r="280" spans="1:14">
      <c r="A280" s="105" t="s">
        <v>925</v>
      </c>
      <c r="B280" s="105" t="s">
        <v>1106</v>
      </c>
      <c r="C280" s="105" t="s">
        <v>3795</v>
      </c>
      <c r="D280" s="105" t="s">
        <v>568</v>
      </c>
      <c r="E280" s="105" t="s">
        <v>3796</v>
      </c>
      <c r="F280" s="105"/>
      <c r="G280" s="105" t="s">
        <v>1178</v>
      </c>
      <c r="H280" s="105" t="s">
        <v>3096</v>
      </c>
      <c r="I280" s="105" t="s">
        <v>3728</v>
      </c>
      <c r="K280" s="112" t="s">
        <v>299</v>
      </c>
      <c r="L280" s="112" t="s">
        <v>2985</v>
      </c>
      <c r="M280" s="112" t="s">
        <v>3797</v>
      </c>
    </row>
    <row r="281" spans="1:14">
      <c r="A281" s="105" t="s">
        <v>925</v>
      </c>
      <c r="B281" s="105" t="s">
        <v>1118</v>
      </c>
      <c r="C281" s="105" t="s">
        <v>3798</v>
      </c>
      <c r="D281" s="105" t="s">
        <v>568</v>
      </c>
      <c r="E281" s="105" t="s">
        <v>3799</v>
      </c>
      <c r="F281" s="105" t="s">
        <v>3727</v>
      </c>
      <c r="G281" s="105" t="s">
        <v>1178</v>
      </c>
      <c r="H281" s="105" t="s">
        <v>3096</v>
      </c>
      <c r="I281" s="105" t="s">
        <v>3728</v>
      </c>
      <c r="K281" s="112" t="s">
        <v>299</v>
      </c>
      <c r="L281" s="112" t="s">
        <v>2986</v>
      </c>
      <c r="M281" s="112" t="s">
        <v>3800</v>
      </c>
    </row>
    <row r="282" spans="1:14">
      <c r="A282" s="105" t="s">
        <v>1964</v>
      </c>
      <c r="B282" s="105" t="s">
        <v>1966</v>
      </c>
      <c r="C282" s="105" t="s">
        <v>3801</v>
      </c>
      <c r="D282" s="105" t="s">
        <v>568</v>
      </c>
      <c r="E282" s="105"/>
      <c r="F282" s="105"/>
      <c r="G282" s="105" t="s">
        <v>1176</v>
      </c>
      <c r="H282" s="105" t="s">
        <v>3096</v>
      </c>
      <c r="I282" s="105" t="s">
        <v>3728</v>
      </c>
      <c r="K282" s="112" t="s">
        <v>301</v>
      </c>
      <c r="L282" s="112" t="s">
        <v>2988</v>
      </c>
      <c r="M282" s="112" t="s">
        <v>2288</v>
      </c>
    </row>
    <row r="283" spans="1:14">
      <c r="A283" s="105" t="s">
        <v>923</v>
      </c>
      <c r="B283" s="105" t="s">
        <v>1053</v>
      </c>
      <c r="C283" s="105" t="s">
        <v>3802</v>
      </c>
      <c r="D283" s="105" t="s">
        <v>573</v>
      </c>
      <c r="E283" s="105"/>
      <c r="F283" s="105"/>
      <c r="G283" s="105" t="s">
        <v>1178</v>
      </c>
      <c r="H283" s="105" t="s">
        <v>3108</v>
      </c>
      <c r="I283" s="105" t="s">
        <v>3728</v>
      </c>
      <c r="K283" s="112" t="s">
        <v>301</v>
      </c>
      <c r="L283" s="112" t="s">
        <v>2989</v>
      </c>
      <c r="M283" s="112" t="s">
        <v>3803</v>
      </c>
      <c r="N283" s="81" t="s">
        <v>3236</v>
      </c>
    </row>
    <row r="284" spans="1:14">
      <c r="A284" s="105" t="s">
        <v>923</v>
      </c>
      <c r="B284" s="105" t="s">
        <v>1055</v>
      </c>
      <c r="C284" s="105" t="s">
        <v>2308</v>
      </c>
      <c r="D284" s="105" t="s">
        <v>573</v>
      </c>
      <c r="E284" s="105"/>
      <c r="F284" s="105"/>
      <c r="G284" s="105" t="s">
        <v>1380</v>
      </c>
      <c r="H284" s="105" t="s">
        <v>3108</v>
      </c>
      <c r="I284" s="105" t="s">
        <v>3728</v>
      </c>
      <c r="K284" s="112" t="s">
        <v>301</v>
      </c>
      <c r="L284" s="112" t="s">
        <v>2990</v>
      </c>
      <c r="M284" s="112" t="s">
        <v>3804</v>
      </c>
      <c r="N284" s="81" t="s">
        <v>3236</v>
      </c>
    </row>
    <row r="285" spans="1:14">
      <c r="A285" s="105" t="s">
        <v>923</v>
      </c>
      <c r="B285" s="105" t="s">
        <v>1062</v>
      </c>
      <c r="C285" s="105" t="s">
        <v>3805</v>
      </c>
      <c r="D285" s="105" t="s">
        <v>573</v>
      </c>
      <c r="E285" s="105"/>
      <c r="F285" s="105"/>
      <c r="G285" s="105" t="s">
        <v>1176</v>
      </c>
      <c r="H285" s="105" t="s">
        <v>3108</v>
      </c>
      <c r="I285" s="105" t="s">
        <v>3728</v>
      </c>
      <c r="K285" s="112" t="s">
        <v>301</v>
      </c>
      <c r="L285" s="112" t="s">
        <v>2991</v>
      </c>
      <c r="M285" s="112" t="s">
        <v>3806</v>
      </c>
      <c r="N285" s="81" t="s">
        <v>3236</v>
      </c>
    </row>
    <row r="286" spans="1:14">
      <c r="A286" s="105" t="s">
        <v>923</v>
      </c>
      <c r="B286" s="105" t="s">
        <v>1057</v>
      </c>
      <c r="C286" s="105" t="s">
        <v>3807</v>
      </c>
      <c r="D286" s="105" t="s">
        <v>573</v>
      </c>
      <c r="E286" s="105"/>
      <c r="F286" s="105"/>
      <c r="G286" s="105" t="s">
        <v>1176</v>
      </c>
      <c r="H286" s="105" t="s">
        <v>3108</v>
      </c>
      <c r="I286" s="105" t="s">
        <v>3728</v>
      </c>
      <c r="K286" s="106" t="s">
        <v>303</v>
      </c>
      <c r="L286" s="106" t="s">
        <v>1439</v>
      </c>
      <c r="M286" s="106" t="s">
        <v>3808</v>
      </c>
      <c r="N286" s="81" t="s">
        <v>3236</v>
      </c>
    </row>
    <row r="287" spans="1:14">
      <c r="A287" s="105" t="s">
        <v>923</v>
      </c>
      <c r="B287" s="105" t="s">
        <v>1066</v>
      </c>
      <c r="C287" s="105" t="s">
        <v>2288</v>
      </c>
      <c r="D287" s="105" t="s">
        <v>573</v>
      </c>
      <c r="E287" s="105"/>
      <c r="F287" s="105"/>
      <c r="G287" s="105" t="s">
        <v>1201</v>
      </c>
      <c r="H287" s="105" t="s">
        <v>3108</v>
      </c>
      <c r="I287" s="105" t="s">
        <v>3728</v>
      </c>
      <c r="K287" s="106" t="s">
        <v>303</v>
      </c>
      <c r="L287" s="106" t="s">
        <v>2992</v>
      </c>
      <c r="M287" s="106" t="s">
        <v>3809</v>
      </c>
      <c r="N287" s="81" t="s">
        <v>3402</v>
      </c>
    </row>
    <row r="288" spans="1:14">
      <c r="A288" s="105" t="s">
        <v>918</v>
      </c>
      <c r="B288" s="105" t="s">
        <v>998</v>
      </c>
      <c r="C288" s="105" t="s">
        <v>3810</v>
      </c>
      <c r="D288" s="105" t="s">
        <v>569</v>
      </c>
      <c r="E288" s="105" t="s">
        <v>3811</v>
      </c>
      <c r="F288" s="105"/>
      <c r="G288" s="105" t="s">
        <v>1178</v>
      </c>
      <c r="H288" s="105" t="s">
        <v>3096</v>
      </c>
      <c r="I288" s="105" t="s">
        <v>3728</v>
      </c>
      <c r="K288" s="106" t="s">
        <v>303</v>
      </c>
      <c r="L288" s="106" t="s">
        <v>2993</v>
      </c>
      <c r="M288" s="106" t="s">
        <v>3812</v>
      </c>
    </row>
    <row r="289" spans="1:14">
      <c r="A289" s="105" t="s">
        <v>918</v>
      </c>
      <c r="B289" s="105" t="s">
        <v>999</v>
      </c>
      <c r="C289" s="105" t="s">
        <v>2283</v>
      </c>
      <c r="D289" s="105" t="s">
        <v>569</v>
      </c>
      <c r="E289" s="105" t="s">
        <v>3813</v>
      </c>
      <c r="F289" s="105"/>
      <c r="G289" s="105" t="s">
        <v>1201</v>
      </c>
      <c r="H289" s="105" t="s">
        <v>3096</v>
      </c>
      <c r="I289" s="105" t="s">
        <v>3728</v>
      </c>
      <c r="K289" s="106" t="s">
        <v>303</v>
      </c>
      <c r="L289" s="106" t="s">
        <v>1441</v>
      </c>
      <c r="M289" s="106" t="s">
        <v>3814</v>
      </c>
      <c r="N289" s="81" t="s">
        <v>3294</v>
      </c>
    </row>
    <row r="290" spans="1:14">
      <c r="A290" s="105" t="s">
        <v>918</v>
      </c>
      <c r="B290" s="105" t="s">
        <v>1000</v>
      </c>
      <c r="C290" s="105" t="s">
        <v>3815</v>
      </c>
      <c r="D290" s="105" t="s">
        <v>569</v>
      </c>
      <c r="E290" s="105" t="s">
        <v>3816</v>
      </c>
      <c r="F290" s="105"/>
      <c r="G290" s="105" t="s">
        <v>1178</v>
      </c>
      <c r="H290" s="105" t="s">
        <v>3108</v>
      </c>
      <c r="I290" s="105" t="s">
        <v>3728</v>
      </c>
      <c r="K290" s="106" t="s">
        <v>303</v>
      </c>
      <c r="L290" s="106" t="s">
        <v>1442</v>
      </c>
      <c r="M290" s="106" t="s">
        <v>3817</v>
      </c>
      <c r="N290" s="81" t="s">
        <v>3294</v>
      </c>
    </row>
    <row r="291" spans="1:14">
      <c r="A291" s="105" t="s">
        <v>918</v>
      </c>
      <c r="B291" s="105" t="s">
        <v>1001</v>
      </c>
      <c r="C291" s="105" t="s">
        <v>3818</v>
      </c>
      <c r="D291" s="105" t="s">
        <v>569</v>
      </c>
      <c r="E291" s="105" t="s">
        <v>3819</v>
      </c>
      <c r="F291" s="105"/>
      <c r="G291" s="105" t="s">
        <v>1178</v>
      </c>
      <c r="H291" s="105" t="s">
        <v>3096</v>
      </c>
      <c r="I291" s="105" t="s">
        <v>3728</v>
      </c>
      <c r="K291" s="112" t="s">
        <v>305</v>
      </c>
      <c r="L291" s="112" t="s">
        <v>2994</v>
      </c>
      <c r="M291" s="112" t="s">
        <v>3820</v>
      </c>
    </row>
    <row r="292" spans="1:14">
      <c r="A292" s="105" t="s">
        <v>924</v>
      </c>
      <c r="B292" s="105" t="s">
        <v>1091</v>
      </c>
      <c r="C292" s="105" t="s">
        <v>3821</v>
      </c>
      <c r="D292" s="105" t="s">
        <v>575</v>
      </c>
      <c r="E292" s="105"/>
      <c r="F292" s="105"/>
      <c r="G292" s="105" t="s">
        <v>1178</v>
      </c>
      <c r="H292" s="105" t="s">
        <v>3108</v>
      </c>
      <c r="I292" s="105" t="s">
        <v>3728</v>
      </c>
      <c r="K292" s="106" t="s">
        <v>305</v>
      </c>
      <c r="L292" s="106" t="s">
        <v>1444</v>
      </c>
      <c r="M292" s="106" t="s">
        <v>3822</v>
      </c>
      <c r="N292" s="81" t="s">
        <v>3284</v>
      </c>
    </row>
    <row r="293" spans="1:14">
      <c r="A293" s="105" t="s">
        <v>924</v>
      </c>
      <c r="B293" s="105" t="s">
        <v>1092</v>
      </c>
      <c r="C293" s="105" t="s">
        <v>3823</v>
      </c>
      <c r="D293" s="105" t="s">
        <v>575</v>
      </c>
      <c r="E293" s="105"/>
      <c r="F293" s="105"/>
      <c r="G293" s="105" t="s">
        <v>1178</v>
      </c>
      <c r="H293" s="105" t="s">
        <v>3108</v>
      </c>
      <c r="I293" s="105" t="s">
        <v>3728</v>
      </c>
      <c r="K293" s="106" t="s">
        <v>305</v>
      </c>
      <c r="L293" s="106" t="s">
        <v>1445</v>
      </c>
      <c r="M293" s="106" t="s">
        <v>3824</v>
      </c>
    </row>
    <row r="294" spans="1:14">
      <c r="A294" s="105" t="s">
        <v>1975</v>
      </c>
      <c r="B294" s="105" t="s">
        <v>1976</v>
      </c>
      <c r="C294" s="105" t="s">
        <v>3825</v>
      </c>
      <c r="D294" s="105" t="s">
        <v>605</v>
      </c>
      <c r="E294" s="116" t="s">
        <v>3826</v>
      </c>
      <c r="F294" s="125" t="s">
        <v>3474</v>
      </c>
      <c r="G294" s="105" t="s">
        <v>1178</v>
      </c>
      <c r="H294" s="105" t="s">
        <v>3096</v>
      </c>
      <c r="I294" s="105" t="s">
        <v>3728</v>
      </c>
      <c r="K294" s="106" t="s">
        <v>305</v>
      </c>
      <c r="L294" s="106" t="s">
        <v>1446</v>
      </c>
      <c r="M294" s="106" t="s">
        <v>3827</v>
      </c>
    </row>
    <row r="295" spans="1:14">
      <c r="A295" s="105" t="s">
        <v>1978</v>
      </c>
      <c r="B295" s="105" t="s">
        <v>1979</v>
      </c>
      <c r="C295" s="105" t="s">
        <v>3828</v>
      </c>
      <c r="D295" s="105" t="s">
        <v>605</v>
      </c>
      <c r="E295" s="116" t="s">
        <v>3829</v>
      </c>
      <c r="F295" s="125" t="s">
        <v>3602</v>
      </c>
      <c r="G295" s="105" t="s">
        <v>1178</v>
      </c>
      <c r="H295" s="105" t="s">
        <v>3108</v>
      </c>
      <c r="I295" s="105" t="s">
        <v>3728</v>
      </c>
      <c r="K295" s="106" t="s">
        <v>305</v>
      </c>
      <c r="L295" s="106" t="s">
        <v>1447</v>
      </c>
      <c r="M295" s="106" t="s">
        <v>3830</v>
      </c>
    </row>
    <row r="296" spans="1:14">
      <c r="A296" s="106" t="s">
        <v>916</v>
      </c>
      <c r="B296" s="134" t="s">
        <v>980</v>
      </c>
      <c r="C296" s="134" t="s">
        <v>3831</v>
      </c>
      <c r="D296" s="134" t="s">
        <v>578</v>
      </c>
      <c r="E296" s="134" t="s">
        <v>3832</v>
      </c>
      <c r="F296" s="135" t="s">
        <v>3474</v>
      </c>
      <c r="G296" s="134" t="s">
        <v>1583</v>
      </c>
      <c r="H296" s="134" t="s">
        <v>3108</v>
      </c>
      <c r="I296" s="134" t="s">
        <v>3833</v>
      </c>
      <c r="K296" s="106" t="s">
        <v>305</v>
      </c>
      <c r="L296" s="106" t="s">
        <v>1449</v>
      </c>
      <c r="M296" s="106" t="s">
        <v>3834</v>
      </c>
    </row>
    <row r="297" spans="1:14">
      <c r="A297" s="106" t="s">
        <v>917</v>
      </c>
      <c r="B297" s="134" t="s">
        <v>988</v>
      </c>
      <c r="C297" s="134" t="s">
        <v>3835</v>
      </c>
      <c r="D297" s="134" t="s">
        <v>578</v>
      </c>
      <c r="E297" s="134" t="s">
        <v>3734</v>
      </c>
      <c r="F297" s="135" t="s">
        <v>3474</v>
      </c>
      <c r="G297" s="134" t="s">
        <v>1178</v>
      </c>
      <c r="H297" s="134" t="s">
        <v>3096</v>
      </c>
      <c r="I297" s="134" t="s">
        <v>3833</v>
      </c>
      <c r="K297" s="106" t="s">
        <v>305</v>
      </c>
      <c r="L297" s="106" t="s">
        <v>1450</v>
      </c>
      <c r="M297" s="106" t="s">
        <v>3836</v>
      </c>
    </row>
    <row r="298" spans="1:14">
      <c r="A298" s="106" t="s">
        <v>917</v>
      </c>
      <c r="B298" s="134" t="s">
        <v>987</v>
      </c>
      <c r="C298" s="134" t="s">
        <v>3837</v>
      </c>
      <c r="D298" s="134" t="s">
        <v>578</v>
      </c>
      <c r="E298" s="134" t="s">
        <v>3838</v>
      </c>
      <c r="F298" s="134"/>
      <c r="G298" s="134" t="s">
        <v>1201</v>
      </c>
      <c r="H298" s="134" t="s">
        <v>3108</v>
      </c>
      <c r="I298" s="134" t="s">
        <v>3833</v>
      </c>
      <c r="K298" s="106" t="s">
        <v>305</v>
      </c>
      <c r="L298" s="106" t="s">
        <v>1451</v>
      </c>
      <c r="M298" s="106" t="s">
        <v>3839</v>
      </c>
    </row>
    <row r="299" spans="1:14">
      <c r="A299" s="106" t="s">
        <v>917</v>
      </c>
      <c r="B299" s="134" t="s">
        <v>990</v>
      </c>
      <c r="C299" s="134" t="s">
        <v>3840</v>
      </c>
      <c r="D299" s="134" t="s">
        <v>578</v>
      </c>
      <c r="E299" s="134" t="s">
        <v>3841</v>
      </c>
      <c r="F299" s="134"/>
      <c r="G299" s="134" t="s">
        <v>1201</v>
      </c>
      <c r="H299" s="134" t="s">
        <v>3108</v>
      </c>
      <c r="I299" s="134" t="s">
        <v>3833</v>
      </c>
      <c r="K299" s="106" t="s">
        <v>305</v>
      </c>
      <c r="L299" s="106" t="s">
        <v>1452</v>
      </c>
      <c r="M299" s="106" t="s">
        <v>3842</v>
      </c>
    </row>
    <row r="300" spans="1:14">
      <c r="A300" s="106" t="s">
        <v>917</v>
      </c>
      <c r="B300" s="134" t="s">
        <v>995</v>
      </c>
      <c r="C300" s="134" t="s">
        <v>3843</v>
      </c>
      <c r="D300" s="134" t="s">
        <v>578</v>
      </c>
      <c r="E300" s="134" t="s">
        <v>3844</v>
      </c>
      <c r="F300" s="134"/>
      <c r="G300" s="134" t="s">
        <v>1220</v>
      </c>
      <c r="H300" s="134" t="s">
        <v>3108</v>
      </c>
      <c r="I300" s="134" t="s">
        <v>3833</v>
      </c>
      <c r="K300" s="106" t="s">
        <v>305</v>
      </c>
      <c r="L300" s="106" t="s">
        <v>1453</v>
      </c>
      <c r="M300" s="106" t="s">
        <v>3845</v>
      </c>
    </row>
    <row r="301" spans="1:14">
      <c r="A301" s="106" t="s">
        <v>1983</v>
      </c>
      <c r="B301" s="134" t="s">
        <v>1985</v>
      </c>
      <c r="C301" s="136" t="s">
        <v>3846</v>
      </c>
      <c r="D301" s="105" t="s">
        <v>605</v>
      </c>
      <c r="E301" s="106"/>
      <c r="F301" s="106"/>
      <c r="G301" s="106" t="s">
        <v>1176</v>
      </c>
      <c r="H301" s="134" t="s">
        <v>3096</v>
      </c>
      <c r="I301" s="134" t="s">
        <v>3847</v>
      </c>
      <c r="K301" s="106" t="s">
        <v>307</v>
      </c>
      <c r="L301" s="106" t="s">
        <v>1454</v>
      </c>
      <c r="M301" s="106" t="s">
        <v>3848</v>
      </c>
    </row>
    <row r="302" spans="1:14">
      <c r="A302" s="106" t="s">
        <v>1983</v>
      </c>
      <c r="B302" s="134" t="s">
        <v>1986</v>
      </c>
      <c r="C302" s="136" t="s">
        <v>3849</v>
      </c>
      <c r="D302" s="105" t="s">
        <v>605</v>
      </c>
      <c r="E302" s="106"/>
      <c r="F302" s="106"/>
      <c r="G302" s="106" t="s">
        <v>1176</v>
      </c>
      <c r="H302" s="134" t="s">
        <v>3096</v>
      </c>
      <c r="I302" s="134" t="s">
        <v>3847</v>
      </c>
      <c r="K302" s="106" t="s">
        <v>307</v>
      </c>
      <c r="L302" s="106" t="s">
        <v>1455</v>
      </c>
      <c r="M302" s="106" t="s">
        <v>3850</v>
      </c>
    </row>
    <row r="303" spans="1:14">
      <c r="A303" s="106" t="s">
        <v>1983</v>
      </c>
      <c r="B303" s="134" t="s">
        <v>1987</v>
      </c>
      <c r="C303" s="136" t="s">
        <v>3851</v>
      </c>
      <c r="D303" s="105" t="s">
        <v>605</v>
      </c>
      <c r="E303" s="106"/>
      <c r="F303" s="106"/>
      <c r="G303" s="106" t="s">
        <v>1176</v>
      </c>
      <c r="H303" s="134" t="s">
        <v>3096</v>
      </c>
      <c r="I303" s="134" t="s">
        <v>3847</v>
      </c>
      <c r="K303" s="106" t="s">
        <v>309</v>
      </c>
      <c r="L303" s="106" t="s">
        <v>2995</v>
      </c>
      <c r="M303" s="106" t="s">
        <v>3852</v>
      </c>
    </row>
    <row r="304" spans="1:14">
      <c r="A304" s="106" t="s">
        <v>1983</v>
      </c>
      <c r="B304" s="134" t="s">
        <v>1988</v>
      </c>
      <c r="C304" s="136" t="s">
        <v>3853</v>
      </c>
      <c r="D304" s="105" t="s">
        <v>605</v>
      </c>
      <c r="E304" s="106"/>
      <c r="F304" s="106"/>
      <c r="G304" s="106" t="s">
        <v>1176</v>
      </c>
      <c r="H304" s="134" t="s">
        <v>3096</v>
      </c>
      <c r="I304" s="134" t="s">
        <v>3847</v>
      </c>
      <c r="K304" s="106" t="s">
        <v>309</v>
      </c>
      <c r="L304" s="106" t="s">
        <v>2996</v>
      </c>
      <c r="M304" s="106" t="s">
        <v>3854</v>
      </c>
    </row>
    <row r="305" spans="1:14">
      <c r="A305" s="106" t="s">
        <v>1983</v>
      </c>
      <c r="B305" s="134" t="s">
        <v>1989</v>
      </c>
      <c r="C305" s="136" t="s">
        <v>3855</v>
      </c>
      <c r="D305" s="105" t="s">
        <v>605</v>
      </c>
      <c r="E305" s="106"/>
      <c r="F305" s="106"/>
      <c r="G305" s="106" t="s">
        <v>1176</v>
      </c>
      <c r="H305" s="134" t="s">
        <v>3096</v>
      </c>
      <c r="I305" s="134" t="s">
        <v>3847</v>
      </c>
      <c r="K305" s="106" t="s">
        <v>311</v>
      </c>
      <c r="L305" s="106" t="s">
        <v>1457</v>
      </c>
      <c r="M305" s="106" t="s">
        <v>3856</v>
      </c>
    </row>
    <row r="306" spans="1:14">
      <c r="A306" s="106" t="s">
        <v>1983</v>
      </c>
      <c r="B306" s="134" t="s">
        <v>1990</v>
      </c>
      <c r="C306" s="136" t="s">
        <v>3857</v>
      </c>
      <c r="D306" s="105" t="s">
        <v>605</v>
      </c>
      <c r="E306" s="106"/>
      <c r="F306" s="106"/>
      <c r="G306" s="106" t="s">
        <v>1176</v>
      </c>
      <c r="H306" s="134" t="s">
        <v>3096</v>
      </c>
      <c r="I306" s="134" t="s">
        <v>3847</v>
      </c>
      <c r="K306" s="106" t="s">
        <v>311</v>
      </c>
      <c r="L306" s="106" t="s">
        <v>1458</v>
      </c>
      <c r="M306" s="106" t="s">
        <v>3858</v>
      </c>
    </row>
    <row r="307" spans="1:14">
      <c r="A307" s="106" t="s">
        <v>1983</v>
      </c>
      <c r="B307" s="134" t="s">
        <v>1991</v>
      </c>
      <c r="C307" s="136" t="s">
        <v>3859</v>
      </c>
      <c r="D307" s="105" t="s">
        <v>605</v>
      </c>
      <c r="E307" s="106"/>
      <c r="F307" s="106"/>
      <c r="G307" s="106" t="s">
        <v>1176</v>
      </c>
      <c r="H307" s="134" t="s">
        <v>3108</v>
      </c>
      <c r="I307" s="134" t="s">
        <v>3847</v>
      </c>
      <c r="K307" s="106" t="s">
        <v>311</v>
      </c>
      <c r="L307" s="106" t="s">
        <v>1459</v>
      </c>
      <c r="M307" s="106" t="s">
        <v>3860</v>
      </c>
      <c r="N307" s="81" t="s">
        <v>3402</v>
      </c>
    </row>
    <row r="308" spans="1:14">
      <c r="A308" s="106" t="s">
        <v>1983</v>
      </c>
      <c r="B308" s="134" t="s">
        <v>1992</v>
      </c>
      <c r="C308" s="136" t="s">
        <v>3861</v>
      </c>
      <c r="D308" s="105" t="s">
        <v>605</v>
      </c>
      <c r="E308" s="106"/>
      <c r="F308" s="106"/>
      <c r="G308" s="106" t="s">
        <v>1176</v>
      </c>
      <c r="H308" s="134" t="s">
        <v>3096</v>
      </c>
      <c r="I308" s="134" t="s">
        <v>3847</v>
      </c>
      <c r="K308" s="106" t="s">
        <v>311</v>
      </c>
      <c r="L308" s="106" t="s">
        <v>1460</v>
      </c>
      <c r="M308" s="106" t="s">
        <v>3862</v>
      </c>
      <c r="N308" s="81" t="s">
        <v>3402</v>
      </c>
    </row>
    <row r="309" spans="1:14">
      <c r="A309" s="106" t="s">
        <v>1983</v>
      </c>
      <c r="B309" s="134" t="s">
        <v>1993</v>
      </c>
      <c r="C309" s="136" t="s">
        <v>3863</v>
      </c>
      <c r="D309" s="105" t="s">
        <v>605</v>
      </c>
      <c r="E309" s="106"/>
      <c r="F309" s="106"/>
      <c r="G309" s="106" t="s">
        <v>1176</v>
      </c>
      <c r="H309" s="134" t="s">
        <v>3096</v>
      </c>
      <c r="I309" s="134" t="s">
        <v>3847</v>
      </c>
      <c r="K309" s="106" t="s">
        <v>311</v>
      </c>
      <c r="L309" s="106" t="s">
        <v>1461</v>
      </c>
      <c r="M309" s="106" t="s">
        <v>3864</v>
      </c>
      <c r="N309" s="81" t="s">
        <v>3402</v>
      </c>
    </row>
    <row r="310" spans="1:14">
      <c r="A310" s="106" t="s">
        <v>1983</v>
      </c>
      <c r="B310" s="134" t="s">
        <v>1994</v>
      </c>
      <c r="C310" s="136" t="s">
        <v>3865</v>
      </c>
      <c r="D310" s="105" t="s">
        <v>605</v>
      </c>
      <c r="E310" s="106"/>
      <c r="F310" s="106"/>
      <c r="G310" s="106" t="s">
        <v>1176</v>
      </c>
      <c r="H310" s="134" t="s">
        <v>3096</v>
      </c>
      <c r="I310" s="134" t="s">
        <v>3847</v>
      </c>
      <c r="K310" s="106" t="s">
        <v>311</v>
      </c>
      <c r="L310" s="106" t="s">
        <v>1462</v>
      </c>
      <c r="M310" s="106" t="s">
        <v>3866</v>
      </c>
      <c r="N310" s="81" t="s">
        <v>3402</v>
      </c>
    </row>
    <row r="311" spans="1:14">
      <c r="A311" s="106" t="s">
        <v>1983</v>
      </c>
      <c r="B311" s="134" t="s">
        <v>1995</v>
      </c>
      <c r="C311" s="136" t="s">
        <v>3867</v>
      </c>
      <c r="D311" s="105" t="s">
        <v>605</v>
      </c>
      <c r="E311" s="106"/>
      <c r="F311" s="106"/>
      <c r="G311" s="106" t="s">
        <v>1176</v>
      </c>
      <c r="H311" s="134" t="s">
        <v>3096</v>
      </c>
      <c r="I311" s="134" t="s">
        <v>3847</v>
      </c>
      <c r="K311" s="106" t="s">
        <v>311</v>
      </c>
      <c r="L311" s="106" t="s">
        <v>1463</v>
      </c>
      <c r="M311" s="106" t="s">
        <v>3868</v>
      </c>
      <c r="N311" s="81" t="s">
        <v>3402</v>
      </c>
    </row>
    <row r="312" spans="1:14">
      <c r="A312" s="106" t="s">
        <v>1983</v>
      </c>
      <c r="B312" s="134" t="s">
        <v>1996</v>
      </c>
      <c r="C312" s="136" t="s">
        <v>3869</v>
      </c>
      <c r="D312" s="105" t="s">
        <v>605</v>
      </c>
      <c r="E312" s="106"/>
      <c r="F312" s="106"/>
      <c r="G312" s="106" t="s">
        <v>1176</v>
      </c>
      <c r="H312" s="134" t="s">
        <v>3096</v>
      </c>
      <c r="I312" s="134" t="s">
        <v>3847</v>
      </c>
      <c r="K312" s="106" t="s">
        <v>311</v>
      </c>
      <c r="L312" s="106" t="s">
        <v>1464</v>
      </c>
      <c r="M312" s="106" t="s">
        <v>3870</v>
      </c>
      <c r="N312" s="81" t="s">
        <v>3402</v>
      </c>
    </row>
    <row r="313" spans="1:14">
      <c r="A313" s="106" t="s">
        <v>1983</v>
      </c>
      <c r="B313" s="134" t="s">
        <v>1997</v>
      </c>
      <c r="C313" s="136" t="s">
        <v>3871</v>
      </c>
      <c r="D313" s="105" t="s">
        <v>605</v>
      </c>
      <c r="E313" s="106"/>
      <c r="F313" s="106"/>
      <c r="G313" s="106" t="s">
        <v>1176</v>
      </c>
      <c r="H313" s="134" t="s">
        <v>3096</v>
      </c>
      <c r="I313" s="134" t="s">
        <v>3847</v>
      </c>
      <c r="K313" s="106" t="s">
        <v>311</v>
      </c>
      <c r="L313" s="106" t="s">
        <v>1465</v>
      </c>
      <c r="M313" s="106" t="s">
        <v>3872</v>
      </c>
      <c r="N313" s="81" t="s">
        <v>3402</v>
      </c>
    </row>
    <row r="314" spans="1:14">
      <c r="A314" s="106" t="s">
        <v>1983</v>
      </c>
      <c r="B314" s="134" t="s">
        <v>1999</v>
      </c>
      <c r="C314" s="106" t="s">
        <v>3873</v>
      </c>
      <c r="D314" s="105" t="s">
        <v>605</v>
      </c>
      <c r="E314" s="106"/>
      <c r="F314" s="106"/>
      <c r="G314" s="106" t="s">
        <v>1176</v>
      </c>
      <c r="H314" s="134" t="s">
        <v>3096</v>
      </c>
      <c r="I314" s="134" t="s">
        <v>3847</v>
      </c>
      <c r="K314" s="106" t="s">
        <v>311</v>
      </c>
      <c r="L314" s="106" t="s">
        <v>1466</v>
      </c>
      <c r="M314" s="106" t="s">
        <v>3874</v>
      </c>
      <c r="N314" s="81" t="s">
        <v>3402</v>
      </c>
    </row>
    <row r="315" spans="1:14">
      <c r="A315" s="106" t="s">
        <v>1983</v>
      </c>
      <c r="B315" s="134" t="s">
        <v>2000</v>
      </c>
      <c r="C315" s="106" t="s">
        <v>3875</v>
      </c>
      <c r="D315" s="105" t="s">
        <v>605</v>
      </c>
      <c r="E315" s="106"/>
      <c r="F315" s="106"/>
      <c r="G315" s="106" t="s">
        <v>1176</v>
      </c>
      <c r="H315" s="134" t="s">
        <v>3096</v>
      </c>
      <c r="I315" s="134" t="s">
        <v>3847</v>
      </c>
      <c r="K315" s="106" t="s">
        <v>311</v>
      </c>
      <c r="L315" s="106" t="s">
        <v>2997</v>
      </c>
      <c r="M315" s="123" t="s">
        <v>3876</v>
      </c>
      <c r="N315" s="81" t="s">
        <v>3402</v>
      </c>
    </row>
    <row r="316" spans="1:14">
      <c r="A316" s="106" t="s">
        <v>1983</v>
      </c>
      <c r="B316" s="134" t="s">
        <v>2001</v>
      </c>
      <c r="C316" s="106" t="s">
        <v>3877</v>
      </c>
      <c r="D316" s="105" t="s">
        <v>605</v>
      </c>
      <c r="E316" s="106"/>
      <c r="F316" s="106"/>
      <c r="G316" s="106" t="s">
        <v>1176</v>
      </c>
      <c r="H316" s="134" t="s">
        <v>3096</v>
      </c>
      <c r="I316" s="134" t="s">
        <v>3847</v>
      </c>
      <c r="K316" s="112" t="s">
        <v>311</v>
      </c>
      <c r="L316" s="112" t="s">
        <v>2998</v>
      </c>
      <c r="M316" s="112" t="s">
        <v>3878</v>
      </c>
      <c r="N316" s="81" t="s">
        <v>3402</v>
      </c>
    </row>
    <row r="317" spans="1:14">
      <c r="A317" s="106" t="s">
        <v>1983</v>
      </c>
      <c r="B317" s="134" t="s">
        <v>2002</v>
      </c>
      <c r="C317" s="106" t="s">
        <v>3879</v>
      </c>
      <c r="D317" s="105" t="s">
        <v>605</v>
      </c>
      <c r="E317" s="106"/>
      <c r="F317" s="106"/>
      <c r="G317" s="106" t="s">
        <v>1176</v>
      </c>
      <c r="H317" s="134" t="s">
        <v>3096</v>
      </c>
      <c r="I317" s="134" t="s">
        <v>3847</v>
      </c>
      <c r="K317" s="112" t="s">
        <v>311</v>
      </c>
      <c r="L317" s="112" t="s">
        <v>2999</v>
      </c>
      <c r="M317" s="112" t="s">
        <v>3880</v>
      </c>
      <c r="N317" s="81" t="s">
        <v>3402</v>
      </c>
    </row>
    <row r="318" spans="1:14">
      <c r="A318" s="106" t="s">
        <v>1983</v>
      </c>
      <c r="B318" s="134" t="s">
        <v>2003</v>
      </c>
      <c r="C318" s="106" t="s">
        <v>3881</v>
      </c>
      <c r="D318" s="105" t="s">
        <v>605</v>
      </c>
      <c r="E318" s="106"/>
      <c r="F318" s="106"/>
      <c r="G318" s="106" t="s">
        <v>1176</v>
      </c>
      <c r="H318" s="134" t="s">
        <v>3096</v>
      </c>
      <c r="I318" s="134" t="s">
        <v>3847</v>
      </c>
      <c r="K318" s="112" t="s">
        <v>311</v>
      </c>
      <c r="L318" s="112" t="s">
        <v>3000</v>
      </c>
      <c r="M318" s="112" t="s">
        <v>3882</v>
      </c>
      <c r="N318" s="81" t="s">
        <v>2897</v>
      </c>
    </row>
    <row r="319" spans="1:14">
      <c r="A319" s="106" t="s">
        <v>1983</v>
      </c>
      <c r="B319" s="134" t="s">
        <v>2004</v>
      </c>
      <c r="C319" s="106" t="s">
        <v>3883</v>
      </c>
      <c r="D319" s="105" t="s">
        <v>605</v>
      </c>
      <c r="E319" s="106"/>
      <c r="F319" s="106"/>
      <c r="G319" s="106" t="s">
        <v>1176</v>
      </c>
      <c r="H319" s="134" t="s">
        <v>3096</v>
      </c>
      <c r="I319" s="134" t="s">
        <v>3847</v>
      </c>
      <c r="K319" s="112" t="s">
        <v>311</v>
      </c>
      <c r="L319" s="112" t="s">
        <v>3001</v>
      </c>
      <c r="M319" s="112" t="s">
        <v>3884</v>
      </c>
      <c r="N319" s="81" t="s">
        <v>2897</v>
      </c>
    </row>
    <row r="320" spans="1:14">
      <c r="A320" s="106" t="s">
        <v>1983</v>
      </c>
      <c r="B320" s="134" t="s">
        <v>2005</v>
      </c>
      <c r="C320" s="106" t="s">
        <v>3885</v>
      </c>
      <c r="D320" s="105" t="s">
        <v>605</v>
      </c>
      <c r="E320" s="106"/>
      <c r="F320" s="106"/>
      <c r="G320" s="106" t="s">
        <v>1176</v>
      </c>
      <c r="H320" s="134" t="s">
        <v>3096</v>
      </c>
      <c r="I320" s="134" t="s">
        <v>3847</v>
      </c>
      <c r="K320" s="112" t="s">
        <v>311</v>
      </c>
      <c r="L320" s="112" t="s">
        <v>3002</v>
      </c>
      <c r="M320" s="112" t="s">
        <v>3886</v>
      </c>
      <c r="N320" s="81" t="s">
        <v>2897</v>
      </c>
    </row>
    <row r="321" spans="1:14">
      <c r="A321" s="106" t="s">
        <v>1983</v>
      </c>
      <c r="B321" s="134" t="s">
        <v>2007</v>
      </c>
      <c r="C321" s="106" t="s">
        <v>3887</v>
      </c>
      <c r="D321" s="105" t="s">
        <v>605</v>
      </c>
      <c r="E321" s="106"/>
      <c r="F321" s="106"/>
      <c r="G321" s="106" t="s">
        <v>1176</v>
      </c>
      <c r="H321" s="134" t="s">
        <v>3096</v>
      </c>
      <c r="I321" s="134" t="s">
        <v>3847</v>
      </c>
      <c r="K321" s="112" t="s">
        <v>311</v>
      </c>
      <c r="L321" s="112" t="s">
        <v>3003</v>
      </c>
      <c r="M321" s="112" t="s">
        <v>3888</v>
      </c>
      <c r="N321" s="81" t="s">
        <v>2897</v>
      </c>
    </row>
    <row r="322" spans="1:14">
      <c r="A322" s="106" t="s">
        <v>1983</v>
      </c>
      <c r="B322" s="134" t="s">
        <v>2008</v>
      </c>
      <c r="C322" s="106" t="s">
        <v>3889</v>
      </c>
      <c r="D322" s="105" t="s">
        <v>605</v>
      </c>
      <c r="E322" s="106"/>
      <c r="F322" s="106"/>
      <c r="G322" s="106" t="s">
        <v>1176</v>
      </c>
      <c r="H322" s="134" t="s">
        <v>3096</v>
      </c>
      <c r="I322" s="134" t="s">
        <v>3847</v>
      </c>
      <c r="K322" s="112" t="s">
        <v>311</v>
      </c>
      <c r="L322" s="112" t="s">
        <v>3004</v>
      </c>
      <c r="M322" s="112" t="s">
        <v>3890</v>
      </c>
      <c r="N322" s="81" t="s">
        <v>2897</v>
      </c>
    </row>
    <row r="323" spans="1:14">
      <c r="A323" s="106" t="s">
        <v>1983</v>
      </c>
      <c r="B323" s="134" t="s">
        <v>2009</v>
      </c>
      <c r="C323" s="106" t="s">
        <v>3891</v>
      </c>
      <c r="D323" s="105" t="s">
        <v>605</v>
      </c>
      <c r="E323" s="106"/>
      <c r="F323" s="106"/>
      <c r="G323" s="106" t="s">
        <v>1176</v>
      </c>
      <c r="H323" s="134" t="s">
        <v>3096</v>
      </c>
      <c r="I323" s="134" t="s">
        <v>3847</v>
      </c>
      <c r="K323" s="106" t="s">
        <v>311</v>
      </c>
      <c r="L323" s="106" t="s">
        <v>1468</v>
      </c>
      <c r="M323" s="106" t="s">
        <v>3892</v>
      </c>
      <c r="N323" s="81" t="s">
        <v>2897</v>
      </c>
    </row>
    <row r="324" spans="1:14">
      <c r="A324" s="106" t="s">
        <v>1983</v>
      </c>
      <c r="B324" s="134" t="s">
        <v>2011</v>
      </c>
      <c r="C324" s="106" t="s">
        <v>3893</v>
      </c>
      <c r="D324" s="105" t="s">
        <v>605</v>
      </c>
      <c r="E324" s="106"/>
      <c r="F324" s="106"/>
      <c r="G324" s="106" t="s">
        <v>1176</v>
      </c>
      <c r="H324" s="134" t="s">
        <v>3096</v>
      </c>
      <c r="I324" s="134" t="s">
        <v>3847</v>
      </c>
      <c r="K324" s="112" t="s">
        <v>311</v>
      </c>
      <c r="L324" s="112" t="s">
        <v>3005</v>
      </c>
      <c r="M324" s="112" t="s">
        <v>3894</v>
      </c>
      <c r="N324" s="81" t="s">
        <v>2897</v>
      </c>
    </row>
    <row r="325" spans="1:14">
      <c r="A325" s="106" t="s">
        <v>1983</v>
      </c>
      <c r="B325" s="134" t="s">
        <v>2012</v>
      </c>
      <c r="C325" s="106" t="s">
        <v>3895</v>
      </c>
      <c r="D325" s="105" t="s">
        <v>605</v>
      </c>
      <c r="E325" s="106"/>
      <c r="F325" s="106"/>
      <c r="G325" s="106" t="s">
        <v>1176</v>
      </c>
      <c r="H325" s="134" t="s">
        <v>3096</v>
      </c>
      <c r="I325" s="134" t="s">
        <v>3847</v>
      </c>
      <c r="K325" s="112" t="s">
        <v>311</v>
      </c>
      <c r="L325" s="112" t="s">
        <v>3006</v>
      </c>
      <c r="M325" s="112" t="s">
        <v>3896</v>
      </c>
    </row>
    <row r="326" spans="1:14">
      <c r="A326" s="106" t="s">
        <v>1983</v>
      </c>
      <c r="B326" s="134" t="s">
        <v>2013</v>
      </c>
      <c r="C326" s="106" t="s">
        <v>3897</v>
      </c>
      <c r="D326" s="105" t="s">
        <v>605</v>
      </c>
      <c r="E326" s="106"/>
      <c r="F326" s="106"/>
      <c r="G326" s="106" t="s">
        <v>1176</v>
      </c>
      <c r="H326" s="134" t="s">
        <v>3096</v>
      </c>
      <c r="I326" s="134" t="s">
        <v>3847</v>
      </c>
      <c r="K326" s="112" t="s">
        <v>311</v>
      </c>
      <c r="L326" s="112" t="s">
        <v>3007</v>
      </c>
      <c r="M326" s="112" t="s">
        <v>3898</v>
      </c>
      <c r="N326" s="81" t="s">
        <v>2897</v>
      </c>
    </row>
    <row r="327" spans="1:14">
      <c r="A327" s="106" t="s">
        <v>1983</v>
      </c>
      <c r="B327" s="134" t="s">
        <v>2015</v>
      </c>
      <c r="C327" s="106" t="s">
        <v>3899</v>
      </c>
      <c r="D327" s="105" t="s">
        <v>605</v>
      </c>
      <c r="E327" s="106"/>
      <c r="F327" s="106"/>
      <c r="G327" s="106" t="s">
        <v>1176</v>
      </c>
      <c r="H327" s="134" t="s">
        <v>3096</v>
      </c>
      <c r="I327" s="134" t="s">
        <v>3847</v>
      </c>
      <c r="K327" s="112" t="s">
        <v>311</v>
      </c>
      <c r="L327" s="112" t="s">
        <v>3008</v>
      </c>
      <c r="M327" s="112" t="s">
        <v>3900</v>
      </c>
      <c r="N327" s="81" t="s">
        <v>2897</v>
      </c>
    </row>
    <row r="328" spans="1:14">
      <c r="A328" s="106" t="s">
        <v>1983</v>
      </c>
      <c r="B328" s="134" t="s">
        <v>2016</v>
      </c>
      <c r="C328" s="106" t="s">
        <v>3901</v>
      </c>
      <c r="D328" s="105" t="s">
        <v>605</v>
      </c>
      <c r="E328" s="106"/>
      <c r="F328" s="106"/>
      <c r="G328" s="106" t="s">
        <v>1176</v>
      </c>
      <c r="H328" s="134" t="s">
        <v>3096</v>
      </c>
      <c r="I328" s="134" t="s">
        <v>3847</v>
      </c>
      <c r="K328" s="112" t="s">
        <v>311</v>
      </c>
      <c r="L328" s="112" t="s">
        <v>3009</v>
      </c>
      <c r="M328" s="112" t="s">
        <v>3902</v>
      </c>
      <c r="N328" s="81" t="s">
        <v>2897</v>
      </c>
    </row>
    <row r="329" spans="1:14">
      <c r="A329" s="106" t="s">
        <v>1983</v>
      </c>
      <c r="B329" s="134" t="s">
        <v>2017</v>
      </c>
      <c r="C329" s="106" t="s">
        <v>3903</v>
      </c>
      <c r="D329" s="105" t="s">
        <v>605</v>
      </c>
      <c r="E329" s="106"/>
      <c r="F329" s="106"/>
      <c r="G329" s="106" t="s">
        <v>1176</v>
      </c>
      <c r="H329" s="134" t="s">
        <v>3096</v>
      </c>
      <c r="I329" s="134" t="s">
        <v>3847</v>
      </c>
      <c r="K329" s="112" t="s">
        <v>311</v>
      </c>
      <c r="L329" s="112" t="s">
        <v>3010</v>
      </c>
      <c r="M329" s="112" t="s">
        <v>3904</v>
      </c>
      <c r="N329" s="81" t="s">
        <v>2897</v>
      </c>
    </row>
    <row r="330" spans="1:14">
      <c r="A330" s="106" t="s">
        <v>1983</v>
      </c>
      <c r="B330" s="134" t="s">
        <v>2018</v>
      </c>
      <c r="C330" s="106" t="s">
        <v>3905</v>
      </c>
      <c r="D330" s="105" t="s">
        <v>605</v>
      </c>
      <c r="E330" s="106"/>
      <c r="F330" s="106"/>
      <c r="G330" s="106" t="s">
        <v>1176</v>
      </c>
      <c r="H330" s="134" t="s">
        <v>3096</v>
      </c>
      <c r="I330" s="134" t="s">
        <v>3847</v>
      </c>
      <c r="K330" s="112" t="s">
        <v>311</v>
      </c>
      <c r="L330" s="112" t="s">
        <v>3011</v>
      </c>
      <c r="M330" s="112" t="s">
        <v>3906</v>
      </c>
      <c r="N330" s="81" t="s">
        <v>2897</v>
      </c>
    </row>
    <row r="331" spans="1:14">
      <c r="A331" s="106" t="s">
        <v>2019</v>
      </c>
      <c r="B331" s="134" t="s">
        <v>2020</v>
      </c>
      <c r="C331" s="106" t="s">
        <v>3907</v>
      </c>
      <c r="D331" s="105" t="s">
        <v>605</v>
      </c>
      <c r="E331" s="106"/>
      <c r="F331" s="106"/>
      <c r="G331" s="106" t="s">
        <v>1178</v>
      </c>
      <c r="H331" s="134" t="s">
        <v>3108</v>
      </c>
      <c r="I331" s="134" t="s">
        <v>3847</v>
      </c>
      <c r="K331" s="112" t="s">
        <v>311</v>
      </c>
      <c r="L331" s="112" t="s">
        <v>3012</v>
      </c>
      <c r="M331" s="112" t="s">
        <v>3908</v>
      </c>
      <c r="N331" s="81" t="s">
        <v>2897</v>
      </c>
    </row>
    <row r="332" spans="1:14">
      <c r="A332" s="106" t="s">
        <v>2019</v>
      </c>
      <c r="B332" s="134" t="s">
        <v>2022</v>
      </c>
      <c r="C332" s="106" t="s">
        <v>3909</v>
      </c>
      <c r="D332" s="105" t="s">
        <v>605</v>
      </c>
      <c r="E332" s="106"/>
      <c r="F332" s="106"/>
      <c r="G332" s="106" t="s">
        <v>1583</v>
      </c>
      <c r="H332" s="134" t="s">
        <v>3096</v>
      </c>
      <c r="I332" s="134" t="s">
        <v>3847</v>
      </c>
      <c r="K332" s="106" t="s">
        <v>313</v>
      </c>
      <c r="L332" s="106" t="s">
        <v>1469</v>
      </c>
      <c r="M332" s="106" t="s">
        <v>3910</v>
      </c>
      <c r="N332" s="81" t="s">
        <v>2897</v>
      </c>
    </row>
    <row r="333" spans="1:14">
      <c r="A333" s="106" t="s">
        <v>2019</v>
      </c>
      <c r="B333" s="134" t="s">
        <v>2023</v>
      </c>
      <c r="C333" s="106" t="s">
        <v>3911</v>
      </c>
      <c r="D333" s="105" t="s">
        <v>605</v>
      </c>
      <c r="E333" s="106"/>
      <c r="F333" s="106"/>
      <c r="G333" s="106" t="s">
        <v>1583</v>
      </c>
      <c r="H333" s="134" t="s">
        <v>3096</v>
      </c>
      <c r="I333" s="134" t="s">
        <v>3847</v>
      </c>
      <c r="K333" s="106" t="s">
        <v>313</v>
      </c>
      <c r="L333" s="106" t="s">
        <v>1471</v>
      </c>
      <c r="M333" s="106" t="s">
        <v>3912</v>
      </c>
      <c r="N333" s="81" t="s">
        <v>2897</v>
      </c>
    </row>
    <row r="334" spans="1:14">
      <c r="A334" s="106" t="s">
        <v>2019</v>
      </c>
      <c r="B334" s="134" t="s">
        <v>2024</v>
      </c>
      <c r="C334" s="106" t="s">
        <v>3913</v>
      </c>
      <c r="D334" s="105" t="s">
        <v>605</v>
      </c>
      <c r="E334" s="106"/>
      <c r="F334" s="106"/>
      <c r="G334" s="106" t="s">
        <v>1583</v>
      </c>
      <c r="H334" s="134" t="s">
        <v>3096</v>
      </c>
      <c r="I334" s="134" t="s">
        <v>3847</v>
      </c>
      <c r="K334" s="106" t="s">
        <v>313</v>
      </c>
      <c r="L334" s="106" t="s">
        <v>1473</v>
      </c>
      <c r="M334" s="106" t="s">
        <v>3914</v>
      </c>
    </row>
    <row r="335" spans="1:14">
      <c r="A335" s="106" t="s">
        <v>2025</v>
      </c>
      <c r="B335" s="134" t="s">
        <v>2026</v>
      </c>
      <c r="C335" s="106" t="s">
        <v>3197</v>
      </c>
      <c r="D335" s="105" t="s">
        <v>605</v>
      </c>
      <c r="E335" s="106"/>
      <c r="F335" s="106"/>
      <c r="G335" s="106" t="s">
        <v>1178</v>
      </c>
      <c r="H335" s="134" t="s">
        <v>3096</v>
      </c>
      <c r="I335" s="134" t="s">
        <v>3847</v>
      </c>
      <c r="K335" s="106" t="s">
        <v>315</v>
      </c>
      <c r="L335" s="106" t="s">
        <v>1474</v>
      </c>
      <c r="M335" s="106" t="s">
        <v>3915</v>
      </c>
    </row>
    <row r="336" spans="1:14">
      <c r="A336" s="106" t="s">
        <v>2025</v>
      </c>
      <c r="B336" s="134" t="s">
        <v>2027</v>
      </c>
      <c r="C336" s="106" t="s">
        <v>3916</v>
      </c>
      <c r="D336" s="105" t="s">
        <v>605</v>
      </c>
      <c r="E336" s="106"/>
      <c r="F336" s="106"/>
      <c r="G336" s="106" t="s">
        <v>1583</v>
      </c>
      <c r="H336" s="134" t="s">
        <v>3096</v>
      </c>
      <c r="I336" s="134" t="s">
        <v>3847</v>
      </c>
      <c r="K336" s="106" t="s">
        <v>315</v>
      </c>
      <c r="L336" s="106" t="s">
        <v>1475</v>
      </c>
      <c r="M336" s="106" t="s">
        <v>3917</v>
      </c>
    </row>
    <row r="337" spans="1:14">
      <c r="A337" s="106" t="s">
        <v>2025</v>
      </c>
      <c r="B337" s="134" t="s">
        <v>2028</v>
      </c>
      <c r="C337" s="106" t="s">
        <v>3918</v>
      </c>
      <c r="D337" s="105" t="s">
        <v>605</v>
      </c>
      <c r="E337" s="106"/>
      <c r="F337" s="106"/>
      <c r="G337" s="106" t="s">
        <v>1583</v>
      </c>
      <c r="H337" s="134" t="s">
        <v>3096</v>
      </c>
      <c r="I337" s="134" t="s">
        <v>3847</v>
      </c>
      <c r="K337" s="106" t="s">
        <v>315</v>
      </c>
      <c r="L337" s="106" t="s">
        <v>1476</v>
      </c>
      <c r="M337" s="106" t="s">
        <v>3919</v>
      </c>
      <c r="N337" s="81" t="s">
        <v>3294</v>
      </c>
    </row>
    <row r="338" spans="1:14">
      <c r="A338" s="106" t="s">
        <v>2029</v>
      </c>
      <c r="B338" s="134" t="s">
        <v>2030</v>
      </c>
      <c r="C338" s="90" t="s">
        <v>3920</v>
      </c>
      <c r="D338" s="105" t="s">
        <v>605</v>
      </c>
      <c r="E338" s="106"/>
      <c r="F338" s="106"/>
      <c r="G338" s="106" t="s">
        <v>1583</v>
      </c>
      <c r="H338" s="134" t="s">
        <v>3096</v>
      </c>
      <c r="I338" s="134" t="s">
        <v>3847</v>
      </c>
      <c r="K338" s="106" t="s">
        <v>315</v>
      </c>
      <c r="L338" s="106" t="s">
        <v>1478</v>
      </c>
      <c r="M338" s="106" t="s">
        <v>3921</v>
      </c>
    </row>
    <row r="339" spans="1:14">
      <c r="A339" s="106" t="s">
        <v>2029</v>
      </c>
      <c r="B339" s="134" t="s">
        <v>2031</v>
      </c>
      <c r="C339" s="90" t="s">
        <v>3922</v>
      </c>
      <c r="D339" s="105" t="s">
        <v>605</v>
      </c>
      <c r="E339" s="106"/>
      <c r="F339" s="106"/>
      <c r="G339" s="106" t="s">
        <v>1583</v>
      </c>
      <c r="H339" s="134" t="s">
        <v>3096</v>
      </c>
      <c r="I339" s="134" t="s">
        <v>3847</v>
      </c>
      <c r="K339" s="106" t="s">
        <v>317</v>
      </c>
      <c r="L339" s="106" t="s">
        <v>1479</v>
      </c>
      <c r="M339" s="106" t="s">
        <v>3923</v>
      </c>
    </row>
    <row r="340" spans="1:14">
      <c r="A340" s="106" t="s">
        <v>2029</v>
      </c>
      <c r="B340" s="134" t="s">
        <v>2032</v>
      </c>
      <c r="C340" s="90" t="s">
        <v>3924</v>
      </c>
      <c r="D340" s="105" t="s">
        <v>605</v>
      </c>
      <c r="E340" s="106"/>
      <c r="F340" s="106"/>
      <c r="G340" s="106" t="s">
        <v>1583</v>
      </c>
      <c r="H340" s="134" t="s">
        <v>3096</v>
      </c>
      <c r="I340" s="134" t="s">
        <v>3847</v>
      </c>
      <c r="K340" s="106" t="s">
        <v>317</v>
      </c>
      <c r="L340" s="106" t="s">
        <v>1480</v>
      </c>
      <c r="M340" s="106" t="s">
        <v>3925</v>
      </c>
    </row>
    <row r="341" spans="1:14">
      <c r="A341" s="106" t="s">
        <v>2029</v>
      </c>
      <c r="B341" s="134" t="s">
        <v>2033</v>
      </c>
      <c r="C341" s="90" t="s">
        <v>3926</v>
      </c>
      <c r="D341" s="105" t="s">
        <v>605</v>
      </c>
      <c r="E341" s="106"/>
      <c r="F341" s="106"/>
      <c r="G341" s="106" t="s">
        <v>1583</v>
      </c>
      <c r="H341" s="134" t="s">
        <v>3096</v>
      </c>
      <c r="I341" s="134" t="s">
        <v>3847</v>
      </c>
      <c r="K341" s="106" t="s">
        <v>317</v>
      </c>
      <c r="L341" s="106" t="s">
        <v>1482</v>
      </c>
      <c r="M341" s="106" t="s">
        <v>3927</v>
      </c>
      <c r="N341" s="81" t="s">
        <v>3294</v>
      </c>
    </row>
    <row r="342" ht="17.4" spans="1:14">
      <c r="A342" s="106" t="s">
        <v>2034</v>
      </c>
      <c r="B342" s="134" t="s">
        <v>2035</v>
      </c>
      <c r="C342" s="90" t="s">
        <v>3928</v>
      </c>
      <c r="D342" s="105" t="s">
        <v>605</v>
      </c>
      <c r="E342" s="106"/>
      <c r="F342" s="106"/>
      <c r="G342" s="106" t="s">
        <v>1583</v>
      </c>
      <c r="H342" s="134" t="s">
        <v>3096</v>
      </c>
      <c r="I342" s="134" t="s">
        <v>3847</v>
      </c>
      <c r="K342" s="106" t="s">
        <v>319</v>
      </c>
      <c r="L342" s="106" t="s">
        <v>3013</v>
      </c>
      <c r="M342" s="126" t="s">
        <v>3929</v>
      </c>
    </row>
    <row r="343" spans="1:14">
      <c r="A343" s="106" t="s">
        <v>2034</v>
      </c>
      <c r="B343" s="134" t="s">
        <v>2036</v>
      </c>
      <c r="C343" s="90" t="s">
        <v>3930</v>
      </c>
      <c r="D343" s="105" t="s">
        <v>605</v>
      </c>
      <c r="E343" s="106"/>
      <c r="F343" s="106"/>
      <c r="G343" s="106" t="s">
        <v>1583</v>
      </c>
      <c r="H343" s="134" t="s">
        <v>3096</v>
      </c>
      <c r="I343" s="134" t="s">
        <v>3847</v>
      </c>
      <c r="K343" s="106" t="s">
        <v>319</v>
      </c>
      <c r="L343" s="106" t="s">
        <v>3014</v>
      </c>
      <c r="M343" s="114" t="s">
        <v>3931</v>
      </c>
    </row>
    <row r="344" ht="17.4" spans="1:14">
      <c r="A344" s="106" t="s">
        <v>2037</v>
      </c>
      <c r="B344" s="134" t="s">
        <v>2038</v>
      </c>
      <c r="C344" s="90" t="s">
        <v>3932</v>
      </c>
      <c r="D344" s="105" t="s">
        <v>605</v>
      </c>
      <c r="E344" s="106"/>
      <c r="F344" s="106"/>
      <c r="G344" s="106" t="s">
        <v>1178</v>
      </c>
      <c r="H344" s="134" t="s">
        <v>3096</v>
      </c>
      <c r="I344" s="134" t="s">
        <v>3847</v>
      </c>
      <c r="K344" s="106" t="s">
        <v>319</v>
      </c>
      <c r="L344" s="106" t="s">
        <v>3015</v>
      </c>
      <c r="M344" s="126" t="s">
        <v>3933</v>
      </c>
    </row>
    <row r="345" spans="1:14">
      <c r="A345" s="106" t="s">
        <v>2040</v>
      </c>
      <c r="B345" s="134" t="s">
        <v>2041</v>
      </c>
      <c r="C345" s="106" t="s">
        <v>3934</v>
      </c>
      <c r="D345" s="105" t="s">
        <v>605</v>
      </c>
      <c r="E345" s="106"/>
      <c r="F345" s="106"/>
      <c r="G345" s="106" t="s">
        <v>1178</v>
      </c>
      <c r="H345" s="134" t="s">
        <v>3096</v>
      </c>
      <c r="I345" s="134" t="s">
        <v>3847</v>
      </c>
      <c r="K345" s="106" t="s">
        <v>319</v>
      </c>
      <c r="L345" s="106" t="s">
        <v>3016</v>
      </c>
      <c r="M345" s="114" t="s">
        <v>3935</v>
      </c>
      <c r="N345" s="110" t="s">
        <v>2907</v>
      </c>
    </row>
    <row r="346" ht="17.4" spans="1:14">
      <c r="A346" s="106" t="s">
        <v>2040</v>
      </c>
      <c r="B346" s="134" t="s">
        <v>2042</v>
      </c>
      <c r="C346" s="106" t="s">
        <v>3936</v>
      </c>
      <c r="D346" s="105" t="s">
        <v>605</v>
      </c>
      <c r="E346" s="106"/>
      <c r="F346" s="106"/>
      <c r="G346" s="106" t="s">
        <v>1178</v>
      </c>
      <c r="H346" s="134" t="s">
        <v>3108</v>
      </c>
      <c r="I346" s="134" t="s">
        <v>3847</v>
      </c>
      <c r="K346" s="106" t="s">
        <v>319</v>
      </c>
      <c r="L346" s="106" t="s">
        <v>3017</v>
      </c>
      <c r="M346" s="126" t="s">
        <v>3937</v>
      </c>
    </row>
    <row r="347" spans="1:14">
      <c r="A347" s="106" t="s">
        <v>2040</v>
      </c>
      <c r="B347" s="134" t="s">
        <v>2043</v>
      </c>
      <c r="C347" s="106" t="s">
        <v>3938</v>
      </c>
      <c r="D347" s="105" t="s">
        <v>605</v>
      </c>
      <c r="E347" s="106"/>
      <c r="F347" s="106"/>
      <c r="G347" s="106" t="s">
        <v>1178</v>
      </c>
      <c r="H347" s="134" t="s">
        <v>3108</v>
      </c>
      <c r="I347" s="134" t="s">
        <v>3847</v>
      </c>
      <c r="K347" s="106" t="s">
        <v>319</v>
      </c>
      <c r="L347" s="106" t="s">
        <v>3018</v>
      </c>
      <c r="M347" s="114" t="s">
        <v>3939</v>
      </c>
      <c r="N347" s="110" t="s">
        <v>2907</v>
      </c>
    </row>
    <row r="348" spans="1:14">
      <c r="A348" s="106" t="s">
        <v>2040</v>
      </c>
      <c r="B348" s="134" t="s">
        <v>2044</v>
      </c>
      <c r="C348" s="106" t="s">
        <v>3940</v>
      </c>
      <c r="D348" s="105" t="s">
        <v>605</v>
      </c>
      <c r="E348" s="106"/>
      <c r="F348" s="106"/>
      <c r="G348" s="106" t="s">
        <v>1178</v>
      </c>
      <c r="H348" s="134" t="s">
        <v>3108</v>
      </c>
      <c r="I348" s="134" t="s">
        <v>3847</v>
      </c>
      <c r="K348" s="106" t="s">
        <v>319</v>
      </c>
      <c r="L348" s="106" t="s">
        <v>1486</v>
      </c>
      <c r="M348" s="106" t="s">
        <v>3941</v>
      </c>
      <c r="N348" s="81" t="s">
        <v>3402</v>
      </c>
    </row>
    <row r="349" spans="1:14">
      <c r="A349" s="106" t="s">
        <v>2040</v>
      </c>
      <c r="B349" s="134" t="s">
        <v>2045</v>
      </c>
      <c r="C349" s="106" t="s">
        <v>3942</v>
      </c>
      <c r="D349" s="105" t="s">
        <v>605</v>
      </c>
      <c r="E349" s="106"/>
      <c r="F349" s="106"/>
      <c r="G349" s="106" t="s">
        <v>1178</v>
      </c>
      <c r="H349" s="134" t="s">
        <v>3108</v>
      </c>
      <c r="I349" s="134" t="s">
        <v>3847</v>
      </c>
      <c r="K349" s="106" t="s">
        <v>321</v>
      </c>
      <c r="L349" s="106" t="s">
        <v>1487</v>
      </c>
      <c r="M349" s="106" t="s">
        <v>3400</v>
      </c>
      <c r="N349" s="110" t="s">
        <v>2907</v>
      </c>
    </row>
    <row r="350" spans="1:14">
      <c r="A350" s="134" t="s">
        <v>922</v>
      </c>
      <c r="B350" s="134" t="s">
        <v>1042</v>
      </c>
      <c r="C350" s="134" t="s">
        <v>3943</v>
      </c>
      <c r="D350" s="134" t="s">
        <v>577</v>
      </c>
      <c r="E350" s="134" t="s">
        <v>3944</v>
      </c>
      <c r="F350" s="134" t="s">
        <v>3551</v>
      </c>
      <c r="G350" s="134" t="s">
        <v>1176</v>
      </c>
      <c r="H350" s="134" t="s">
        <v>3108</v>
      </c>
      <c r="I350" s="134" t="s">
        <v>3945</v>
      </c>
      <c r="K350" s="106" t="s">
        <v>321</v>
      </c>
      <c r="L350" s="106" t="s">
        <v>1488</v>
      </c>
      <c r="M350" s="106" t="s">
        <v>3946</v>
      </c>
    </row>
    <row r="351" spans="1:14">
      <c r="K351" s="137" t="s">
        <v>1074</v>
      </c>
      <c r="L351" s="106" t="s">
        <v>1489</v>
      </c>
      <c r="M351" s="106" t="s">
        <v>3947</v>
      </c>
    </row>
    <row r="352" spans="1:14">
      <c r="K352" s="137" t="s">
        <v>1074</v>
      </c>
      <c r="L352" s="106" t="s">
        <v>1490</v>
      </c>
      <c r="M352" s="106" t="s">
        <v>3948</v>
      </c>
    </row>
    <row r="353" spans="11:14">
      <c r="K353" s="106" t="s">
        <v>323</v>
      </c>
      <c r="L353" s="106" t="s">
        <v>1491</v>
      </c>
      <c r="M353" s="106" t="s">
        <v>3949</v>
      </c>
      <c r="N353" s="81" t="s">
        <v>3950</v>
      </c>
    </row>
    <row r="354" spans="11:14">
      <c r="K354" s="106" t="s">
        <v>323</v>
      </c>
      <c r="L354" s="106" t="s">
        <v>1492</v>
      </c>
      <c r="M354" s="106" t="s">
        <v>3951</v>
      </c>
      <c r="N354" s="81" t="s">
        <v>3950</v>
      </c>
    </row>
    <row r="355" spans="11:14">
      <c r="K355" s="106" t="s">
        <v>323</v>
      </c>
      <c r="L355" s="106" t="s">
        <v>3019</v>
      </c>
      <c r="M355" s="106" t="s">
        <v>3952</v>
      </c>
    </row>
    <row r="356" spans="11:14">
      <c r="K356" s="106" t="s">
        <v>323</v>
      </c>
      <c r="L356" s="106" t="s">
        <v>1493</v>
      </c>
      <c r="M356" s="106" t="s">
        <v>3953</v>
      </c>
    </row>
    <row r="357" spans="11:14">
      <c r="K357" s="112" t="s">
        <v>323</v>
      </c>
      <c r="L357" s="112" t="s">
        <v>3020</v>
      </c>
      <c r="M357" s="112" t="s">
        <v>3954</v>
      </c>
    </row>
    <row r="358" spans="11:14">
      <c r="K358" s="106" t="s">
        <v>323</v>
      </c>
      <c r="L358" s="106" t="s">
        <v>1494</v>
      </c>
      <c r="M358" s="106" t="s">
        <v>3955</v>
      </c>
    </row>
    <row r="359" spans="11:14">
      <c r="K359" s="106" t="s">
        <v>325</v>
      </c>
      <c r="L359" s="106" t="s">
        <v>1495</v>
      </c>
      <c r="M359" s="106" t="s">
        <v>3956</v>
      </c>
      <c r="N359" s="81" t="s">
        <v>2937</v>
      </c>
    </row>
    <row r="360" spans="11:14">
      <c r="K360" s="106" t="s">
        <v>325</v>
      </c>
      <c r="L360" s="106" t="s">
        <v>1496</v>
      </c>
      <c r="M360" s="106" t="s">
        <v>3957</v>
      </c>
    </row>
    <row r="361" spans="11:14">
      <c r="K361" s="106" t="s">
        <v>327</v>
      </c>
      <c r="L361" s="106" t="s">
        <v>1497</v>
      </c>
      <c r="M361" s="106" t="s">
        <v>3958</v>
      </c>
    </row>
    <row r="362" spans="11:14">
      <c r="K362" s="106" t="s">
        <v>327</v>
      </c>
      <c r="L362" s="106" t="s">
        <v>1498</v>
      </c>
      <c r="M362" s="106" t="s">
        <v>3959</v>
      </c>
    </row>
    <row r="363" spans="11:14">
      <c r="K363" s="106" t="s">
        <v>327</v>
      </c>
      <c r="L363" s="106" t="s">
        <v>1499</v>
      </c>
      <c r="M363" s="106" t="s">
        <v>3960</v>
      </c>
    </row>
    <row r="364" spans="11:14">
      <c r="K364" s="106" t="s">
        <v>327</v>
      </c>
      <c r="L364" s="106" t="s">
        <v>1500</v>
      </c>
      <c r="M364" s="106" t="s">
        <v>3961</v>
      </c>
    </row>
    <row r="365" spans="11:14">
      <c r="K365" s="112" t="s">
        <v>327</v>
      </c>
      <c r="L365" s="112" t="s">
        <v>3021</v>
      </c>
      <c r="M365" s="112" t="s">
        <v>3962</v>
      </c>
    </row>
    <row r="366" spans="11:14">
      <c r="K366" s="106" t="s">
        <v>327</v>
      </c>
      <c r="L366" s="106" t="s">
        <v>1501</v>
      </c>
      <c r="M366" s="106" t="s">
        <v>3963</v>
      </c>
    </row>
    <row r="367" spans="11:14">
      <c r="K367" s="112" t="s">
        <v>329</v>
      </c>
      <c r="L367" s="112" t="s">
        <v>3022</v>
      </c>
      <c r="M367" s="112" t="s">
        <v>3964</v>
      </c>
      <c r="N367" s="81" t="s">
        <v>2937</v>
      </c>
    </row>
    <row r="368" spans="11:14">
      <c r="K368" s="112" t="s">
        <v>329</v>
      </c>
      <c r="L368" s="112" t="s">
        <v>3023</v>
      </c>
      <c r="M368" s="112" t="s">
        <v>3965</v>
      </c>
    </row>
    <row r="369" spans="11:14">
      <c r="K369" s="112" t="s">
        <v>329</v>
      </c>
      <c r="L369" s="112" t="s">
        <v>3024</v>
      </c>
      <c r="M369" s="112" t="s">
        <v>3966</v>
      </c>
      <c r="N369" s="81" t="s">
        <v>3236</v>
      </c>
    </row>
    <row r="370" spans="11:14">
      <c r="K370" s="112" t="s">
        <v>329</v>
      </c>
      <c r="L370" s="112" t="s">
        <v>3025</v>
      </c>
      <c r="M370" s="112" t="s">
        <v>3967</v>
      </c>
      <c r="N370" s="81" t="s">
        <v>3236</v>
      </c>
    </row>
    <row r="371" spans="11:14">
      <c r="K371" s="112" t="s">
        <v>329</v>
      </c>
      <c r="L371" s="112" t="s">
        <v>3026</v>
      </c>
      <c r="M371" s="112" t="s">
        <v>3968</v>
      </c>
      <c r="N371" s="81" t="s">
        <v>3236</v>
      </c>
    </row>
    <row r="372" spans="11:14">
      <c r="K372" s="112" t="s">
        <v>329</v>
      </c>
      <c r="L372" s="112" t="s">
        <v>3027</v>
      </c>
      <c r="M372" s="112" t="s">
        <v>3969</v>
      </c>
      <c r="N372" s="81" t="s">
        <v>3236</v>
      </c>
    </row>
    <row r="373" spans="11:14">
      <c r="K373" s="106" t="s">
        <v>331</v>
      </c>
      <c r="L373" s="106" t="s">
        <v>3031</v>
      </c>
      <c r="M373" s="106" t="s">
        <v>3970</v>
      </c>
      <c r="N373" s="81" t="s">
        <v>3236</v>
      </c>
    </row>
    <row r="374" spans="11:14">
      <c r="K374" s="106" t="s">
        <v>331</v>
      </c>
      <c r="L374" s="106" t="s">
        <v>3032</v>
      </c>
      <c r="M374" s="106" t="s">
        <v>3971</v>
      </c>
      <c r="N374" s="81" t="s">
        <v>3294</v>
      </c>
    </row>
    <row r="375" spans="11:14">
      <c r="K375" s="106" t="s">
        <v>331</v>
      </c>
      <c r="L375" s="106" t="s">
        <v>3033</v>
      </c>
      <c r="M375" s="106" t="s">
        <v>3972</v>
      </c>
      <c r="N375" s="81" t="s">
        <v>3294</v>
      </c>
    </row>
    <row r="376" spans="11:14">
      <c r="K376" s="106" t="s">
        <v>331</v>
      </c>
      <c r="L376" s="106" t="s">
        <v>3034</v>
      </c>
      <c r="M376" s="106" t="s">
        <v>3973</v>
      </c>
      <c r="N376" s="81" t="s">
        <v>3294</v>
      </c>
    </row>
    <row r="377" spans="11:14">
      <c r="K377" s="106" t="s">
        <v>331</v>
      </c>
      <c r="L377" s="106" t="s">
        <v>3035</v>
      </c>
      <c r="M377" s="106" t="s">
        <v>3974</v>
      </c>
      <c r="N377" s="81" t="s">
        <v>3294</v>
      </c>
    </row>
    <row r="378" spans="11:14">
      <c r="K378" s="106" t="s">
        <v>331</v>
      </c>
      <c r="L378" s="106" t="s">
        <v>3036</v>
      </c>
      <c r="M378" s="106" t="s">
        <v>3975</v>
      </c>
      <c r="N378" s="81" t="s">
        <v>3294</v>
      </c>
    </row>
    <row r="379" spans="11:14">
      <c r="K379" s="112" t="s">
        <v>333</v>
      </c>
      <c r="L379" s="112" t="s">
        <v>3040</v>
      </c>
      <c r="M379" s="112" t="s">
        <v>3976</v>
      </c>
      <c r="N379" s="81" t="s">
        <v>3294</v>
      </c>
    </row>
    <row r="380" spans="11:14">
      <c r="K380" s="112" t="s">
        <v>333</v>
      </c>
      <c r="L380" s="112" t="s">
        <v>3041</v>
      </c>
      <c r="M380" s="112" t="s">
        <v>3977</v>
      </c>
      <c r="N380" s="81" t="s">
        <v>3294</v>
      </c>
    </row>
    <row r="381" spans="11:14">
      <c r="K381" s="112" t="s">
        <v>333</v>
      </c>
      <c r="L381" s="112" t="s">
        <v>3042</v>
      </c>
      <c r="M381" s="112" t="s">
        <v>3978</v>
      </c>
      <c r="N381" s="81" t="s">
        <v>2937</v>
      </c>
    </row>
    <row r="382" spans="11:14">
      <c r="K382" s="112" t="s">
        <v>333</v>
      </c>
      <c r="L382" s="112" t="s">
        <v>3043</v>
      </c>
      <c r="M382" s="112" t="s">
        <v>3979</v>
      </c>
      <c r="N382" s="81" t="s">
        <v>2937</v>
      </c>
    </row>
    <row r="383" spans="11:14">
      <c r="K383" s="112" t="s">
        <v>333</v>
      </c>
      <c r="L383" s="112" t="s">
        <v>3044</v>
      </c>
      <c r="M383" s="112" t="s">
        <v>3980</v>
      </c>
      <c r="N383" s="81" t="s">
        <v>2937</v>
      </c>
    </row>
    <row r="384" spans="11:14">
      <c r="K384" s="112" t="s">
        <v>333</v>
      </c>
      <c r="L384" s="112" t="s">
        <v>3045</v>
      </c>
      <c r="M384" s="112" t="s">
        <v>3981</v>
      </c>
      <c r="N384" s="81" t="s">
        <v>2937</v>
      </c>
    </row>
    <row r="385" spans="11:14">
      <c r="K385" s="112" t="s">
        <v>335</v>
      </c>
      <c r="L385" s="112" t="s">
        <v>3046</v>
      </c>
      <c r="M385" s="114" t="s">
        <v>3982</v>
      </c>
      <c r="N385" s="81" t="s">
        <v>2937</v>
      </c>
    </row>
    <row r="386" spans="11:14">
      <c r="K386" s="106" t="s">
        <v>335</v>
      </c>
      <c r="L386" s="106" t="s">
        <v>1520</v>
      </c>
      <c r="M386" s="106" t="s">
        <v>3983</v>
      </c>
      <c r="N386" s="81" t="s">
        <v>2937</v>
      </c>
    </row>
    <row r="387" spans="11:14">
      <c r="K387" s="106" t="s">
        <v>335</v>
      </c>
      <c r="L387" s="106" t="s">
        <v>1521</v>
      </c>
      <c r="M387" s="138" t="s">
        <v>3984</v>
      </c>
      <c r="N387" s="110" t="s">
        <v>2907</v>
      </c>
    </row>
    <row r="388" spans="11:14">
      <c r="K388" s="106" t="s">
        <v>335</v>
      </c>
      <c r="L388" s="106" t="s">
        <v>1522</v>
      </c>
      <c r="M388" s="106" t="s">
        <v>3985</v>
      </c>
    </row>
    <row r="389" spans="11:14">
      <c r="K389" s="106" t="s">
        <v>335</v>
      </c>
      <c r="L389" s="106" t="s">
        <v>1523</v>
      </c>
      <c r="M389" s="106" t="s">
        <v>3986</v>
      </c>
    </row>
    <row r="390" spans="11:14">
      <c r="K390" s="106" t="s">
        <v>335</v>
      </c>
      <c r="L390" s="106" t="s">
        <v>1524</v>
      </c>
      <c r="M390" s="106" t="s">
        <v>3987</v>
      </c>
    </row>
    <row r="391" spans="11:14">
      <c r="K391" s="106" t="s">
        <v>335</v>
      </c>
      <c r="L391" s="106" t="s">
        <v>1525</v>
      </c>
      <c r="M391" s="106" t="s">
        <v>3988</v>
      </c>
      <c r="N391" s="81" t="s">
        <v>3294</v>
      </c>
    </row>
    <row r="392" spans="11:14">
      <c r="K392" s="106" t="s">
        <v>337</v>
      </c>
      <c r="L392" s="106" t="s">
        <v>1526</v>
      </c>
      <c r="M392" s="106" t="s">
        <v>3989</v>
      </c>
    </row>
    <row r="393" spans="11:14">
      <c r="K393" s="112" t="s">
        <v>337</v>
      </c>
      <c r="L393" s="112" t="s">
        <v>3048</v>
      </c>
      <c r="M393" s="112" t="s">
        <v>3802</v>
      </c>
      <c r="N393" s="81" t="s">
        <v>3294</v>
      </c>
    </row>
    <row r="394" spans="11:14">
      <c r="K394" s="112" t="s">
        <v>337</v>
      </c>
      <c r="L394" s="112" t="s">
        <v>3049</v>
      </c>
      <c r="M394" s="112" t="s">
        <v>3990</v>
      </c>
    </row>
    <row r="395" spans="11:14">
      <c r="K395" s="112" t="s">
        <v>337</v>
      </c>
      <c r="L395" s="112" t="s">
        <v>3050</v>
      </c>
      <c r="M395" s="112" t="s">
        <v>3991</v>
      </c>
      <c r="N395" s="81" t="s">
        <v>2897</v>
      </c>
    </row>
    <row r="396" spans="11:14">
      <c r="K396" s="106" t="s">
        <v>337</v>
      </c>
      <c r="L396" s="106" t="s">
        <v>1527</v>
      </c>
      <c r="M396" s="106" t="s">
        <v>3992</v>
      </c>
      <c r="N396" s="81" t="s">
        <v>2897</v>
      </c>
    </row>
    <row r="397" spans="11:14">
      <c r="K397" s="112" t="s">
        <v>337</v>
      </c>
      <c r="L397" s="112" t="s">
        <v>3051</v>
      </c>
      <c r="M397" s="114" t="s">
        <v>3993</v>
      </c>
      <c r="N397" s="81" t="s">
        <v>2897</v>
      </c>
    </row>
    <row r="398" spans="11:14">
      <c r="K398" s="106" t="s">
        <v>337</v>
      </c>
      <c r="L398" s="106" t="s">
        <v>1528</v>
      </c>
      <c r="M398" s="106" t="s">
        <v>3994</v>
      </c>
      <c r="N398" s="81" t="s">
        <v>3294</v>
      </c>
    </row>
    <row r="399" spans="11:14">
      <c r="K399" s="106" t="s">
        <v>337</v>
      </c>
      <c r="L399" s="106" t="s">
        <v>1529</v>
      </c>
      <c r="M399" s="138" t="s">
        <v>3995</v>
      </c>
      <c r="N399" s="110" t="s">
        <v>2907</v>
      </c>
    </row>
    <row r="400" spans="11:14">
      <c r="K400" s="106" t="s">
        <v>337</v>
      </c>
      <c r="L400" s="106" t="s">
        <v>1530</v>
      </c>
      <c r="M400" s="106" t="s">
        <v>3996</v>
      </c>
    </row>
    <row r="401" spans="11:14">
      <c r="K401" s="106" t="s">
        <v>337</v>
      </c>
      <c r="L401" s="106" t="s">
        <v>1531</v>
      </c>
      <c r="M401" s="106" t="s">
        <v>3997</v>
      </c>
    </row>
    <row r="402" spans="11:14">
      <c r="K402" s="106" t="s">
        <v>337</v>
      </c>
      <c r="L402" s="106" t="s">
        <v>1532</v>
      </c>
      <c r="M402" s="106" t="s">
        <v>3998</v>
      </c>
    </row>
    <row r="403" spans="11:14">
      <c r="K403" s="106" t="s">
        <v>337</v>
      </c>
      <c r="L403" s="106" t="s">
        <v>1533</v>
      </c>
      <c r="M403" s="106" t="s">
        <v>3999</v>
      </c>
      <c r="N403" s="81" t="s">
        <v>3294</v>
      </c>
    </row>
    <row r="404" spans="11:14">
      <c r="K404" s="112" t="s">
        <v>339</v>
      </c>
      <c r="L404" s="112" t="s">
        <v>3052</v>
      </c>
      <c r="M404" s="114" t="s">
        <v>4000</v>
      </c>
    </row>
    <row r="405" spans="11:14">
      <c r="K405" s="106" t="s">
        <v>339</v>
      </c>
      <c r="L405" s="106" t="s">
        <v>1534</v>
      </c>
      <c r="M405" s="106" t="s">
        <v>4001</v>
      </c>
      <c r="N405" s="81" t="s">
        <v>3294</v>
      </c>
    </row>
    <row r="406" spans="11:14">
      <c r="K406" s="106" t="s">
        <v>339</v>
      </c>
      <c r="L406" s="106" t="s">
        <v>1535</v>
      </c>
      <c r="M406" s="138" t="s">
        <v>4002</v>
      </c>
      <c r="N406" s="110" t="s">
        <v>2907</v>
      </c>
    </row>
    <row r="407" spans="11:14">
      <c r="K407" s="106" t="s">
        <v>339</v>
      </c>
      <c r="L407" s="106" t="s">
        <v>1536</v>
      </c>
      <c r="M407" s="106" t="s">
        <v>4003</v>
      </c>
    </row>
    <row r="408" spans="11:14">
      <c r="K408" s="106" t="s">
        <v>339</v>
      </c>
      <c r="L408" s="106" t="s">
        <v>3053</v>
      </c>
      <c r="M408" s="106" t="s">
        <v>4004</v>
      </c>
    </row>
    <row r="409" spans="11:14">
      <c r="K409" s="106" t="s">
        <v>339</v>
      </c>
      <c r="L409" s="106" t="s">
        <v>1538</v>
      </c>
      <c r="M409" s="106" t="s">
        <v>4005</v>
      </c>
    </row>
    <row r="410" spans="11:14">
      <c r="K410" s="106" t="s">
        <v>339</v>
      </c>
      <c r="L410" s="106" t="s">
        <v>1539</v>
      </c>
      <c r="M410" s="106" t="s">
        <v>4006</v>
      </c>
    </row>
    <row r="411" spans="11:14">
      <c r="K411" s="106" t="s">
        <v>339</v>
      </c>
      <c r="L411" s="106" t="s">
        <v>3054</v>
      </c>
      <c r="M411" s="106" t="s">
        <v>4007</v>
      </c>
      <c r="N411" s="81" t="s">
        <v>3294</v>
      </c>
    </row>
    <row r="412" spans="11:14">
      <c r="K412" s="106" t="s">
        <v>339</v>
      </c>
      <c r="L412" s="106" t="s">
        <v>3055</v>
      </c>
      <c r="M412" s="106" t="s">
        <v>4008</v>
      </c>
    </row>
    <row r="413" spans="11:14">
      <c r="K413" s="106" t="s">
        <v>341</v>
      </c>
      <c r="L413" s="106" t="s">
        <v>1541</v>
      </c>
      <c r="M413" s="106" t="s">
        <v>4009</v>
      </c>
      <c r="N413" s="81" t="s">
        <v>3294</v>
      </c>
    </row>
    <row r="414" spans="11:14">
      <c r="K414" s="106" t="s">
        <v>341</v>
      </c>
      <c r="L414" s="106" t="s">
        <v>1542</v>
      </c>
      <c r="M414" s="106" t="s">
        <v>4010</v>
      </c>
      <c r="N414" s="81" t="s">
        <v>3294</v>
      </c>
    </row>
    <row r="415" spans="11:14">
      <c r="K415" s="106" t="s">
        <v>341</v>
      </c>
      <c r="L415" s="106" t="s">
        <v>1543</v>
      </c>
      <c r="M415" s="106" t="s">
        <v>4011</v>
      </c>
    </row>
    <row r="416" spans="11:14">
      <c r="K416" s="106" t="s">
        <v>341</v>
      </c>
      <c r="L416" s="106" t="s">
        <v>1544</v>
      </c>
      <c r="M416" s="106" t="s">
        <v>4012</v>
      </c>
      <c r="N416" s="81" t="s">
        <v>3294</v>
      </c>
    </row>
    <row r="417" spans="11:14">
      <c r="K417" s="106" t="s">
        <v>341</v>
      </c>
      <c r="L417" s="106" t="s">
        <v>1545</v>
      </c>
      <c r="M417" s="106" t="s">
        <v>4013</v>
      </c>
    </row>
    <row r="418" spans="11:14">
      <c r="K418" s="106" t="s">
        <v>341</v>
      </c>
      <c r="L418" s="106" t="s">
        <v>1546</v>
      </c>
      <c r="M418" s="106" t="s">
        <v>4014</v>
      </c>
      <c r="N418" s="81" t="s">
        <v>3294</v>
      </c>
    </row>
    <row r="419" spans="11:14">
      <c r="K419" s="106" t="s">
        <v>341</v>
      </c>
      <c r="L419" s="106" t="s">
        <v>1547</v>
      </c>
      <c r="M419" s="106" t="s">
        <v>4015</v>
      </c>
    </row>
    <row r="420" spans="11:14">
      <c r="K420" s="106" t="s">
        <v>341</v>
      </c>
      <c r="L420" s="106" t="s">
        <v>1548</v>
      </c>
      <c r="M420" s="106" t="s">
        <v>4016</v>
      </c>
    </row>
    <row r="421" spans="11:14">
      <c r="K421" s="106" t="s">
        <v>341</v>
      </c>
      <c r="L421" s="106" t="s">
        <v>3056</v>
      </c>
      <c r="M421" s="106" t="s">
        <v>4017</v>
      </c>
    </row>
    <row r="422" spans="11:14">
      <c r="K422" s="106" t="s">
        <v>341</v>
      </c>
      <c r="L422" s="106" t="s">
        <v>3057</v>
      </c>
      <c r="M422" s="106" t="s">
        <v>4018</v>
      </c>
    </row>
    <row r="423" spans="11:14">
      <c r="K423" s="106" t="s">
        <v>343</v>
      </c>
      <c r="L423" s="106" t="s">
        <v>1549</v>
      </c>
      <c r="M423" s="106" t="s">
        <v>4019</v>
      </c>
    </row>
    <row r="424" spans="11:14">
      <c r="K424" s="106" t="s">
        <v>343</v>
      </c>
      <c r="L424" s="106" t="s">
        <v>1551</v>
      </c>
      <c r="M424" s="106" t="s">
        <v>4020</v>
      </c>
    </row>
    <row r="425" spans="11:14">
      <c r="K425" s="106" t="s">
        <v>343</v>
      </c>
      <c r="L425" s="106" t="s">
        <v>1553</v>
      </c>
      <c r="M425" s="106" t="s">
        <v>4021</v>
      </c>
    </row>
    <row r="426" spans="11:14">
      <c r="K426" s="106" t="s">
        <v>345</v>
      </c>
      <c r="L426" s="106" t="s">
        <v>1559</v>
      </c>
      <c r="M426" s="106" t="s">
        <v>4022</v>
      </c>
    </row>
    <row r="427" spans="11:14">
      <c r="K427" s="106" t="s">
        <v>345</v>
      </c>
      <c r="L427" s="106" t="s">
        <v>1560</v>
      </c>
      <c r="M427" s="106" t="s">
        <v>4023</v>
      </c>
    </row>
    <row r="428" spans="11:14">
      <c r="K428" s="112" t="s">
        <v>347</v>
      </c>
      <c r="L428" s="112" t="s">
        <v>4024</v>
      </c>
      <c r="M428" s="112" t="s">
        <v>348</v>
      </c>
    </row>
    <row r="429" spans="11:14">
      <c r="K429" s="112" t="s">
        <v>349</v>
      </c>
      <c r="L429" s="112" t="s">
        <v>4025</v>
      </c>
      <c r="M429" s="112" t="s">
        <v>4026</v>
      </c>
    </row>
    <row r="430" spans="11:14">
      <c r="K430" s="112" t="s">
        <v>349</v>
      </c>
      <c r="L430" s="112" t="s">
        <v>4027</v>
      </c>
      <c r="M430" s="112" t="s">
        <v>4028</v>
      </c>
      <c r="N430" s="81" t="s">
        <v>2897</v>
      </c>
    </row>
    <row r="431" spans="11:14">
      <c r="K431" s="112" t="s">
        <v>349</v>
      </c>
      <c r="L431" s="112" t="s">
        <v>4029</v>
      </c>
      <c r="M431" s="112" t="s">
        <v>4030</v>
      </c>
      <c r="N431" s="81" t="s">
        <v>2897</v>
      </c>
    </row>
    <row r="432" spans="11:14">
      <c r="K432" s="112" t="s">
        <v>349</v>
      </c>
      <c r="L432" s="112" t="s">
        <v>4031</v>
      </c>
      <c r="M432" s="112" t="s">
        <v>4032</v>
      </c>
      <c r="N432" s="81" t="s">
        <v>2897</v>
      </c>
    </row>
    <row r="433" spans="11:14">
      <c r="K433" s="112" t="s">
        <v>349</v>
      </c>
      <c r="L433" s="112" t="s">
        <v>4033</v>
      </c>
      <c r="M433" s="112" t="s">
        <v>4034</v>
      </c>
      <c r="N433" s="81" t="s">
        <v>2897</v>
      </c>
    </row>
    <row r="434" spans="11:14">
      <c r="K434" s="112" t="s">
        <v>351</v>
      </c>
      <c r="L434" s="112" t="s">
        <v>4035</v>
      </c>
      <c r="M434" s="112" t="s">
        <v>4036</v>
      </c>
      <c r="N434" s="81" t="s">
        <v>2897</v>
      </c>
    </row>
    <row r="435" spans="11:14">
      <c r="K435" s="112" t="s">
        <v>351</v>
      </c>
      <c r="L435" s="112" t="s">
        <v>4037</v>
      </c>
      <c r="M435" s="112" t="s">
        <v>4038</v>
      </c>
      <c r="N435" s="81" t="s">
        <v>2897</v>
      </c>
    </row>
    <row r="436" spans="11:14">
      <c r="K436" s="112" t="s">
        <v>351</v>
      </c>
      <c r="L436" s="112" t="s">
        <v>4039</v>
      </c>
      <c r="M436" s="112" t="s">
        <v>4040</v>
      </c>
      <c r="N436" s="81" t="s">
        <v>2897</v>
      </c>
    </row>
    <row r="437" spans="11:14">
      <c r="K437" s="112" t="s">
        <v>351</v>
      </c>
      <c r="L437" s="112" t="s">
        <v>4041</v>
      </c>
      <c r="M437" s="112" t="s">
        <v>4042</v>
      </c>
      <c r="N437" s="81" t="s">
        <v>2897</v>
      </c>
    </row>
    <row r="438" spans="11:14">
      <c r="K438" s="112" t="s">
        <v>351</v>
      </c>
      <c r="L438" s="112" t="s">
        <v>4043</v>
      </c>
      <c r="M438" s="112" t="s">
        <v>4044</v>
      </c>
      <c r="N438" s="81" t="s">
        <v>2897</v>
      </c>
    </row>
    <row r="439" spans="11:14">
      <c r="K439" s="112" t="s">
        <v>351</v>
      </c>
      <c r="L439" s="112" t="s">
        <v>4045</v>
      </c>
      <c r="M439" s="112" t="s">
        <v>4046</v>
      </c>
      <c r="N439" s="81" t="s">
        <v>2897</v>
      </c>
    </row>
    <row r="440" spans="11:14">
      <c r="K440" s="112" t="s">
        <v>351</v>
      </c>
      <c r="L440" s="112" t="s">
        <v>4047</v>
      </c>
      <c r="M440" s="112" t="s">
        <v>4048</v>
      </c>
      <c r="N440" s="81" t="s">
        <v>2897</v>
      </c>
    </row>
    <row r="441" spans="11:14">
      <c r="K441" s="112" t="s">
        <v>351</v>
      </c>
      <c r="L441" s="112" t="s">
        <v>4049</v>
      </c>
      <c r="M441" s="112" t="s">
        <v>4050</v>
      </c>
      <c r="N441" s="81" t="s">
        <v>2897</v>
      </c>
    </row>
    <row r="442" spans="11:14">
      <c r="K442" s="112" t="s">
        <v>351</v>
      </c>
      <c r="L442" s="112" t="s">
        <v>4051</v>
      </c>
      <c r="M442" s="112" t="s">
        <v>4052</v>
      </c>
      <c r="N442" s="81" t="s">
        <v>2897</v>
      </c>
    </row>
    <row r="443" spans="11:14">
      <c r="K443" s="112" t="s">
        <v>351</v>
      </c>
      <c r="L443" s="112" t="s">
        <v>4053</v>
      </c>
      <c r="M443" s="112" t="s">
        <v>4054</v>
      </c>
      <c r="N443" s="81" t="s">
        <v>2897</v>
      </c>
    </row>
    <row r="444" spans="11:14">
      <c r="K444" s="112" t="s">
        <v>351</v>
      </c>
      <c r="L444" s="112" t="s">
        <v>4055</v>
      </c>
      <c r="M444" s="112" t="s">
        <v>4056</v>
      </c>
      <c r="N444" s="81" t="s">
        <v>2897</v>
      </c>
    </row>
    <row r="445" spans="11:14">
      <c r="K445" s="112" t="s">
        <v>351</v>
      </c>
      <c r="L445" s="112" t="s">
        <v>4057</v>
      </c>
      <c r="M445" s="112" t="s">
        <v>4058</v>
      </c>
      <c r="N445" s="81" t="s">
        <v>2897</v>
      </c>
    </row>
    <row r="446" spans="11:14">
      <c r="K446" s="106" t="s">
        <v>353</v>
      </c>
      <c r="L446" s="106" t="s">
        <v>1605</v>
      </c>
      <c r="M446" s="106" t="s">
        <v>4059</v>
      </c>
      <c r="N446" s="81" t="s">
        <v>2897</v>
      </c>
    </row>
    <row r="447" spans="11:14">
      <c r="K447" s="106" t="s">
        <v>353</v>
      </c>
      <c r="L447" s="106" t="s">
        <v>1606</v>
      </c>
      <c r="M447" s="106" t="s">
        <v>4060</v>
      </c>
      <c r="N447" s="81" t="s">
        <v>2897</v>
      </c>
    </row>
    <row r="448" spans="11:14">
      <c r="K448" s="106" t="s">
        <v>355</v>
      </c>
      <c r="L448" s="106" t="s">
        <v>1611</v>
      </c>
      <c r="M448" s="106" t="s">
        <v>4061</v>
      </c>
      <c r="N448" s="81" t="s">
        <v>3402</v>
      </c>
    </row>
    <row r="449" spans="11:14">
      <c r="K449" s="106" t="s">
        <v>355</v>
      </c>
      <c r="L449" s="106" t="s">
        <v>1612</v>
      </c>
      <c r="M449" s="106" t="s">
        <v>4062</v>
      </c>
      <c r="N449" s="81" t="s">
        <v>3402</v>
      </c>
    </row>
    <row r="450" spans="11:14">
      <c r="K450" s="106" t="s">
        <v>357</v>
      </c>
      <c r="L450" s="106" t="s">
        <v>1613</v>
      </c>
      <c r="M450" s="106" t="s">
        <v>4063</v>
      </c>
    </row>
    <row r="451" spans="11:14">
      <c r="K451" s="106" t="s">
        <v>357</v>
      </c>
      <c r="L451" s="106" t="s">
        <v>1614</v>
      </c>
      <c r="M451" s="106" t="s">
        <v>4064</v>
      </c>
    </row>
    <row r="452" spans="11:14">
      <c r="K452" s="106" t="s">
        <v>359</v>
      </c>
      <c r="L452" s="106" t="s">
        <v>1615</v>
      </c>
      <c r="M452" s="106" t="s">
        <v>4065</v>
      </c>
    </row>
    <row r="453" spans="11:14">
      <c r="K453" s="106" t="s">
        <v>359</v>
      </c>
      <c r="L453" s="106" t="s">
        <v>1616</v>
      </c>
      <c r="M453" s="106" t="s">
        <v>4066</v>
      </c>
    </row>
    <row r="454" spans="11:14">
      <c r="K454" s="106" t="s">
        <v>359</v>
      </c>
      <c r="L454" s="106" t="s">
        <v>1617</v>
      </c>
      <c r="M454" s="106" t="s">
        <v>4067</v>
      </c>
    </row>
    <row r="455" spans="11:14">
      <c r="K455" s="106" t="s">
        <v>359</v>
      </c>
      <c r="L455" s="106" t="s">
        <v>1618</v>
      </c>
      <c r="M455" s="106" t="s">
        <v>4068</v>
      </c>
    </row>
    <row r="456" spans="11:14">
      <c r="K456" s="106" t="s">
        <v>359</v>
      </c>
      <c r="L456" s="106" t="s">
        <v>1619</v>
      </c>
      <c r="M456" s="106" t="s">
        <v>4069</v>
      </c>
    </row>
    <row r="457" spans="11:14">
      <c r="K457" s="106" t="s">
        <v>361</v>
      </c>
      <c r="L457" s="106" t="s">
        <v>1620</v>
      </c>
      <c r="M457" s="106" t="s">
        <v>4070</v>
      </c>
    </row>
    <row r="458" spans="11:14">
      <c r="K458" s="106" t="s">
        <v>361</v>
      </c>
      <c r="L458" s="106" t="s">
        <v>1621</v>
      </c>
      <c r="M458" s="106" t="s">
        <v>4071</v>
      </c>
    </row>
    <row r="459" spans="11:14">
      <c r="K459" s="106" t="s">
        <v>363</v>
      </c>
      <c r="L459" s="106" t="s">
        <v>1635</v>
      </c>
      <c r="M459" s="106" t="s">
        <v>364</v>
      </c>
    </row>
    <row r="460" spans="11:14">
      <c r="K460" s="106" t="s">
        <v>365</v>
      </c>
      <c r="L460" s="106" t="s">
        <v>1636</v>
      </c>
      <c r="M460" s="106" t="s">
        <v>4072</v>
      </c>
    </row>
    <row r="461" spans="11:14">
      <c r="K461" s="106" t="s">
        <v>367</v>
      </c>
      <c r="L461" s="106" t="s">
        <v>1637</v>
      </c>
      <c r="M461" s="106" t="s">
        <v>368</v>
      </c>
    </row>
    <row r="462" spans="11:14">
      <c r="K462" s="106" t="s">
        <v>369</v>
      </c>
      <c r="L462" s="106" t="s">
        <v>1638</v>
      </c>
      <c r="M462" s="106" t="s">
        <v>370</v>
      </c>
    </row>
    <row r="463" spans="11:14">
      <c r="K463" s="106" t="s">
        <v>371</v>
      </c>
      <c r="L463" s="106" t="s">
        <v>1639</v>
      </c>
      <c r="M463" s="106" t="s">
        <v>4073</v>
      </c>
    </row>
    <row r="464" spans="11:14">
      <c r="K464" s="106" t="s">
        <v>371</v>
      </c>
      <c r="L464" s="106" t="s">
        <v>1640</v>
      </c>
      <c r="M464" s="106" t="s">
        <v>4074</v>
      </c>
    </row>
    <row r="465" spans="11:14">
      <c r="K465" s="106" t="s">
        <v>373</v>
      </c>
      <c r="L465" s="106" t="s">
        <v>1641</v>
      </c>
      <c r="M465" s="106" t="s">
        <v>4075</v>
      </c>
    </row>
    <row r="466" spans="11:14">
      <c r="K466" s="106" t="s">
        <v>373</v>
      </c>
      <c r="L466" s="106" t="s">
        <v>1642</v>
      </c>
      <c r="M466" s="106" t="s">
        <v>4076</v>
      </c>
    </row>
    <row r="467" spans="11:14">
      <c r="K467" s="112" t="s">
        <v>373</v>
      </c>
      <c r="L467" s="112" t="s">
        <v>1643</v>
      </c>
      <c r="M467" s="112" t="s">
        <v>4077</v>
      </c>
    </row>
    <row r="468" spans="11:14">
      <c r="K468" s="112" t="s">
        <v>373</v>
      </c>
      <c r="L468" s="112" t="s">
        <v>1644</v>
      </c>
      <c r="M468" s="112" t="s">
        <v>4078</v>
      </c>
      <c r="N468" s="81" t="s">
        <v>4079</v>
      </c>
    </row>
    <row r="469" spans="11:14">
      <c r="K469" s="106" t="s">
        <v>373</v>
      </c>
      <c r="L469" s="106" t="s">
        <v>1645</v>
      </c>
      <c r="M469" s="106" t="s">
        <v>4080</v>
      </c>
      <c r="N469" s="81" t="s">
        <v>4079</v>
      </c>
    </row>
    <row r="470" spans="11:14">
      <c r="K470" s="106" t="s">
        <v>373</v>
      </c>
      <c r="L470" s="106" t="s">
        <v>1646</v>
      </c>
      <c r="M470" s="106" t="s">
        <v>4081</v>
      </c>
    </row>
    <row r="471" spans="11:14">
      <c r="K471" s="106" t="s">
        <v>375</v>
      </c>
      <c r="L471" s="106" t="s">
        <v>1647</v>
      </c>
      <c r="M471" s="106" t="s">
        <v>376</v>
      </c>
    </row>
    <row r="472" spans="11:14">
      <c r="K472" s="106" t="s">
        <v>377</v>
      </c>
      <c r="L472" s="106" t="s">
        <v>1648</v>
      </c>
      <c r="M472" s="106" t="s">
        <v>4082</v>
      </c>
    </row>
    <row r="473" spans="11:14">
      <c r="K473" s="106" t="s">
        <v>377</v>
      </c>
      <c r="L473" s="106" t="s">
        <v>1649</v>
      </c>
      <c r="M473" s="106" t="s">
        <v>4083</v>
      </c>
    </row>
    <row r="474" spans="11:14">
      <c r="K474" s="106" t="s">
        <v>377</v>
      </c>
      <c r="L474" s="106" t="s">
        <v>1650</v>
      </c>
      <c r="M474" s="106" t="s">
        <v>4084</v>
      </c>
    </row>
    <row r="475" spans="11:14">
      <c r="K475" s="106" t="s">
        <v>377</v>
      </c>
      <c r="L475" s="106" t="s">
        <v>1651</v>
      </c>
      <c r="M475" s="106" t="s">
        <v>4085</v>
      </c>
    </row>
    <row r="476" spans="11:14">
      <c r="K476" s="106" t="s">
        <v>377</v>
      </c>
      <c r="L476" s="106" t="s">
        <v>1652</v>
      </c>
      <c r="M476" s="106" t="s">
        <v>4086</v>
      </c>
    </row>
    <row r="477" spans="11:14">
      <c r="K477" s="106" t="s">
        <v>377</v>
      </c>
      <c r="L477" s="106" t="s">
        <v>1653</v>
      </c>
      <c r="M477" s="106" t="s">
        <v>4087</v>
      </c>
    </row>
    <row r="478" spans="11:14">
      <c r="K478" s="112" t="s">
        <v>377</v>
      </c>
      <c r="L478" s="112" t="s">
        <v>4088</v>
      </c>
      <c r="M478" s="112" t="s">
        <v>4089</v>
      </c>
    </row>
    <row r="479" spans="11:14">
      <c r="K479" s="112" t="s">
        <v>377</v>
      </c>
      <c r="L479" s="112" t="s">
        <v>4090</v>
      </c>
      <c r="M479" s="112" t="s">
        <v>4091</v>
      </c>
      <c r="N479" s="81" t="s">
        <v>4092</v>
      </c>
    </row>
    <row r="480" spans="11:14">
      <c r="K480" s="112" t="s">
        <v>377</v>
      </c>
      <c r="L480" s="112" t="s">
        <v>4093</v>
      </c>
      <c r="M480" s="112" t="s">
        <v>4094</v>
      </c>
      <c r="N480" s="81" t="s">
        <v>4092</v>
      </c>
    </row>
    <row r="481" spans="11:14">
      <c r="K481" s="106" t="s">
        <v>377</v>
      </c>
      <c r="L481" s="106" t="s">
        <v>1654</v>
      </c>
      <c r="M481" s="106" t="s">
        <v>4095</v>
      </c>
      <c r="N481" s="81" t="s">
        <v>4092</v>
      </c>
    </row>
    <row r="482" spans="11:14">
      <c r="K482" s="106" t="s">
        <v>377</v>
      </c>
      <c r="L482" s="106" t="s">
        <v>1655</v>
      </c>
      <c r="M482" s="106" t="s">
        <v>4096</v>
      </c>
    </row>
    <row r="483" spans="11:14">
      <c r="K483" s="112" t="s">
        <v>381</v>
      </c>
      <c r="L483" s="112" t="s">
        <v>4097</v>
      </c>
      <c r="M483" s="112" t="s">
        <v>4098</v>
      </c>
      <c r="N483" s="81" t="s">
        <v>3294</v>
      </c>
    </row>
    <row r="484" spans="11:14">
      <c r="K484" s="112" t="s">
        <v>383</v>
      </c>
      <c r="L484" s="112" t="s">
        <v>4099</v>
      </c>
      <c r="M484" s="112" t="s">
        <v>384</v>
      </c>
      <c r="N484" s="81" t="s">
        <v>3236</v>
      </c>
    </row>
    <row r="485" spans="11:14">
      <c r="K485" s="106" t="s">
        <v>385</v>
      </c>
      <c r="L485" s="106" t="s">
        <v>1656</v>
      </c>
      <c r="M485" s="106" t="s">
        <v>4100</v>
      </c>
      <c r="N485" s="81" t="s">
        <v>3236</v>
      </c>
    </row>
    <row r="486" spans="11:14">
      <c r="K486" s="106" t="s">
        <v>385</v>
      </c>
      <c r="L486" s="106" t="s">
        <v>1658</v>
      </c>
      <c r="M486" s="106" t="s">
        <v>4101</v>
      </c>
    </row>
    <row r="487" spans="11:14">
      <c r="K487" s="106" t="s">
        <v>389</v>
      </c>
      <c r="L487" s="106" t="s">
        <v>1659</v>
      </c>
      <c r="M487" s="106" t="s">
        <v>4102</v>
      </c>
      <c r="N487" s="81" t="s">
        <v>3294</v>
      </c>
    </row>
    <row r="488" spans="11:14">
      <c r="K488" s="106" t="s">
        <v>389</v>
      </c>
      <c r="L488" s="106" t="s">
        <v>1660</v>
      </c>
      <c r="M488" s="106" t="s">
        <v>4103</v>
      </c>
      <c r="N488" s="81" t="s">
        <v>3294</v>
      </c>
    </row>
    <row r="489" spans="11:14">
      <c r="K489" s="106" t="s">
        <v>389</v>
      </c>
      <c r="L489" s="106" t="s">
        <v>1661</v>
      </c>
      <c r="M489" s="106" t="s">
        <v>4104</v>
      </c>
    </row>
    <row r="490" spans="11:14">
      <c r="K490" s="106" t="s">
        <v>389</v>
      </c>
      <c r="L490" s="106" t="s">
        <v>1662</v>
      </c>
      <c r="M490" s="106" t="s">
        <v>4105</v>
      </c>
    </row>
    <row r="491" spans="11:14">
      <c r="K491" s="106" t="s">
        <v>389</v>
      </c>
      <c r="L491" s="106" t="s">
        <v>1666</v>
      </c>
      <c r="M491" s="106" t="s">
        <v>4106</v>
      </c>
    </row>
    <row r="492" spans="11:14">
      <c r="K492" s="106" t="s">
        <v>389</v>
      </c>
      <c r="L492" s="106" t="s">
        <v>3082</v>
      </c>
      <c r="M492" s="106" t="s">
        <v>4107</v>
      </c>
      <c r="N492" s="81" t="s">
        <v>3236</v>
      </c>
    </row>
    <row r="493" spans="11:14">
      <c r="K493" s="106" t="s">
        <v>389</v>
      </c>
      <c r="L493" s="106" t="s">
        <v>3083</v>
      </c>
      <c r="M493" s="106" t="s">
        <v>4108</v>
      </c>
    </row>
    <row r="494" spans="11:14">
      <c r="K494" s="106" t="s">
        <v>389</v>
      </c>
      <c r="L494" s="106" t="s">
        <v>1663</v>
      </c>
      <c r="M494" s="106" t="s">
        <v>4109</v>
      </c>
      <c r="N494" s="81" t="s">
        <v>3294</v>
      </c>
    </row>
    <row r="495" spans="11:14">
      <c r="K495" s="106" t="s">
        <v>389</v>
      </c>
      <c r="L495" s="106" t="s">
        <v>1664</v>
      </c>
      <c r="M495" s="106" t="s">
        <v>4110</v>
      </c>
      <c r="N495" s="81" t="s">
        <v>3294</v>
      </c>
    </row>
    <row r="496" spans="11:14">
      <c r="K496" s="106" t="s">
        <v>389</v>
      </c>
      <c r="L496" s="106" t="s">
        <v>1665</v>
      </c>
      <c r="M496" s="106" t="s">
        <v>4111</v>
      </c>
      <c r="N496" s="81" t="s">
        <v>3294</v>
      </c>
    </row>
    <row r="497" spans="11:13">
      <c r="K497" s="106" t="s">
        <v>392</v>
      </c>
      <c r="L497" s="106" t="s">
        <v>4112</v>
      </c>
      <c r="M497" s="106" t="s">
        <v>4113</v>
      </c>
    </row>
    <row r="498" spans="11:13">
      <c r="K498" s="106" t="s">
        <v>392</v>
      </c>
      <c r="L498" s="106" t="s">
        <v>1667</v>
      </c>
      <c r="M498" s="106" t="s">
        <v>4114</v>
      </c>
    </row>
    <row r="499" spans="11:13">
      <c r="K499" s="106" t="s">
        <v>394</v>
      </c>
      <c r="L499" s="106" t="s">
        <v>1668</v>
      </c>
      <c r="M499" s="106" t="s">
        <v>4115</v>
      </c>
    </row>
    <row r="500" spans="11:13">
      <c r="K500" s="106" t="s">
        <v>396</v>
      </c>
      <c r="L500" s="106" t="s">
        <v>1669</v>
      </c>
      <c r="M500" s="106" t="s">
        <v>4116</v>
      </c>
    </row>
    <row r="501" spans="11:13">
      <c r="K501" s="106" t="s">
        <v>396</v>
      </c>
      <c r="L501" s="106" t="s">
        <v>1670</v>
      </c>
      <c r="M501" s="106" t="s">
        <v>4117</v>
      </c>
    </row>
    <row r="502" spans="11:13">
      <c r="K502" s="106" t="s">
        <v>396</v>
      </c>
      <c r="L502" s="106" t="s">
        <v>1672</v>
      </c>
      <c r="M502" s="106" t="s">
        <v>4118</v>
      </c>
    </row>
    <row r="503" spans="11:13">
      <c r="K503" s="106" t="s">
        <v>398</v>
      </c>
      <c r="L503" s="106" t="s">
        <v>1673</v>
      </c>
      <c r="M503" s="106" t="s">
        <v>399</v>
      </c>
    </row>
    <row r="504" spans="11:13">
      <c r="K504" s="106" t="s">
        <v>400</v>
      </c>
      <c r="L504" s="106" t="s">
        <v>1674</v>
      </c>
      <c r="M504" s="106" t="s">
        <v>401</v>
      </c>
    </row>
    <row r="505" spans="11:13">
      <c r="K505" s="106" t="s">
        <v>402</v>
      </c>
      <c r="L505" s="106" t="s">
        <v>1675</v>
      </c>
      <c r="M505" s="106" t="s">
        <v>4119</v>
      </c>
    </row>
    <row r="506" spans="11:13">
      <c r="K506" s="106" t="s">
        <v>402</v>
      </c>
      <c r="L506" s="106" t="s">
        <v>1676</v>
      </c>
      <c r="M506" s="106" t="s">
        <v>4120</v>
      </c>
    </row>
    <row r="507" spans="11:13">
      <c r="K507" s="106" t="s">
        <v>405</v>
      </c>
      <c r="L507" s="106" t="s">
        <v>1677</v>
      </c>
      <c r="M507" s="106" t="s">
        <v>4121</v>
      </c>
    </row>
    <row r="508" spans="11:13">
      <c r="K508" s="106" t="s">
        <v>405</v>
      </c>
      <c r="L508" s="106" t="s">
        <v>1678</v>
      </c>
      <c r="M508" s="106" t="s">
        <v>4122</v>
      </c>
    </row>
    <row r="509" spans="11:13">
      <c r="K509" s="106" t="s">
        <v>407</v>
      </c>
      <c r="L509" s="106" t="s">
        <v>1679</v>
      </c>
      <c r="M509" s="106" t="s">
        <v>4123</v>
      </c>
    </row>
    <row r="510" spans="11:13">
      <c r="K510" s="106" t="s">
        <v>407</v>
      </c>
      <c r="L510" s="106" t="s">
        <v>1680</v>
      </c>
      <c r="M510" s="106" t="s">
        <v>4124</v>
      </c>
    </row>
    <row r="511" spans="11:13">
      <c r="K511" s="106" t="s">
        <v>407</v>
      </c>
      <c r="L511" s="106" t="s">
        <v>1681</v>
      </c>
      <c r="M511" s="106" t="s">
        <v>408</v>
      </c>
    </row>
    <row r="512" spans="11:13">
      <c r="K512" s="106" t="s">
        <v>407</v>
      </c>
      <c r="L512" s="106" t="s">
        <v>1682</v>
      </c>
      <c r="M512" s="106" t="s">
        <v>4125</v>
      </c>
    </row>
    <row r="513" spans="11:13">
      <c r="K513" s="106" t="s">
        <v>407</v>
      </c>
      <c r="L513" s="106" t="s">
        <v>1683</v>
      </c>
      <c r="M513" s="106" t="s">
        <v>4126</v>
      </c>
    </row>
    <row r="514" spans="11:13">
      <c r="K514" s="106" t="s">
        <v>409</v>
      </c>
      <c r="L514" s="106" t="s">
        <v>1685</v>
      </c>
      <c r="M514" s="106" t="s">
        <v>3507</v>
      </c>
    </row>
    <row r="515" spans="11:13">
      <c r="K515" s="106" t="s">
        <v>411</v>
      </c>
      <c r="L515" s="106" t="s">
        <v>1689</v>
      </c>
      <c r="M515" s="106" t="s">
        <v>4127</v>
      </c>
    </row>
    <row r="516" spans="11:13">
      <c r="K516" s="106" t="s">
        <v>411</v>
      </c>
      <c r="L516" s="106" t="s">
        <v>1690</v>
      </c>
      <c r="M516" s="106" t="s">
        <v>4128</v>
      </c>
    </row>
    <row r="517" spans="11:13">
      <c r="K517" s="106" t="s">
        <v>413</v>
      </c>
      <c r="L517" s="106" t="s">
        <v>1691</v>
      </c>
      <c r="M517" s="106" t="s">
        <v>414</v>
      </c>
    </row>
    <row r="518" spans="11:13">
      <c r="K518" s="106" t="s">
        <v>415</v>
      </c>
      <c r="L518" s="106" t="s">
        <v>1692</v>
      </c>
      <c r="M518" s="106" t="s">
        <v>4129</v>
      </c>
    </row>
    <row r="519" spans="11:13">
      <c r="K519" s="106" t="s">
        <v>417</v>
      </c>
      <c r="L519" s="106" t="s">
        <v>1693</v>
      </c>
      <c r="M519" s="106" t="s">
        <v>4130</v>
      </c>
    </row>
    <row r="520" spans="11:13">
      <c r="K520" s="106" t="s">
        <v>419</v>
      </c>
      <c r="L520" s="106" t="s">
        <v>1694</v>
      </c>
      <c r="M520" s="106" t="s">
        <v>420</v>
      </c>
    </row>
    <row r="521" spans="11:13">
      <c r="K521" s="106" t="s">
        <v>421</v>
      </c>
      <c r="L521" s="106" t="s">
        <v>1695</v>
      </c>
      <c r="M521" s="106" t="s">
        <v>422</v>
      </c>
    </row>
    <row r="522" spans="11:13">
      <c r="K522" s="106" t="s">
        <v>423</v>
      </c>
      <c r="L522" s="106" t="s">
        <v>1696</v>
      </c>
      <c r="M522" s="106" t="s">
        <v>424</v>
      </c>
    </row>
    <row r="523" spans="11:13">
      <c r="K523" s="106" t="s">
        <v>425</v>
      </c>
      <c r="L523" s="106" t="s">
        <v>1697</v>
      </c>
      <c r="M523" s="106" t="s">
        <v>4131</v>
      </c>
    </row>
    <row r="524" spans="11:13">
      <c r="K524" s="106" t="s">
        <v>425</v>
      </c>
      <c r="L524" s="106" t="s">
        <v>1698</v>
      </c>
      <c r="M524" s="106" t="s">
        <v>4132</v>
      </c>
    </row>
    <row r="525" spans="11:13">
      <c r="K525" s="106" t="s">
        <v>425</v>
      </c>
      <c r="L525" s="106" t="s">
        <v>1699</v>
      </c>
      <c r="M525" s="106" t="s">
        <v>4133</v>
      </c>
    </row>
    <row r="526" spans="11:13">
      <c r="K526" s="106" t="s">
        <v>427</v>
      </c>
      <c r="L526" s="106" t="s">
        <v>1700</v>
      </c>
      <c r="M526" s="106" t="s">
        <v>4134</v>
      </c>
    </row>
    <row r="527" spans="11:13">
      <c r="K527" s="106" t="s">
        <v>427</v>
      </c>
      <c r="L527" s="106" t="s">
        <v>1701</v>
      </c>
      <c r="M527" s="106" t="s">
        <v>4135</v>
      </c>
    </row>
    <row r="528" spans="11:13">
      <c r="K528" s="106" t="s">
        <v>427</v>
      </c>
      <c r="L528" s="106" t="s">
        <v>1702</v>
      </c>
      <c r="M528" s="106" t="s">
        <v>4136</v>
      </c>
    </row>
    <row r="529" spans="11:13">
      <c r="K529" s="106" t="s">
        <v>429</v>
      </c>
      <c r="L529" s="106" t="s">
        <v>1703</v>
      </c>
      <c r="M529" s="106" t="s">
        <v>430</v>
      </c>
    </row>
    <row r="530" spans="11:13">
      <c r="K530" s="106" t="s">
        <v>431</v>
      </c>
      <c r="L530" s="106" t="s">
        <v>1704</v>
      </c>
      <c r="M530" s="106" t="s">
        <v>432</v>
      </c>
    </row>
    <row r="531" spans="11:13">
      <c r="K531" s="106" t="s">
        <v>433</v>
      </c>
      <c r="L531" s="106" t="s">
        <v>1705</v>
      </c>
      <c r="M531" s="106" t="s">
        <v>434</v>
      </c>
    </row>
    <row r="532" spans="11:13">
      <c r="K532" s="106" t="s">
        <v>435</v>
      </c>
      <c r="L532" s="106" t="s">
        <v>1706</v>
      </c>
      <c r="M532" s="106" t="s">
        <v>4137</v>
      </c>
    </row>
    <row r="533" spans="11:13">
      <c r="K533" s="106" t="s">
        <v>435</v>
      </c>
      <c r="L533" s="106" t="s">
        <v>1707</v>
      </c>
      <c r="M533" s="106" t="s">
        <v>4138</v>
      </c>
    </row>
    <row r="534" spans="11:13">
      <c r="K534" s="106" t="s">
        <v>437</v>
      </c>
      <c r="L534" s="106" t="s">
        <v>1708</v>
      </c>
      <c r="M534" s="106" t="s">
        <v>4139</v>
      </c>
    </row>
    <row r="535" spans="11:13">
      <c r="K535" s="106" t="s">
        <v>437</v>
      </c>
      <c r="L535" s="106" t="s">
        <v>1709</v>
      </c>
      <c r="M535" s="106" t="s">
        <v>4140</v>
      </c>
    </row>
    <row r="536" spans="11:13">
      <c r="K536" s="106" t="s">
        <v>437</v>
      </c>
      <c r="L536" s="106" t="s">
        <v>1710</v>
      </c>
      <c r="M536" s="106" t="s">
        <v>4141</v>
      </c>
    </row>
    <row r="537" spans="11:13">
      <c r="K537" s="106" t="s">
        <v>437</v>
      </c>
      <c r="L537" s="106" t="s">
        <v>1711</v>
      </c>
      <c r="M537" s="106" t="s">
        <v>4142</v>
      </c>
    </row>
    <row r="538" spans="11:13">
      <c r="K538" s="106" t="s">
        <v>437</v>
      </c>
      <c r="L538" s="106" t="s">
        <v>1712</v>
      </c>
      <c r="M538" s="106" t="s">
        <v>4143</v>
      </c>
    </row>
    <row r="539" spans="11:13">
      <c r="K539" s="106" t="s">
        <v>437</v>
      </c>
      <c r="L539" s="106" t="s">
        <v>1713</v>
      </c>
      <c r="M539" s="106" t="s">
        <v>4144</v>
      </c>
    </row>
    <row r="540" spans="11:13">
      <c r="K540" s="106" t="s">
        <v>437</v>
      </c>
      <c r="L540" s="106" t="s">
        <v>1714</v>
      </c>
      <c r="M540" s="106" t="s">
        <v>4145</v>
      </c>
    </row>
    <row r="541" spans="11:13">
      <c r="K541" s="106" t="s">
        <v>437</v>
      </c>
      <c r="L541" s="106" t="s">
        <v>1715</v>
      </c>
      <c r="M541" s="106" t="s">
        <v>4146</v>
      </c>
    </row>
    <row r="542" spans="11:13">
      <c r="K542" s="106" t="s">
        <v>439</v>
      </c>
      <c r="L542" s="106" t="s">
        <v>1716</v>
      </c>
      <c r="M542" s="106" t="s">
        <v>4147</v>
      </c>
    </row>
    <row r="543" spans="11:13">
      <c r="K543" s="106" t="s">
        <v>439</v>
      </c>
      <c r="L543" s="106" t="s">
        <v>1717</v>
      </c>
      <c r="M543" s="106" t="s">
        <v>4148</v>
      </c>
    </row>
    <row r="544" spans="11:13">
      <c r="K544" s="106" t="s">
        <v>439</v>
      </c>
      <c r="L544" s="106" t="s">
        <v>1718</v>
      </c>
      <c r="M544" s="106" t="s">
        <v>4149</v>
      </c>
    </row>
    <row r="545" spans="11:13">
      <c r="K545" s="106" t="s">
        <v>439</v>
      </c>
      <c r="L545" s="106" t="s">
        <v>1719</v>
      </c>
      <c r="M545" s="106" t="s">
        <v>4150</v>
      </c>
    </row>
    <row r="546" spans="11:13">
      <c r="K546" s="106" t="s">
        <v>439</v>
      </c>
      <c r="L546" s="106" t="s">
        <v>1720</v>
      </c>
      <c r="M546" s="106" t="s">
        <v>4151</v>
      </c>
    </row>
    <row r="547" spans="11:13">
      <c r="K547" s="106" t="s">
        <v>439</v>
      </c>
      <c r="L547" s="106" t="s">
        <v>1721</v>
      </c>
      <c r="M547" s="106" t="s">
        <v>4152</v>
      </c>
    </row>
    <row r="548" spans="11:13">
      <c r="K548" s="106" t="s">
        <v>441</v>
      </c>
      <c r="L548" s="106" t="s">
        <v>1722</v>
      </c>
      <c r="M548" s="106" t="s">
        <v>4153</v>
      </c>
    </row>
    <row r="549" spans="11:13">
      <c r="K549" s="106" t="s">
        <v>441</v>
      </c>
      <c r="L549" s="106" t="s">
        <v>1723</v>
      </c>
      <c r="M549" s="106" t="s">
        <v>4154</v>
      </c>
    </row>
    <row r="550" spans="11:13">
      <c r="K550" s="106" t="s">
        <v>441</v>
      </c>
      <c r="L550" s="106" t="s">
        <v>1724</v>
      </c>
      <c r="M550" s="106" t="s">
        <v>4155</v>
      </c>
    </row>
    <row r="551" spans="11:13">
      <c r="K551" s="106" t="s">
        <v>441</v>
      </c>
      <c r="L551" s="106" t="s">
        <v>1725</v>
      </c>
      <c r="M551" s="106" t="s">
        <v>4156</v>
      </c>
    </row>
    <row r="552" spans="11:13">
      <c r="K552" s="106" t="s">
        <v>441</v>
      </c>
      <c r="L552" s="106" t="s">
        <v>1726</v>
      </c>
      <c r="M552" s="106" t="s">
        <v>4157</v>
      </c>
    </row>
    <row r="553" spans="11:13">
      <c r="K553" s="106" t="s">
        <v>441</v>
      </c>
      <c r="L553" s="106" t="s">
        <v>1727</v>
      </c>
      <c r="M553" s="106" t="s">
        <v>4158</v>
      </c>
    </row>
    <row r="554" spans="11:13">
      <c r="K554" s="106" t="s">
        <v>441</v>
      </c>
      <c r="L554" s="106" t="s">
        <v>1728</v>
      </c>
      <c r="M554" s="106" t="s">
        <v>4159</v>
      </c>
    </row>
    <row r="555" spans="11:13">
      <c r="K555" s="106" t="s">
        <v>443</v>
      </c>
      <c r="L555" s="106" t="s">
        <v>1729</v>
      </c>
      <c r="M555" s="106" t="s">
        <v>444</v>
      </c>
    </row>
    <row r="556" spans="11:13">
      <c r="K556" s="106" t="s">
        <v>445</v>
      </c>
      <c r="L556" s="106" t="s">
        <v>1730</v>
      </c>
      <c r="M556" s="106" t="s">
        <v>446</v>
      </c>
    </row>
    <row r="557" spans="11:13">
      <c r="K557" s="106" t="s">
        <v>447</v>
      </c>
      <c r="L557" s="106" t="s">
        <v>1731</v>
      </c>
      <c r="M557" s="106" t="s">
        <v>4160</v>
      </c>
    </row>
    <row r="558" spans="11:13">
      <c r="K558" s="106" t="s">
        <v>449</v>
      </c>
      <c r="L558" s="106" t="s">
        <v>1732</v>
      </c>
      <c r="M558" s="106" t="s">
        <v>450</v>
      </c>
    </row>
    <row r="559" spans="11:13">
      <c r="K559" s="106" t="s">
        <v>451</v>
      </c>
      <c r="L559" s="106" t="s">
        <v>2047</v>
      </c>
      <c r="M559" s="106" t="s">
        <v>452</v>
      </c>
    </row>
    <row r="560" spans="11:13">
      <c r="K560" s="106" t="s">
        <v>453</v>
      </c>
      <c r="L560" s="106" t="s">
        <v>2048</v>
      </c>
      <c r="M560" s="106" t="s">
        <v>454</v>
      </c>
    </row>
    <row r="561" spans="11:13">
      <c r="K561" s="106" t="s">
        <v>455</v>
      </c>
      <c r="L561" s="106" t="s">
        <v>2049</v>
      </c>
      <c r="M561" s="106" t="s">
        <v>4161</v>
      </c>
    </row>
    <row r="562" spans="11:13">
      <c r="K562" s="106" t="s">
        <v>457</v>
      </c>
      <c r="L562" s="106" t="s">
        <v>2050</v>
      </c>
      <c r="M562" s="106" t="s">
        <v>4162</v>
      </c>
    </row>
    <row r="563" spans="11:13">
      <c r="K563" s="106" t="s">
        <v>459</v>
      </c>
      <c r="L563" s="106" t="s">
        <v>2051</v>
      </c>
      <c r="M563" s="106" t="s">
        <v>460</v>
      </c>
    </row>
    <row r="564" spans="11:13">
      <c r="K564" s="139" t="s">
        <v>459</v>
      </c>
      <c r="L564" s="139" t="s">
        <v>2052</v>
      </c>
      <c r="M564" s="139" t="s">
        <v>4163</v>
      </c>
    </row>
    <row r="565" spans="11:13">
      <c r="K565" s="139" t="s">
        <v>523</v>
      </c>
      <c r="L565" s="139" t="s">
        <v>2053</v>
      </c>
      <c r="M565" s="139" t="s">
        <v>4164</v>
      </c>
    </row>
    <row r="566" spans="11:13">
      <c r="K566" s="139" t="s">
        <v>523</v>
      </c>
      <c r="L566" s="139" t="s">
        <v>2054</v>
      </c>
      <c r="M566" s="139" t="s">
        <v>4165</v>
      </c>
    </row>
    <row r="567" spans="11:13">
      <c r="K567" s="139" t="s">
        <v>523</v>
      </c>
      <c r="L567" s="139" t="s">
        <v>2055</v>
      </c>
      <c r="M567" s="139" t="s">
        <v>4166</v>
      </c>
    </row>
    <row r="568" spans="11:13">
      <c r="K568" s="139" t="s">
        <v>523</v>
      </c>
      <c r="L568" s="139" t="s">
        <v>4167</v>
      </c>
      <c r="M568" s="139" t="s">
        <v>4168</v>
      </c>
    </row>
    <row r="569" spans="11:13">
      <c r="K569" s="139" t="s">
        <v>523</v>
      </c>
      <c r="L569" s="139" t="s">
        <v>2056</v>
      </c>
      <c r="M569" s="139" t="s">
        <v>4169</v>
      </c>
    </row>
    <row r="570" spans="11:13">
      <c r="K570" s="139" t="s">
        <v>523</v>
      </c>
      <c r="L570" s="139" t="s">
        <v>2057</v>
      </c>
      <c r="M570" s="139" t="s">
        <v>4170</v>
      </c>
    </row>
    <row r="571" spans="11:13">
      <c r="K571" s="139" t="s">
        <v>523</v>
      </c>
      <c r="L571" s="139" t="s">
        <v>4171</v>
      </c>
      <c r="M571" s="139" t="s">
        <v>4172</v>
      </c>
    </row>
    <row r="572" spans="11:13">
      <c r="K572" s="139" t="s">
        <v>523</v>
      </c>
      <c r="L572" s="139" t="s">
        <v>2058</v>
      </c>
      <c r="M572" s="139" t="s">
        <v>4173</v>
      </c>
    </row>
    <row r="573" spans="11:13">
      <c r="K573" s="139" t="s">
        <v>461</v>
      </c>
      <c r="L573" s="139" t="s">
        <v>2060</v>
      </c>
      <c r="M573" s="139" t="s">
        <v>462</v>
      </c>
    </row>
    <row r="574" spans="11:13">
      <c r="K574" s="139" t="s">
        <v>461</v>
      </c>
      <c r="L574" s="139" t="s">
        <v>2061</v>
      </c>
      <c r="M574" s="139" t="s">
        <v>4174</v>
      </c>
    </row>
    <row r="575" spans="11:13">
      <c r="K575" s="106" t="s">
        <v>463</v>
      </c>
      <c r="L575" s="106" t="s">
        <v>2068</v>
      </c>
      <c r="M575" s="106" t="s">
        <v>464</v>
      </c>
    </row>
    <row r="576" spans="11:13">
      <c r="K576" s="106" t="s">
        <v>463</v>
      </c>
      <c r="L576" s="106" t="s">
        <v>2069</v>
      </c>
      <c r="M576" s="106" t="s">
        <v>4175</v>
      </c>
    </row>
    <row r="577" spans="11:13">
      <c r="K577" s="106" t="s">
        <v>465</v>
      </c>
      <c r="L577" s="106" t="s">
        <v>2070</v>
      </c>
      <c r="M577" s="106" t="s">
        <v>466</v>
      </c>
    </row>
    <row r="578" spans="11:13">
      <c r="K578" s="106" t="s">
        <v>467</v>
      </c>
      <c r="L578" s="106" t="s">
        <v>2071</v>
      </c>
      <c r="M578" s="106" t="s">
        <v>468</v>
      </c>
    </row>
    <row r="579" spans="11:13">
      <c r="K579" s="106" t="s">
        <v>467</v>
      </c>
      <c r="L579" s="106" t="s">
        <v>2072</v>
      </c>
      <c r="M579" s="106" t="s">
        <v>4176</v>
      </c>
    </row>
    <row r="580" spans="11:13">
      <c r="K580" s="106" t="s">
        <v>469</v>
      </c>
      <c r="L580" s="106" t="s">
        <v>2073</v>
      </c>
      <c r="M580" s="106" t="s">
        <v>3564</v>
      </c>
    </row>
    <row r="581" spans="11:13">
      <c r="K581" s="106" t="s">
        <v>471</v>
      </c>
      <c r="L581" s="106" t="s">
        <v>2074</v>
      </c>
      <c r="M581" s="106" t="s">
        <v>472</v>
      </c>
    </row>
    <row r="582" spans="11:13">
      <c r="K582" s="106" t="s">
        <v>471</v>
      </c>
      <c r="L582" s="106" t="s">
        <v>2075</v>
      </c>
      <c r="M582" s="106" t="s">
        <v>4177</v>
      </c>
    </row>
    <row r="583" spans="11:13">
      <c r="K583" s="106" t="s">
        <v>473</v>
      </c>
      <c r="L583" s="106" t="s">
        <v>2076</v>
      </c>
      <c r="M583" s="106" t="s">
        <v>474</v>
      </c>
    </row>
    <row r="584" spans="11:13">
      <c r="K584" s="106" t="s">
        <v>473</v>
      </c>
      <c r="L584" s="106" t="s">
        <v>2077</v>
      </c>
      <c r="M584" s="106" t="s">
        <v>4178</v>
      </c>
    </row>
    <row r="585" spans="11:13">
      <c r="K585" s="106" t="s">
        <v>475</v>
      </c>
      <c r="L585" s="106" t="s">
        <v>2078</v>
      </c>
      <c r="M585" s="106" t="s">
        <v>476</v>
      </c>
    </row>
    <row r="586" spans="11:13">
      <c r="K586" s="106" t="s">
        <v>477</v>
      </c>
      <c r="L586" s="106" t="s">
        <v>2079</v>
      </c>
      <c r="M586" s="106" t="s">
        <v>478</v>
      </c>
    </row>
    <row r="587" spans="11:13">
      <c r="K587" s="106" t="s">
        <v>479</v>
      </c>
      <c r="L587" s="106" t="s">
        <v>2080</v>
      </c>
      <c r="M587" s="106" t="s">
        <v>480</v>
      </c>
    </row>
    <row r="588" spans="11:13">
      <c r="K588" s="106" t="s">
        <v>481</v>
      </c>
      <c r="L588" s="106" t="s">
        <v>2081</v>
      </c>
      <c r="M588" s="106" t="s">
        <v>482</v>
      </c>
    </row>
    <row r="589" spans="11:13">
      <c r="K589" s="106" t="s">
        <v>483</v>
      </c>
      <c r="L589" s="106" t="s">
        <v>2082</v>
      </c>
      <c r="M589" s="106" t="s">
        <v>484</v>
      </c>
    </row>
    <row r="590" spans="11:13">
      <c r="K590" s="106" t="s">
        <v>485</v>
      </c>
      <c r="L590" s="106" t="s">
        <v>2083</v>
      </c>
      <c r="M590" s="106" t="s">
        <v>486</v>
      </c>
    </row>
    <row r="591" spans="11:13">
      <c r="K591" s="106" t="s">
        <v>487</v>
      </c>
      <c r="L591" s="106" t="s">
        <v>2084</v>
      </c>
      <c r="M591" s="106" t="s">
        <v>488</v>
      </c>
    </row>
    <row r="592" spans="11:13">
      <c r="K592" s="106" t="s">
        <v>489</v>
      </c>
      <c r="L592" s="106" t="s">
        <v>2085</v>
      </c>
      <c r="M592" s="106" t="s">
        <v>4179</v>
      </c>
    </row>
    <row r="593" spans="11:13">
      <c r="K593" s="106" t="s">
        <v>491</v>
      </c>
      <c r="L593" s="106" t="s">
        <v>2088</v>
      </c>
      <c r="M593" s="106" t="s">
        <v>492</v>
      </c>
    </row>
    <row r="594" spans="11:13">
      <c r="K594" s="106" t="s">
        <v>493</v>
      </c>
      <c r="L594" s="106" t="s">
        <v>2089</v>
      </c>
      <c r="M594" s="106" t="s">
        <v>494</v>
      </c>
    </row>
    <row r="595" spans="11:13">
      <c r="K595" s="106" t="s">
        <v>495</v>
      </c>
      <c r="L595" s="106" t="s">
        <v>2090</v>
      </c>
      <c r="M595" s="106" t="s">
        <v>496</v>
      </c>
    </row>
    <row r="596" spans="11:13">
      <c r="K596" s="106" t="s">
        <v>497</v>
      </c>
      <c r="L596" s="106" t="s">
        <v>2091</v>
      </c>
      <c r="M596" s="106" t="s">
        <v>498</v>
      </c>
    </row>
    <row r="597" spans="11:13">
      <c r="K597" s="106" t="s">
        <v>499</v>
      </c>
      <c r="L597" s="106" t="s">
        <v>2093</v>
      </c>
      <c r="M597" s="106" t="s">
        <v>500</v>
      </c>
    </row>
    <row r="598" spans="11:13">
      <c r="K598" s="106" t="s">
        <v>499</v>
      </c>
      <c r="L598" s="106" t="s">
        <v>2094</v>
      </c>
      <c r="M598" s="106" t="s">
        <v>4180</v>
      </c>
    </row>
    <row r="599" spans="11:13">
      <c r="K599" s="106" t="s">
        <v>501</v>
      </c>
      <c r="L599" s="106" t="s">
        <v>2095</v>
      </c>
      <c r="M599" s="106" t="s">
        <v>502</v>
      </c>
    </row>
    <row r="600" spans="11:13">
      <c r="K600" s="106" t="s">
        <v>503</v>
      </c>
      <c r="L600" s="106" t="s">
        <v>2096</v>
      </c>
      <c r="M600" s="106" t="s">
        <v>504</v>
      </c>
    </row>
    <row r="601" spans="11:13">
      <c r="K601" s="106" t="s">
        <v>505</v>
      </c>
      <c r="L601" s="106" t="s">
        <v>2097</v>
      </c>
      <c r="M601" s="106" t="s">
        <v>506</v>
      </c>
    </row>
    <row r="602" spans="11:13">
      <c r="K602" s="106" t="s">
        <v>507</v>
      </c>
      <c r="L602" s="106" t="s">
        <v>2098</v>
      </c>
      <c r="M602" s="106" t="s">
        <v>508</v>
      </c>
    </row>
    <row r="603" spans="11:13">
      <c r="K603" s="106" t="s">
        <v>509</v>
      </c>
      <c r="L603" s="106" t="s">
        <v>2099</v>
      </c>
      <c r="M603" s="106" t="s">
        <v>510</v>
      </c>
    </row>
    <row r="604" spans="11:13">
      <c r="K604" s="106" t="s">
        <v>511</v>
      </c>
      <c r="L604" s="106" t="s">
        <v>2100</v>
      </c>
      <c r="M604" s="106" t="s">
        <v>512</v>
      </c>
    </row>
    <row r="605" spans="11:13">
      <c r="K605" s="106" t="s">
        <v>513</v>
      </c>
      <c r="L605" s="106" t="s">
        <v>2101</v>
      </c>
      <c r="M605" s="106" t="s">
        <v>514</v>
      </c>
    </row>
    <row r="606" spans="11:13">
      <c r="K606" s="106" t="s">
        <v>515</v>
      </c>
      <c r="L606" s="106" t="s">
        <v>2103</v>
      </c>
      <c r="M606" s="106" t="s">
        <v>516</v>
      </c>
    </row>
    <row r="607" spans="11:13">
      <c r="K607" s="106" t="s">
        <v>517</v>
      </c>
      <c r="L607" s="106" t="s">
        <v>2104</v>
      </c>
      <c r="M607" s="106" t="s">
        <v>518</v>
      </c>
    </row>
    <row r="608" spans="11:13">
      <c r="K608" s="106" t="s">
        <v>519</v>
      </c>
      <c r="L608" s="106" t="s">
        <v>2086</v>
      </c>
      <c r="M608" s="106" t="s">
        <v>520</v>
      </c>
    </row>
    <row r="609" spans="11:14">
      <c r="K609" s="106" t="s">
        <v>521</v>
      </c>
      <c r="L609" s="106" t="s">
        <v>2087</v>
      </c>
      <c r="M609" s="106" t="s">
        <v>522</v>
      </c>
    </row>
    <row r="610" spans="11:14">
      <c r="K610" s="138" t="s">
        <v>997</v>
      </c>
      <c r="L610" s="138" t="s">
        <v>1228</v>
      </c>
      <c r="M610" s="138" t="s">
        <v>3621</v>
      </c>
    </row>
    <row r="611" spans="11:14">
      <c r="K611" s="106" t="s">
        <v>123</v>
      </c>
      <c r="L611" s="106" t="s">
        <v>1218</v>
      </c>
      <c r="M611" s="106" t="s">
        <v>4181</v>
      </c>
    </row>
    <row r="612" spans="11:14">
      <c r="K612" s="112" t="s">
        <v>275</v>
      </c>
      <c r="L612" s="112" t="s">
        <v>2919</v>
      </c>
      <c r="M612" s="112" t="s">
        <v>4182</v>
      </c>
    </row>
    <row r="613" spans="11:14">
      <c r="K613" s="112" t="s">
        <v>275</v>
      </c>
      <c r="L613" s="112" t="s">
        <v>2920</v>
      </c>
      <c r="M613" s="112" t="s">
        <v>4183</v>
      </c>
      <c r="N613" s="81" t="s">
        <v>2902</v>
      </c>
    </row>
    <row r="614" spans="11:14">
      <c r="K614" s="112" t="s">
        <v>275</v>
      </c>
      <c r="L614" s="112" t="s">
        <v>2921</v>
      </c>
      <c r="M614" s="112" t="s">
        <v>4184</v>
      </c>
      <c r="N614" s="81" t="s">
        <v>2902</v>
      </c>
    </row>
    <row r="615" spans="11:14">
      <c r="K615" s="112" t="s">
        <v>275</v>
      </c>
      <c r="L615" s="112" t="s">
        <v>2922</v>
      </c>
      <c r="M615" s="112" t="s">
        <v>4185</v>
      </c>
      <c r="N615" s="81" t="s">
        <v>2902</v>
      </c>
    </row>
    <row r="616" spans="11:14">
      <c r="K616" s="106" t="s">
        <v>283</v>
      </c>
      <c r="L616" s="106" t="s">
        <v>1406</v>
      </c>
      <c r="M616" s="106" t="s">
        <v>4186</v>
      </c>
      <c r="N616" s="81" t="s">
        <v>2902</v>
      </c>
    </row>
    <row r="617" spans="11:14">
      <c r="K617" s="140" t="s">
        <v>287</v>
      </c>
      <c r="L617" s="112" t="s">
        <v>2955</v>
      </c>
      <c r="M617" s="112" t="s">
        <v>4187</v>
      </c>
      <c r="N617" s="81" t="s">
        <v>2902</v>
      </c>
    </row>
    <row r="618" spans="11:14">
      <c r="K618" s="140" t="s">
        <v>287</v>
      </c>
      <c r="L618" s="112" t="s">
        <v>2953</v>
      </c>
      <c r="M618" s="112" t="s">
        <v>4188</v>
      </c>
      <c r="N618" s="81" t="s">
        <v>3236</v>
      </c>
    </row>
    <row r="619" spans="11:14">
      <c r="K619" s="141" t="s">
        <v>289</v>
      </c>
      <c r="L619" s="106" t="s">
        <v>2964</v>
      </c>
      <c r="M619" s="106" t="s">
        <v>4189</v>
      </c>
      <c r="N619" s="81" t="s">
        <v>3236</v>
      </c>
    </row>
    <row r="620" spans="11:14">
      <c r="K620" s="141" t="s">
        <v>293</v>
      </c>
      <c r="L620" s="106" t="s">
        <v>2974</v>
      </c>
      <c r="M620" s="106" t="s">
        <v>4190</v>
      </c>
      <c r="N620" s="81" t="s">
        <v>2902</v>
      </c>
    </row>
    <row r="621" spans="11:14">
      <c r="K621" s="140" t="s">
        <v>299</v>
      </c>
      <c r="L621" s="112" t="s">
        <v>2987</v>
      </c>
      <c r="M621" s="112" t="s">
        <v>4191</v>
      </c>
      <c r="N621" s="81" t="s">
        <v>2902</v>
      </c>
    </row>
    <row r="622" spans="11:14">
      <c r="K622" s="141" t="s">
        <v>305</v>
      </c>
      <c r="L622" s="106" t="s">
        <v>1443</v>
      </c>
      <c r="M622" s="106" t="s">
        <v>4192</v>
      </c>
      <c r="N622" s="81" t="s">
        <v>2902</v>
      </c>
    </row>
    <row r="623" spans="11:14">
      <c r="K623" s="141" t="s">
        <v>305</v>
      </c>
      <c r="L623" s="106" t="s">
        <v>1448</v>
      </c>
      <c r="M623" s="106" t="s">
        <v>4193</v>
      </c>
      <c r="N623" s="81" t="s">
        <v>2902</v>
      </c>
    </row>
    <row r="624" spans="11:14">
      <c r="K624" s="106" t="s">
        <v>315</v>
      </c>
      <c r="L624" s="106" t="s">
        <v>1477</v>
      </c>
      <c r="M624" s="106" t="s">
        <v>4194</v>
      </c>
      <c r="N624" s="81" t="s">
        <v>2902</v>
      </c>
    </row>
    <row r="625" spans="11:14">
      <c r="K625" s="141" t="s">
        <v>317</v>
      </c>
      <c r="L625" s="106" t="s">
        <v>1481</v>
      </c>
      <c r="M625" s="106" t="s">
        <v>4195</v>
      </c>
      <c r="N625" s="81" t="s">
        <v>2902</v>
      </c>
    </row>
    <row r="626" spans="11:14">
      <c r="K626" s="140" t="s">
        <v>329</v>
      </c>
      <c r="L626" s="112" t="s">
        <v>3028</v>
      </c>
      <c r="M626" s="112" t="s">
        <v>4196</v>
      </c>
      <c r="N626" s="81" t="s">
        <v>2902</v>
      </c>
    </row>
    <row r="627" spans="11:14">
      <c r="K627" s="140" t="s">
        <v>329</v>
      </c>
      <c r="L627" s="112" t="s">
        <v>3029</v>
      </c>
      <c r="M627" s="112" t="s">
        <v>4197</v>
      </c>
      <c r="N627" s="81" t="s">
        <v>3236</v>
      </c>
    </row>
    <row r="628" spans="11:14">
      <c r="K628" s="140" t="s">
        <v>329</v>
      </c>
      <c r="L628" s="112" t="s">
        <v>3030</v>
      </c>
      <c r="M628" s="112" t="s">
        <v>4198</v>
      </c>
      <c r="N628" s="81" t="s">
        <v>3236</v>
      </c>
    </row>
    <row r="629" spans="11:14">
      <c r="K629" s="141" t="s">
        <v>331</v>
      </c>
      <c r="L629" s="106" t="s">
        <v>3037</v>
      </c>
      <c r="M629" s="106" t="s">
        <v>4199</v>
      </c>
      <c r="N629" s="81" t="s">
        <v>3236</v>
      </c>
    </row>
    <row r="630" spans="11:14">
      <c r="K630" s="141" t="s">
        <v>331</v>
      </c>
      <c r="L630" s="106" t="s">
        <v>3038</v>
      </c>
      <c r="M630" s="106" t="s">
        <v>4200</v>
      </c>
      <c r="N630" s="81" t="s">
        <v>2902</v>
      </c>
    </row>
    <row r="631" spans="11:14">
      <c r="K631" s="141" t="s">
        <v>331</v>
      </c>
      <c r="L631" s="106" t="s">
        <v>3039</v>
      </c>
      <c r="M631" s="106" t="s">
        <v>4201</v>
      </c>
      <c r="N631" s="81" t="s">
        <v>2902</v>
      </c>
    </row>
    <row r="632" spans="11:14">
      <c r="K632" s="112" t="s">
        <v>3058</v>
      </c>
      <c r="L632" s="112" t="s">
        <v>3059</v>
      </c>
      <c r="M632" s="112" t="s">
        <v>4202</v>
      </c>
      <c r="N632" s="81" t="s">
        <v>2902</v>
      </c>
    </row>
    <row r="633" spans="11:14">
      <c r="K633" s="112" t="s">
        <v>3058</v>
      </c>
      <c r="L633" s="112" t="s">
        <v>3060</v>
      </c>
      <c r="M633" s="112" t="s">
        <v>4203</v>
      </c>
      <c r="N633" s="142" t="s">
        <v>3236</v>
      </c>
    </row>
    <row r="634" spans="11:14">
      <c r="K634" s="112" t="s">
        <v>3058</v>
      </c>
      <c r="L634" s="112" t="s">
        <v>3061</v>
      </c>
      <c r="M634" s="112" t="s">
        <v>3625</v>
      </c>
      <c r="N634" s="142" t="s">
        <v>3236</v>
      </c>
    </row>
    <row r="635" spans="11:14">
      <c r="K635" s="112" t="s">
        <v>3058</v>
      </c>
      <c r="L635" s="112" t="s">
        <v>3062</v>
      </c>
      <c r="M635" s="112" t="s">
        <v>4204</v>
      </c>
      <c r="N635" s="142" t="s">
        <v>3236</v>
      </c>
    </row>
    <row r="636" spans="11:14">
      <c r="K636" s="112" t="s">
        <v>3058</v>
      </c>
      <c r="L636" s="112" t="s">
        <v>3063</v>
      </c>
      <c r="M636" s="112" t="s">
        <v>4205</v>
      </c>
      <c r="N636" s="142" t="s">
        <v>3236</v>
      </c>
    </row>
    <row r="637" spans="11:14">
      <c r="K637" s="106" t="s">
        <v>1006</v>
      </c>
      <c r="L637" s="106" t="s">
        <v>1260</v>
      </c>
      <c r="M637" s="106" t="s">
        <v>3628</v>
      </c>
      <c r="N637" s="142" t="s">
        <v>3236</v>
      </c>
    </row>
    <row r="638" spans="11:14">
      <c r="K638" s="106" t="s">
        <v>1026</v>
      </c>
      <c r="L638" s="106" t="s">
        <v>4206</v>
      </c>
      <c r="M638" s="123" t="s">
        <v>4207</v>
      </c>
      <c r="N638" s="81" t="s">
        <v>2902</v>
      </c>
    </row>
    <row r="639" spans="11:14">
      <c r="K639" s="106" t="s">
        <v>1027</v>
      </c>
      <c r="L639" s="106" t="s">
        <v>4208</v>
      </c>
      <c r="M639" s="143" t="s">
        <v>4209</v>
      </c>
      <c r="N639" s="81" t="s">
        <v>3630</v>
      </c>
    </row>
    <row r="640" spans="11:14">
      <c r="K640" s="106" t="s">
        <v>1093</v>
      </c>
      <c r="L640" s="106" t="s">
        <v>1587</v>
      </c>
      <c r="M640" s="106" t="s">
        <v>4210</v>
      </c>
      <c r="N640" s="81" t="s">
        <v>3630</v>
      </c>
    </row>
    <row r="641" spans="11:14">
      <c r="K641" s="106" t="s">
        <v>1094</v>
      </c>
      <c r="L641" s="106" t="s">
        <v>1588</v>
      </c>
      <c r="M641" s="106" t="s">
        <v>4211</v>
      </c>
      <c r="N641" s="81" t="s">
        <v>3630</v>
      </c>
    </row>
    <row r="642" spans="11:14">
      <c r="K642" s="106" t="s">
        <v>1095</v>
      </c>
      <c r="L642" s="106" t="s">
        <v>1589</v>
      </c>
      <c r="M642" s="106" t="s">
        <v>4212</v>
      </c>
      <c r="N642" s="81" t="s">
        <v>3406</v>
      </c>
    </row>
    <row r="643" spans="11:14">
      <c r="K643" s="106" t="s">
        <v>1096</v>
      </c>
      <c r="L643" s="106" t="s">
        <v>1590</v>
      </c>
      <c r="M643" s="106" t="s">
        <v>4213</v>
      </c>
      <c r="N643" s="81" t="s">
        <v>3406</v>
      </c>
    </row>
    <row r="644" spans="11:14">
      <c r="K644" s="106" t="s">
        <v>1096</v>
      </c>
      <c r="L644" s="106" t="s">
        <v>1591</v>
      </c>
      <c r="M644" s="106" t="s">
        <v>4214</v>
      </c>
      <c r="N644" s="81" t="s">
        <v>3406</v>
      </c>
    </row>
    <row r="645" spans="11:14">
      <c r="K645" s="106" t="s">
        <v>1096</v>
      </c>
      <c r="L645" s="106" t="s">
        <v>1592</v>
      </c>
      <c r="M645" s="106" t="s">
        <v>4215</v>
      </c>
      <c r="N645" s="81" t="s">
        <v>3406</v>
      </c>
    </row>
    <row r="646" spans="11:14">
      <c r="K646" s="106" t="s">
        <v>1096</v>
      </c>
      <c r="L646" s="106" t="s">
        <v>1593</v>
      </c>
      <c r="M646" s="106" t="s">
        <v>4216</v>
      </c>
      <c r="N646" s="81" t="s">
        <v>3406</v>
      </c>
    </row>
    <row r="647" spans="11:14">
      <c r="K647" s="106" t="s">
        <v>1097</v>
      </c>
      <c r="L647" s="106" t="s">
        <v>1594</v>
      </c>
      <c r="M647" s="106" t="s">
        <v>3644</v>
      </c>
      <c r="N647" s="81" t="s">
        <v>3406</v>
      </c>
    </row>
    <row r="648" spans="11:14">
      <c r="K648" s="106" t="s">
        <v>1098</v>
      </c>
      <c r="L648" s="106" t="s">
        <v>1595</v>
      </c>
      <c r="M648" s="106" t="s">
        <v>3647</v>
      </c>
      <c r="N648" s="81" t="s">
        <v>3406</v>
      </c>
    </row>
    <row r="649" spans="11:14">
      <c r="K649" s="106" t="s">
        <v>1099</v>
      </c>
      <c r="L649" s="106" t="s">
        <v>1596</v>
      </c>
      <c r="M649" s="106" t="s">
        <v>4217</v>
      </c>
      <c r="N649" s="81" t="s">
        <v>3406</v>
      </c>
    </row>
    <row r="650" spans="11:14">
      <c r="K650" s="106" t="s">
        <v>1099</v>
      </c>
      <c r="L650" s="106" t="s">
        <v>1597</v>
      </c>
      <c r="M650" s="106" t="s">
        <v>4218</v>
      </c>
      <c r="N650" s="81" t="s">
        <v>3406</v>
      </c>
    </row>
    <row r="651" spans="11:14">
      <c r="K651" s="106" t="s">
        <v>1099</v>
      </c>
      <c r="L651" s="106" t="s">
        <v>1598</v>
      </c>
      <c r="M651" s="106" t="s">
        <v>4219</v>
      </c>
      <c r="N651" s="81" t="s">
        <v>3406</v>
      </c>
    </row>
    <row r="652" spans="11:14">
      <c r="K652" s="106" t="s">
        <v>1100</v>
      </c>
      <c r="L652" s="106" t="s">
        <v>1599</v>
      </c>
      <c r="M652" s="106" t="s">
        <v>4220</v>
      </c>
      <c r="N652" s="81" t="s">
        <v>3406</v>
      </c>
    </row>
    <row r="653" spans="11:14">
      <c r="K653" s="106" t="s">
        <v>1100</v>
      </c>
      <c r="L653" s="106" t="s">
        <v>1600</v>
      </c>
      <c r="M653" s="106" t="s">
        <v>4221</v>
      </c>
      <c r="N653" s="81" t="s">
        <v>3406</v>
      </c>
    </row>
    <row r="654" spans="11:14">
      <c r="K654" s="106" t="s">
        <v>1100</v>
      </c>
      <c r="L654" s="106" t="s">
        <v>1601</v>
      </c>
      <c r="M654" s="106" t="s">
        <v>4222</v>
      </c>
      <c r="N654" s="81" t="s">
        <v>3406</v>
      </c>
    </row>
    <row r="655" spans="11:14">
      <c r="K655" s="106" t="s">
        <v>1102</v>
      </c>
      <c r="L655" s="106" t="s">
        <v>1602</v>
      </c>
      <c r="M655" s="106" t="s">
        <v>4223</v>
      </c>
      <c r="N655" s="81" t="s">
        <v>3406</v>
      </c>
    </row>
    <row r="656" spans="11:14">
      <c r="K656" s="106" t="s">
        <v>1102</v>
      </c>
      <c r="L656" s="106" t="s">
        <v>1603</v>
      </c>
      <c r="M656" s="106" t="s">
        <v>4224</v>
      </c>
      <c r="N656" s="81" t="s">
        <v>3406</v>
      </c>
    </row>
    <row r="657" spans="11:14">
      <c r="K657" s="106" t="s">
        <v>1102</v>
      </c>
      <c r="L657" s="106" t="s">
        <v>1604</v>
      </c>
      <c r="M657" s="106" t="s">
        <v>4225</v>
      </c>
      <c r="N657" s="81" t="s">
        <v>3406</v>
      </c>
    </row>
    <row r="658" spans="11:14">
      <c r="K658" s="106" t="s">
        <v>1104</v>
      </c>
      <c r="L658" s="106" t="s">
        <v>1607</v>
      </c>
      <c r="M658" s="106" t="s">
        <v>4226</v>
      </c>
      <c r="N658" s="81" t="s">
        <v>3406</v>
      </c>
    </row>
    <row r="659" spans="11:14">
      <c r="K659" s="106" t="s">
        <v>1104</v>
      </c>
      <c r="L659" s="106" t="s">
        <v>1608</v>
      </c>
      <c r="M659" s="106" t="s">
        <v>4227</v>
      </c>
      <c r="N659" s="81" t="s">
        <v>3406</v>
      </c>
    </row>
    <row r="660" spans="11:14">
      <c r="K660" s="106" t="s">
        <v>1026</v>
      </c>
      <c r="L660" s="106" t="s">
        <v>4228</v>
      </c>
      <c r="M660" s="106" t="s">
        <v>4229</v>
      </c>
      <c r="N660" s="81" t="s">
        <v>3406</v>
      </c>
    </row>
    <row r="661" spans="11:14">
      <c r="K661" s="106" t="s">
        <v>1026</v>
      </c>
      <c r="L661" s="106" t="s">
        <v>4230</v>
      </c>
      <c r="M661" s="106" t="s">
        <v>4231</v>
      </c>
      <c r="N661" s="81" t="s">
        <v>3406</v>
      </c>
    </row>
    <row r="662" spans="11:14">
      <c r="K662" s="106" t="s">
        <v>1027</v>
      </c>
      <c r="L662" s="106" t="s">
        <v>4232</v>
      </c>
      <c r="M662" s="106" t="s">
        <v>4233</v>
      </c>
      <c r="N662" s="81" t="s">
        <v>3406</v>
      </c>
    </row>
    <row r="663" spans="11:14">
      <c r="K663" s="106" t="s">
        <v>1027</v>
      </c>
      <c r="L663" s="106" t="s">
        <v>4234</v>
      </c>
      <c r="M663" s="106" t="s">
        <v>4235</v>
      </c>
      <c r="N663" s="81" t="s">
        <v>3406</v>
      </c>
    </row>
    <row r="664" spans="11:14">
      <c r="K664" s="106" t="s">
        <v>1083</v>
      </c>
      <c r="L664" s="106" t="s">
        <v>1561</v>
      </c>
      <c r="M664" s="106" t="s">
        <v>4236</v>
      </c>
      <c r="N664" s="81" t="s">
        <v>3406</v>
      </c>
    </row>
    <row r="665" spans="11:14">
      <c r="K665" s="106" t="s">
        <v>1083</v>
      </c>
      <c r="L665" s="106" t="s">
        <v>1562</v>
      </c>
      <c r="M665" s="106" t="s">
        <v>4237</v>
      </c>
      <c r="N665" s="81" t="s">
        <v>3406</v>
      </c>
    </row>
    <row r="666" spans="11:14">
      <c r="K666" s="106" t="s">
        <v>1083</v>
      </c>
      <c r="L666" s="106" t="s">
        <v>1563</v>
      </c>
      <c r="M666" s="106" t="s">
        <v>4238</v>
      </c>
    </row>
    <row r="667" spans="11:14">
      <c r="K667" s="106" t="s">
        <v>1084</v>
      </c>
      <c r="L667" s="106" t="s">
        <v>1564</v>
      </c>
      <c r="M667" s="106" t="s">
        <v>4239</v>
      </c>
    </row>
    <row r="668" spans="11:14">
      <c r="K668" s="106" t="s">
        <v>1084</v>
      </c>
      <c r="L668" s="106" t="s">
        <v>1565</v>
      </c>
      <c r="M668" s="106" t="s">
        <v>4240</v>
      </c>
    </row>
    <row r="669" spans="11:14">
      <c r="K669" s="106" t="s">
        <v>1084</v>
      </c>
      <c r="L669" s="106" t="s">
        <v>1566</v>
      </c>
      <c r="M669" s="144" t="s">
        <v>4241</v>
      </c>
    </row>
    <row r="670" spans="11:14">
      <c r="K670" s="106" t="s">
        <v>1085</v>
      </c>
      <c r="L670" s="106" t="s">
        <v>3066</v>
      </c>
      <c r="M670" s="123" t="s">
        <v>4242</v>
      </c>
    </row>
    <row r="671" spans="11:14">
      <c r="K671" s="106" t="s">
        <v>1085</v>
      </c>
      <c r="L671" s="106" t="s">
        <v>3067</v>
      </c>
      <c r="M671" s="123" t="s">
        <v>4243</v>
      </c>
    </row>
    <row r="672" spans="11:14">
      <c r="K672" s="106" t="s">
        <v>1085</v>
      </c>
      <c r="L672" s="106" t="s">
        <v>3068</v>
      </c>
      <c r="M672" s="123" t="s">
        <v>4244</v>
      </c>
    </row>
    <row r="673" spans="11:14">
      <c r="K673" s="112" t="s">
        <v>3069</v>
      </c>
      <c r="L673" s="112" t="s">
        <v>3070</v>
      </c>
      <c r="M673" s="112" t="s">
        <v>4245</v>
      </c>
    </row>
    <row r="674" spans="11:14">
      <c r="K674" s="112" t="s">
        <v>3069</v>
      </c>
      <c r="L674" s="112" t="s">
        <v>3071</v>
      </c>
      <c r="M674" s="112" t="s">
        <v>4246</v>
      </c>
      <c r="N674" s="81" t="s">
        <v>3284</v>
      </c>
    </row>
    <row r="675" spans="11:14">
      <c r="K675" s="112" t="s">
        <v>3072</v>
      </c>
      <c r="L675" s="112" t="s">
        <v>3073</v>
      </c>
      <c r="M675" s="112" t="s">
        <v>4247</v>
      </c>
      <c r="N675" s="81" t="s">
        <v>3284</v>
      </c>
    </row>
    <row r="676" spans="11:14">
      <c r="K676" s="112" t="s">
        <v>3072</v>
      </c>
      <c r="L676" s="112" t="s">
        <v>3074</v>
      </c>
      <c r="M676" s="112" t="s">
        <v>4248</v>
      </c>
      <c r="N676" s="81" t="s">
        <v>3284</v>
      </c>
    </row>
    <row r="677" spans="11:14">
      <c r="K677" s="112" t="s">
        <v>3072</v>
      </c>
      <c r="L677" s="112" t="s">
        <v>3075</v>
      </c>
      <c r="M677" s="112" t="s">
        <v>4249</v>
      </c>
      <c r="N677" s="81" t="s">
        <v>3284</v>
      </c>
    </row>
    <row r="678" spans="11:14">
      <c r="K678" s="112" t="s">
        <v>3076</v>
      </c>
      <c r="L678" s="112" t="s">
        <v>3077</v>
      </c>
      <c r="M678" s="112" t="s">
        <v>4250</v>
      </c>
      <c r="N678" s="81" t="s">
        <v>3284</v>
      </c>
    </row>
    <row r="679" spans="11:14">
      <c r="K679" s="112" t="s">
        <v>3076</v>
      </c>
      <c r="L679" s="112" t="s">
        <v>3078</v>
      </c>
      <c r="M679" s="112" t="s">
        <v>4251</v>
      </c>
      <c r="N679" s="81" t="s">
        <v>3284</v>
      </c>
    </row>
    <row r="680" spans="11:14">
      <c r="K680" s="112" t="s">
        <v>3076</v>
      </c>
      <c r="L680" s="112" t="s">
        <v>3079</v>
      </c>
      <c r="M680" s="112" t="s">
        <v>4252</v>
      </c>
      <c r="N680" s="81" t="s">
        <v>3284</v>
      </c>
    </row>
    <row r="681" spans="11:14">
      <c r="K681" s="106" t="s">
        <v>1086</v>
      </c>
      <c r="L681" s="106" t="s">
        <v>1570</v>
      </c>
      <c r="M681" s="106" t="s">
        <v>4253</v>
      </c>
      <c r="N681" s="81" t="s">
        <v>3284</v>
      </c>
    </row>
    <row r="682" spans="11:14">
      <c r="K682" s="106" t="s">
        <v>1086</v>
      </c>
      <c r="L682" s="106" t="s">
        <v>1572</v>
      </c>
      <c r="M682" s="106" t="s">
        <v>4254</v>
      </c>
    </row>
    <row r="683" spans="11:14">
      <c r="K683" s="106" t="s">
        <v>1087</v>
      </c>
      <c r="L683" s="106" t="s">
        <v>1573</v>
      </c>
      <c r="M683" s="106" t="s">
        <v>4255</v>
      </c>
    </row>
    <row r="684" spans="11:14">
      <c r="K684" s="106" t="s">
        <v>1087</v>
      </c>
      <c r="L684" s="106" t="s">
        <v>1574</v>
      </c>
      <c r="M684" s="106" t="s">
        <v>4256</v>
      </c>
    </row>
    <row r="685" spans="11:14">
      <c r="K685" s="106" t="s">
        <v>1088</v>
      </c>
      <c r="L685" s="106" t="s">
        <v>1576</v>
      </c>
      <c r="M685" s="145" t="s">
        <v>4257</v>
      </c>
    </row>
    <row r="686" spans="11:14">
      <c r="K686" s="106" t="s">
        <v>1088</v>
      </c>
      <c r="L686" s="106" t="s">
        <v>1577</v>
      </c>
      <c r="M686" s="145" t="s">
        <v>4258</v>
      </c>
    </row>
    <row r="687" spans="11:14">
      <c r="K687" s="106" t="s">
        <v>1088</v>
      </c>
      <c r="L687" s="106" t="s">
        <v>1578</v>
      </c>
      <c r="M687" s="106" t="s">
        <v>4259</v>
      </c>
    </row>
    <row r="688" spans="11:14">
      <c r="K688" s="106" t="s">
        <v>1088</v>
      </c>
      <c r="L688" s="106" t="s">
        <v>1579</v>
      </c>
      <c r="M688" s="106" t="s">
        <v>352</v>
      </c>
    </row>
    <row r="689" spans="11:14">
      <c r="K689" s="106" t="s">
        <v>1088</v>
      </c>
      <c r="L689" s="106" t="s">
        <v>1580</v>
      </c>
      <c r="M689" s="106" t="s">
        <v>4260</v>
      </c>
    </row>
    <row r="690" spans="11:14">
      <c r="K690" s="106" t="s">
        <v>1088</v>
      </c>
      <c r="L690" s="106" t="s">
        <v>1581</v>
      </c>
      <c r="M690" s="106" t="s">
        <v>4261</v>
      </c>
    </row>
    <row r="691" spans="11:14">
      <c r="K691" s="106" t="s">
        <v>1088</v>
      </c>
      <c r="L691" s="106" t="s">
        <v>3080</v>
      </c>
      <c r="M691" s="106" t="s">
        <v>4262</v>
      </c>
    </row>
    <row r="692" spans="11:14">
      <c r="K692" s="106" t="s">
        <v>1088</v>
      </c>
      <c r="L692" s="106" t="s">
        <v>3081</v>
      </c>
      <c r="M692" s="106" t="s">
        <v>4263</v>
      </c>
    </row>
    <row r="693" spans="11:14">
      <c r="K693" s="90" t="s">
        <v>1111</v>
      </c>
      <c r="L693" s="106" t="s">
        <v>1622</v>
      </c>
      <c r="M693" s="90" t="s">
        <v>4264</v>
      </c>
    </row>
    <row r="694" spans="11:14">
      <c r="K694" s="90" t="s">
        <v>1111</v>
      </c>
      <c r="L694" s="106" t="s">
        <v>1623</v>
      </c>
      <c r="M694" s="90" t="s">
        <v>4265</v>
      </c>
      <c r="N694" s="146" t="s">
        <v>3695</v>
      </c>
    </row>
    <row r="695" spans="11:14">
      <c r="K695" s="90" t="s">
        <v>1112</v>
      </c>
      <c r="L695" s="106" t="s">
        <v>1624</v>
      </c>
      <c r="M695" s="90" t="s">
        <v>3697</v>
      </c>
      <c r="N695" s="146" t="s">
        <v>3695</v>
      </c>
    </row>
    <row r="696" spans="11:14">
      <c r="K696" s="90" t="s">
        <v>1113</v>
      </c>
      <c r="L696" s="106" t="s">
        <v>1625</v>
      </c>
      <c r="M696" s="90" t="s">
        <v>3699</v>
      </c>
      <c r="N696" s="146" t="s">
        <v>3695</v>
      </c>
    </row>
    <row r="697" spans="11:14">
      <c r="K697" s="90" t="s">
        <v>1114</v>
      </c>
      <c r="L697" s="106" t="s">
        <v>1626</v>
      </c>
      <c r="M697" s="90" t="s">
        <v>4266</v>
      </c>
      <c r="N697" s="146" t="s">
        <v>3695</v>
      </c>
    </row>
    <row r="698" spans="11:14">
      <c r="K698" s="90" t="s">
        <v>1114</v>
      </c>
      <c r="L698" s="106" t="s">
        <v>1627</v>
      </c>
      <c r="M698" s="90" t="s">
        <v>4267</v>
      </c>
      <c r="N698" s="146" t="s">
        <v>3695</v>
      </c>
    </row>
    <row r="699" spans="11:14">
      <c r="K699" s="90" t="s">
        <v>1114</v>
      </c>
      <c r="L699" s="106" t="s">
        <v>1628</v>
      </c>
      <c r="M699" s="90" t="s">
        <v>4268</v>
      </c>
      <c r="N699" s="146" t="s">
        <v>3695</v>
      </c>
    </row>
    <row r="700" spans="11:14">
      <c r="K700" s="90" t="s">
        <v>1115</v>
      </c>
      <c r="L700" s="106" t="s">
        <v>1629</v>
      </c>
      <c r="M700" s="90" t="s">
        <v>4269</v>
      </c>
      <c r="N700" s="146" t="s">
        <v>3695</v>
      </c>
    </row>
    <row r="701" spans="11:14">
      <c r="K701" s="90" t="s">
        <v>1116</v>
      </c>
      <c r="L701" s="106" t="s">
        <v>1630</v>
      </c>
      <c r="M701" s="90" t="s">
        <v>3705</v>
      </c>
      <c r="N701" s="146" t="s">
        <v>3695</v>
      </c>
    </row>
    <row r="702" spans="11:14">
      <c r="K702" s="90" t="s">
        <v>1117</v>
      </c>
      <c r="L702" s="106" t="s">
        <v>1631</v>
      </c>
      <c r="M702" s="90" t="s">
        <v>4270</v>
      </c>
      <c r="N702" s="146" t="s">
        <v>3695</v>
      </c>
    </row>
    <row r="703" spans="11:14">
      <c r="K703" s="90" t="s">
        <v>1117</v>
      </c>
      <c r="L703" s="106" t="s">
        <v>1632</v>
      </c>
      <c r="M703" s="90" t="s">
        <v>4271</v>
      </c>
      <c r="N703" s="146" t="s">
        <v>3695</v>
      </c>
    </row>
    <row r="704" spans="11:14">
      <c r="K704" s="106" t="s">
        <v>183</v>
      </c>
      <c r="L704" s="106" t="s">
        <v>1280</v>
      </c>
      <c r="M704" s="106" t="s">
        <v>3392</v>
      </c>
      <c r="N704" s="146" t="s">
        <v>3695</v>
      </c>
    </row>
    <row r="705" spans="11:14">
      <c r="K705" s="112" t="s">
        <v>387</v>
      </c>
      <c r="L705" s="112" t="s">
        <v>4272</v>
      </c>
      <c r="M705" s="112" t="s">
        <v>388</v>
      </c>
    </row>
    <row r="706" spans="11:14">
      <c r="K706" s="106" t="s">
        <v>4273</v>
      </c>
      <c r="L706" s="106" t="s">
        <v>4274</v>
      </c>
      <c r="M706" s="106" t="s">
        <v>4275</v>
      </c>
      <c r="N706" s="81" t="s">
        <v>3236</v>
      </c>
    </row>
    <row r="707" spans="11:14">
      <c r="K707" s="106" t="s">
        <v>4273</v>
      </c>
      <c r="L707" s="106" t="s">
        <v>4276</v>
      </c>
      <c r="M707" s="106" t="s">
        <v>4277</v>
      </c>
      <c r="N707" s="81" t="s">
        <v>4278</v>
      </c>
    </row>
    <row r="708" spans="11:14">
      <c r="K708" s="106" t="s">
        <v>4279</v>
      </c>
      <c r="L708" s="106" t="s">
        <v>4280</v>
      </c>
      <c r="M708" s="106" t="s">
        <v>4281</v>
      </c>
      <c r="N708" s="81" t="s">
        <v>4278</v>
      </c>
    </row>
    <row r="709" spans="11:14">
      <c r="K709" s="106" t="s">
        <v>4279</v>
      </c>
      <c r="L709" s="106" t="s">
        <v>4282</v>
      </c>
      <c r="M709" s="106" t="s">
        <v>4283</v>
      </c>
      <c r="N709" s="81" t="s">
        <v>4278</v>
      </c>
    </row>
    <row r="710" spans="11:14">
      <c r="K710" s="106" t="s">
        <v>303</v>
      </c>
      <c r="L710" s="106" t="s">
        <v>1440</v>
      </c>
      <c r="M710" s="106" t="s">
        <v>4284</v>
      </c>
      <c r="N710" s="81" t="s">
        <v>4278</v>
      </c>
    </row>
    <row r="711" spans="11:14">
      <c r="K711" s="106" t="s">
        <v>303</v>
      </c>
      <c r="L711" s="106" t="s">
        <v>4285</v>
      </c>
      <c r="M711" s="106" t="s">
        <v>4286</v>
      </c>
      <c r="N711" s="81" t="s">
        <v>4287</v>
      </c>
    </row>
    <row r="712" spans="11:14">
      <c r="K712" s="106" t="s">
        <v>339</v>
      </c>
      <c r="L712" s="106" t="s">
        <v>4288</v>
      </c>
      <c r="M712" s="106" t="s">
        <v>4289</v>
      </c>
      <c r="N712" s="81" t="s">
        <v>4287</v>
      </c>
    </row>
    <row r="713" spans="11:14">
      <c r="K713" s="106" t="s">
        <v>339</v>
      </c>
      <c r="L713" s="106" t="s">
        <v>1540</v>
      </c>
      <c r="M713" s="106" t="s">
        <v>4290</v>
      </c>
      <c r="N713" s="81" t="s">
        <v>4287</v>
      </c>
    </row>
    <row r="714" spans="11:14">
      <c r="K714" s="147" t="s">
        <v>1969</v>
      </c>
      <c r="L714" s="147" t="s">
        <v>2064</v>
      </c>
      <c r="M714" s="147" t="s">
        <v>4291</v>
      </c>
      <c r="N714" s="81" t="s">
        <v>4287</v>
      </c>
    </row>
    <row r="715" spans="11:14">
      <c r="K715" s="147" t="s">
        <v>1969</v>
      </c>
      <c r="L715" s="147" t="s">
        <v>2065</v>
      </c>
      <c r="M715" s="147" t="s">
        <v>4292</v>
      </c>
      <c r="N715" s="146" t="s">
        <v>3715</v>
      </c>
    </row>
    <row r="716" spans="11:14">
      <c r="K716" s="147" t="s">
        <v>1968</v>
      </c>
      <c r="L716" s="147" t="s">
        <v>2062</v>
      </c>
      <c r="M716" s="147" t="s">
        <v>3717</v>
      </c>
      <c r="N716" s="146" t="s">
        <v>3715</v>
      </c>
    </row>
    <row r="717" spans="11:14">
      <c r="K717" s="147" t="s">
        <v>1968</v>
      </c>
      <c r="L717" s="147" t="s">
        <v>2063</v>
      </c>
      <c r="M717" s="147" t="s">
        <v>4293</v>
      </c>
      <c r="N717" s="146" t="s">
        <v>3715</v>
      </c>
    </row>
    <row r="718" spans="11:14">
      <c r="K718" s="147" t="s">
        <v>1970</v>
      </c>
      <c r="L718" s="147" t="s">
        <v>2066</v>
      </c>
      <c r="M718" s="147" t="s">
        <v>4294</v>
      </c>
      <c r="N718" s="146" t="s">
        <v>3715</v>
      </c>
    </row>
    <row r="719" spans="11:14">
      <c r="K719" s="147" t="s">
        <v>1970</v>
      </c>
      <c r="L719" s="147" t="s">
        <v>2067</v>
      </c>
      <c r="M719" s="147" t="s">
        <v>4295</v>
      </c>
      <c r="N719" s="146" t="s">
        <v>3715</v>
      </c>
    </row>
    <row r="720" spans="11:14">
      <c r="K720" s="134" t="s">
        <v>1036</v>
      </c>
      <c r="L720" s="106" t="s">
        <v>1348</v>
      </c>
      <c r="M720" s="106" t="s">
        <v>3721</v>
      </c>
      <c r="N720" s="146" t="s">
        <v>3715</v>
      </c>
    </row>
    <row r="721" spans="11:14">
      <c r="K721" s="134" t="s">
        <v>1028</v>
      </c>
      <c r="L721" s="106" t="s">
        <v>1338</v>
      </c>
      <c r="M721" s="106" t="s">
        <v>4296</v>
      </c>
      <c r="N721" s="148" t="s">
        <v>3724</v>
      </c>
    </row>
    <row r="722" spans="11:14">
      <c r="K722" s="134" t="s">
        <v>1028</v>
      </c>
      <c r="L722" s="106" t="s">
        <v>1339</v>
      </c>
      <c r="M722" s="106" t="s">
        <v>4297</v>
      </c>
      <c r="N722" s="148" t="s">
        <v>4298</v>
      </c>
    </row>
    <row r="723" spans="11:14">
      <c r="K723" s="134" t="s">
        <v>1030</v>
      </c>
      <c r="L723" s="106" t="s">
        <v>1340</v>
      </c>
      <c r="M723" s="106" t="s">
        <v>4299</v>
      </c>
      <c r="N723" s="148" t="s">
        <v>4298</v>
      </c>
    </row>
    <row r="724" spans="11:14">
      <c r="K724" s="134" t="s">
        <v>1023</v>
      </c>
      <c r="L724" s="106" t="s">
        <v>1327</v>
      </c>
      <c r="M724" s="106" t="s">
        <v>4300</v>
      </c>
      <c r="N724" s="149" t="s">
        <v>4298</v>
      </c>
    </row>
    <row r="725" spans="11:14">
      <c r="K725" s="134" t="s">
        <v>1023</v>
      </c>
      <c r="L725" s="106" t="s">
        <v>1328</v>
      </c>
      <c r="M725" s="106" t="s">
        <v>4301</v>
      </c>
      <c r="N725" s="148" t="s">
        <v>4298</v>
      </c>
    </row>
    <row r="726" spans="11:14">
      <c r="K726" s="134" t="s">
        <v>1019</v>
      </c>
      <c r="L726" s="106" t="s">
        <v>1315</v>
      </c>
      <c r="M726" s="106" t="s">
        <v>2287</v>
      </c>
      <c r="N726" s="148" t="s">
        <v>4298</v>
      </c>
    </row>
    <row r="727" spans="11:14">
      <c r="K727" s="134" t="s">
        <v>1009</v>
      </c>
      <c r="L727" s="106" t="s">
        <v>1261</v>
      </c>
      <c r="M727" s="106" t="s">
        <v>4302</v>
      </c>
      <c r="N727" s="148" t="s">
        <v>4298</v>
      </c>
    </row>
    <row r="728" spans="11:14">
      <c r="K728" s="134" t="s">
        <v>1009</v>
      </c>
      <c r="L728" s="106" t="s">
        <v>1263</v>
      </c>
      <c r="M728" s="106" t="s">
        <v>4303</v>
      </c>
      <c r="N728" s="148" t="s">
        <v>4298</v>
      </c>
    </row>
    <row r="729" spans="11:14">
      <c r="K729" s="134" t="s">
        <v>991</v>
      </c>
      <c r="L729" s="106" t="s">
        <v>1209</v>
      </c>
      <c r="M729" s="106" t="s">
        <v>4304</v>
      </c>
      <c r="N729" s="148" t="s">
        <v>4298</v>
      </c>
    </row>
    <row r="730" spans="11:14">
      <c r="K730" s="134" t="s">
        <v>1045</v>
      </c>
      <c r="L730" s="106" t="s">
        <v>1369</v>
      </c>
      <c r="M730" s="106" t="s">
        <v>3589</v>
      </c>
      <c r="N730" s="148" t="s">
        <v>4298</v>
      </c>
    </row>
    <row r="731" spans="11:14">
      <c r="K731" s="134" t="s">
        <v>1045</v>
      </c>
      <c r="L731" s="106" t="s">
        <v>1370</v>
      </c>
      <c r="M731" s="106" t="s">
        <v>3591</v>
      </c>
      <c r="N731" s="148" t="s">
        <v>4298</v>
      </c>
    </row>
    <row r="732" spans="11:14">
      <c r="K732" s="106" t="s">
        <v>1045</v>
      </c>
      <c r="L732" s="106" t="s">
        <v>1371</v>
      </c>
      <c r="M732" s="106" t="s">
        <v>3605</v>
      </c>
      <c r="N732" s="148" t="s">
        <v>4298</v>
      </c>
    </row>
    <row r="733" spans="11:14">
      <c r="K733" s="106" t="s">
        <v>1045</v>
      </c>
      <c r="L733" s="106" t="s">
        <v>1373</v>
      </c>
      <c r="M733" s="106" t="s">
        <v>3610</v>
      </c>
      <c r="N733" s="148" t="s">
        <v>4298</v>
      </c>
    </row>
    <row r="734" spans="11:14">
      <c r="K734" s="106" t="s">
        <v>1045</v>
      </c>
      <c r="L734" s="106" t="s">
        <v>1374</v>
      </c>
      <c r="M734" s="106" t="s">
        <v>3612</v>
      </c>
      <c r="N734" s="148" t="s">
        <v>4298</v>
      </c>
    </row>
    <row r="735" spans="11:14">
      <c r="K735" s="106" t="s">
        <v>1045</v>
      </c>
      <c r="L735" s="106" t="s">
        <v>1375</v>
      </c>
      <c r="M735" s="106" t="s">
        <v>3614</v>
      </c>
      <c r="N735" s="148" t="s">
        <v>4298</v>
      </c>
    </row>
    <row r="736" spans="11:14">
      <c r="K736" s="106" t="s">
        <v>1045</v>
      </c>
      <c r="L736" s="106" t="s">
        <v>1376</v>
      </c>
      <c r="M736" s="106" t="s">
        <v>3616</v>
      </c>
      <c r="N736" s="148" t="s">
        <v>4298</v>
      </c>
    </row>
    <row r="737" spans="11:14">
      <c r="K737" s="106" t="s">
        <v>1045</v>
      </c>
      <c r="L737" s="106" t="s">
        <v>1372</v>
      </c>
      <c r="M737" s="106" t="s">
        <v>3608</v>
      </c>
      <c r="N737" s="148" t="s">
        <v>4298</v>
      </c>
    </row>
    <row r="738" spans="11:14">
      <c r="K738" s="106" t="s">
        <v>1047</v>
      </c>
      <c r="L738" s="106" t="s">
        <v>1377</v>
      </c>
      <c r="M738" s="106" t="s">
        <v>3593</v>
      </c>
      <c r="N738" s="148" t="s">
        <v>4298</v>
      </c>
    </row>
    <row r="739" spans="11:14">
      <c r="K739" s="106" t="s">
        <v>1047</v>
      </c>
      <c r="L739" s="106" t="s">
        <v>1378</v>
      </c>
      <c r="M739" s="106" t="s">
        <v>3596</v>
      </c>
      <c r="N739" s="148" t="s">
        <v>4298</v>
      </c>
    </row>
    <row r="740" spans="11:14">
      <c r="K740" s="106" t="s">
        <v>1049</v>
      </c>
      <c r="L740" s="106" t="s">
        <v>1379</v>
      </c>
      <c r="M740" s="106" t="s">
        <v>3598</v>
      </c>
      <c r="N740" s="148" t="s">
        <v>4298</v>
      </c>
    </row>
    <row r="741" spans="11:14">
      <c r="K741" s="106" t="s">
        <v>1049</v>
      </c>
      <c r="L741" s="106" t="s">
        <v>1381</v>
      </c>
      <c r="M741" s="106" t="s">
        <v>3600</v>
      </c>
      <c r="N741" s="148" t="s">
        <v>4298</v>
      </c>
    </row>
    <row r="742" spans="11:14">
      <c r="K742" s="106" t="s">
        <v>1051</v>
      </c>
      <c r="L742" s="106" t="s">
        <v>1382</v>
      </c>
      <c r="M742" s="106" t="s">
        <v>4305</v>
      </c>
      <c r="N742" s="148" t="s">
        <v>4298</v>
      </c>
    </row>
    <row r="743" spans="11:14">
      <c r="K743" s="106" t="s">
        <v>1051</v>
      </c>
      <c r="L743" s="106" t="s">
        <v>1383</v>
      </c>
      <c r="M743" s="106" t="s">
        <v>4183</v>
      </c>
      <c r="N743" s="148" t="s">
        <v>4298</v>
      </c>
    </row>
    <row r="744" spans="11:14">
      <c r="K744" s="106" t="s">
        <v>1051</v>
      </c>
      <c r="L744" s="106" t="s">
        <v>1384</v>
      </c>
      <c r="M744" s="106" t="s">
        <v>4306</v>
      </c>
      <c r="N744" s="148" t="s">
        <v>4298</v>
      </c>
    </row>
    <row r="745" ht="17.4" spans="11:14">
      <c r="K745" s="134" t="s">
        <v>1060</v>
      </c>
      <c r="L745" s="106" t="s">
        <v>1415</v>
      </c>
      <c r="M745" s="126" t="s">
        <v>4307</v>
      </c>
      <c r="N745" s="148" t="s">
        <v>4298</v>
      </c>
    </row>
    <row r="746" ht="17.4" spans="11:14">
      <c r="K746" s="134" t="s">
        <v>1060</v>
      </c>
      <c r="L746" s="106" t="s">
        <v>1416</v>
      </c>
      <c r="M746" s="126" t="s">
        <v>4308</v>
      </c>
      <c r="N746" s="148" t="s">
        <v>4298</v>
      </c>
    </row>
    <row r="747" ht="17.4" spans="11:14">
      <c r="K747" s="134" t="s">
        <v>1062</v>
      </c>
      <c r="L747" s="106" t="s">
        <v>1419</v>
      </c>
      <c r="M747" s="126" t="s">
        <v>4309</v>
      </c>
      <c r="N747" s="148" t="s">
        <v>4298</v>
      </c>
    </row>
    <row r="748" ht="17.4" spans="11:14">
      <c r="K748" s="134" t="s">
        <v>1061</v>
      </c>
      <c r="L748" s="106" t="s">
        <v>1417</v>
      </c>
      <c r="M748" s="126" t="s">
        <v>4310</v>
      </c>
      <c r="N748" s="148" t="s">
        <v>4298</v>
      </c>
    </row>
    <row r="749" ht="17.4" spans="11:14">
      <c r="K749" s="134" t="s">
        <v>1061</v>
      </c>
      <c r="L749" s="106" t="s">
        <v>1418</v>
      </c>
      <c r="M749" s="126" t="s">
        <v>4311</v>
      </c>
      <c r="N749" s="148" t="s">
        <v>4298</v>
      </c>
    </row>
    <row r="750" ht="17.4" spans="11:14">
      <c r="K750" s="134" t="s">
        <v>4312</v>
      </c>
      <c r="L750" s="106" t="s">
        <v>1420</v>
      </c>
      <c r="M750" s="126" t="s">
        <v>4313</v>
      </c>
      <c r="N750" s="148" t="s">
        <v>4298</v>
      </c>
    </row>
    <row r="751" spans="11:14">
      <c r="K751" s="134" t="s">
        <v>295</v>
      </c>
      <c r="L751" s="106" t="s">
        <v>1424</v>
      </c>
      <c r="M751" s="106" t="s">
        <v>4314</v>
      </c>
      <c r="N751" s="148" t="s">
        <v>4298</v>
      </c>
    </row>
    <row r="752" spans="11:14">
      <c r="K752" s="134" t="s">
        <v>1064</v>
      </c>
      <c r="L752" s="106" t="s">
        <v>1429</v>
      </c>
      <c r="M752" s="106" t="s">
        <v>3785</v>
      </c>
      <c r="N752" s="148" t="s">
        <v>4298</v>
      </c>
    </row>
    <row r="753" spans="11:16">
      <c r="K753" s="134" t="s">
        <v>1064</v>
      </c>
      <c r="L753" s="106" t="s">
        <v>1430</v>
      </c>
      <c r="M753" s="106" t="s">
        <v>3788</v>
      </c>
      <c r="N753" s="148" t="s">
        <v>4298</v>
      </c>
    </row>
    <row r="754" spans="11:16">
      <c r="K754" s="134" t="s">
        <v>1064</v>
      </c>
      <c r="L754" s="106" t="s">
        <v>1431</v>
      </c>
      <c r="M754" s="106" t="s">
        <v>4315</v>
      </c>
      <c r="N754" s="148" t="s">
        <v>4298</v>
      </c>
    </row>
    <row r="755" spans="11:16">
      <c r="K755" s="134" t="s">
        <v>1065</v>
      </c>
      <c r="L755" s="106" t="s">
        <v>1432</v>
      </c>
      <c r="M755" s="106" t="s">
        <v>3791</v>
      </c>
      <c r="N755" s="148" t="s">
        <v>4298</v>
      </c>
    </row>
    <row r="756" spans="11:16">
      <c r="K756" s="134" t="s">
        <v>1065</v>
      </c>
      <c r="L756" s="106" t="s">
        <v>1433</v>
      </c>
      <c r="M756" s="106" t="s">
        <v>3794</v>
      </c>
      <c r="N756" s="148" t="s">
        <v>4298</v>
      </c>
    </row>
    <row r="757" spans="11:16">
      <c r="K757" s="134" t="s">
        <v>1068</v>
      </c>
      <c r="L757" s="106" t="s">
        <v>1436</v>
      </c>
      <c r="M757" s="106" t="s">
        <v>3806</v>
      </c>
      <c r="N757" s="148" t="s">
        <v>4298</v>
      </c>
    </row>
    <row r="758" spans="11:16">
      <c r="K758" s="134" t="s">
        <v>1068</v>
      </c>
      <c r="L758" s="106" t="s">
        <v>1437</v>
      </c>
      <c r="M758" s="106" t="s">
        <v>4316</v>
      </c>
      <c r="N758" s="148" t="s">
        <v>4298</v>
      </c>
    </row>
    <row r="759" spans="11:16">
      <c r="K759" s="134" t="s">
        <v>1068</v>
      </c>
      <c r="L759" s="106" t="s">
        <v>1438</v>
      </c>
      <c r="M759" s="106" t="s">
        <v>4317</v>
      </c>
      <c r="N759" s="148" t="s">
        <v>4298</v>
      </c>
    </row>
    <row r="760" spans="11:16">
      <c r="K760" s="134" t="s">
        <v>1075</v>
      </c>
      <c r="L760" s="106" t="s">
        <v>1502</v>
      </c>
      <c r="M760" s="106" t="s">
        <v>3763</v>
      </c>
      <c r="N760" s="148" t="s">
        <v>4298</v>
      </c>
      <c r="P760" s="150"/>
    </row>
    <row r="761" spans="11:16">
      <c r="K761" s="134" t="s">
        <v>1075</v>
      </c>
      <c r="L761" s="106" t="s">
        <v>1503</v>
      </c>
      <c r="M761" s="106" t="s">
        <v>4318</v>
      </c>
      <c r="N761" s="148" t="s">
        <v>4298</v>
      </c>
      <c r="P761" s="150"/>
    </row>
    <row r="762" spans="11:16">
      <c r="K762" s="134" t="s">
        <v>1075</v>
      </c>
      <c r="L762" s="106" t="s">
        <v>1504</v>
      </c>
      <c r="M762" s="106" t="s">
        <v>4319</v>
      </c>
      <c r="N762" s="148" t="s">
        <v>4298</v>
      </c>
      <c r="P762" s="150"/>
    </row>
    <row r="763" spans="11:16">
      <c r="K763" s="134" t="s">
        <v>1077</v>
      </c>
      <c r="L763" s="106" t="s">
        <v>1505</v>
      </c>
      <c r="M763" s="106" t="s">
        <v>4320</v>
      </c>
      <c r="N763" s="148" t="s">
        <v>4298</v>
      </c>
      <c r="P763" s="150"/>
    </row>
    <row r="764" spans="11:16">
      <c r="K764" s="134" t="s">
        <v>1077</v>
      </c>
      <c r="L764" s="106" t="s">
        <v>1506</v>
      </c>
      <c r="M764" s="106" t="s">
        <v>4321</v>
      </c>
      <c r="N764" s="148" t="s">
        <v>4298</v>
      </c>
      <c r="P764" s="150"/>
    </row>
    <row r="765" spans="11:16">
      <c r="K765" s="134" t="s">
        <v>1077</v>
      </c>
      <c r="L765" s="106" t="s">
        <v>1507</v>
      </c>
      <c r="M765" s="106" t="s">
        <v>4322</v>
      </c>
      <c r="N765" s="148" t="s">
        <v>4298</v>
      </c>
      <c r="P765" s="150"/>
    </row>
    <row r="766" spans="11:16">
      <c r="K766" s="134" t="s">
        <v>1078</v>
      </c>
      <c r="L766" s="106" t="s">
        <v>1508</v>
      </c>
      <c r="M766" s="106" t="s">
        <v>4196</v>
      </c>
      <c r="N766" s="148" t="s">
        <v>4298</v>
      </c>
    </row>
    <row r="767" spans="11:16">
      <c r="K767" s="134" t="s">
        <v>1078</v>
      </c>
      <c r="L767" s="106" t="s">
        <v>1509</v>
      </c>
      <c r="M767" s="106" t="s">
        <v>4197</v>
      </c>
      <c r="N767" s="148" t="s">
        <v>4298</v>
      </c>
    </row>
    <row r="768" spans="11:16">
      <c r="K768" s="134" t="s">
        <v>1078</v>
      </c>
      <c r="L768" s="106" t="s">
        <v>1510</v>
      </c>
      <c r="M768" s="106" t="s">
        <v>4198</v>
      </c>
      <c r="N768" s="148" t="s">
        <v>4298</v>
      </c>
    </row>
    <row r="769" spans="11:14">
      <c r="K769" s="134" t="s">
        <v>1108</v>
      </c>
      <c r="L769" s="106" t="s">
        <v>1511</v>
      </c>
      <c r="M769" s="134" t="s">
        <v>4323</v>
      </c>
      <c r="N769" s="148" t="s">
        <v>4298</v>
      </c>
    </row>
    <row r="770" spans="11:14">
      <c r="K770" s="134" t="s">
        <v>1108</v>
      </c>
      <c r="L770" s="106" t="s">
        <v>1512</v>
      </c>
      <c r="M770" s="134" t="s">
        <v>4324</v>
      </c>
      <c r="N770" s="148" t="s">
        <v>4298</v>
      </c>
    </row>
    <row r="771" spans="11:14">
      <c r="K771" s="134" t="s">
        <v>1108</v>
      </c>
      <c r="L771" s="106" t="s">
        <v>1513</v>
      </c>
      <c r="M771" s="134" t="s">
        <v>4325</v>
      </c>
      <c r="N771" s="148" t="s">
        <v>4298</v>
      </c>
    </row>
    <row r="772" spans="11:14">
      <c r="K772" s="134" t="s">
        <v>1109</v>
      </c>
      <c r="L772" s="106" t="s">
        <v>1514</v>
      </c>
      <c r="M772" s="134" t="s">
        <v>4326</v>
      </c>
      <c r="N772" s="148" t="s">
        <v>4298</v>
      </c>
    </row>
    <row r="773" spans="11:14">
      <c r="K773" s="134" t="s">
        <v>1109</v>
      </c>
      <c r="L773" s="106" t="s">
        <v>1515</v>
      </c>
      <c r="M773" s="134" t="s">
        <v>4327</v>
      </c>
      <c r="N773" s="148" t="s">
        <v>4298</v>
      </c>
    </row>
    <row r="774" spans="11:14">
      <c r="K774" s="134" t="s">
        <v>1109</v>
      </c>
      <c r="L774" s="106" t="s">
        <v>1516</v>
      </c>
      <c r="M774" s="134" t="s">
        <v>4328</v>
      </c>
      <c r="N774" s="148" t="s">
        <v>4298</v>
      </c>
    </row>
    <row r="775" spans="11:14">
      <c r="K775" s="134" t="s">
        <v>1110</v>
      </c>
      <c r="L775" s="106" t="s">
        <v>1517</v>
      </c>
      <c r="M775" s="134" t="s">
        <v>4199</v>
      </c>
      <c r="N775" s="148" t="s">
        <v>4298</v>
      </c>
    </row>
    <row r="776" spans="11:14">
      <c r="K776" s="134" t="s">
        <v>1110</v>
      </c>
      <c r="L776" s="106" t="s">
        <v>1518</v>
      </c>
      <c r="M776" s="134" t="s">
        <v>4329</v>
      </c>
      <c r="N776" s="148" t="s">
        <v>4298</v>
      </c>
    </row>
    <row r="777" spans="11:14">
      <c r="K777" s="134" t="s">
        <v>1110</v>
      </c>
      <c r="L777" s="106" t="s">
        <v>1519</v>
      </c>
      <c r="M777" s="134" t="s">
        <v>4201</v>
      </c>
      <c r="N777" s="148" t="s">
        <v>4298</v>
      </c>
    </row>
    <row r="778" spans="11:14">
      <c r="K778" s="134" t="s">
        <v>1081</v>
      </c>
      <c r="L778" s="106" t="s">
        <v>1554</v>
      </c>
      <c r="M778" s="134" t="s">
        <v>4202</v>
      </c>
      <c r="N778" s="148" t="s">
        <v>4298</v>
      </c>
    </row>
    <row r="779" spans="11:14">
      <c r="K779" s="134" t="s">
        <v>1081</v>
      </c>
      <c r="L779" s="106" t="s">
        <v>1555</v>
      </c>
      <c r="M779" s="134" t="s">
        <v>4203</v>
      </c>
      <c r="N779" s="148" t="s">
        <v>4298</v>
      </c>
    </row>
    <row r="780" spans="11:14">
      <c r="K780" s="134" t="s">
        <v>1081</v>
      </c>
      <c r="L780" s="106" t="s">
        <v>1556</v>
      </c>
      <c r="M780" s="134" t="s">
        <v>3625</v>
      </c>
      <c r="N780" s="148" t="s">
        <v>4298</v>
      </c>
    </row>
    <row r="781" spans="11:14">
      <c r="K781" s="134" t="s">
        <v>1081</v>
      </c>
      <c r="L781" s="106" t="s">
        <v>1557</v>
      </c>
      <c r="M781" s="134" t="s">
        <v>4204</v>
      </c>
      <c r="N781" s="148" t="s">
        <v>4298</v>
      </c>
    </row>
    <row r="782" spans="11:14">
      <c r="K782" s="134" t="s">
        <v>1082</v>
      </c>
      <c r="L782" s="106" t="s">
        <v>1558</v>
      </c>
      <c r="M782" s="134" t="s">
        <v>4205</v>
      </c>
      <c r="N782" s="148" t="s">
        <v>4298</v>
      </c>
    </row>
    <row r="783" spans="11:14">
      <c r="K783" s="106" t="s">
        <v>1084</v>
      </c>
      <c r="L783" s="106" t="s">
        <v>4330</v>
      </c>
      <c r="M783" s="106" t="s">
        <v>3662</v>
      </c>
      <c r="N783" s="148" t="s">
        <v>4298</v>
      </c>
    </row>
    <row r="784" spans="11:14">
      <c r="K784" s="106" t="s">
        <v>1087</v>
      </c>
      <c r="L784" s="106" t="s">
        <v>1575</v>
      </c>
      <c r="M784" s="106" t="s">
        <v>4331</v>
      </c>
      <c r="N784" s="148" t="s">
        <v>4298</v>
      </c>
    </row>
    <row r="785" spans="11:14">
      <c r="K785" s="134" t="s">
        <v>1067</v>
      </c>
      <c r="L785" s="106" t="s">
        <v>4332</v>
      </c>
      <c r="M785" s="106" t="s">
        <v>2288</v>
      </c>
      <c r="N785" s="148" t="s">
        <v>4298</v>
      </c>
    </row>
    <row r="786" spans="11:14">
      <c r="K786" s="134" t="s">
        <v>1067</v>
      </c>
      <c r="L786" s="106" t="s">
        <v>4333</v>
      </c>
      <c r="M786" s="106" t="s">
        <v>4334</v>
      </c>
      <c r="N786" s="148" t="s">
        <v>4298</v>
      </c>
    </row>
    <row r="787" spans="11:14">
      <c r="K787" s="112" t="s">
        <v>287</v>
      </c>
      <c r="L787" s="112" t="s">
        <v>4335</v>
      </c>
      <c r="M787" s="112" t="s">
        <v>3671</v>
      </c>
      <c r="N787" s="148" t="s">
        <v>4298</v>
      </c>
    </row>
    <row r="788" spans="11:14">
      <c r="K788" s="112" t="s">
        <v>287</v>
      </c>
      <c r="L788" s="112" t="s">
        <v>4336</v>
      </c>
      <c r="M788" s="112" t="s">
        <v>3674</v>
      </c>
      <c r="N788" s="81" t="s">
        <v>3236</v>
      </c>
    </row>
    <row r="789" spans="11:14">
      <c r="K789" s="134" t="s">
        <v>1137</v>
      </c>
      <c r="L789" s="106" t="s">
        <v>1687</v>
      </c>
      <c r="M789" s="106" t="s">
        <v>4337</v>
      </c>
      <c r="N789" s="81" t="s">
        <v>3236</v>
      </c>
    </row>
    <row r="790" spans="11:14">
      <c r="K790" s="134" t="s">
        <v>1137</v>
      </c>
      <c r="L790" s="106" t="s">
        <v>4338</v>
      </c>
      <c r="M790" s="106" t="s">
        <v>4339</v>
      </c>
    </row>
    <row r="791" spans="11:14">
      <c r="K791" s="134" t="s">
        <v>1135</v>
      </c>
      <c r="L791" s="106" t="s">
        <v>1684</v>
      </c>
      <c r="M791" s="106" t="s">
        <v>4340</v>
      </c>
    </row>
    <row r="792" spans="11:14">
      <c r="K792" s="134" t="s">
        <v>1136</v>
      </c>
      <c r="L792" s="106" t="s">
        <v>1686</v>
      </c>
      <c r="M792" s="106" t="s">
        <v>4341</v>
      </c>
    </row>
    <row r="793" spans="11:14">
      <c r="K793" s="134" t="s">
        <v>1138</v>
      </c>
      <c r="L793" s="106" t="s">
        <v>1688</v>
      </c>
      <c r="M793" s="106" t="s">
        <v>4342</v>
      </c>
    </row>
    <row r="794" spans="11:14">
      <c r="K794" s="134" t="s">
        <v>981</v>
      </c>
      <c r="L794" s="106" t="s">
        <v>1185</v>
      </c>
      <c r="M794" s="106" t="s">
        <v>4343</v>
      </c>
    </row>
    <row r="795" spans="11:14">
      <c r="K795" s="134" t="s">
        <v>1106</v>
      </c>
      <c r="L795" s="106" t="s">
        <v>1609</v>
      </c>
      <c r="M795" s="106" t="s">
        <v>4344</v>
      </c>
    </row>
    <row r="796" spans="11:14">
      <c r="K796" s="134" t="s">
        <v>1106</v>
      </c>
      <c r="L796" s="106" t="s">
        <v>1610</v>
      </c>
      <c r="M796" s="106" t="s">
        <v>4345</v>
      </c>
    </row>
    <row r="797" spans="11:14">
      <c r="K797" s="134" t="s">
        <v>1118</v>
      </c>
      <c r="L797" s="106" t="s">
        <v>1633</v>
      </c>
      <c r="M797" s="106" t="s">
        <v>4346</v>
      </c>
    </row>
    <row r="798" spans="11:14">
      <c r="K798" s="134" t="s">
        <v>1118</v>
      </c>
      <c r="L798" s="106" t="s">
        <v>1634</v>
      </c>
      <c r="M798" s="106" t="s">
        <v>4347</v>
      </c>
    </row>
    <row r="799" spans="11:14">
      <c r="K799" s="134" t="s">
        <v>1966</v>
      </c>
      <c r="L799" s="106" t="s">
        <v>2059</v>
      </c>
      <c r="M799" s="106" t="s">
        <v>3801</v>
      </c>
    </row>
    <row r="800" spans="11:14">
      <c r="K800" s="134" t="s">
        <v>1053</v>
      </c>
      <c r="L800" s="106" t="s">
        <v>1408</v>
      </c>
      <c r="M800" s="106" t="s">
        <v>3718</v>
      </c>
    </row>
    <row r="801" spans="11:13">
      <c r="K801" s="134" t="s">
        <v>1053</v>
      </c>
      <c r="L801" s="106" t="s">
        <v>1409</v>
      </c>
      <c r="M801" s="106" t="s">
        <v>3725</v>
      </c>
    </row>
    <row r="802" spans="11:13">
      <c r="K802" s="134" t="s">
        <v>1055</v>
      </c>
      <c r="L802" s="106" t="s">
        <v>1410</v>
      </c>
      <c r="M802" s="106" t="s">
        <v>3729</v>
      </c>
    </row>
    <row r="803" spans="11:13">
      <c r="K803" s="134" t="s">
        <v>1057</v>
      </c>
      <c r="L803" s="106" t="s">
        <v>1411</v>
      </c>
      <c r="M803" s="106" t="s">
        <v>3807</v>
      </c>
    </row>
    <row r="804" spans="11:13">
      <c r="K804" s="134" t="s">
        <v>1057</v>
      </c>
      <c r="L804" s="106" t="s">
        <v>1412</v>
      </c>
      <c r="M804" s="106" t="s">
        <v>3741</v>
      </c>
    </row>
    <row r="805" spans="11:13">
      <c r="K805" s="134" t="s">
        <v>1066</v>
      </c>
      <c r="L805" s="106" t="s">
        <v>1434</v>
      </c>
      <c r="M805" s="106" t="s">
        <v>2288</v>
      </c>
    </row>
    <row r="806" spans="11:13">
      <c r="K806" s="134" t="s">
        <v>998</v>
      </c>
      <c r="L806" s="106" t="s">
        <v>1231</v>
      </c>
      <c r="M806" s="106" t="s">
        <v>3810</v>
      </c>
    </row>
    <row r="807" spans="11:13">
      <c r="K807" s="134" t="s">
        <v>998</v>
      </c>
      <c r="L807" s="106" t="s">
        <v>1232</v>
      </c>
      <c r="M807" s="106" t="s">
        <v>4348</v>
      </c>
    </row>
    <row r="808" spans="11:13">
      <c r="K808" s="134" t="s">
        <v>999</v>
      </c>
      <c r="L808" s="106" t="s">
        <v>1233</v>
      </c>
      <c r="M808" s="106" t="s">
        <v>2283</v>
      </c>
    </row>
    <row r="809" spans="11:13">
      <c r="K809" s="134" t="s">
        <v>1000</v>
      </c>
      <c r="L809" s="106" t="s">
        <v>1234</v>
      </c>
      <c r="M809" s="106" t="s">
        <v>3815</v>
      </c>
    </row>
    <row r="810" spans="11:13">
      <c r="K810" s="134" t="s">
        <v>1000</v>
      </c>
      <c r="L810" s="106" t="s">
        <v>1235</v>
      </c>
      <c r="M810" s="106" t="s">
        <v>4349</v>
      </c>
    </row>
    <row r="811" spans="11:13">
      <c r="K811" s="134" t="s">
        <v>1001</v>
      </c>
      <c r="L811" s="106" t="s">
        <v>1236</v>
      </c>
      <c r="M811" s="106" t="s">
        <v>4350</v>
      </c>
    </row>
    <row r="812" spans="11:13">
      <c r="K812" s="134" t="s">
        <v>1001</v>
      </c>
      <c r="L812" s="106" t="s">
        <v>1237</v>
      </c>
      <c r="M812" s="106" t="s">
        <v>4351</v>
      </c>
    </row>
    <row r="813" spans="11:13">
      <c r="K813" s="134" t="s">
        <v>1091</v>
      </c>
      <c r="L813" s="106" t="s">
        <v>1585</v>
      </c>
      <c r="M813" s="106" t="s">
        <v>3821</v>
      </c>
    </row>
    <row r="814" spans="11:13">
      <c r="K814" s="134" t="s">
        <v>1092</v>
      </c>
      <c r="L814" s="106" t="s">
        <v>1586</v>
      </c>
      <c r="M814" s="106" t="s">
        <v>3823</v>
      </c>
    </row>
    <row r="815" spans="11:13">
      <c r="K815" s="134" t="s">
        <v>1089</v>
      </c>
      <c r="L815" s="106" t="s">
        <v>1582</v>
      </c>
      <c r="M815" s="106" t="s">
        <v>4262</v>
      </c>
    </row>
    <row r="816" spans="11:13">
      <c r="K816" s="134" t="s">
        <v>1089</v>
      </c>
      <c r="L816" s="106" t="s">
        <v>1584</v>
      </c>
      <c r="M816" s="106" t="s">
        <v>4263</v>
      </c>
    </row>
    <row r="817" spans="11:13">
      <c r="K817" s="134" t="s">
        <v>1107</v>
      </c>
      <c r="L817" s="106" t="s">
        <v>1550</v>
      </c>
      <c r="M817" s="106" t="s">
        <v>4352</v>
      </c>
    </row>
    <row r="818" spans="11:13">
      <c r="K818" s="134" t="s">
        <v>1107</v>
      </c>
      <c r="L818" s="106" t="s">
        <v>1552</v>
      </c>
      <c r="M818" s="106" t="s">
        <v>4353</v>
      </c>
    </row>
    <row r="819" spans="11:13">
      <c r="K819" s="134" t="s">
        <v>1101</v>
      </c>
      <c r="L819" s="106" t="s">
        <v>1470</v>
      </c>
      <c r="M819" s="106" t="s">
        <v>4354</v>
      </c>
    </row>
    <row r="820" spans="11:13">
      <c r="K820" s="134" t="s">
        <v>1101</v>
      </c>
      <c r="L820" s="106" t="s">
        <v>1472</v>
      </c>
      <c r="M820" s="106" t="s">
        <v>4355</v>
      </c>
    </row>
    <row r="821" spans="11:13">
      <c r="K821" s="134" t="s">
        <v>1067</v>
      </c>
      <c r="L821" s="134" t="s">
        <v>1435</v>
      </c>
      <c r="M821" s="151" t="s">
        <v>3803</v>
      </c>
    </row>
    <row r="822" spans="11:13">
      <c r="K822" s="134" t="s">
        <v>1057</v>
      </c>
      <c r="L822" s="134" t="s">
        <v>1413</v>
      </c>
      <c r="M822" s="151" t="s">
        <v>3735</v>
      </c>
    </row>
    <row r="823" spans="11:13">
      <c r="K823" s="106" t="s">
        <v>217</v>
      </c>
      <c r="L823" s="106" t="s">
        <v>1316</v>
      </c>
      <c r="M823" s="123" t="s">
        <v>4356</v>
      </c>
    </row>
    <row r="824" spans="11:13">
      <c r="K824" s="106" t="s">
        <v>277</v>
      </c>
      <c r="L824" s="106" t="s">
        <v>1386</v>
      </c>
      <c r="M824" s="123" t="s">
        <v>4357</v>
      </c>
    </row>
    <row r="825" spans="11:13">
      <c r="K825" s="106" t="s">
        <v>277</v>
      </c>
      <c r="L825" s="106" t="s">
        <v>1387</v>
      </c>
      <c r="M825" s="123" t="s">
        <v>4358</v>
      </c>
    </row>
    <row r="826" spans="11:13">
      <c r="K826" s="106" t="s">
        <v>277</v>
      </c>
      <c r="L826" s="106" t="s">
        <v>1388</v>
      </c>
      <c r="M826" s="152" t="s">
        <v>4359</v>
      </c>
    </row>
    <row r="827" ht="17.4" spans="11:13">
      <c r="K827" s="106" t="s">
        <v>289</v>
      </c>
      <c r="L827" s="106" t="s">
        <v>1414</v>
      </c>
      <c r="M827" s="126" t="s">
        <v>4360</v>
      </c>
    </row>
    <row r="828" ht="17.4" spans="11:13">
      <c r="K828" s="106" t="s">
        <v>293</v>
      </c>
      <c r="L828" s="106" t="s">
        <v>1422</v>
      </c>
      <c r="M828" s="126" t="s">
        <v>4361</v>
      </c>
    </row>
    <row r="829" spans="11:13">
      <c r="K829" s="106" t="s">
        <v>297</v>
      </c>
      <c r="L829" s="106" t="s">
        <v>1426</v>
      </c>
      <c r="M829" s="106" t="s">
        <v>4362</v>
      </c>
    </row>
    <row r="830" spans="11:13">
      <c r="K830" s="106" t="s">
        <v>297</v>
      </c>
      <c r="L830" s="106" t="s">
        <v>1427</v>
      </c>
      <c r="M830" s="106" t="s">
        <v>4363</v>
      </c>
    </row>
    <row r="831" spans="11:13">
      <c r="K831" s="106" t="s">
        <v>297</v>
      </c>
      <c r="L831" s="106" t="s">
        <v>1425</v>
      </c>
      <c r="M831" s="106" t="s">
        <v>4364</v>
      </c>
    </row>
    <row r="832" spans="11:13">
      <c r="K832" s="106" t="s">
        <v>297</v>
      </c>
      <c r="L832" s="106" t="s">
        <v>1428</v>
      </c>
      <c r="M832" s="106" t="s">
        <v>4365</v>
      </c>
    </row>
    <row r="833" spans="11:13">
      <c r="K833" s="106" t="s">
        <v>309</v>
      </c>
      <c r="L833" s="106" t="s">
        <v>1456</v>
      </c>
      <c r="M833" s="106" t="s">
        <v>4366</v>
      </c>
    </row>
    <row r="834" spans="11:13">
      <c r="K834" s="106" t="s">
        <v>311</v>
      </c>
      <c r="L834" s="106" t="s">
        <v>1467</v>
      </c>
      <c r="M834" s="123" t="s">
        <v>4367</v>
      </c>
    </row>
    <row r="835" ht="17.4" spans="11:13">
      <c r="K835" s="106" t="s">
        <v>319</v>
      </c>
      <c r="L835" s="106" t="s">
        <v>1483</v>
      </c>
      <c r="M835" s="126" t="s">
        <v>4368</v>
      </c>
    </row>
    <row r="836" ht="17.4" spans="11:13">
      <c r="K836" s="106" t="s">
        <v>319</v>
      </c>
      <c r="L836" s="106" t="s">
        <v>1484</v>
      </c>
      <c r="M836" s="126" t="s">
        <v>4369</v>
      </c>
    </row>
    <row r="837" ht="17.4" spans="11:13">
      <c r="K837" s="106" t="s">
        <v>319</v>
      </c>
      <c r="L837" s="106" t="s">
        <v>1485</v>
      </c>
      <c r="M837" s="126" t="s">
        <v>4370</v>
      </c>
    </row>
    <row r="838" ht="17.4" spans="11:13">
      <c r="K838" s="106" t="s">
        <v>1026</v>
      </c>
      <c r="L838" s="106" t="s">
        <v>1335</v>
      </c>
      <c r="M838" s="126" t="s">
        <v>2303</v>
      </c>
    </row>
    <row r="839" spans="11:13">
      <c r="K839" s="106" t="s">
        <v>1027</v>
      </c>
      <c r="L839" s="106" t="s">
        <v>1336</v>
      </c>
      <c r="M839" s="123" t="s">
        <v>2304</v>
      </c>
    </row>
    <row r="840" spans="11:13">
      <c r="K840" s="106" t="s">
        <v>1085</v>
      </c>
      <c r="L840" s="106" t="s">
        <v>1567</v>
      </c>
      <c r="M840" s="123" t="s">
        <v>4371</v>
      </c>
    </row>
    <row r="841" spans="11:13">
      <c r="K841" s="106" t="s">
        <v>1085</v>
      </c>
      <c r="L841" s="106" t="s">
        <v>1568</v>
      </c>
      <c r="M841" s="123" t="s">
        <v>4372</v>
      </c>
    </row>
    <row r="842" spans="11:13">
      <c r="K842" s="106" t="s">
        <v>1085</v>
      </c>
      <c r="L842" s="106" t="s">
        <v>1569</v>
      </c>
      <c r="M842" s="123" t="s">
        <v>4373</v>
      </c>
    </row>
    <row r="843" spans="11:13">
      <c r="K843" s="106" t="s">
        <v>1976</v>
      </c>
      <c r="L843" s="106" t="s">
        <v>2092</v>
      </c>
      <c r="M843" s="106" t="s">
        <v>3825</v>
      </c>
    </row>
    <row r="844" spans="11:13">
      <c r="K844" s="106" t="s">
        <v>1979</v>
      </c>
      <c r="L844" s="106" t="s">
        <v>2102</v>
      </c>
      <c r="M844" s="106" t="s">
        <v>3828</v>
      </c>
    </row>
    <row r="845" spans="11:13">
      <c r="K845" s="105" t="s">
        <v>980</v>
      </c>
      <c r="L845" s="153" t="s">
        <v>1183</v>
      </c>
      <c r="M845" s="106" t="s">
        <v>4374</v>
      </c>
    </row>
    <row r="846" spans="11:13">
      <c r="K846" s="105" t="s">
        <v>980</v>
      </c>
      <c r="L846" s="153" t="s">
        <v>1184</v>
      </c>
      <c r="M846" s="106" t="s">
        <v>4375</v>
      </c>
    </row>
    <row r="847" spans="11:13">
      <c r="K847" s="105" t="s">
        <v>988</v>
      </c>
      <c r="L847" s="153" t="s">
        <v>1204</v>
      </c>
      <c r="M847" s="106" t="s">
        <v>3835</v>
      </c>
    </row>
    <row r="848" spans="11:13">
      <c r="K848" s="105" t="s">
        <v>988</v>
      </c>
      <c r="L848" s="153" t="s">
        <v>1205</v>
      </c>
      <c r="M848" s="106" t="s">
        <v>4376</v>
      </c>
    </row>
    <row r="849" spans="11:13">
      <c r="K849" s="105" t="s">
        <v>987</v>
      </c>
      <c r="L849" s="153" t="s">
        <v>1200</v>
      </c>
      <c r="M849" s="106" t="s">
        <v>4377</v>
      </c>
    </row>
    <row r="850" spans="11:13">
      <c r="K850" s="105" t="s">
        <v>990</v>
      </c>
      <c r="L850" s="153" t="s">
        <v>1206</v>
      </c>
      <c r="M850" s="106" t="s">
        <v>3840</v>
      </c>
    </row>
    <row r="851" spans="11:13">
      <c r="K851" s="105" t="s">
        <v>995</v>
      </c>
      <c r="L851" s="153" t="s">
        <v>1219</v>
      </c>
      <c r="M851" s="106" t="s">
        <v>3843</v>
      </c>
    </row>
    <row r="852" spans="11:13">
      <c r="K852" s="105" t="s">
        <v>379</v>
      </c>
      <c r="L852" s="153" t="s">
        <v>4378</v>
      </c>
      <c r="M852" s="106" t="s">
        <v>380</v>
      </c>
    </row>
    <row r="853" spans="11:13">
      <c r="K853" s="134" t="s">
        <v>1985</v>
      </c>
      <c r="L853" s="153" t="s">
        <v>2105</v>
      </c>
      <c r="M853" s="136" t="s">
        <v>4379</v>
      </c>
    </row>
    <row r="854" spans="11:13">
      <c r="K854" s="134" t="s">
        <v>1985</v>
      </c>
      <c r="L854" s="153" t="s">
        <v>2106</v>
      </c>
      <c r="M854" s="136" t="s">
        <v>4380</v>
      </c>
    </row>
    <row r="855" spans="11:13">
      <c r="K855" s="134" t="s">
        <v>1986</v>
      </c>
      <c r="L855" s="153" t="s">
        <v>2107</v>
      </c>
      <c r="M855" s="136" t="s">
        <v>4381</v>
      </c>
    </row>
    <row r="856" spans="11:13">
      <c r="K856" s="134" t="s">
        <v>1986</v>
      </c>
      <c r="L856" s="153" t="s">
        <v>2108</v>
      </c>
      <c r="M856" s="136" t="s">
        <v>4382</v>
      </c>
    </row>
    <row r="857" spans="11:13">
      <c r="K857" s="134" t="s">
        <v>1987</v>
      </c>
      <c r="L857" s="153" t="s">
        <v>2109</v>
      </c>
      <c r="M857" s="136" t="s">
        <v>4383</v>
      </c>
    </row>
    <row r="858" spans="11:13">
      <c r="K858" s="134" t="s">
        <v>1987</v>
      </c>
      <c r="L858" s="153" t="s">
        <v>2110</v>
      </c>
      <c r="M858" s="136" t="s">
        <v>4384</v>
      </c>
    </row>
    <row r="859" spans="11:13">
      <c r="K859" s="134" t="s">
        <v>1988</v>
      </c>
      <c r="L859" s="153" t="s">
        <v>2111</v>
      </c>
      <c r="M859" s="136" t="s">
        <v>4385</v>
      </c>
    </row>
    <row r="860" spans="11:13">
      <c r="K860" s="134" t="s">
        <v>1988</v>
      </c>
      <c r="L860" s="153" t="s">
        <v>2112</v>
      </c>
      <c r="M860" s="136" t="s">
        <v>4386</v>
      </c>
    </row>
    <row r="861" spans="11:13">
      <c r="K861" s="134" t="s">
        <v>1989</v>
      </c>
      <c r="L861" s="153" t="s">
        <v>2113</v>
      </c>
      <c r="M861" s="136" t="s">
        <v>4387</v>
      </c>
    </row>
    <row r="862" spans="11:13">
      <c r="K862" s="134" t="s">
        <v>1989</v>
      </c>
      <c r="L862" s="153" t="s">
        <v>2114</v>
      </c>
      <c r="M862" s="136" t="s">
        <v>4388</v>
      </c>
    </row>
    <row r="863" spans="11:13">
      <c r="K863" s="134" t="s">
        <v>1990</v>
      </c>
      <c r="L863" s="153" t="s">
        <v>2115</v>
      </c>
      <c r="M863" s="136" t="s">
        <v>4389</v>
      </c>
    </row>
    <row r="864" spans="11:13">
      <c r="K864" s="134" t="s">
        <v>1990</v>
      </c>
      <c r="L864" s="153" t="s">
        <v>2116</v>
      </c>
      <c r="M864" s="136" t="s">
        <v>4390</v>
      </c>
    </row>
    <row r="865" spans="11:13">
      <c r="K865" s="134" t="s">
        <v>1991</v>
      </c>
      <c r="L865" s="153" t="s">
        <v>2117</v>
      </c>
      <c r="M865" s="136" t="s">
        <v>4391</v>
      </c>
    </row>
    <row r="866" spans="11:13">
      <c r="K866" s="134" t="s">
        <v>1991</v>
      </c>
      <c r="L866" s="153" t="s">
        <v>2118</v>
      </c>
      <c r="M866" s="136" t="s">
        <v>4392</v>
      </c>
    </row>
    <row r="867" spans="11:13">
      <c r="K867" s="134" t="s">
        <v>1992</v>
      </c>
      <c r="L867" s="153" t="s">
        <v>2119</v>
      </c>
      <c r="M867" s="136" t="s">
        <v>4393</v>
      </c>
    </row>
    <row r="868" spans="11:13">
      <c r="K868" s="134" t="s">
        <v>1992</v>
      </c>
      <c r="L868" s="153" t="s">
        <v>2120</v>
      </c>
      <c r="M868" s="136" t="s">
        <v>4394</v>
      </c>
    </row>
    <row r="869" spans="11:13">
      <c r="K869" s="134" t="s">
        <v>1993</v>
      </c>
      <c r="L869" s="153" t="s">
        <v>2121</v>
      </c>
      <c r="M869" s="136" t="s">
        <v>4395</v>
      </c>
    </row>
    <row r="870" spans="11:13">
      <c r="K870" s="134" t="s">
        <v>1993</v>
      </c>
      <c r="L870" s="153" t="s">
        <v>2122</v>
      </c>
      <c r="M870" s="136" t="s">
        <v>4396</v>
      </c>
    </row>
    <row r="871" spans="11:13">
      <c r="K871" s="134" t="s">
        <v>1994</v>
      </c>
      <c r="L871" s="153" t="s">
        <v>2123</v>
      </c>
      <c r="M871" s="136" t="s">
        <v>4397</v>
      </c>
    </row>
    <row r="872" spans="11:13">
      <c r="K872" s="134" t="s">
        <v>1994</v>
      </c>
      <c r="L872" s="153" t="s">
        <v>2124</v>
      </c>
      <c r="M872" s="136" t="s">
        <v>4398</v>
      </c>
    </row>
    <row r="873" spans="11:13">
      <c r="K873" s="134" t="s">
        <v>1995</v>
      </c>
      <c r="L873" s="153" t="s">
        <v>2125</v>
      </c>
      <c r="M873" s="136" t="s">
        <v>4399</v>
      </c>
    </row>
    <row r="874" spans="11:13">
      <c r="K874" s="134" t="s">
        <v>1995</v>
      </c>
      <c r="L874" s="153" t="s">
        <v>2126</v>
      </c>
      <c r="M874" s="136" t="s">
        <v>4400</v>
      </c>
    </row>
    <row r="875" spans="11:13">
      <c r="K875" s="134" t="s">
        <v>1996</v>
      </c>
      <c r="L875" s="153" t="s">
        <v>2127</v>
      </c>
      <c r="M875" s="136" t="s">
        <v>4401</v>
      </c>
    </row>
    <row r="876" spans="11:13">
      <c r="K876" s="134" t="s">
        <v>1996</v>
      </c>
      <c r="L876" s="153" t="s">
        <v>2128</v>
      </c>
      <c r="M876" s="136" t="s">
        <v>4402</v>
      </c>
    </row>
    <row r="877" spans="11:13">
      <c r="K877" s="134" t="s">
        <v>1997</v>
      </c>
      <c r="L877" s="153" t="s">
        <v>2129</v>
      </c>
      <c r="M877" s="136" t="s">
        <v>4403</v>
      </c>
    </row>
    <row r="878" spans="11:13">
      <c r="K878" s="134" t="s">
        <v>1997</v>
      </c>
      <c r="L878" s="153" t="s">
        <v>2130</v>
      </c>
      <c r="M878" s="136" t="s">
        <v>4404</v>
      </c>
    </row>
    <row r="879" spans="11:13">
      <c r="K879" s="134" t="s">
        <v>1999</v>
      </c>
      <c r="L879" s="153" t="s">
        <v>2131</v>
      </c>
      <c r="M879" s="106" t="s">
        <v>4405</v>
      </c>
    </row>
    <row r="880" spans="11:13">
      <c r="K880" s="134" t="s">
        <v>1999</v>
      </c>
      <c r="L880" s="153" t="s">
        <v>2132</v>
      </c>
      <c r="M880" s="106" t="s">
        <v>4406</v>
      </c>
    </row>
    <row r="881" spans="11:13">
      <c r="K881" s="134" t="s">
        <v>2000</v>
      </c>
      <c r="L881" s="153" t="s">
        <v>2133</v>
      </c>
      <c r="M881" s="106" t="s">
        <v>4407</v>
      </c>
    </row>
    <row r="882" spans="11:13">
      <c r="K882" s="134" t="s">
        <v>2000</v>
      </c>
      <c r="L882" s="153" t="s">
        <v>2134</v>
      </c>
      <c r="M882" s="106" t="s">
        <v>4408</v>
      </c>
    </row>
    <row r="883" spans="11:13">
      <c r="K883" s="134" t="s">
        <v>2001</v>
      </c>
      <c r="L883" s="153" t="s">
        <v>2135</v>
      </c>
      <c r="M883" s="106" t="s">
        <v>4409</v>
      </c>
    </row>
    <row r="884" spans="11:13">
      <c r="K884" s="134" t="s">
        <v>2001</v>
      </c>
      <c r="L884" s="153" t="s">
        <v>2136</v>
      </c>
      <c r="M884" s="106" t="s">
        <v>4410</v>
      </c>
    </row>
    <row r="885" spans="11:13">
      <c r="K885" s="134" t="s">
        <v>2002</v>
      </c>
      <c r="L885" s="153" t="s">
        <v>2137</v>
      </c>
      <c r="M885" s="106" t="s">
        <v>4411</v>
      </c>
    </row>
    <row r="886" spans="11:13">
      <c r="K886" s="134" t="s">
        <v>2002</v>
      </c>
      <c r="L886" s="153" t="s">
        <v>2138</v>
      </c>
      <c r="M886" s="106" t="s">
        <v>4412</v>
      </c>
    </row>
    <row r="887" spans="11:13">
      <c r="K887" s="134" t="s">
        <v>2003</v>
      </c>
      <c r="L887" s="153" t="s">
        <v>2139</v>
      </c>
      <c r="M887" s="106" t="s">
        <v>4413</v>
      </c>
    </row>
    <row r="888" spans="11:13">
      <c r="K888" s="134" t="s">
        <v>2003</v>
      </c>
      <c r="L888" s="153" t="s">
        <v>2140</v>
      </c>
      <c r="M888" s="106" t="s">
        <v>4414</v>
      </c>
    </row>
    <row r="889" spans="11:13">
      <c r="K889" s="134" t="s">
        <v>2004</v>
      </c>
      <c r="L889" s="153" t="s">
        <v>2141</v>
      </c>
      <c r="M889" s="106" t="s">
        <v>4415</v>
      </c>
    </row>
    <row r="890" spans="11:13">
      <c r="K890" s="134" t="s">
        <v>2004</v>
      </c>
      <c r="L890" s="153" t="s">
        <v>2142</v>
      </c>
      <c r="M890" s="106" t="s">
        <v>4416</v>
      </c>
    </row>
    <row r="891" spans="11:13">
      <c r="K891" s="134" t="s">
        <v>2005</v>
      </c>
      <c r="L891" s="153" t="s">
        <v>2143</v>
      </c>
      <c r="M891" s="106" t="s">
        <v>4417</v>
      </c>
    </row>
    <row r="892" spans="11:13">
      <c r="K892" s="134" t="s">
        <v>2005</v>
      </c>
      <c r="L892" s="153" t="s">
        <v>2145</v>
      </c>
      <c r="M892" s="106" t="s">
        <v>4418</v>
      </c>
    </row>
    <row r="893" spans="11:13">
      <c r="K893" s="134" t="s">
        <v>2007</v>
      </c>
      <c r="L893" s="153" t="s">
        <v>2146</v>
      </c>
      <c r="M893" s="106" t="s">
        <v>4419</v>
      </c>
    </row>
    <row r="894" spans="11:13">
      <c r="K894" s="134" t="s">
        <v>2007</v>
      </c>
      <c r="L894" s="153" t="s">
        <v>2147</v>
      </c>
      <c r="M894" s="106" t="s">
        <v>4420</v>
      </c>
    </row>
    <row r="895" spans="11:13">
      <c r="K895" s="134" t="s">
        <v>2008</v>
      </c>
      <c r="L895" s="153" t="s">
        <v>2148</v>
      </c>
      <c r="M895" s="106" t="s">
        <v>4421</v>
      </c>
    </row>
    <row r="896" spans="11:13">
      <c r="K896" s="134" t="s">
        <v>2008</v>
      </c>
      <c r="L896" s="153" t="s">
        <v>2149</v>
      </c>
      <c r="M896" s="106" t="s">
        <v>4422</v>
      </c>
    </row>
    <row r="897" spans="11:13">
      <c r="K897" s="134" t="s">
        <v>2009</v>
      </c>
      <c r="L897" s="153" t="s">
        <v>2150</v>
      </c>
      <c r="M897" s="106" t="s">
        <v>4423</v>
      </c>
    </row>
    <row r="898" spans="11:13">
      <c r="K898" s="134" t="s">
        <v>2009</v>
      </c>
      <c r="L898" s="153" t="s">
        <v>2151</v>
      </c>
      <c r="M898" s="106" t="s">
        <v>4424</v>
      </c>
    </row>
    <row r="899" spans="11:13">
      <c r="K899" s="134" t="s">
        <v>2011</v>
      </c>
      <c r="L899" s="153" t="s">
        <v>2152</v>
      </c>
      <c r="M899" s="106" t="s">
        <v>4425</v>
      </c>
    </row>
    <row r="900" spans="11:13">
      <c r="K900" s="134" t="s">
        <v>2011</v>
      </c>
      <c r="L900" s="153" t="s">
        <v>2153</v>
      </c>
      <c r="M900" s="106" t="s">
        <v>4426</v>
      </c>
    </row>
    <row r="901" spans="11:13">
      <c r="K901" s="134" t="s">
        <v>2012</v>
      </c>
      <c r="L901" s="153" t="s">
        <v>2154</v>
      </c>
      <c r="M901" s="106" t="s">
        <v>4427</v>
      </c>
    </row>
    <row r="902" spans="11:13">
      <c r="K902" s="134" t="s">
        <v>2012</v>
      </c>
      <c r="L902" s="153" t="s">
        <v>2155</v>
      </c>
      <c r="M902" s="106" t="s">
        <v>4428</v>
      </c>
    </row>
    <row r="903" spans="11:13">
      <c r="K903" s="134" t="s">
        <v>2013</v>
      </c>
      <c r="L903" s="153" t="s">
        <v>2156</v>
      </c>
      <c r="M903" s="106" t="s">
        <v>4429</v>
      </c>
    </row>
    <row r="904" spans="11:13">
      <c r="K904" s="134" t="s">
        <v>2013</v>
      </c>
      <c r="L904" s="153" t="s">
        <v>2157</v>
      </c>
      <c r="M904" s="106" t="s">
        <v>4430</v>
      </c>
    </row>
    <row r="905" spans="11:13">
      <c r="K905" s="134" t="s">
        <v>2015</v>
      </c>
      <c r="L905" s="153" t="s">
        <v>2158</v>
      </c>
      <c r="M905" s="106" t="s">
        <v>4431</v>
      </c>
    </row>
    <row r="906" spans="11:13">
      <c r="K906" s="134" t="s">
        <v>2015</v>
      </c>
      <c r="L906" s="153" t="s">
        <v>2159</v>
      </c>
      <c r="M906" s="106" t="s">
        <v>4432</v>
      </c>
    </row>
    <row r="907" spans="11:13">
      <c r="K907" s="134" t="s">
        <v>2016</v>
      </c>
      <c r="L907" s="153" t="s">
        <v>2160</v>
      </c>
      <c r="M907" s="106" t="s">
        <v>4433</v>
      </c>
    </row>
    <row r="908" spans="11:13">
      <c r="K908" s="134" t="s">
        <v>2016</v>
      </c>
      <c r="L908" s="153" t="s">
        <v>2161</v>
      </c>
      <c r="M908" s="106" t="s">
        <v>4434</v>
      </c>
    </row>
    <row r="909" spans="11:13">
      <c r="K909" s="134" t="s">
        <v>2017</v>
      </c>
      <c r="L909" s="153" t="s">
        <v>2162</v>
      </c>
      <c r="M909" s="106" t="s">
        <v>4435</v>
      </c>
    </row>
    <row r="910" spans="11:13">
      <c r="K910" s="134" t="s">
        <v>2017</v>
      </c>
      <c r="L910" s="153" t="s">
        <v>2163</v>
      </c>
      <c r="M910" s="106" t="s">
        <v>4436</v>
      </c>
    </row>
    <row r="911" spans="11:13">
      <c r="K911" s="134" t="s">
        <v>2018</v>
      </c>
      <c r="L911" s="153" t="s">
        <v>2164</v>
      </c>
      <c r="M911" s="106" t="s">
        <v>4437</v>
      </c>
    </row>
    <row r="912" spans="11:13">
      <c r="K912" s="134" t="s">
        <v>2018</v>
      </c>
      <c r="L912" s="153" t="s">
        <v>2165</v>
      </c>
      <c r="M912" s="106" t="s">
        <v>4438</v>
      </c>
    </row>
    <row r="913" spans="11:13">
      <c r="K913" s="134" t="s">
        <v>2020</v>
      </c>
      <c r="L913" s="153" t="s">
        <v>2166</v>
      </c>
      <c r="M913" s="106" t="s">
        <v>4439</v>
      </c>
    </row>
    <row r="914" spans="11:13">
      <c r="K914" s="134" t="s">
        <v>2020</v>
      </c>
      <c r="L914" s="153" t="s">
        <v>2167</v>
      </c>
      <c r="M914" s="106" t="s">
        <v>4440</v>
      </c>
    </row>
    <row r="915" spans="11:13">
      <c r="K915" s="134" t="s">
        <v>2022</v>
      </c>
      <c r="L915" s="153" t="s">
        <v>2168</v>
      </c>
      <c r="M915" s="106" t="s">
        <v>3909</v>
      </c>
    </row>
    <row r="916" spans="11:13">
      <c r="K916" s="134" t="s">
        <v>2023</v>
      </c>
      <c r="L916" s="153" t="s">
        <v>2169</v>
      </c>
      <c r="M916" s="106" t="s">
        <v>3911</v>
      </c>
    </row>
    <row r="917" spans="11:13">
      <c r="K917" s="134" t="s">
        <v>2024</v>
      </c>
      <c r="L917" s="153" t="s">
        <v>2170</v>
      </c>
      <c r="M917" s="106" t="s">
        <v>4441</v>
      </c>
    </row>
    <row r="918" spans="11:13">
      <c r="K918" s="134" t="s">
        <v>2024</v>
      </c>
      <c r="L918" s="153" t="s">
        <v>2171</v>
      </c>
      <c r="M918" s="106" t="s">
        <v>4442</v>
      </c>
    </row>
    <row r="919" spans="11:13">
      <c r="K919" s="134" t="s">
        <v>2024</v>
      </c>
      <c r="L919" s="153" t="s">
        <v>2172</v>
      </c>
      <c r="M919" s="106" t="s">
        <v>4443</v>
      </c>
    </row>
    <row r="920" spans="11:13">
      <c r="K920" s="134" t="s">
        <v>2026</v>
      </c>
      <c r="L920" s="153" t="s">
        <v>2173</v>
      </c>
      <c r="M920" s="106" t="s">
        <v>4444</v>
      </c>
    </row>
    <row r="921" spans="11:13">
      <c r="K921" s="134" t="s">
        <v>2026</v>
      </c>
      <c r="L921" s="153" t="s">
        <v>2174</v>
      </c>
      <c r="M921" s="106" t="s">
        <v>4445</v>
      </c>
    </row>
    <row r="922" spans="11:13">
      <c r="K922" s="134" t="s">
        <v>2027</v>
      </c>
      <c r="L922" s="153" t="s">
        <v>2175</v>
      </c>
      <c r="M922" s="106" t="s">
        <v>3916</v>
      </c>
    </row>
    <row r="923" spans="11:13">
      <c r="K923" s="134" t="s">
        <v>2028</v>
      </c>
      <c r="L923" s="153" t="s">
        <v>2176</v>
      </c>
      <c r="M923" s="106" t="s">
        <v>3918</v>
      </c>
    </row>
    <row r="924" spans="11:13">
      <c r="K924" s="134" t="s">
        <v>2030</v>
      </c>
      <c r="L924" s="153" t="s">
        <v>2177</v>
      </c>
      <c r="M924" s="90" t="s">
        <v>3920</v>
      </c>
    </row>
    <row r="925" spans="11:13">
      <c r="K925" s="134" t="s">
        <v>2030</v>
      </c>
      <c r="L925" s="153" t="s">
        <v>2178</v>
      </c>
      <c r="M925" s="90" t="s">
        <v>4446</v>
      </c>
    </row>
    <row r="926" spans="11:13">
      <c r="K926" s="134" t="s">
        <v>2031</v>
      </c>
      <c r="L926" s="153" t="s">
        <v>2179</v>
      </c>
      <c r="M926" s="90" t="s">
        <v>3922</v>
      </c>
    </row>
    <row r="927" spans="11:13">
      <c r="K927" s="134" t="s">
        <v>2032</v>
      </c>
      <c r="L927" s="153" t="s">
        <v>2180</v>
      </c>
      <c r="M927" s="90" t="s">
        <v>3924</v>
      </c>
    </row>
    <row r="928" spans="11:13">
      <c r="K928" s="134" t="s">
        <v>2033</v>
      </c>
      <c r="L928" s="153" t="s">
        <v>2181</v>
      </c>
      <c r="M928" s="90" t="s">
        <v>3926</v>
      </c>
    </row>
    <row r="929" spans="11:13">
      <c r="K929" s="134" t="s">
        <v>2035</v>
      </c>
      <c r="L929" s="153" t="s">
        <v>2182</v>
      </c>
      <c r="M929" s="90" t="s">
        <v>3928</v>
      </c>
    </row>
    <row r="930" spans="11:13">
      <c r="K930" s="134" t="s">
        <v>2035</v>
      </c>
      <c r="L930" s="153" t="s">
        <v>2184</v>
      </c>
      <c r="M930" s="90" t="s">
        <v>4447</v>
      </c>
    </row>
    <row r="931" spans="11:13">
      <c r="K931" s="134" t="s">
        <v>2036</v>
      </c>
      <c r="L931" s="153" t="s">
        <v>2185</v>
      </c>
      <c r="M931" s="90" t="s">
        <v>3930</v>
      </c>
    </row>
    <row r="932" spans="11:13">
      <c r="K932" s="134" t="s">
        <v>2038</v>
      </c>
      <c r="L932" s="153" t="s">
        <v>2186</v>
      </c>
      <c r="M932" s="90" t="s">
        <v>3932</v>
      </c>
    </row>
    <row r="933" spans="11:13">
      <c r="K933" s="134" t="s">
        <v>2041</v>
      </c>
      <c r="L933" s="153" t="s">
        <v>2187</v>
      </c>
      <c r="M933" s="106" t="s">
        <v>4448</v>
      </c>
    </row>
    <row r="934" spans="11:13">
      <c r="K934" s="134" t="s">
        <v>2041</v>
      </c>
      <c r="L934" s="153" t="s">
        <v>2188</v>
      </c>
      <c r="M934" s="106" t="s">
        <v>4449</v>
      </c>
    </row>
    <row r="935" spans="11:13">
      <c r="K935" s="134" t="s">
        <v>2042</v>
      </c>
      <c r="L935" s="153" t="s">
        <v>2189</v>
      </c>
      <c r="M935" s="106" t="s">
        <v>3936</v>
      </c>
    </row>
    <row r="936" spans="11:13">
      <c r="K936" s="134" t="s">
        <v>2043</v>
      </c>
      <c r="L936" s="153" t="s">
        <v>2190</v>
      </c>
      <c r="M936" s="106" t="s">
        <v>3938</v>
      </c>
    </row>
    <row r="937" spans="11:13">
      <c r="K937" s="134" t="s">
        <v>2044</v>
      </c>
      <c r="L937" s="153" t="s">
        <v>2191</v>
      </c>
      <c r="M937" s="106" t="s">
        <v>3940</v>
      </c>
    </row>
    <row r="938" spans="11:13">
      <c r="K938" s="134" t="s">
        <v>2045</v>
      </c>
      <c r="L938" s="153" t="s">
        <v>2192</v>
      </c>
      <c r="M938" s="106" t="s">
        <v>3942</v>
      </c>
    </row>
    <row r="939" spans="11:13">
      <c r="K939" s="134" t="s">
        <v>1042</v>
      </c>
      <c r="L939" s="153" t="s">
        <v>1366</v>
      </c>
      <c r="M939" s="106" t="s">
        <v>4450</v>
      </c>
    </row>
  </sheetData>
  <sheetProtection autoFilter="0"/>
  <autoFilter xmlns:etc="http://www.wps.cn/officeDocument/2017/etCustomData" ref="A3:AC942" etc:filterBottomFollowUsedRange="0">
    <extLst/>
  </autoFilter>
  <conditionalFormatting sqref="E4">
    <cfRule type="duplicateValues" dxfId="72" priority="189"/>
  </conditionalFormatting>
  <conditionalFormatting sqref="E12">
    <cfRule type="duplicateValues" dxfId="72" priority="187"/>
  </conditionalFormatting>
  <conditionalFormatting sqref="E22">
    <cfRule type="duplicateValues" dxfId="72" priority="186"/>
  </conditionalFormatting>
  <conditionalFormatting sqref="E28">
    <cfRule type="duplicateValues" dxfId="72" priority="185"/>
  </conditionalFormatting>
  <conditionalFormatting sqref="E110">
    <cfRule type="duplicateValues" dxfId="72" priority="179"/>
  </conditionalFormatting>
  <conditionalFormatting sqref="E112">
    <cfRule type="duplicateValues" dxfId="72" priority="176"/>
  </conditionalFormatting>
  <conditionalFormatting sqref="E115">
    <cfRule type="duplicateValues" dxfId="72" priority="178"/>
  </conditionalFormatting>
  <conditionalFormatting sqref="E117">
    <cfRule type="duplicateValues" dxfId="72" priority="177"/>
  </conditionalFormatting>
  <conditionalFormatting sqref="E214">
    <cfRule type="duplicateValues" dxfId="72" priority="166"/>
  </conditionalFormatting>
  <conditionalFormatting sqref="E215">
    <cfRule type="duplicateValues" dxfId="72" priority="221"/>
  </conditionalFormatting>
  <conditionalFormatting sqref="E216">
    <cfRule type="duplicateValues" dxfId="72" priority="220"/>
  </conditionalFormatting>
  <conditionalFormatting sqref="E217">
    <cfRule type="duplicateValues" dxfId="72" priority="219"/>
  </conditionalFormatting>
  <conditionalFormatting sqref="E218">
    <cfRule type="duplicateValues" dxfId="72" priority="218"/>
  </conditionalFormatting>
  <conditionalFormatting sqref="E219">
    <cfRule type="duplicateValues" dxfId="72" priority="217"/>
  </conditionalFormatting>
  <conditionalFormatting sqref="E220">
    <cfRule type="duplicateValues" dxfId="72" priority="216"/>
  </conditionalFormatting>
  <conditionalFormatting sqref="E221">
    <cfRule type="duplicateValues" dxfId="72" priority="215"/>
  </conditionalFormatting>
  <conditionalFormatting sqref="E222">
    <cfRule type="duplicateValues" dxfId="72" priority="214"/>
  </conditionalFormatting>
  <conditionalFormatting sqref="E223">
    <cfRule type="duplicateValues" dxfId="72" priority="213"/>
  </conditionalFormatting>
  <conditionalFormatting sqref="E224">
    <cfRule type="duplicateValues" dxfId="72" priority="212"/>
  </conditionalFormatting>
  <conditionalFormatting sqref="E225">
    <cfRule type="duplicateValues" dxfId="72" priority="211"/>
  </conditionalFormatting>
  <conditionalFormatting sqref="E226">
    <cfRule type="duplicateValues" dxfId="72" priority="210"/>
  </conditionalFormatting>
  <conditionalFormatting sqref="E227">
    <cfRule type="duplicateValues" dxfId="72" priority="209"/>
  </conditionalFormatting>
  <conditionalFormatting sqref="E228">
    <cfRule type="duplicateValues" dxfId="72" priority="175"/>
  </conditionalFormatting>
  <conditionalFormatting sqref="E229">
    <cfRule type="duplicateValues" dxfId="72" priority="174"/>
  </conditionalFormatting>
  <conditionalFormatting sqref="E230">
    <cfRule type="duplicateValues" dxfId="72" priority="173"/>
  </conditionalFormatting>
  <conditionalFormatting sqref="E231">
    <cfRule type="duplicateValues" dxfId="72" priority="172"/>
  </conditionalFormatting>
  <conditionalFormatting sqref="E232">
    <cfRule type="duplicateValues" dxfId="72" priority="171"/>
  </conditionalFormatting>
  <conditionalFormatting sqref="E233">
    <cfRule type="duplicateValues" dxfId="72" priority="170"/>
  </conditionalFormatting>
  <conditionalFormatting sqref="E234">
    <cfRule type="duplicateValues" dxfId="72" priority="169"/>
  </conditionalFormatting>
  <conditionalFormatting sqref="E235">
    <cfRule type="duplicateValues" dxfId="72" priority="168"/>
  </conditionalFormatting>
  <conditionalFormatting sqref="E237">
    <cfRule type="duplicateValues" dxfId="72" priority="167"/>
  </conditionalFormatting>
  <conditionalFormatting sqref="E247">
    <cfRule type="duplicateValues" dxfId="72" priority="105"/>
  </conditionalFormatting>
  <conditionalFormatting sqref="E248">
    <cfRule type="duplicateValues" dxfId="72" priority="103"/>
  </conditionalFormatting>
  <conditionalFormatting sqref="E252">
    <cfRule type="duplicateValues" dxfId="72" priority="94"/>
  </conditionalFormatting>
  <conditionalFormatting sqref="E267">
    <cfRule type="duplicateValues" dxfId="72" priority="69"/>
  </conditionalFormatting>
  <conditionalFormatting sqref="E279">
    <cfRule type="duplicateValues" dxfId="72" priority="61"/>
  </conditionalFormatting>
  <conditionalFormatting sqref="E294">
    <cfRule type="duplicateValues" dxfId="72" priority="3"/>
  </conditionalFormatting>
  <conditionalFormatting sqref="M638">
    <cfRule type="expression" dxfId="79" priority="16">
      <formula>$AZ678=TRUE</formula>
    </cfRule>
  </conditionalFormatting>
  <conditionalFormatting sqref="M639">
    <cfRule type="expression" dxfId="79" priority="11">
      <formula>$AZ679=TRUE</formula>
    </cfRule>
  </conditionalFormatting>
  <conditionalFormatting sqref="M658">
    <cfRule type="duplicateValues" dxfId="72" priority="208"/>
  </conditionalFormatting>
  <conditionalFormatting sqref="M659">
    <cfRule type="duplicateValues" dxfId="72" priority="207"/>
  </conditionalFormatting>
  <conditionalFormatting sqref="M661">
    <cfRule type="duplicateValues" dxfId="72" priority="205"/>
  </conditionalFormatting>
  <conditionalFormatting sqref="M662">
    <cfRule type="duplicateValues" dxfId="72" priority="206"/>
  </conditionalFormatting>
  <conditionalFormatting sqref="M663">
    <cfRule type="duplicateValues" dxfId="72" priority="204"/>
  </conditionalFormatting>
  <conditionalFormatting sqref="M670">
    <cfRule type="expression" dxfId="79" priority="9">
      <formula>$AZ710=TRUE</formula>
    </cfRule>
  </conditionalFormatting>
  <conditionalFormatting sqref="M671">
    <cfRule type="expression" dxfId="79" priority="7">
      <formula>$AZ711=TRUE</formula>
    </cfRule>
  </conditionalFormatting>
  <conditionalFormatting sqref="M672">
    <cfRule type="expression" dxfId="79" priority="5">
      <formula>$AZ712=TRUE</formula>
    </cfRule>
  </conditionalFormatting>
  <conditionalFormatting sqref="K693">
    <cfRule type="expression" dxfId="73" priority="119">
      <formula>ISEVEN(MID($K693,4,1))</formula>
    </cfRule>
    <cfRule type="expression" dxfId="74" priority="120" stopIfTrue="1">
      <formula>$I725&lt;&gt;""</formula>
    </cfRule>
  </conditionalFormatting>
  <conditionalFormatting sqref="L693">
    <cfRule type="expression" dxfId="73" priority="131">
      <formula>ISEVEN(MID($K693,4,1))</formula>
    </cfRule>
    <cfRule type="expression" dxfId="74" priority="142" stopIfTrue="1">
      <formula>$I725&lt;&gt;""</formula>
    </cfRule>
  </conditionalFormatting>
  <conditionalFormatting sqref="M693">
    <cfRule type="expression" dxfId="73" priority="153">
      <formula>ISEVEN(MID($K693,4,1))</formula>
    </cfRule>
    <cfRule type="expression" dxfId="74" priority="164" stopIfTrue="1">
      <formula>$I725&lt;&gt;""</formula>
    </cfRule>
  </conditionalFormatting>
  <conditionalFormatting sqref="M694">
    <cfRule type="expression" dxfId="73" priority="152">
      <formula>ISEVEN(MID($K694,4,1))</formula>
    </cfRule>
    <cfRule type="expression" dxfId="74" priority="163" stopIfTrue="1">
      <formula>$I726&lt;&gt;""</formula>
    </cfRule>
  </conditionalFormatting>
  <conditionalFormatting sqref="M695">
    <cfRule type="expression" dxfId="73" priority="151">
      <formula>ISEVEN(MID($K695,4,1))</formula>
    </cfRule>
    <cfRule type="expression" dxfId="74" priority="162" stopIfTrue="1">
      <formula>$I727&lt;&gt;""</formula>
    </cfRule>
  </conditionalFormatting>
  <conditionalFormatting sqref="M696">
    <cfRule type="expression" dxfId="73" priority="150">
      <formula>ISEVEN(MID($K696,4,1))</formula>
    </cfRule>
    <cfRule type="expression" dxfId="74" priority="161" stopIfTrue="1">
      <formula>$I728&lt;&gt;""</formula>
    </cfRule>
  </conditionalFormatting>
  <conditionalFormatting sqref="M697">
    <cfRule type="expression" dxfId="73" priority="149">
      <formula>ISEVEN(MID($K697,4,1))</formula>
    </cfRule>
    <cfRule type="expression" dxfId="74" priority="160" stopIfTrue="1">
      <formula>$I729&lt;&gt;""</formula>
    </cfRule>
  </conditionalFormatting>
  <conditionalFormatting sqref="M698">
    <cfRule type="expression" dxfId="73" priority="148">
      <formula>ISEVEN(MID($K698,4,1))</formula>
    </cfRule>
    <cfRule type="expression" dxfId="74" priority="159" stopIfTrue="1">
      <formula>$I730&lt;&gt;""</formula>
    </cfRule>
  </conditionalFormatting>
  <conditionalFormatting sqref="M699">
    <cfRule type="expression" dxfId="73" priority="147">
      <formula>ISEVEN(MID($K699,4,1))</formula>
    </cfRule>
    <cfRule type="expression" dxfId="74" priority="158" stopIfTrue="1">
      <formula>$I731&lt;&gt;""</formula>
    </cfRule>
  </conditionalFormatting>
  <conditionalFormatting sqref="M700">
    <cfRule type="expression" dxfId="73" priority="146">
      <formula>ISEVEN(MID($K700,4,1))</formula>
    </cfRule>
    <cfRule type="expression" dxfId="74" priority="157" stopIfTrue="1">
      <formula>$I732&lt;&gt;""</formula>
    </cfRule>
  </conditionalFormatting>
  <conditionalFormatting sqref="M701">
    <cfRule type="expression" dxfId="73" priority="145">
      <formula>ISEVEN(MID($K701,4,1))</formula>
    </cfRule>
    <cfRule type="expression" dxfId="74" priority="156" stopIfTrue="1">
      <formula>$I733&lt;&gt;""</formula>
    </cfRule>
  </conditionalFormatting>
  <conditionalFormatting sqref="M702">
    <cfRule type="expression" dxfId="73" priority="144">
      <formula>ISEVEN(MID($K702,4,1))</formula>
    </cfRule>
    <cfRule type="expression" dxfId="74" priority="155" stopIfTrue="1">
      <formula>$I734&lt;&gt;""</formula>
    </cfRule>
  </conditionalFormatting>
  <conditionalFormatting sqref="K703">
    <cfRule type="expression" dxfId="73" priority="107">
      <formula>ISEVEN(MID($K703,4,1))</formula>
    </cfRule>
    <cfRule type="expression" dxfId="74" priority="108" stopIfTrue="1">
      <formula>$I735&lt;&gt;""</formula>
    </cfRule>
  </conditionalFormatting>
  <conditionalFormatting sqref="M703">
    <cfRule type="expression" dxfId="73" priority="143">
      <formula>ISEVEN(MID($K703,4,1))</formula>
    </cfRule>
    <cfRule type="expression" dxfId="74" priority="154" stopIfTrue="1">
      <formula>$I735&lt;&gt;""</formula>
    </cfRule>
  </conditionalFormatting>
  <conditionalFormatting sqref="M704">
    <cfRule type="duplicateValues" dxfId="72" priority="106"/>
  </conditionalFormatting>
  <conditionalFormatting sqref="M732">
    <cfRule type="duplicateValues" dxfId="72" priority="89"/>
  </conditionalFormatting>
  <conditionalFormatting sqref="M737">
    <cfRule type="duplicateValues" dxfId="72" priority="87"/>
  </conditionalFormatting>
  <conditionalFormatting sqref="M796">
    <cfRule type="duplicateValues" dxfId="72" priority="59"/>
  </conditionalFormatting>
  <conditionalFormatting sqref="M815">
    <cfRule type="duplicateValues" dxfId="72" priority="57"/>
  </conditionalFormatting>
  <conditionalFormatting sqref="M816">
    <cfRule type="duplicateValues" dxfId="72" priority="55"/>
  </conditionalFormatting>
  <conditionalFormatting sqref="M821">
    <cfRule type="expression" dxfId="79" priority="54">
      <formula>$AZ869=TRUE</formula>
    </cfRule>
  </conditionalFormatting>
  <conditionalFormatting sqref="M822">
    <cfRule type="expression" dxfId="79" priority="51">
      <formula>$AZ871=TRUE</formula>
    </cfRule>
  </conditionalFormatting>
  <conditionalFormatting sqref="M823">
    <cfRule type="duplicateValues" dxfId="72" priority="49"/>
  </conditionalFormatting>
  <conditionalFormatting sqref="M824">
    <cfRule type="duplicateValues" dxfId="72" priority="47"/>
  </conditionalFormatting>
  <conditionalFormatting sqref="M825">
    <cfRule type="duplicateValues" dxfId="72" priority="43"/>
  </conditionalFormatting>
  <conditionalFormatting sqref="M826">
    <cfRule type="duplicateValues" dxfId="72" priority="39"/>
  </conditionalFormatting>
  <conditionalFormatting sqref="M827">
    <cfRule type="duplicateValues" dxfId="72" priority="37"/>
  </conditionalFormatting>
  <conditionalFormatting sqref="M828">
    <cfRule type="duplicateValues" dxfId="72" priority="35"/>
  </conditionalFormatting>
  <conditionalFormatting sqref="M829">
    <cfRule type="duplicateValues" dxfId="72" priority="33"/>
  </conditionalFormatting>
  <conditionalFormatting sqref="M830">
    <cfRule type="duplicateValues" dxfId="72" priority="31"/>
  </conditionalFormatting>
  <conditionalFormatting sqref="M831">
    <cfRule type="duplicateValues" dxfId="72" priority="29"/>
  </conditionalFormatting>
  <conditionalFormatting sqref="M832">
    <cfRule type="duplicateValues" dxfId="72" priority="27"/>
  </conditionalFormatting>
  <conditionalFormatting sqref="E833">
    <cfRule type="duplicateValues" dxfId="72" priority="65"/>
  </conditionalFormatting>
  <conditionalFormatting sqref="M833">
    <cfRule type="duplicateValues" dxfId="72" priority="25"/>
  </conditionalFormatting>
  <conditionalFormatting sqref="M834">
    <cfRule type="duplicateValues" dxfId="72" priority="23"/>
  </conditionalFormatting>
  <conditionalFormatting sqref="M835">
    <cfRule type="duplicateValues" dxfId="72" priority="21"/>
  </conditionalFormatting>
  <conditionalFormatting sqref="M836">
    <cfRule type="duplicateValues" dxfId="72" priority="19"/>
  </conditionalFormatting>
  <conditionalFormatting sqref="M837">
    <cfRule type="duplicateValues" dxfId="72" priority="17"/>
  </conditionalFormatting>
  <conditionalFormatting sqref="M838">
    <cfRule type="duplicateValues" dxfId="72" priority="12"/>
  </conditionalFormatting>
  <conditionalFormatting sqref="M839">
    <cfRule type="expression" dxfId="79" priority="10">
      <formula>$AZ905=TRUE</formula>
    </cfRule>
  </conditionalFormatting>
  <conditionalFormatting sqref="M840">
    <cfRule type="expression" dxfId="79" priority="8">
      <formula>$AZ907=TRUE</formula>
    </cfRule>
  </conditionalFormatting>
  <conditionalFormatting sqref="M841">
    <cfRule type="expression" dxfId="79" priority="6">
      <formula>$AZ909=TRUE</formula>
    </cfRule>
  </conditionalFormatting>
  <conditionalFormatting sqref="M842">
    <cfRule type="expression" dxfId="79" priority="4">
      <formula>$AZ911=TRUE</formula>
    </cfRule>
  </conditionalFormatting>
  <conditionalFormatting sqref="M848">
    <cfRule type="duplicateValues" dxfId="72" priority="1"/>
    <cfRule type="duplicateValues" dxfId="72" priority="2"/>
  </conditionalFormatting>
  <conditionalFormatting sqref="E6:E8">
    <cfRule type="duplicateValues" dxfId="72" priority="188"/>
  </conditionalFormatting>
  <conditionalFormatting sqref="E30:E31">
    <cfRule type="duplicateValues" dxfId="72" priority="184"/>
  </conditionalFormatting>
  <conditionalFormatting sqref="E75:E87">
    <cfRule type="duplicateValues" dxfId="72" priority="183"/>
  </conditionalFormatting>
  <conditionalFormatting sqref="E153:E156">
    <cfRule type="duplicateValues" dxfId="72" priority="182"/>
  </conditionalFormatting>
  <conditionalFormatting sqref="E176:E194">
    <cfRule type="duplicateValues" dxfId="72" priority="181"/>
  </conditionalFormatting>
  <conditionalFormatting sqref="E238:E239">
    <cfRule type="duplicateValues" dxfId="72" priority="180"/>
  </conditionalFormatting>
  <conditionalFormatting sqref="E249:E251">
    <cfRule type="duplicateValues" dxfId="72" priority="97"/>
  </conditionalFormatting>
  <conditionalFormatting sqref="E268:E273">
    <cfRule type="duplicateValues" dxfId="72" priority="70"/>
  </conditionalFormatting>
  <conditionalFormatting sqref="F265:F266">
    <cfRule type="duplicateValues" dxfId="72" priority="71"/>
  </conditionalFormatting>
  <conditionalFormatting sqref="K694:K696">
    <cfRule type="expression" dxfId="73" priority="111">
      <formula>ISEVEN(MID($K694,4,1))</formula>
    </cfRule>
    <cfRule type="expression" dxfId="74" priority="112" stopIfTrue="1">
      <formula>$I726&lt;&gt;""</formula>
    </cfRule>
  </conditionalFormatting>
  <conditionalFormatting sqref="K697:K702">
    <cfRule type="expression" dxfId="73" priority="109">
      <formula>ISEVEN(MID($K697,4,1))</formula>
    </cfRule>
    <cfRule type="expression" dxfId="74" priority="110" stopIfTrue="1">
      <formula>$I729&lt;&gt;""</formula>
    </cfRule>
  </conditionalFormatting>
  <conditionalFormatting sqref="L694:L703">
    <cfRule type="expression" dxfId="73" priority="130">
      <formula>ISEVEN(MID($K694,4,1))</formula>
    </cfRule>
    <cfRule type="expression" dxfId="74" priority="141" stopIfTrue="1">
      <formula>$I726&lt;&gt;""</formula>
    </cfRule>
  </conditionalFormatting>
  <conditionalFormatting sqref="M611:M614">
    <cfRule type="duplicateValues" dxfId="72" priority="418"/>
  </conditionalFormatting>
  <conditionalFormatting sqref="M710:M711">
    <cfRule type="duplicateValues" dxfId="72" priority="101"/>
  </conditionalFormatting>
  <conditionalFormatting sqref="M712:M713">
    <cfRule type="duplicateValues" dxfId="72" priority="99"/>
  </conditionalFormatting>
  <conditionalFormatting sqref="M714:M719">
    <cfRule type="duplicateValues" dxfId="72" priority="96"/>
  </conditionalFormatting>
  <conditionalFormatting sqref="M742:M743">
    <cfRule type="duplicateValues" dxfId="72" priority="93"/>
  </conditionalFormatting>
  <conditionalFormatting sqref="M748:M750">
    <cfRule type="duplicateValues" dxfId="72" priority="85"/>
  </conditionalFormatting>
  <conditionalFormatting sqref="M787:M788">
    <cfRule type="duplicateValues" dxfId="72" priority="67"/>
  </conditionalFormatting>
  <conditionalFormatting sqref="M793:M794">
    <cfRule type="duplicateValues" dxfId="72" priority="62"/>
  </conditionalFormatting>
  <conditionalFormatting sqref="E1:E3 E5 E9:E11 E13:E21 E23:E27 E29 E32:E35 C36:E36 E37:E74 E88:E105 E107:E109 E116 E118:E152 E157:E175 E213 E240:E246 E253:E254 C255 E256:E266 E274:E276 F277:F278 E280:E293 E296:E735 E738:E832 E834:E1048576">
    <cfRule type="duplicateValues" dxfId="72" priority="235"/>
  </conditionalFormatting>
  <conditionalFormatting sqref="M1:M565 M573:M609 M655:M657 M664:M669 M673:M692 M705:M709 M720 M723:M729 M745:M747 M751:M759 M783:M786 M790:M792 M795 M797:M805 M817:M820 M843:M847 M939:M1048576">
    <cfRule type="duplicateValues" dxfId="72" priority="361"/>
  </conditionalFormatting>
  <conditionalFormatting sqref="M1:M637 M640:M657 M660 M664:M669 M673:M692 M705:M709 M720 M723:M729 M745:M747 M751:M759 M783:M786 M790:M792 M795 M797:M805 M817:M820 M843:M847 M939:M1048576">
    <cfRule type="duplicateValues" dxfId="72" priority="231"/>
  </conditionalFormatting>
  <conditionalFormatting sqref="E195:E210 E295">
    <cfRule type="duplicateValues" dxfId="72" priority="165"/>
  </conditionalFormatting>
  <conditionalFormatting sqref="M730:M731 M733:M736 M738:M741">
    <cfRule type="duplicateValues" dxfId="72" priority="92"/>
  </conditionalFormatting>
  <conditionalFormatting sqref="M730:M731 M733:M736 M738:M744">
    <cfRule type="duplicateValues" dxfId="72" priority="91"/>
  </conditionalFormatting>
  <conditionalFormatting sqref="M760:M768 M771">
    <cfRule type="duplicateValues" dxfId="72" priority="81"/>
  </conditionalFormatting>
  <dataValidations count="4">
    <dataValidation type="list" allowBlank="1" showInputMessage="1" showErrorMessage="1" sqref="D172 D176:D211 D238:D239 D294:D295 D301:D350">
      <formula1>"医学,临床运营,数据管理,生物统计,统计分析,药物警戒,临床药理,质量保证,注册事务"</formula1>
    </dataValidation>
    <dataValidation type="list" allowBlank="1" showInputMessage="1" showErrorMessage="1" sqref="D252 D4:D171 D173:D175 D213:D214 D218:D237 D240:D248 D271:D275 D279:D282 D292:D293">
      <formula1>"医学,临床运营,数据管理,生物统计,统计分析,药物警戒,临床药理,质量保证"</formula1>
    </dataValidation>
    <dataValidation type="list" allowBlank="1" showInputMessage="1" showErrorMessage="1" sqref="H4:H124 H128:H211 H213:H214 H216:H217 H227:H248 H252:H350">
      <formula1>"一次性确认,完工数量确认,按月确认"</formula1>
    </dataValidation>
    <dataValidation type="list" allowBlank="1" showErrorMessage="1" sqref="H125:H127" errorStyle="warning">
      <formula1>"完工数量确认,一次性确认,按月确认"</formula1>
    </dataValidation>
  </dataValidations>
  <pageMargins left="0.7" right="0.7" top="0.75" bottom="0.75" header="0.3" footer="0.3"/>
  <pageSetup paperSize="9" orientation="portrait" horizontalDpi="1200" verticalDpi="1200"/>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16">
    <tabColor rgb="FF92D050"/>
  </sheetPr>
  <dimension ref="B1:AZ2642"/>
  <sheetViews>
    <sheetView workbookViewId="0">
      <selection activeCell="B31" sqref="B31"/>
    </sheetView>
  </sheetViews>
  <sheetFormatPr defaultColWidth="8.88888888888889" defaultRowHeight="15"/>
  <cols>
    <col min="1" max="1" width="3.77777777777778" style="80" customWidth="1"/>
    <col min="2" max="2" width="13.7777777777778" style="80" customWidth="1"/>
    <col min="3" max="3" width="25.4444444444444" style="80" customWidth="1"/>
    <col min="4" max="4" width="10.8888888888889" style="80" customWidth="1"/>
    <col min="5" max="5" width="16.8888888888889" style="80" customWidth="1"/>
    <col min="6" max="6" width="7.55555555555556" style="80" customWidth="1"/>
    <col min="7" max="7" width="13.7777777777778" style="80" customWidth="1"/>
    <col min="8" max="8" width="17.8888888888889" style="80" customWidth="1"/>
    <col min="9" max="9" width="19.1111111111111" style="80" customWidth="1"/>
    <col min="10" max="10" width="19.1111111111111" style="96" customWidth="1"/>
    <col min="11" max="12" width="19.3333333333333" style="96" customWidth="1"/>
    <col min="13" max="13" width="13.7777777777778" style="80" customWidth="1"/>
    <col min="14" max="14" width="25.4444444444444" style="80" customWidth="1"/>
    <col min="15" max="15" width="7.55555555555556" style="80" customWidth="1"/>
    <col min="16" max="16" width="26.1111111111111" style="80" customWidth="1"/>
    <col min="17" max="17" width="7.55555555555556" style="80" customWidth="1"/>
    <col min="18" max="19" width="11.3333333333333" style="80" customWidth="1"/>
    <col min="20" max="20" width="20" style="80" customWidth="1"/>
    <col min="21" max="21" width="13.7777777777778" style="80" customWidth="1"/>
    <col min="22" max="22" width="17.8888888888889" style="80" customWidth="1"/>
    <col min="23" max="23" width="19.1111111111111" style="80" customWidth="1"/>
    <col min="24" max="50" width="19.3333333333333" style="80" customWidth="1"/>
    <col min="51" max="51" width="18.2222222222222" style="80" customWidth="1"/>
    <col min="52" max="52" width="22.3333333333333" style="80" customWidth="1"/>
    <col min="53" max="16384" width="8.88888888888889" style="80"/>
  </cols>
  <sheetData>
    <row r="1" spans="2:52">
      <c r="B1" s="97" t="s">
        <v>4451</v>
      </c>
      <c r="M1" s="97" t="s">
        <v>4451</v>
      </c>
    </row>
    <row r="3" ht="15.6" spans="2:52">
      <c r="B3" s="80" t="s">
        <v>740</v>
      </c>
      <c r="C3" s="80" t="s">
        <v>4452</v>
      </c>
      <c r="M3" s="98" t="s">
        <v>740</v>
      </c>
      <c r="N3" s="98" t="s">
        <v>4452</v>
      </c>
    </row>
    <row r="5" spans="2:52">
      <c r="G5" s="99" t="s">
        <v>4453</v>
      </c>
      <c r="H5" s="99"/>
      <c r="I5" s="99"/>
      <c r="J5"/>
      <c r="K5"/>
      <c r="L5"/>
      <c r="T5" s="99" t="s">
        <v>4453</v>
      </c>
      <c r="U5" s="99"/>
      <c r="V5" s="99"/>
      <c r="W5" s="99"/>
      <c r="X5"/>
      <c r="Y5"/>
      <c r="Z5"/>
      <c r="AA5"/>
      <c r="AB5"/>
      <c r="AC5"/>
      <c r="AD5"/>
      <c r="AE5"/>
      <c r="AF5"/>
      <c r="AG5"/>
      <c r="AH5"/>
      <c r="AI5"/>
      <c r="AJ5"/>
      <c r="AK5"/>
      <c r="AL5"/>
      <c r="AM5"/>
      <c r="AN5"/>
      <c r="AO5"/>
      <c r="AP5"/>
      <c r="AQ5"/>
      <c r="AR5"/>
      <c r="AS5"/>
      <c r="AT5"/>
      <c r="AU5"/>
      <c r="AV5"/>
      <c r="AW5"/>
      <c r="AX5"/>
      <c r="AY5"/>
      <c r="AZ5"/>
    </row>
    <row r="6" spans="2:52">
      <c r="B6" s="80" t="s">
        <v>88</v>
      </c>
      <c r="C6" s="80" t="s">
        <v>1157</v>
      </c>
      <c r="D6" s="80" t="s">
        <v>1150</v>
      </c>
      <c r="E6" s="80" t="s">
        <v>1149</v>
      </c>
      <c r="F6" s="80" t="s">
        <v>1161</v>
      </c>
      <c r="G6" s="80" t="s">
        <v>4454</v>
      </c>
      <c r="H6" s="80" t="s">
        <v>4455</v>
      </c>
      <c r="I6" s="99" t="s">
        <v>4456</v>
      </c>
      <c r="J6"/>
      <c r="K6"/>
      <c r="L6"/>
      <c r="M6" s="80" t="s">
        <v>88</v>
      </c>
      <c r="N6" s="80" t="s">
        <v>1157</v>
      </c>
      <c r="O6" s="80" t="s">
        <v>1158</v>
      </c>
      <c r="P6" s="80" t="s">
        <v>1159</v>
      </c>
      <c r="Q6" s="80" t="s">
        <v>1161</v>
      </c>
      <c r="R6" s="80" t="s">
        <v>1160</v>
      </c>
      <c r="S6" s="80" t="s">
        <v>970</v>
      </c>
      <c r="T6" s="80" t="s">
        <v>4457</v>
      </c>
      <c r="U6" s="80" t="s">
        <v>4454</v>
      </c>
      <c r="V6" s="80" t="s">
        <v>4455</v>
      </c>
      <c r="W6" s="99" t="s">
        <v>4456</v>
      </c>
      <c r="X6"/>
      <c r="Y6"/>
      <c r="Z6"/>
      <c r="AA6"/>
      <c r="AB6"/>
      <c r="AC6"/>
      <c r="AD6"/>
      <c r="AE6"/>
      <c r="AF6"/>
      <c r="AG6"/>
      <c r="AH6"/>
      <c r="AI6"/>
      <c r="AJ6"/>
      <c r="AK6"/>
      <c r="AL6"/>
      <c r="AM6"/>
      <c r="AN6"/>
      <c r="AO6"/>
      <c r="AP6"/>
      <c r="AQ6"/>
      <c r="AR6"/>
      <c r="AS6"/>
      <c r="AT6"/>
      <c r="AU6"/>
      <c r="AV6"/>
      <c r="AW6"/>
      <c r="AX6"/>
      <c r="AY6"/>
      <c r="AZ6"/>
    </row>
    <row r="7" ht="15.6" spans="2:52">
      <c r="B7" s="80" t="s">
        <v>91</v>
      </c>
      <c r="C7" s="80" t="s">
        <v>92</v>
      </c>
      <c r="D7" s="80">
        <v>0</v>
      </c>
      <c r="E7" s="80" t="s">
        <v>1176</v>
      </c>
      <c r="F7" s="80" t="s">
        <v>652</v>
      </c>
      <c r="G7" s="99">
        <v>0</v>
      </c>
      <c r="H7" s="99">
        <v>0</v>
      </c>
      <c r="I7" s="99">
        <v>0</v>
      </c>
      <c r="J7"/>
      <c r="K7"/>
      <c r="L7"/>
      <c r="M7" s="80" t="s">
        <v>91</v>
      </c>
      <c r="N7" s="80" t="s">
        <v>92</v>
      </c>
      <c r="O7" s="80" t="s">
        <v>1175</v>
      </c>
      <c r="P7" s="80" t="s">
        <v>3097</v>
      </c>
      <c r="Q7" s="80" t="s">
        <v>652</v>
      </c>
      <c r="R7" s="80">
        <v>0</v>
      </c>
      <c r="S7" s="80" t="s">
        <v>1176</v>
      </c>
      <c r="T7" s="100">
        <v>4</v>
      </c>
      <c r="U7" s="100">
        <v>0</v>
      </c>
      <c r="V7" s="100">
        <v>0</v>
      </c>
      <c r="W7" s="100">
        <v>0</v>
      </c>
      <c r="X7"/>
      <c r="Y7"/>
      <c r="Z7"/>
      <c r="AA7"/>
      <c r="AB7"/>
      <c r="AC7"/>
      <c r="AD7"/>
      <c r="AE7"/>
      <c r="AF7"/>
      <c r="AG7"/>
      <c r="AH7"/>
      <c r="AI7"/>
      <c r="AJ7"/>
      <c r="AK7"/>
      <c r="AL7"/>
      <c r="AM7"/>
      <c r="AN7"/>
      <c r="AO7"/>
      <c r="AP7"/>
      <c r="AQ7"/>
      <c r="AR7"/>
      <c r="AS7"/>
      <c r="AT7"/>
      <c r="AU7"/>
      <c r="AV7"/>
      <c r="AW7"/>
      <c r="AX7"/>
      <c r="AY7"/>
      <c r="AZ7"/>
    </row>
    <row r="8" ht="15.6" spans="2:52">
      <c r="F8" s="80" t="s">
        <v>654</v>
      </c>
      <c r="G8" s="99">
        <v>0</v>
      </c>
      <c r="H8" s="99">
        <v>0</v>
      </c>
      <c r="I8" s="99">
        <v>0</v>
      </c>
      <c r="J8"/>
      <c r="K8"/>
      <c r="L8"/>
      <c r="Q8" s="80" t="s">
        <v>615</v>
      </c>
      <c r="R8" s="80">
        <v>0</v>
      </c>
      <c r="S8" s="80" t="s">
        <v>1176</v>
      </c>
      <c r="T8" s="100">
        <v>32</v>
      </c>
      <c r="U8" s="100">
        <v>0</v>
      </c>
      <c r="V8" s="100">
        <v>0</v>
      </c>
      <c r="W8" s="100">
        <v>0</v>
      </c>
      <c r="X8"/>
      <c r="Y8"/>
      <c r="Z8"/>
      <c r="AA8"/>
      <c r="AB8"/>
      <c r="AC8"/>
      <c r="AD8"/>
      <c r="AE8"/>
      <c r="AF8"/>
      <c r="AG8"/>
      <c r="AH8"/>
      <c r="AI8"/>
      <c r="AJ8"/>
      <c r="AK8"/>
      <c r="AL8"/>
      <c r="AM8"/>
      <c r="AN8"/>
      <c r="AO8"/>
      <c r="AP8"/>
      <c r="AQ8"/>
      <c r="AR8"/>
      <c r="AS8"/>
      <c r="AT8"/>
      <c r="AU8"/>
      <c r="AV8"/>
      <c r="AW8"/>
      <c r="AX8"/>
      <c r="AY8"/>
      <c r="AZ8"/>
    </row>
    <row r="9" ht="15.6" spans="2:52">
      <c r="F9" s="80" t="s">
        <v>613</v>
      </c>
      <c r="G9" s="99">
        <v>0</v>
      </c>
      <c r="H9" s="99">
        <v>0</v>
      </c>
      <c r="I9" s="99">
        <v>0</v>
      </c>
      <c r="J9"/>
      <c r="K9"/>
      <c r="L9"/>
      <c r="Q9" s="80" t="s">
        <v>639</v>
      </c>
      <c r="R9" s="80">
        <v>0</v>
      </c>
      <c r="S9" s="80" t="s">
        <v>1176</v>
      </c>
      <c r="T9" s="100">
        <v>6</v>
      </c>
      <c r="U9" s="100">
        <v>0</v>
      </c>
      <c r="V9" s="100">
        <v>0</v>
      </c>
      <c r="W9" s="100">
        <v>0</v>
      </c>
      <c r="X9"/>
      <c r="Y9"/>
      <c r="Z9"/>
      <c r="AA9"/>
      <c r="AB9"/>
      <c r="AC9"/>
      <c r="AD9"/>
      <c r="AE9"/>
      <c r="AF9"/>
      <c r="AG9"/>
      <c r="AH9"/>
      <c r="AI9"/>
      <c r="AJ9"/>
      <c r="AK9"/>
      <c r="AL9"/>
      <c r="AM9"/>
      <c r="AN9"/>
      <c r="AO9"/>
      <c r="AP9"/>
      <c r="AQ9"/>
      <c r="AR9"/>
      <c r="AS9"/>
      <c r="AT9"/>
      <c r="AU9"/>
      <c r="AV9"/>
      <c r="AW9"/>
      <c r="AX9"/>
      <c r="AY9"/>
      <c r="AZ9"/>
    </row>
    <row r="10" ht="15.6" spans="2:52">
      <c r="F10" s="80" t="s">
        <v>615</v>
      </c>
      <c r="G10" s="99">
        <v>0</v>
      </c>
      <c r="H10" s="99">
        <v>0</v>
      </c>
      <c r="I10" s="99">
        <v>0</v>
      </c>
      <c r="J10"/>
      <c r="K10"/>
      <c r="L10"/>
      <c r="O10" s="80" t="s">
        <v>1177</v>
      </c>
      <c r="P10" s="80" t="s">
        <v>3103</v>
      </c>
      <c r="Q10" s="80" t="s">
        <v>654</v>
      </c>
      <c r="R10" s="80">
        <v>0</v>
      </c>
      <c r="S10" s="80" t="s">
        <v>1178</v>
      </c>
      <c r="T10" s="100">
        <v>4</v>
      </c>
      <c r="U10" s="100">
        <v>0</v>
      </c>
      <c r="V10" s="100">
        <v>0</v>
      </c>
      <c r="W10" s="100">
        <v>0</v>
      </c>
      <c r="X10"/>
      <c r="Y10"/>
      <c r="Z10"/>
      <c r="AA10"/>
      <c r="AB10"/>
      <c r="AC10"/>
      <c r="AD10"/>
      <c r="AE10"/>
      <c r="AF10"/>
      <c r="AG10"/>
      <c r="AH10"/>
      <c r="AI10"/>
      <c r="AJ10"/>
      <c r="AK10"/>
      <c r="AL10"/>
      <c r="AM10"/>
      <c r="AN10"/>
      <c r="AO10"/>
      <c r="AP10"/>
      <c r="AQ10"/>
      <c r="AR10"/>
      <c r="AS10"/>
      <c r="AT10"/>
      <c r="AU10"/>
      <c r="AV10"/>
      <c r="AW10"/>
      <c r="AX10"/>
      <c r="AY10"/>
      <c r="AZ10"/>
    </row>
    <row r="11" ht="15.6" spans="2:52">
      <c r="F11" s="80" t="s">
        <v>617</v>
      </c>
      <c r="G11" s="99">
        <v>0</v>
      </c>
      <c r="H11" s="99">
        <v>0</v>
      </c>
      <c r="I11" s="99">
        <v>0</v>
      </c>
      <c r="J11"/>
      <c r="K11"/>
      <c r="L11"/>
      <c r="Q11" s="80" t="s">
        <v>613</v>
      </c>
      <c r="R11" s="80">
        <v>0</v>
      </c>
      <c r="S11" s="80" t="s">
        <v>1178</v>
      </c>
      <c r="T11" s="100">
        <v>4</v>
      </c>
      <c r="U11" s="100">
        <v>0</v>
      </c>
      <c r="V11" s="100">
        <v>0</v>
      </c>
      <c r="W11" s="100">
        <v>0</v>
      </c>
      <c r="X11"/>
      <c r="Y11"/>
      <c r="Z11"/>
      <c r="AA11"/>
      <c r="AB11"/>
      <c r="AC11"/>
      <c r="AD11"/>
      <c r="AE11"/>
      <c r="AF11"/>
      <c r="AG11"/>
      <c r="AH11"/>
      <c r="AI11"/>
      <c r="AJ11"/>
      <c r="AK11"/>
      <c r="AL11"/>
      <c r="AM11"/>
      <c r="AN11"/>
      <c r="AO11"/>
      <c r="AP11"/>
      <c r="AQ11"/>
      <c r="AR11"/>
      <c r="AS11"/>
      <c r="AT11"/>
      <c r="AU11"/>
      <c r="AV11"/>
      <c r="AW11"/>
      <c r="AX11"/>
      <c r="AY11"/>
      <c r="AZ11"/>
    </row>
    <row r="12" ht="15.6" spans="2:52">
      <c r="F12" s="80" t="s">
        <v>599</v>
      </c>
      <c r="G12" s="99">
        <v>0</v>
      </c>
      <c r="H12" s="99">
        <v>0</v>
      </c>
      <c r="I12" s="99">
        <v>0</v>
      </c>
      <c r="J12"/>
      <c r="K12"/>
      <c r="L12"/>
      <c r="Q12" s="80" t="s">
        <v>642</v>
      </c>
      <c r="R12" s="80">
        <v>0</v>
      </c>
      <c r="S12" s="80" t="s">
        <v>1178</v>
      </c>
      <c r="T12" s="100">
        <v>3</v>
      </c>
      <c r="U12" s="100">
        <v>0</v>
      </c>
      <c r="V12" s="100">
        <v>0</v>
      </c>
      <c r="W12" s="100">
        <v>0</v>
      </c>
      <c r="X12"/>
      <c r="Y12"/>
      <c r="Z12"/>
      <c r="AA12"/>
      <c r="AB12"/>
      <c r="AC12"/>
      <c r="AD12"/>
      <c r="AE12"/>
      <c r="AF12"/>
      <c r="AG12"/>
      <c r="AH12"/>
      <c r="AI12"/>
      <c r="AJ12"/>
      <c r="AK12"/>
      <c r="AL12"/>
      <c r="AM12"/>
      <c r="AN12"/>
      <c r="AO12"/>
      <c r="AP12"/>
      <c r="AQ12"/>
      <c r="AR12"/>
      <c r="AS12"/>
      <c r="AT12"/>
      <c r="AU12"/>
      <c r="AV12"/>
      <c r="AW12"/>
      <c r="AX12"/>
      <c r="AY12"/>
      <c r="AZ12"/>
    </row>
    <row r="13" ht="15.6" spans="2:52">
      <c r="F13" s="80" t="s">
        <v>642</v>
      </c>
      <c r="G13" s="99">
        <v>0</v>
      </c>
      <c r="H13" s="99">
        <v>0</v>
      </c>
      <c r="I13" s="99">
        <v>0</v>
      </c>
      <c r="J13"/>
      <c r="K13"/>
      <c r="L13"/>
      <c r="O13" s="80" t="s">
        <v>1179</v>
      </c>
      <c r="P13" s="80" t="s">
        <v>3110</v>
      </c>
      <c r="Q13" s="80" t="s">
        <v>615</v>
      </c>
      <c r="R13" s="80">
        <v>0</v>
      </c>
      <c r="S13" s="80" t="s">
        <v>1176</v>
      </c>
      <c r="T13" s="100">
        <v>56</v>
      </c>
      <c r="U13" s="100">
        <v>0</v>
      </c>
      <c r="V13" s="100">
        <v>0</v>
      </c>
      <c r="W13" s="100">
        <v>0</v>
      </c>
      <c r="X13"/>
      <c r="Y13"/>
      <c r="Z13"/>
      <c r="AA13"/>
      <c r="AB13"/>
      <c r="AC13"/>
      <c r="AD13"/>
      <c r="AE13"/>
      <c r="AF13"/>
      <c r="AG13"/>
      <c r="AH13"/>
      <c r="AI13"/>
      <c r="AJ13"/>
      <c r="AK13"/>
      <c r="AL13"/>
      <c r="AM13"/>
      <c r="AN13"/>
      <c r="AO13"/>
      <c r="AP13"/>
      <c r="AQ13"/>
      <c r="AR13"/>
      <c r="AS13"/>
      <c r="AT13"/>
      <c r="AU13"/>
      <c r="AV13"/>
      <c r="AW13"/>
      <c r="AX13"/>
      <c r="AY13"/>
      <c r="AZ13"/>
    </row>
    <row r="14" ht="15.6" spans="2:52">
      <c r="F14" s="80" t="s">
        <v>639</v>
      </c>
      <c r="G14" s="99">
        <v>0</v>
      </c>
      <c r="H14" s="99">
        <v>0</v>
      </c>
      <c r="I14" s="99">
        <v>0</v>
      </c>
      <c r="J14"/>
      <c r="K14"/>
      <c r="L14"/>
      <c r="O14" s="80" t="s">
        <v>3114</v>
      </c>
      <c r="P14" s="80" t="s">
        <v>3115</v>
      </c>
      <c r="Q14" s="80" t="s">
        <v>617</v>
      </c>
      <c r="R14" s="80">
        <v>0</v>
      </c>
      <c r="S14" s="80" t="s">
        <v>1176</v>
      </c>
      <c r="T14" s="100">
        <v>6</v>
      </c>
      <c r="U14" s="100">
        <v>0</v>
      </c>
      <c r="V14" s="100">
        <v>0</v>
      </c>
      <c r="W14" s="100">
        <v>0</v>
      </c>
      <c r="X14"/>
      <c r="Y14"/>
      <c r="Z14"/>
      <c r="AA14"/>
      <c r="AB14"/>
      <c r="AC14"/>
      <c r="AD14"/>
      <c r="AE14"/>
      <c r="AF14"/>
      <c r="AG14"/>
      <c r="AH14"/>
      <c r="AI14"/>
      <c r="AJ14"/>
      <c r="AK14"/>
      <c r="AL14"/>
      <c r="AM14"/>
      <c r="AN14"/>
      <c r="AO14"/>
      <c r="AP14"/>
      <c r="AQ14"/>
      <c r="AR14"/>
      <c r="AS14"/>
      <c r="AT14"/>
      <c r="AU14"/>
      <c r="AV14"/>
      <c r="AW14"/>
      <c r="AX14"/>
      <c r="AY14"/>
      <c r="AZ14"/>
    </row>
    <row r="15" ht="15.6" spans="2:52">
      <c r="B15" s="80" t="s">
        <v>4458</v>
      </c>
      <c r="G15" s="99">
        <v>0</v>
      </c>
      <c r="H15" s="99">
        <v>0</v>
      </c>
      <c r="I15" s="99">
        <v>0</v>
      </c>
      <c r="J15"/>
      <c r="K15"/>
      <c r="L15"/>
      <c r="O15" s="80" t="s">
        <v>1180</v>
      </c>
      <c r="P15" s="80" t="s">
        <v>3119</v>
      </c>
      <c r="Q15" s="80" t="s">
        <v>654</v>
      </c>
      <c r="R15" s="80">
        <v>0</v>
      </c>
      <c r="S15" s="80" t="s">
        <v>1178</v>
      </c>
      <c r="T15" s="100">
        <v>8</v>
      </c>
      <c r="U15" s="100">
        <v>0</v>
      </c>
      <c r="V15" s="100">
        <v>0</v>
      </c>
      <c r="W15" s="100">
        <v>0</v>
      </c>
      <c r="X15"/>
      <c r="Y15"/>
      <c r="Z15"/>
      <c r="AA15"/>
      <c r="AB15"/>
      <c r="AC15"/>
      <c r="AD15"/>
      <c r="AE15"/>
      <c r="AF15"/>
      <c r="AG15"/>
      <c r="AH15"/>
      <c r="AI15"/>
      <c r="AJ15"/>
      <c r="AK15"/>
      <c r="AL15"/>
      <c r="AM15"/>
      <c r="AN15"/>
      <c r="AO15"/>
      <c r="AP15"/>
      <c r="AQ15"/>
      <c r="AR15"/>
      <c r="AS15"/>
      <c r="AT15"/>
      <c r="AU15"/>
      <c r="AV15"/>
      <c r="AW15"/>
      <c r="AX15"/>
      <c r="AY15"/>
      <c r="AZ15"/>
    </row>
    <row r="16" ht="15.6" spans="2:52">
      <c r="B16" s="80" t="s">
        <v>94</v>
      </c>
      <c r="C16" s="80" t="s">
        <v>95</v>
      </c>
      <c r="D16" s="80">
        <v>0</v>
      </c>
      <c r="E16" s="80" t="s">
        <v>1176</v>
      </c>
      <c r="F16" s="80" t="s">
        <v>631</v>
      </c>
      <c r="G16" s="99">
        <v>0</v>
      </c>
      <c r="H16" s="99">
        <v>0</v>
      </c>
      <c r="I16" s="99">
        <v>0</v>
      </c>
      <c r="J16"/>
      <c r="K16"/>
      <c r="L16"/>
      <c r="Q16" s="80" t="s">
        <v>613</v>
      </c>
      <c r="R16" s="80">
        <v>0</v>
      </c>
      <c r="S16" s="80" t="s">
        <v>1178</v>
      </c>
      <c r="T16" s="100">
        <v>8</v>
      </c>
      <c r="U16" s="100">
        <v>0</v>
      </c>
      <c r="V16" s="100">
        <v>0</v>
      </c>
      <c r="W16" s="100">
        <v>0</v>
      </c>
      <c r="X16"/>
      <c r="Y16"/>
      <c r="Z16"/>
      <c r="AA16"/>
      <c r="AB16"/>
      <c r="AC16"/>
      <c r="AD16"/>
      <c r="AE16"/>
      <c r="AF16"/>
      <c r="AG16"/>
      <c r="AH16"/>
      <c r="AI16"/>
      <c r="AJ16"/>
      <c r="AK16"/>
      <c r="AL16"/>
      <c r="AM16"/>
      <c r="AN16"/>
      <c r="AO16"/>
      <c r="AP16"/>
      <c r="AQ16"/>
      <c r="AR16"/>
      <c r="AS16"/>
      <c r="AT16"/>
      <c r="AU16"/>
      <c r="AV16"/>
      <c r="AW16"/>
      <c r="AX16"/>
      <c r="AY16"/>
      <c r="AZ16"/>
    </row>
    <row r="17" ht="15.6" spans="2:52">
      <c r="F17" s="80" t="s">
        <v>633</v>
      </c>
      <c r="G17" s="99">
        <v>0</v>
      </c>
      <c r="H17" s="99">
        <v>0</v>
      </c>
      <c r="I17" s="99">
        <v>0</v>
      </c>
      <c r="J17"/>
      <c r="K17"/>
      <c r="L17"/>
      <c r="Q17" s="80" t="s">
        <v>642</v>
      </c>
      <c r="R17" s="80">
        <v>0</v>
      </c>
      <c r="S17" s="80" t="s">
        <v>1178</v>
      </c>
      <c r="T17" s="100">
        <v>6</v>
      </c>
      <c r="U17" s="100">
        <v>0</v>
      </c>
      <c r="V17" s="100">
        <v>0</v>
      </c>
      <c r="W17" s="100">
        <v>0</v>
      </c>
      <c r="X17"/>
      <c r="Y17"/>
      <c r="Z17"/>
      <c r="AA17"/>
      <c r="AB17"/>
      <c r="AC17"/>
      <c r="AD17"/>
      <c r="AE17"/>
      <c r="AF17"/>
      <c r="AG17"/>
      <c r="AH17"/>
      <c r="AI17"/>
      <c r="AJ17"/>
      <c r="AK17"/>
      <c r="AL17"/>
      <c r="AM17"/>
      <c r="AN17"/>
      <c r="AO17"/>
      <c r="AP17"/>
      <c r="AQ17"/>
      <c r="AR17"/>
      <c r="AS17"/>
      <c r="AT17"/>
      <c r="AU17"/>
      <c r="AV17"/>
      <c r="AW17"/>
      <c r="AX17"/>
      <c r="AY17"/>
      <c r="AZ17"/>
    </row>
    <row r="18" ht="15.6" spans="2:52">
      <c r="F18" s="80" t="s">
        <v>615</v>
      </c>
      <c r="G18" s="99">
        <v>0</v>
      </c>
      <c r="H18" s="99">
        <v>0</v>
      </c>
      <c r="I18" s="99">
        <v>0</v>
      </c>
      <c r="J18"/>
      <c r="K18"/>
      <c r="L18"/>
      <c r="O18" s="80" t="s">
        <v>1181</v>
      </c>
      <c r="P18" s="80" t="s">
        <v>3124</v>
      </c>
      <c r="Q18" s="80" t="s">
        <v>615</v>
      </c>
      <c r="R18" s="80">
        <v>0</v>
      </c>
      <c r="S18" s="80" t="s">
        <v>1178</v>
      </c>
      <c r="T18" s="100">
        <v>8</v>
      </c>
      <c r="U18" s="100">
        <v>0</v>
      </c>
      <c r="V18" s="100">
        <v>0</v>
      </c>
      <c r="W18" s="100">
        <v>0</v>
      </c>
      <c r="X18"/>
      <c r="Y18"/>
      <c r="Z18"/>
      <c r="AA18"/>
      <c r="AB18"/>
      <c r="AC18"/>
      <c r="AD18"/>
      <c r="AE18"/>
      <c r="AF18"/>
      <c r="AG18"/>
      <c r="AH18"/>
      <c r="AI18"/>
      <c r="AJ18"/>
      <c r="AK18"/>
      <c r="AL18"/>
      <c r="AM18"/>
      <c r="AN18"/>
      <c r="AO18"/>
      <c r="AP18"/>
      <c r="AQ18"/>
      <c r="AR18"/>
      <c r="AS18"/>
      <c r="AT18"/>
      <c r="AU18"/>
      <c r="AV18"/>
      <c r="AW18"/>
      <c r="AX18"/>
      <c r="AY18"/>
      <c r="AZ18"/>
    </row>
    <row r="19" ht="15.6" spans="2:52">
      <c r="F19" s="80" t="s">
        <v>599</v>
      </c>
      <c r="G19" s="99">
        <v>0</v>
      </c>
      <c r="H19" s="99">
        <v>0</v>
      </c>
      <c r="I19" s="99">
        <v>0</v>
      </c>
      <c r="J19"/>
      <c r="K19"/>
      <c r="L19"/>
      <c r="O19" s="80" t="s">
        <v>1182</v>
      </c>
      <c r="P19" s="80" t="s">
        <v>3129</v>
      </c>
      <c r="Q19" s="80" t="s">
        <v>654</v>
      </c>
      <c r="R19" s="80">
        <v>0</v>
      </c>
      <c r="S19" s="80" t="s">
        <v>1178</v>
      </c>
      <c r="T19" s="100">
        <v>4</v>
      </c>
      <c r="U19" s="100">
        <v>0</v>
      </c>
      <c r="V19" s="100">
        <v>0</v>
      </c>
      <c r="W19" s="100">
        <v>0</v>
      </c>
      <c r="X19"/>
      <c r="Y19"/>
      <c r="Z19"/>
      <c r="AA19"/>
      <c r="AB19"/>
      <c r="AC19"/>
      <c r="AD19"/>
      <c r="AE19"/>
      <c r="AF19"/>
      <c r="AG19"/>
      <c r="AH19"/>
      <c r="AI19"/>
      <c r="AJ19"/>
      <c r="AK19"/>
      <c r="AL19"/>
      <c r="AM19"/>
      <c r="AN19"/>
      <c r="AO19"/>
      <c r="AP19"/>
      <c r="AQ19"/>
      <c r="AR19"/>
      <c r="AS19"/>
      <c r="AT19"/>
      <c r="AU19"/>
      <c r="AV19"/>
      <c r="AW19"/>
      <c r="AX19"/>
      <c r="AY19"/>
      <c r="AZ19"/>
    </row>
    <row r="20" ht="15.6" spans="2:52">
      <c r="F20" s="80" t="s">
        <v>638</v>
      </c>
      <c r="G20" s="99">
        <v>0</v>
      </c>
      <c r="H20" s="99">
        <v>0</v>
      </c>
      <c r="I20" s="99">
        <v>0</v>
      </c>
      <c r="J20"/>
      <c r="K20"/>
      <c r="L20"/>
      <c r="Q20" s="80" t="s">
        <v>613</v>
      </c>
      <c r="R20" s="80">
        <v>0</v>
      </c>
      <c r="S20" s="80" t="s">
        <v>1178</v>
      </c>
      <c r="T20" s="100">
        <v>2</v>
      </c>
      <c r="U20" s="100">
        <v>0</v>
      </c>
      <c r="V20" s="100">
        <v>0</v>
      </c>
      <c r="W20" s="100">
        <v>0</v>
      </c>
      <c r="X20"/>
      <c r="Y20"/>
      <c r="Z20"/>
      <c r="AA20"/>
      <c r="AB20"/>
      <c r="AC20"/>
      <c r="AD20"/>
      <c r="AE20"/>
      <c r="AF20"/>
      <c r="AG20"/>
      <c r="AH20"/>
      <c r="AI20"/>
      <c r="AJ20"/>
      <c r="AK20"/>
      <c r="AL20"/>
      <c r="AM20"/>
      <c r="AN20"/>
      <c r="AO20"/>
      <c r="AP20"/>
      <c r="AQ20"/>
      <c r="AR20"/>
      <c r="AS20"/>
      <c r="AT20"/>
      <c r="AU20"/>
      <c r="AV20"/>
      <c r="AW20"/>
      <c r="AX20"/>
      <c r="AY20"/>
      <c r="AZ20"/>
    </row>
    <row r="21" ht="15.6" spans="2:52">
      <c r="F21" s="80" t="s">
        <v>639</v>
      </c>
      <c r="G21" s="99">
        <v>0</v>
      </c>
      <c r="H21" s="99">
        <v>0</v>
      </c>
      <c r="I21" s="99">
        <v>0</v>
      </c>
      <c r="J21"/>
      <c r="K21"/>
      <c r="L21"/>
      <c r="Q21" s="80" t="s">
        <v>599</v>
      </c>
      <c r="R21" s="80">
        <v>0</v>
      </c>
      <c r="S21" s="80" t="s">
        <v>1178</v>
      </c>
      <c r="T21" s="100">
        <v>4</v>
      </c>
      <c r="U21" s="100">
        <v>0</v>
      </c>
      <c r="V21" s="100">
        <v>0</v>
      </c>
      <c r="W21" s="100">
        <v>0</v>
      </c>
      <c r="X21"/>
      <c r="Y21"/>
      <c r="Z21"/>
      <c r="AA21"/>
      <c r="AB21"/>
      <c r="AC21"/>
      <c r="AD21"/>
      <c r="AE21"/>
      <c r="AF21"/>
      <c r="AG21"/>
      <c r="AH21"/>
      <c r="AI21"/>
      <c r="AJ21"/>
      <c r="AK21"/>
      <c r="AL21"/>
      <c r="AM21"/>
      <c r="AN21"/>
      <c r="AO21"/>
      <c r="AP21"/>
      <c r="AQ21"/>
      <c r="AR21"/>
      <c r="AS21"/>
      <c r="AT21"/>
      <c r="AU21"/>
      <c r="AV21"/>
      <c r="AW21"/>
      <c r="AX21"/>
      <c r="AY21"/>
      <c r="AZ21"/>
    </row>
    <row r="22" ht="15.6" spans="2:52">
      <c r="B22" s="80" t="s">
        <v>4459</v>
      </c>
      <c r="G22" s="99">
        <v>0</v>
      </c>
      <c r="H22" s="99">
        <v>0</v>
      </c>
      <c r="I22" s="99">
        <v>0</v>
      </c>
      <c r="J22"/>
      <c r="K22"/>
      <c r="L22"/>
      <c r="Q22" s="80" t="s">
        <v>642</v>
      </c>
      <c r="R22" s="80">
        <v>0</v>
      </c>
      <c r="S22" s="80" t="s">
        <v>1178</v>
      </c>
      <c r="T22" s="100">
        <v>3</v>
      </c>
      <c r="U22" s="100">
        <v>0</v>
      </c>
      <c r="V22" s="100">
        <v>0</v>
      </c>
      <c r="W22" s="100">
        <v>0</v>
      </c>
      <c r="X22"/>
      <c r="Y22"/>
      <c r="Z22"/>
      <c r="AA22"/>
      <c r="AB22"/>
      <c r="AC22"/>
      <c r="AD22"/>
      <c r="AE22"/>
      <c r="AF22"/>
      <c r="AG22"/>
      <c r="AH22"/>
      <c r="AI22"/>
      <c r="AJ22"/>
      <c r="AK22"/>
      <c r="AL22"/>
      <c r="AM22"/>
      <c r="AN22"/>
      <c r="AO22"/>
      <c r="AP22"/>
      <c r="AQ22"/>
      <c r="AR22"/>
      <c r="AS22"/>
      <c r="AT22"/>
      <c r="AU22"/>
      <c r="AV22"/>
      <c r="AW22"/>
      <c r="AX22"/>
      <c r="AY22"/>
      <c r="AZ22"/>
    </row>
    <row r="23" ht="15.6" spans="2:52">
      <c r="B23" s="80" t="s">
        <v>96</v>
      </c>
      <c r="C23" s="80" t="s">
        <v>97</v>
      </c>
      <c r="D23" s="80">
        <v>0</v>
      </c>
      <c r="E23" s="80" t="s">
        <v>1178</v>
      </c>
      <c r="F23" s="80" t="s">
        <v>613</v>
      </c>
      <c r="G23" s="99">
        <v>0</v>
      </c>
      <c r="H23" s="99">
        <v>0</v>
      </c>
      <c r="I23" s="99">
        <v>0</v>
      </c>
      <c r="J23"/>
      <c r="K23"/>
      <c r="L23"/>
      <c r="M23" s="80" t="s">
        <v>94</v>
      </c>
      <c r="N23" s="80" t="s">
        <v>95</v>
      </c>
      <c r="O23" s="80" t="s">
        <v>2899</v>
      </c>
      <c r="P23" s="80" t="s">
        <v>3131</v>
      </c>
      <c r="Q23" s="80" t="s">
        <v>631</v>
      </c>
      <c r="R23" s="80">
        <v>0</v>
      </c>
      <c r="S23" s="80" t="s">
        <v>1178</v>
      </c>
      <c r="T23" s="100">
        <v>0.75</v>
      </c>
      <c r="U23" s="100">
        <v>0</v>
      </c>
      <c r="V23" s="100">
        <v>0</v>
      </c>
      <c r="W23" s="100">
        <v>0</v>
      </c>
      <c r="X23"/>
      <c r="Y23"/>
      <c r="Z23"/>
      <c r="AA23"/>
      <c r="AB23"/>
      <c r="AC23"/>
      <c r="AD23"/>
      <c r="AE23"/>
      <c r="AF23"/>
      <c r="AG23"/>
      <c r="AH23"/>
      <c r="AI23"/>
      <c r="AJ23"/>
      <c r="AK23"/>
      <c r="AL23"/>
      <c r="AM23"/>
      <c r="AN23"/>
      <c r="AO23"/>
      <c r="AP23"/>
      <c r="AQ23"/>
      <c r="AR23"/>
      <c r="AS23"/>
      <c r="AT23"/>
      <c r="AU23"/>
      <c r="AV23"/>
      <c r="AW23"/>
      <c r="AX23"/>
      <c r="AY23"/>
      <c r="AZ23"/>
    </row>
    <row r="24" ht="15.6" spans="2:52">
      <c r="F24" s="80" t="s">
        <v>615</v>
      </c>
      <c r="G24" s="99">
        <v>0</v>
      </c>
      <c r="H24" s="99">
        <v>0</v>
      </c>
      <c r="I24" s="99">
        <v>0</v>
      </c>
      <c r="J24"/>
      <c r="K24"/>
      <c r="L24"/>
      <c r="O24" s="80" t="s">
        <v>1186</v>
      </c>
      <c r="P24" s="80" t="s">
        <v>3135</v>
      </c>
      <c r="Q24" s="80" t="s">
        <v>631</v>
      </c>
      <c r="R24" s="80">
        <v>0</v>
      </c>
      <c r="S24" s="80" t="s">
        <v>1187</v>
      </c>
      <c r="T24" s="100">
        <v>0.6</v>
      </c>
      <c r="U24" s="100">
        <v>0</v>
      </c>
      <c r="V24" s="100">
        <v>0</v>
      </c>
      <c r="W24" s="100">
        <v>0</v>
      </c>
      <c r="X24"/>
      <c r="Y24"/>
      <c r="Z24"/>
      <c r="AA24"/>
      <c r="AB24"/>
      <c r="AC24"/>
      <c r="AD24"/>
      <c r="AE24"/>
      <c r="AF24"/>
      <c r="AG24"/>
      <c r="AH24"/>
      <c r="AI24"/>
      <c r="AJ24"/>
      <c r="AK24"/>
      <c r="AL24"/>
      <c r="AM24"/>
      <c r="AN24"/>
      <c r="AO24"/>
      <c r="AP24"/>
      <c r="AQ24"/>
      <c r="AR24"/>
      <c r="AS24"/>
      <c r="AT24"/>
      <c r="AU24"/>
      <c r="AV24"/>
      <c r="AW24"/>
      <c r="AX24"/>
      <c r="AY24"/>
      <c r="AZ24"/>
    </row>
    <row r="25" ht="15.6" spans="2:52">
      <c r="F25" s="80" t="s">
        <v>617</v>
      </c>
      <c r="G25" s="99">
        <v>0</v>
      </c>
      <c r="H25" s="99">
        <v>0</v>
      </c>
      <c r="I25" s="99">
        <v>0</v>
      </c>
      <c r="J25"/>
      <c r="K25"/>
      <c r="L25"/>
      <c r="O25" s="80" t="s">
        <v>1188</v>
      </c>
      <c r="P25" s="80" t="s">
        <v>4460</v>
      </c>
      <c r="Q25" s="80" t="s">
        <v>631</v>
      </c>
      <c r="R25" s="80">
        <v>0</v>
      </c>
      <c r="S25" s="80" t="s">
        <v>1176</v>
      </c>
      <c r="T25" s="100">
        <v>12</v>
      </c>
      <c r="U25" s="100">
        <v>0</v>
      </c>
      <c r="V25" s="100">
        <v>0</v>
      </c>
      <c r="W25" s="100">
        <v>0</v>
      </c>
      <c r="X25"/>
      <c r="Y25"/>
      <c r="Z25"/>
      <c r="AA25"/>
      <c r="AB25"/>
      <c r="AC25"/>
      <c r="AD25"/>
      <c r="AE25"/>
      <c r="AF25"/>
      <c r="AG25"/>
      <c r="AH25"/>
      <c r="AI25"/>
      <c r="AJ25"/>
      <c r="AK25"/>
      <c r="AL25"/>
      <c r="AM25"/>
      <c r="AN25"/>
      <c r="AO25"/>
      <c r="AP25"/>
      <c r="AQ25"/>
      <c r="AR25"/>
      <c r="AS25"/>
      <c r="AT25"/>
      <c r="AU25"/>
      <c r="AV25"/>
      <c r="AW25"/>
      <c r="AX25"/>
      <c r="AY25"/>
      <c r="AZ25"/>
    </row>
    <row r="26" ht="15.6" spans="2:52">
      <c r="F26" s="80" t="s">
        <v>639</v>
      </c>
      <c r="G26" s="99">
        <v>0</v>
      </c>
      <c r="H26" s="99">
        <v>0</v>
      </c>
      <c r="I26" s="99">
        <v>0</v>
      </c>
      <c r="J26"/>
      <c r="K26"/>
      <c r="L26"/>
      <c r="O26" s="80" t="s">
        <v>1189</v>
      </c>
      <c r="P26" s="80" t="s">
        <v>3139</v>
      </c>
      <c r="Q26" s="80" t="s">
        <v>633</v>
      </c>
      <c r="R26" s="80">
        <v>0</v>
      </c>
      <c r="S26" s="80" t="s">
        <v>1178</v>
      </c>
      <c r="T26" s="100">
        <v>6</v>
      </c>
      <c r="U26" s="100">
        <v>0</v>
      </c>
      <c r="V26" s="100">
        <v>0</v>
      </c>
      <c r="W26" s="100">
        <v>0</v>
      </c>
      <c r="X26"/>
      <c r="Y26"/>
      <c r="Z26"/>
      <c r="AA26"/>
      <c r="AB26"/>
      <c r="AC26"/>
      <c r="AD26"/>
      <c r="AE26"/>
      <c r="AF26"/>
      <c r="AG26"/>
      <c r="AH26"/>
      <c r="AI26"/>
      <c r="AJ26"/>
      <c r="AK26"/>
      <c r="AL26"/>
      <c r="AM26"/>
      <c r="AN26"/>
      <c r="AO26"/>
      <c r="AP26"/>
      <c r="AQ26"/>
      <c r="AR26"/>
      <c r="AS26"/>
      <c r="AT26"/>
      <c r="AU26"/>
      <c r="AV26"/>
      <c r="AW26"/>
      <c r="AX26"/>
      <c r="AY26"/>
      <c r="AZ26"/>
    </row>
    <row r="27" ht="15.6" spans="2:52">
      <c r="B27" s="80" t="s">
        <v>4461</v>
      </c>
      <c r="G27" s="99">
        <v>0</v>
      </c>
      <c r="H27" s="99">
        <v>0</v>
      </c>
      <c r="I27" s="99">
        <v>0</v>
      </c>
      <c r="J27"/>
      <c r="K27"/>
      <c r="L27"/>
      <c r="Q27" s="80" t="s">
        <v>615</v>
      </c>
      <c r="R27" s="80">
        <v>0</v>
      </c>
      <c r="S27" s="80" t="s">
        <v>1178</v>
      </c>
      <c r="T27" s="100">
        <v>4</v>
      </c>
      <c r="U27" s="100">
        <v>0</v>
      </c>
      <c r="V27" s="100">
        <v>0</v>
      </c>
      <c r="W27" s="100">
        <v>0</v>
      </c>
      <c r="X27"/>
      <c r="Y27"/>
      <c r="Z27"/>
      <c r="AA27"/>
      <c r="AB27"/>
      <c r="AC27"/>
      <c r="AD27"/>
      <c r="AE27"/>
      <c r="AF27"/>
      <c r="AG27"/>
      <c r="AH27"/>
      <c r="AI27"/>
      <c r="AJ27"/>
      <c r="AK27"/>
      <c r="AL27"/>
      <c r="AM27"/>
      <c r="AN27"/>
      <c r="AO27"/>
      <c r="AP27"/>
      <c r="AQ27"/>
      <c r="AR27"/>
      <c r="AS27"/>
      <c r="AT27"/>
      <c r="AU27"/>
      <c r="AV27"/>
      <c r="AW27"/>
      <c r="AX27"/>
      <c r="AY27"/>
      <c r="AZ27"/>
    </row>
    <row r="28" ht="15.6" spans="2:52">
      <c r="B28" s="80" t="s">
        <v>99</v>
      </c>
      <c r="C28" s="80" t="s">
        <v>100</v>
      </c>
      <c r="D28" s="80">
        <v>0</v>
      </c>
      <c r="E28" s="80" t="s">
        <v>1178</v>
      </c>
      <c r="F28" s="80" t="s">
        <v>613</v>
      </c>
      <c r="G28" s="99">
        <v>0</v>
      </c>
      <c r="H28" s="99">
        <v>0</v>
      </c>
      <c r="I28" s="99">
        <v>0</v>
      </c>
      <c r="J28"/>
      <c r="K28"/>
      <c r="L28"/>
      <c r="Q28" s="80" t="s">
        <v>599</v>
      </c>
      <c r="R28" s="80">
        <v>0</v>
      </c>
      <c r="S28" s="80" t="s">
        <v>1178</v>
      </c>
      <c r="T28" s="100">
        <v>2</v>
      </c>
      <c r="U28" s="100">
        <v>0</v>
      </c>
      <c r="V28" s="100">
        <v>0</v>
      </c>
      <c r="W28" s="100">
        <v>0</v>
      </c>
      <c r="X28"/>
      <c r="Y28"/>
      <c r="Z28"/>
      <c r="AA28"/>
      <c r="AB28"/>
      <c r="AC28"/>
      <c r="AD28"/>
      <c r="AE28"/>
      <c r="AF28"/>
      <c r="AG28"/>
      <c r="AH28"/>
      <c r="AI28"/>
      <c r="AJ28"/>
      <c r="AK28"/>
      <c r="AL28"/>
      <c r="AM28"/>
      <c r="AN28"/>
      <c r="AO28"/>
      <c r="AP28"/>
      <c r="AQ28"/>
      <c r="AR28"/>
      <c r="AS28"/>
      <c r="AT28"/>
      <c r="AU28"/>
      <c r="AV28"/>
      <c r="AW28"/>
      <c r="AX28"/>
      <c r="AY28"/>
      <c r="AZ28"/>
    </row>
    <row r="29" ht="15.6" spans="2:52">
      <c r="F29" s="80" t="s">
        <v>615</v>
      </c>
      <c r="G29" s="99">
        <v>0</v>
      </c>
      <c r="H29" s="99">
        <v>0</v>
      </c>
      <c r="I29" s="99">
        <v>0</v>
      </c>
      <c r="J29"/>
      <c r="K29"/>
      <c r="L29"/>
      <c r="Q29" s="80" t="s">
        <v>638</v>
      </c>
      <c r="R29" s="80">
        <v>0</v>
      </c>
      <c r="S29" s="80" t="s">
        <v>1178</v>
      </c>
      <c r="T29" s="100">
        <v>1</v>
      </c>
      <c r="U29" s="100">
        <v>0</v>
      </c>
      <c r="V29" s="100">
        <v>0</v>
      </c>
      <c r="W29" s="100">
        <v>0</v>
      </c>
      <c r="X29"/>
      <c r="Y29"/>
      <c r="Z29"/>
      <c r="AA29"/>
      <c r="AB29"/>
      <c r="AC29"/>
      <c r="AD29"/>
      <c r="AE29"/>
      <c r="AF29"/>
      <c r="AG29"/>
      <c r="AH29"/>
      <c r="AI29"/>
      <c r="AJ29"/>
      <c r="AK29"/>
      <c r="AL29"/>
      <c r="AM29"/>
      <c r="AN29"/>
      <c r="AO29"/>
      <c r="AP29"/>
      <c r="AQ29"/>
      <c r="AR29"/>
      <c r="AS29"/>
      <c r="AT29"/>
      <c r="AU29"/>
      <c r="AV29"/>
      <c r="AW29"/>
      <c r="AX29"/>
      <c r="AY29"/>
      <c r="AZ29"/>
    </row>
    <row r="30" ht="15.6" spans="2:52">
      <c r="F30" s="80" t="s">
        <v>617</v>
      </c>
      <c r="G30" s="99">
        <v>0</v>
      </c>
      <c r="H30" s="99">
        <v>0</v>
      </c>
      <c r="I30" s="99">
        <v>0</v>
      </c>
      <c r="J30"/>
      <c r="K30"/>
      <c r="L30"/>
      <c r="Q30" s="80" t="s">
        <v>639</v>
      </c>
      <c r="R30" s="80">
        <v>0</v>
      </c>
      <c r="S30" s="80" t="s">
        <v>1178</v>
      </c>
      <c r="T30" s="100">
        <v>2</v>
      </c>
      <c r="U30" s="100">
        <v>0</v>
      </c>
      <c r="V30" s="100">
        <v>0</v>
      </c>
      <c r="W30" s="100">
        <v>0</v>
      </c>
      <c r="X30"/>
      <c r="Y30"/>
      <c r="Z30"/>
      <c r="AA30"/>
      <c r="AB30"/>
      <c r="AC30"/>
      <c r="AD30"/>
      <c r="AE30"/>
      <c r="AF30"/>
      <c r="AG30"/>
      <c r="AH30"/>
      <c r="AI30"/>
      <c r="AJ30"/>
      <c r="AK30"/>
      <c r="AL30"/>
      <c r="AM30"/>
      <c r="AN30"/>
      <c r="AO30"/>
      <c r="AP30"/>
      <c r="AQ30"/>
      <c r="AR30"/>
      <c r="AS30"/>
      <c r="AT30"/>
      <c r="AU30"/>
      <c r="AV30"/>
      <c r="AW30"/>
      <c r="AX30"/>
      <c r="AY30"/>
      <c r="AZ30"/>
    </row>
    <row r="31" ht="15.6" spans="2:52">
      <c r="F31" s="80" t="s">
        <v>599</v>
      </c>
      <c r="G31" s="99">
        <v>0</v>
      </c>
      <c r="H31" s="99">
        <v>0</v>
      </c>
      <c r="I31" s="99">
        <v>0</v>
      </c>
      <c r="J31"/>
      <c r="K31"/>
      <c r="L31"/>
      <c r="O31" s="80" t="s">
        <v>2901</v>
      </c>
      <c r="P31" s="80" t="s">
        <v>3141</v>
      </c>
      <c r="Q31" s="80" t="s">
        <v>633</v>
      </c>
      <c r="R31" s="80">
        <v>0</v>
      </c>
      <c r="S31" s="80" t="s">
        <v>1178</v>
      </c>
      <c r="T31" s="100">
        <v>2</v>
      </c>
      <c r="U31" s="100">
        <v>0</v>
      </c>
      <c r="V31" s="100">
        <v>0</v>
      </c>
      <c r="W31" s="100">
        <v>0</v>
      </c>
      <c r="X31"/>
      <c r="Y31"/>
      <c r="Z31"/>
      <c r="AA31"/>
      <c r="AB31"/>
      <c r="AC31"/>
      <c r="AD31"/>
      <c r="AE31"/>
      <c r="AF31"/>
      <c r="AG31"/>
      <c r="AH31"/>
      <c r="AI31"/>
      <c r="AJ31"/>
      <c r="AK31"/>
      <c r="AL31"/>
      <c r="AM31"/>
      <c r="AN31"/>
      <c r="AO31"/>
      <c r="AP31"/>
      <c r="AQ31"/>
      <c r="AR31"/>
      <c r="AS31"/>
      <c r="AT31"/>
      <c r="AU31"/>
      <c r="AV31"/>
      <c r="AW31"/>
      <c r="AX31"/>
      <c r="AY31"/>
      <c r="AZ31"/>
    </row>
    <row r="32" ht="15.6" spans="2:52">
      <c r="B32" s="80" t="s">
        <v>4462</v>
      </c>
      <c r="G32" s="99">
        <v>0</v>
      </c>
      <c r="H32" s="99">
        <v>0</v>
      </c>
      <c r="I32" s="99">
        <v>0</v>
      </c>
      <c r="J32"/>
      <c r="K32"/>
      <c r="L32"/>
      <c r="M32" s="80" t="s">
        <v>96</v>
      </c>
      <c r="N32" s="80" t="s">
        <v>97</v>
      </c>
      <c r="O32" s="80" t="s">
        <v>1190</v>
      </c>
      <c r="P32" s="80" t="s">
        <v>3143</v>
      </c>
      <c r="Q32" s="80" t="s">
        <v>615</v>
      </c>
      <c r="R32" s="80">
        <v>0</v>
      </c>
      <c r="S32" s="80" t="s">
        <v>1178</v>
      </c>
      <c r="T32" s="100">
        <v>12</v>
      </c>
      <c r="U32" s="100">
        <v>0</v>
      </c>
      <c r="V32" s="100">
        <v>0</v>
      </c>
      <c r="W32" s="100">
        <v>0</v>
      </c>
      <c r="X32"/>
      <c r="Y32"/>
      <c r="Z32"/>
      <c r="AA32"/>
      <c r="AB32"/>
      <c r="AC32"/>
      <c r="AD32"/>
      <c r="AE32"/>
      <c r="AF32"/>
      <c r="AG32"/>
      <c r="AH32"/>
      <c r="AI32"/>
      <c r="AJ32"/>
      <c r="AK32"/>
      <c r="AL32"/>
      <c r="AM32"/>
      <c r="AN32"/>
      <c r="AO32"/>
      <c r="AP32"/>
      <c r="AQ32"/>
      <c r="AR32"/>
      <c r="AS32"/>
      <c r="AT32"/>
      <c r="AU32"/>
      <c r="AV32"/>
      <c r="AW32"/>
      <c r="AX32"/>
      <c r="AY32"/>
      <c r="AZ32"/>
    </row>
    <row r="33" ht="15.6" spans="2:52">
      <c r="B33" s="80" t="s">
        <v>101</v>
      </c>
      <c r="C33" s="80" t="s">
        <v>102</v>
      </c>
      <c r="D33" s="80">
        <v>0</v>
      </c>
      <c r="E33" s="80" t="s">
        <v>1176</v>
      </c>
      <c r="F33" s="80" t="s">
        <v>615</v>
      </c>
      <c r="G33" s="99">
        <v>0</v>
      </c>
      <c r="H33" s="99">
        <v>0</v>
      </c>
      <c r="I33" s="99">
        <v>0</v>
      </c>
      <c r="J33"/>
      <c r="K33"/>
      <c r="L33"/>
      <c r="O33" s="80" t="s">
        <v>3145</v>
      </c>
      <c r="P33" s="80" t="s">
        <v>3146</v>
      </c>
      <c r="Q33" s="80" t="s">
        <v>617</v>
      </c>
      <c r="R33" s="80">
        <v>0</v>
      </c>
      <c r="S33" s="80" t="s">
        <v>1178</v>
      </c>
      <c r="T33" s="100">
        <v>4</v>
      </c>
      <c r="U33" s="100">
        <v>0</v>
      </c>
      <c r="V33" s="100">
        <v>0</v>
      </c>
      <c r="W33" s="100">
        <v>0</v>
      </c>
      <c r="X33"/>
      <c r="Y33"/>
      <c r="Z33"/>
      <c r="AA33"/>
      <c r="AB33"/>
      <c r="AC33"/>
      <c r="AD33"/>
      <c r="AE33"/>
      <c r="AF33"/>
      <c r="AG33"/>
      <c r="AH33"/>
      <c r="AI33"/>
      <c r="AJ33"/>
      <c r="AK33"/>
      <c r="AL33"/>
      <c r="AM33"/>
      <c r="AN33"/>
      <c r="AO33"/>
      <c r="AP33"/>
      <c r="AQ33"/>
      <c r="AR33"/>
      <c r="AS33"/>
      <c r="AT33"/>
      <c r="AU33"/>
      <c r="AV33"/>
      <c r="AW33"/>
      <c r="AX33"/>
      <c r="AY33"/>
      <c r="AZ33"/>
    </row>
    <row r="34" ht="15.6" spans="2:52">
      <c r="F34" s="80" t="s">
        <v>617</v>
      </c>
      <c r="G34" s="99">
        <v>0</v>
      </c>
      <c r="H34" s="99">
        <v>0</v>
      </c>
      <c r="I34" s="99">
        <v>0</v>
      </c>
      <c r="J34"/>
      <c r="K34"/>
      <c r="L34"/>
      <c r="O34" s="80" t="s">
        <v>1191</v>
      </c>
      <c r="P34" s="80" t="s">
        <v>3148</v>
      </c>
      <c r="Q34" s="80" t="s">
        <v>613</v>
      </c>
      <c r="R34" s="80">
        <v>0</v>
      </c>
      <c r="S34" s="80" t="s">
        <v>1178</v>
      </c>
      <c r="T34" s="100">
        <v>2</v>
      </c>
      <c r="U34" s="100">
        <v>0</v>
      </c>
      <c r="V34" s="100">
        <v>0</v>
      </c>
      <c r="W34" s="100">
        <v>0</v>
      </c>
      <c r="X34"/>
      <c r="Y34"/>
      <c r="Z34"/>
      <c r="AA34"/>
      <c r="AB34"/>
      <c r="AC34"/>
      <c r="AD34"/>
      <c r="AE34"/>
      <c r="AF34"/>
      <c r="AG34"/>
      <c r="AH34"/>
      <c r="AI34"/>
      <c r="AJ34"/>
      <c r="AK34"/>
      <c r="AL34"/>
      <c r="AM34"/>
      <c r="AN34"/>
      <c r="AO34"/>
      <c r="AP34"/>
      <c r="AQ34"/>
      <c r="AR34"/>
      <c r="AS34"/>
      <c r="AT34"/>
      <c r="AU34"/>
      <c r="AV34"/>
      <c r="AW34"/>
      <c r="AX34"/>
      <c r="AY34"/>
      <c r="AZ34"/>
    </row>
    <row r="35" ht="15.6" spans="2:52">
      <c r="B35" s="80" t="s">
        <v>4463</v>
      </c>
      <c r="G35" s="99">
        <v>0</v>
      </c>
      <c r="H35" s="99">
        <v>0</v>
      </c>
      <c r="I35" s="99">
        <v>0</v>
      </c>
      <c r="J35"/>
      <c r="K35"/>
      <c r="L35"/>
      <c r="Q35" s="80" t="s">
        <v>639</v>
      </c>
      <c r="R35" s="80">
        <v>0</v>
      </c>
      <c r="S35" s="80" t="s">
        <v>1178</v>
      </c>
      <c r="T35" s="100">
        <v>0.75</v>
      </c>
      <c r="U35" s="100">
        <v>0</v>
      </c>
      <c r="V35" s="100">
        <v>0</v>
      </c>
      <c r="W35" s="100">
        <v>0</v>
      </c>
      <c r="X35"/>
      <c r="Y35"/>
      <c r="Z35"/>
      <c r="AA35"/>
      <c r="AB35"/>
      <c r="AC35"/>
      <c r="AD35"/>
      <c r="AE35"/>
      <c r="AF35"/>
      <c r="AG35"/>
      <c r="AH35"/>
      <c r="AI35"/>
      <c r="AJ35"/>
      <c r="AK35"/>
      <c r="AL35"/>
      <c r="AM35"/>
      <c r="AN35"/>
      <c r="AO35"/>
      <c r="AP35"/>
      <c r="AQ35"/>
      <c r="AR35"/>
      <c r="AS35"/>
      <c r="AT35"/>
      <c r="AU35"/>
      <c r="AV35"/>
      <c r="AW35"/>
      <c r="AX35"/>
      <c r="AY35"/>
      <c r="AZ35"/>
    </row>
    <row r="36" ht="15.6" spans="2:52">
      <c r="B36" s="80" t="s">
        <v>104</v>
      </c>
      <c r="C36" s="80" t="s">
        <v>105</v>
      </c>
      <c r="D36" s="80">
        <v>0</v>
      </c>
      <c r="E36" s="80" t="s">
        <v>1178</v>
      </c>
      <c r="F36" s="80" t="s">
        <v>615</v>
      </c>
      <c r="G36" s="99">
        <v>0</v>
      </c>
      <c r="H36" s="99">
        <v>0</v>
      </c>
      <c r="I36" s="99">
        <v>0</v>
      </c>
      <c r="J36"/>
      <c r="K36"/>
      <c r="L36"/>
      <c r="M36" s="80" t="s">
        <v>99</v>
      </c>
      <c r="N36" s="80" t="s">
        <v>100</v>
      </c>
      <c r="O36" s="80" t="s">
        <v>1192</v>
      </c>
      <c r="P36" s="80" t="s">
        <v>3151</v>
      </c>
      <c r="Q36" s="80" t="s">
        <v>617</v>
      </c>
      <c r="R36" s="80">
        <v>0</v>
      </c>
      <c r="S36" s="80" t="s">
        <v>1176</v>
      </c>
      <c r="T36" s="100">
        <v>8</v>
      </c>
      <c r="U36" s="100">
        <v>0</v>
      </c>
      <c r="V36" s="100">
        <v>0</v>
      </c>
      <c r="W36" s="100">
        <v>0</v>
      </c>
      <c r="X36"/>
      <c r="Y36"/>
      <c r="Z36"/>
      <c r="AA36"/>
      <c r="AB36"/>
      <c r="AC36"/>
      <c r="AD36"/>
      <c r="AE36"/>
      <c r="AF36"/>
      <c r="AG36"/>
      <c r="AH36"/>
      <c r="AI36"/>
      <c r="AJ36"/>
      <c r="AK36"/>
      <c r="AL36"/>
      <c r="AM36"/>
      <c r="AN36"/>
      <c r="AO36"/>
      <c r="AP36"/>
      <c r="AQ36"/>
      <c r="AR36"/>
      <c r="AS36"/>
      <c r="AT36"/>
      <c r="AU36"/>
      <c r="AV36"/>
      <c r="AW36"/>
      <c r="AX36"/>
      <c r="AY36"/>
      <c r="AZ36"/>
    </row>
    <row r="37" ht="15.6" spans="2:52">
      <c r="F37" s="80" t="s">
        <v>599</v>
      </c>
      <c r="G37" s="99">
        <v>0</v>
      </c>
      <c r="H37" s="99">
        <v>0</v>
      </c>
      <c r="I37" s="99">
        <v>0</v>
      </c>
      <c r="J37"/>
      <c r="K37"/>
      <c r="L37"/>
      <c r="O37" s="80" t="s">
        <v>3154</v>
      </c>
      <c r="P37" s="80" t="s">
        <v>3155</v>
      </c>
      <c r="Q37" s="80" t="s">
        <v>615</v>
      </c>
      <c r="R37" s="80">
        <v>0</v>
      </c>
      <c r="S37" s="80" t="s">
        <v>1178</v>
      </c>
      <c r="T37" s="100">
        <v>4</v>
      </c>
      <c r="U37" s="100">
        <v>0</v>
      </c>
      <c r="V37" s="100">
        <v>0</v>
      </c>
      <c r="W37" s="100">
        <v>0</v>
      </c>
      <c r="X37"/>
      <c r="Y37"/>
      <c r="Z37"/>
      <c r="AA37"/>
      <c r="AB37"/>
      <c r="AC37"/>
      <c r="AD37"/>
      <c r="AE37"/>
      <c r="AF37"/>
      <c r="AG37"/>
      <c r="AH37"/>
      <c r="AI37"/>
      <c r="AJ37"/>
      <c r="AK37"/>
      <c r="AL37"/>
      <c r="AM37"/>
      <c r="AN37"/>
      <c r="AO37"/>
      <c r="AP37"/>
      <c r="AQ37"/>
      <c r="AR37"/>
      <c r="AS37"/>
      <c r="AT37"/>
      <c r="AU37"/>
      <c r="AV37"/>
      <c r="AW37"/>
      <c r="AX37"/>
      <c r="AY37"/>
      <c r="AZ37"/>
    </row>
    <row r="38" ht="15.6" spans="2:52">
      <c r="B38" s="80" t="s">
        <v>4464</v>
      </c>
      <c r="G38" s="99">
        <v>0</v>
      </c>
      <c r="H38" s="99">
        <v>0</v>
      </c>
      <c r="I38" s="99">
        <v>0</v>
      </c>
      <c r="J38"/>
      <c r="K38"/>
      <c r="L38"/>
      <c r="O38" s="80" t="s">
        <v>1193</v>
      </c>
      <c r="P38" s="80" t="s">
        <v>3158</v>
      </c>
      <c r="Q38" s="80" t="s">
        <v>613</v>
      </c>
      <c r="R38" s="80">
        <v>0</v>
      </c>
      <c r="S38" s="80" t="s">
        <v>1178</v>
      </c>
      <c r="T38" s="100">
        <v>0</v>
      </c>
      <c r="U38" s="100">
        <v>0</v>
      </c>
      <c r="V38" s="100">
        <v>0</v>
      </c>
      <c r="W38" s="100">
        <v>0</v>
      </c>
      <c r="X38"/>
      <c r="Y38"/>
      <c r="Z38"/>
      <c r="AA38"/>
      <c r="AB38"/>
      <c r="AC38"/>
      <c r="AD38"/>
      <c r="AE38"/>
      <c r="AF38"/>
      <c r="AG38"/>
      <c r="AH38"/>
      <c r="AI38"/>
      <c r="AJ38"/>
      <c r="AK38"/>
      <c r="AL38"/>
      <c r="AM38"/>
      <c r="AN38"/>
      <c r="AO38"/>
      <c r="AP38"/>
      <c r="AQ38"/>
      <c r="AR38"/>
      <c r="AS38"/>
      <c r="AT38"/>
      <c r="AU38"/>
      <c r="AV38"/>
      <c r="AW38"/>
      <c r="AX38"/>
      <c r="AY38"/>
      <c r="AZ38"/>
    </row>
    <row r="39" ht="15.6" spans="2:52">
      <c r="B39" s="80" t="s">
        <v>107</v>
      </c>
      <c r="C39" s="80" t="s">
        <v>108</v>
      </c>
      <c r="D39" s="80">
        <v>0</v>
      </c>
      <c r="E39" s="80" t="s">
        <v>1176</v>
      </c>
      <c r="F39" s="80" t="s">
        <v>615</v>
      </c>
      <c r="G39" s="99">
        <v>0</v>
      </c>
      <c r="H39" s="99">
        <v>0</v>
      </c>
      <c r="I39" s="99">
        <v>0</v>
      </c>
      <c r="J39"/>
      <c r="K39"/>
      <c r="L39"/>
      <c r="Q39" s="80" t="s">
        <v>599</v>
      </c>
      <c r="R39" s="80">
        <v>0</v>
      </c>
      <c r="S39" s="80" t="s">
        <v>1178</v>
      </c>
      <c r="T39" s="100">
        <v>1.5</v>
      </c>
      <c r="U39" s="100">
        <v>0</v>
      </c>
      <c r="V39" s="100">
        <v>0</v>
      </c>
      <c r="W39" s="100">
        <v>0</v>
      </c>
      <c r="X39"/>
      <c r="Y39"/>
      <c r="Z39"/>
      <c r="AA39"/>
      <c r="AB39"/>
      <c r="AC39"/>
      <c r="AD39"/>
      <c r="AE39"/>
      <c r="AF39"/>
      <c r="AG39"/>
      <c r="AH39"/>
      <c r="AI39"/>
      <c r="AJ39"/>
      <c r="AK39"/>
      <c r="AL39"/>
      <c r="AM39"/>
      <c r="AN39"/>
      <c r="AO39"/>
      <c r="AP39"/>
      <c r="AQ39"/>
      <c r="AR39"/>
      <c r="AS39"/>
      <c r="AT39"/>
      <c r="AU39"/>
      <c r="AV39"/>
      <c r="AW39"/>
      <c r="AX39"/>
      <c r="AY39"/>
      <c r="AZ39"/>
    </row>
    <row r="40" ht="15.6" spans="2:52">
      <c r="F40" s="80" t="s">
        <v>599</v>
      </c>
      <c r="G40" s="99">
        <v>0</v>
      </c>
      <c r="H40" s="99">
        <v>0</v>
      </c>
      <c r="I40" s="99">
        <v>0</v>
      </c>
      <c r="J40"/>
      <c r="K40"/>
      <c r="L40"/>
      <c r="M40" s="80" t="s">
        <v>101</v>
      </c>
      <c r="N40" s="80" t="s">
        <v>102</v>
      </c>
      <c r="O40" s="80" t="s">
        <v>1194</v>
      </c>
      <c r="P40" s="80" t="s">
        <v>3162</v>
      </c>
      <c r="Q40" s="80" t="s">
        <v>617</v>
      </c>
      <c r="R40" s="80">
        <v>0</v>
      </c>
      <c r="S40" s="80" t="s">
        <v>1178</v>
      </c>
      <c r="T40" s="100">
        <v>3</v>
      </c>
      <c r="U40" s="100">
        <v>0</v>
      </c>
      <c r="V40" s="100">
        <v>0</v>
      </c>
      <c r="W40" s="100">
        <v>0</v>
      </c>
      <c r="X40"/>
      <c r="Y40"/>
      <c r="Z40"/>
      <c r="AA40"/>
      <c r="AB40"/>
      <c r="AC40"/>
      <c r="AD40"/>
      <c r="AE40"/>
      <c r="AF40"/>
      <c r="AG40"/>
      <c r="AH40"/>
      <c r="AI40"/>
      <c r="AJ40"/>
      <c r="AK40"/>
      <c r="AL40"/>
      <c r="AM40"/>
      <c r="AN40"/>
      <c r="AO40"/>
      <c r="AP40"/>
      <c r="AQ40"/>
      <c r="AR40"/>
      <c r="AS40"/>
      <c r="AT40"/>
      <c r="AU40"/>
      <c r="AV40"/>
      <c r="AW40"/>
      <c r="AX40"/>
      <c r="AY40"/>
      <c r="AZ40"/>
    </row>
    <row r="41" ht="15.6" spans="2:52">
      <c r="B41" s="80" t="s">
        <v>4465</v>
      </c>
      <c r="G41" s="99">
        <v>0</v>
      </c>
      <c r="H41" s="99">
        <v>0</v>
      </c>
      <c r="I41" s="99">
        <v>0</v>
      </c>
      <c r="J41"/>
      <c r="K41"/>
      <c r="L41"/>
      <c r="O41" s="80" t="s">
        <v>1195</v>
      </c>
      <c r="P41" s="80" t="s">
        <v>3165</v>
      </c>
      <c r="Q41" s="80" t="s">
        <v>615</v>
      </c>
      <c r="R41" s="80">
        <v>0</v>
      </c>
      <c r="S41" s="80" t="s">
        <v>1178</v>
      </c>
      <c r="T41" s="100">
        <v>1</v>
      </c>
      <c r="U41" s="100">
        <v>0</v>
      </c>
      <c r="V41" s="100">
        <v>0</v>
      </c>
      <c r="W41" s="100">
        <v>0</v>
      </c>
      <c r="X41"/>
      <c r="Y41"/>
      <c r="Z41"/>
      <c r="AA41"/>
      <c r="AB41"/>
      <c r="AC41"/>
      <c r="AD41"/>
      <c r="AE41"/>
      <c r="AF41"/>
      <c r="AG41"/>
      <c r="AH41"/>
      <c r="AI41"/>
      <c r="AJ41"/>
      <c r="AK41"/>
      <c r="AL41"/>
      <c r="AM41"/>
      <c r="AN41"/>
      <c r="AO41"/>
      <c r="AP41"/>
      <c r="AQ41"/>
      <c r="AR41"/>
      <c r="AS41"/>
      <c r="AT41"/>
      <c r="AU41"/>
      <c r="AV41"/>
      <c r="AW41"/>
      <c r="AX41"/>
      <c r="AY41"/>
      <c r="AZ41"/>
    </row>
    <row r="42" ht="15.6" spans="2:52">
      <c r="B42" s="80" t="s">
        <v>110</v>
      </c>
      <c r="C42" s="80" t="s">
        <v>111</v>
      </c>
      <c r="D42" s="80">
        <v>0</v>
      </c>
      <c r="E42" s="80" t="s">
        <v>1178</v>
      </c>
      <c r="F42" s="80" t="s">
        <v>654</v>
      </c>
      <c r="G42" s="99">
        <v>0</v>
      </c>
      <c r="H42" s="99">
        <v>0</v>
      </c>
      <c r="I42" s="99">
        <v>0</v>
      </c>
      <c r="J42"/>
      <c r="K42"/>
      <c r="L42"/>
      <c r="M42" s="80" t="s">
        <v>104</v>
      </c>
      <c r="N42" s="80" t="s">
        <v>105</v>
      </c>
      <c r="O42" s="80" t="s">
        <v>1196</v>
      </c>
      <c r="P42" s="80" t="s">
        <v>105</v>
      </c>
      <c r="Q42" s="80" t="s">
        <v>599</v>
      </c>
      <c r="R42" s="80">
        <v>0</v>
      </c>
      <c r="S42" s="80" t="s">
        <v>1178</v>
      </c>
      <c r="T42" s="100">
        <v>0</v>
      </c>
      <c r="U42" s="100">
        <v>0</v>
      </c>
      <c r="V42" s="100">
        <v>0</v>
      </c>
      <c r="W42" s="100">
        <v>0</v>
      </c>
      <c r="X42"/>
      <c r="Y42"/>
      <c r="Z42"/>
      <c r="AA42"/>
      <c r="AB42"/>
      <c r="AC42"/>
      <c r="AD42"/>
      <c r="AE42"/>
      <c r="AF42"/>
      <c r="AG42"/>
      <c r="AH42"/>
      <c r="AI42"/>
      <c r="AJ42"/>
      <c r="AK42"/>
      <c r="AL42"/>
      <c r="AM42"/>
      <c r="AN42"/>
      <c r="AO42"/>
      <c r="AP42"/>
      <c r="AQ42"/>
      <c r="AR42"/>
      <c r="AS42"/>
      <c r="AT42"/>
      <c r="AU42"/>
      <c r="AV42"/>
      <c r="AW42"/>
      <c r="AX42"/>
      <c r="AY42"/>
      <c r="AZ42"/>
    </row>
    <row r="43" ht="15.6" spans="2:52">
      <c r="F43" s="80" t="s">
        <v>595</v>
      </c>
      <c r="G43" s="99">
        <v>0</v>
      </c>
      <c r="H43" s="99">
        <v>0</v>
      </c>
      <c r="I43" s="99">
        <v>0</v>
      </c>
      <c r="J43"/>
      <c r="K43"/>
      <c r="L43"/>
      <c r="O43" s="80" t="s">
        <v>1197</v>
      </c>
      <c r="P43" s="80" t="s">
        <v>4466</v>
      </c>
      <c r="Q43" s="80" t="s">
        <v>615</v>
      </c>
      <c r="R43" s="80">
        <v>0</v>
      </c>
      <c r="S43" s="80" t="s">
        <v>1178</v>
      </c>
      <c r="T43" s="100">
        <v>0</v>
      </c>
      <c r="U43" s="100">
        <v>0</v>
      </c>
      <c r="V43" s="100">
        <v>0</v>
      </c>
      <c r="W43" s="100">
        <v>0</v>
      </c>
      <c r="X43"/>
      <c r="Y43"/>
      <c r="Z43"/>
      <c r="AA43"/>
      <c r="AB43"/>
      <c r="AC43"/>
      <c r="AD43"/>
      <c r="AE43"/>
      <c r="AF43"/>
      <c r="AG43"/>
      <c r="AH43"/>
      <c r="AI43"/>
      <c r="AJ43"/>
      <c r="AK43"/>
      <c r="AL43"/>
      <c r="AM43"/>
      <c r="AN43"/>
      <c r="AO43"/>
      <c r="AP43"/>
      <c r="AQ43"/>
      <c r="AR43"/>
      <c r="AS43"/>
      <c r="AT43"/>
      <c r="AU43"/>
      <c r="AV43"/>
      <c r="AW43"/>
      <c r="AX43"/>
      <c r="AY43"/>
      <c r="AZ43"/>
    </row>
    <row r="44" ht="15.6" spans="2:52">
      <c r="F44" s="80" t="s">
        <v>597</v>
      </c>
      <c r="G44" s="99">
        <v>0</v>
      </c>
      <c r="H44" s="99">
        <v>0</v>
      </c>
      <c r="I44" s="99">
        <v>0</v>
      </c>
      <c r="J44"/>
      <c r="K44"/>
      <c r="L44"/>
      <c r="M44" s="80" t="s">
        <v>107</v>
      </c>
      <c r="N44" s="80" t="s">
        <v>108</v>
      </c>
      <c r="O44" s="80" t="s">
        <v>1198</v>
      </c>
      <c r="P44" s="80" t="s">
        <v>108</v>
      </c>
      <c r="Q44" s="80" t="s">
        <v>599</v>
      </c>
      <c r="R44" s="80">
        <v>0</v>
      </c>
      <c r="S44" s="80" t="s">
        <v>1178</v>
      </c>
      <c r="T44" s="100">
        <v>3</v>
      </c>
      <c r="U44" s="100">
        <v>0</v>
      </c>
      <c r="V44" s="100">
        <v>0</v>
      </c>
      <c r="W44" s="100">
        <v>0</v>
      </c>
      <c r="X44"/>
      <c r="Y44"/>
      <c r="Z44"/>
      <c r="AA44"/>
      <c r="AB44"/>
      <c r="AC44"/>
      <c r="AD44"/>
      <c r="AE44"/>
      <c r="AF44"/>
      <c r="AG44"/>
      <c r="AH44"/>
      <c r="AI44"/>
      <c r="AJ44"/>
      <c r="AK44"/>
      <c r="AL44"/>
      <c r="AM44"/>
      <c r="AN44"/>
      <c r="AO44"/>
      <c r="AP44"/>
      <c r="AQ44"/>
      <c r="AR44"/>
      <c r="AS44"/>
      <c r="AT44"/>
      <c r="AU44"/>
      <c r="AV44"/>
      <c r="AW44"/>
      <c r="AX44"/>
      <c r="AY44"/>
      <c r="AZ44"/>
    </row>
    <row r="45" ht="15.6" spans="2:52">
      <c r="F45" s="80" t="s">
        <v>633</v>
      </c>
      <c r="G45" s="99">
        <v>0</v>
      </c>
      <c r="H45" s="99">
        <v>0</v>
      </c>
      <c r="I45" s="99">
        <v>0</v>
      </c>
      <c r="J45"/>
      <c r="K45"/>
      <c r="L45"/>
      <c r="O45" s="80" t="s">
        <v>1199</v>
      </c>
      <c r="P45" s="80" t="s">
        <v>4467</v>
      </c>
      <c r="Q45" s="80" t="s">
        <v>615</v>
      </c>
      <c r="R45" s="80">
        <v>0</v>
      </c>
      <c r="S45" s="80" t="s">
        <v>1178</v>
      </c>
      <c r="T45" s="100">
        <v>0.5</v>
      </c>
      <c r="U45" s="100">
        <v>0</v>
      </c>
      <c r="V45" s="100">
        <v>0</v>
      </c>
      <c r="W45" s="100">
        <v>0</v>
      </c>
      <c r="X45"/>
      <c r="Y45"/>
      <c r="Z45"/>
      <c r="AA45"/>
      <c r="AB45"/>
      <c r="AC45"/>
      <c r="AD45"/>
      <c r="AE45"/>
      <c r="AF45"/>
      <c r="AG45"/>
      <c r="AH45"/>
      <c r="AI45"/>
      <c r="AJ45"/>
      <c r="AK45"/>
      <c r="AL45"/>
      <c r="AM45"/>
      <c r="AN45"/>
      <c r="AO45"/>
      <c r="AP45"/>
      <c r="AQ45"/>
      <c r="AR45"/>
      <c r="AS45"/>
      <c r="AT45"/>
      <c r="AU45"/>
      <c r="AV45"/>
      <c r="AW45"/>
      <c r="AX45"/>
      <c r="AY45"/>
      <c r="AZ45"/>
    </row>
    <row r="46" ht="15.6" spans="2:52">
      <c r="F46" s="80" t="s">
        <v>615</v>
      </c>
      <c r="G46" s="99">
        <v>0</v>
      </c>
      <c r="H46" s="99">
        <v>0</v>
      </c>
      <c r="I46" s="99">
        <v>0</v>
      </c>
      <c r="J46"/>
      <c r="K46"/>
      <c r="L46"/>
      <c r="M46" s="80" t="s">
        <v>110</v>
      </c>
      <c r="N46" s="80" t="s">
        <v>111</v>
      </c>
      <c r="O46" s="80" t="s">
        <v>1202</v>
      </c>
      <c r="P46" s="80" t="s">
        <v>3181</v>
      </c>
      <c r="Q46" s="80" t="s">
        <v>599</v>
      </c>
      <c r="R46" s="80">
        <v>0</v>
      </c>
      <c r="S46" s="80" t="s">
        <v>1178</v>
      </c>
      <c r="T46" s="100">
        <v>2</v>
      </c>
      <c r="U46" s="100">
        <v>0</v>
      </c>
      <c r="V46" s="100">
        <v>0</v>
      </c>
      <c r="W46" s="100">
        <v>0</v>
      </c>
      <c r="X46"/>
      <c r="Y46"/>
      <c r="Z46"/>
      <c r="AA46"/>
      <c r="AB46"/>
      <c r="AC46"/>
      <c r="AD46"/>
      <c r="AE46"/>
      <c r="AF46"/>
      <c r="AG46"/>
      <c r="AH46"/>
      <c r="AI46"/>
      <c r="AJ46"/>
      <c r="AK46"/>
      <c r="AL46"/>
      <c r="AM46"/>
      <c r="AN46"/>
      <c r="AO46"/>
      <c r="AP46"/>
      <c r="AQ46"/>
      <c r="AR46"/>
      <c r="AS46"/>
      <c r="AT46"/>
      <c r="AU46"/>
      <c r="AV46"/>
      <c r="AW46"/>
      <c r="AX46"/>
      <c r="AY46"/>
      <c r="AZ46"/>
    </row>
    <row r="47" ht="15.6" spans="2:52">
      <c r="F47" s="80" t="s">
        <v>599</v>
      </c>
      <c r="G47" s="99">
        <v>0</v>
      </c>
      <c r="H47" s="99">
        <v>0</v>
      </c>
      <c r="I47" s="99">
        <v>0</v>
      </c>
      <c r="J47"/>
      <c r="K47"/>
      <c r="L47"/>
      <c r="O47" s="80" t="s">
        <v>1203</v>
      </c>
      <c r="P47" s="80" t="s">
        <v>3184</v>
      </c>
      <c r="Q47" s="80" t="s">
        <v>654</v>
      </c>
      <c r="R47" s="80">
        <v>0</v>
      </c>
      <c r="S47" s="80" t="s">
        <v>1178</v>
      </c>
      <c r="T47" s="100">
        <v>1</v>
      </c>
      <c r="U47" s="100">
        <v>0</v>
      </c>
      <c r="V47" s="100">
        <v>0</v>
      </c>
      <c r="W47" s="100">
        <v>0</v>
      </c>
      <c r="X47"/>
      <c r="Y47"/>
      <c r="Z47"/>
      <c r="AA47"/>
      <c r="AB47"/>
      <c r="AC47"/>
      <c r="AD47"/>
      <c r="AE47"/>
      <c r="AF47"/>
      <c r="AG47"/>
      <c r="AH47"/>
      <c r="AI47"/>
      <c r="AJ47"/>
      <c r="AK47"/>
      <c r="AL47"/>
      <c r="AM47"/>
      <c r="AN47"/>
      <c r="AO47"/>
      <c r="AP47"/>
      <c r="AQ47"/>
      <c r="AR47"/>
      <c r="AS47"/>
      <c r="AT47"/>
      <c r="AU47"/>
      <c r="AV47"/>
      <c r="AW47"/>
      <c r="AX47"/>
      <c r="AY47"/>
      <c r="AZ47"/>
    </row>
    <row r="48" ht="15.6" spans="2:52">
      <c r="F48" s="80" t="s">
        <v>601</v>
      </c>
      <c r="G48" s="99">
        <v>0</v>
      </c>
      <c r="H48" s="99">
        <v>0</v>
      </c>
      <c r="I48" s="99">
        <v>0</v>
      </c>
      <c r="J48"/>
      <c r="K48"/>
      <c r="L48"/>
      <c r="Q48" s="80" t="s">
        <v>595</v>
      </c>
      <c r="R48" s="80">
        <v>0</v>
      </c>
      <c r="S48" s="80" t="s">
        <v>1178</v>
      </c>
      <c r="T48" s="100">
        <v>0</v>
      </c>
      <c r="U48" s="100">
        <v>0</v>
      </c>
      <c r="V48" s="100">
        <v>0</v>
      </c>
      <c r="W48" s="100">
        <v>0</v>
      </c>
      <c r="X48"/>
      <c r="Y48"/>
      <c r="Z48"/>
      <c r="AA48"/>
      <c r="AB48"/>
      <c r="AC48"/>
      <c r="AD48"/>
      <c r="AE48"/>
      <c r="AF48"/>
      <c r="AG48"/>
      <c r="AH48"/>
      <c r="AI48"/>
      <c r="AJ48"/>
      <c r="AK48"/>
      <c r="AL48"/>
      <c r="AM48"/>
      <c r="AN48"/>
      <c r="AO48"/>
      <c r="AP48"/>
      <c r="AQ48"/>
      <c r="AR48"/>
      <c r="AS48"/>
      <c r="AT48"/>
      <c r="AU48"/>
      <c r="AV48"/>
      <c r="AW48"/>
      <c r="AX48"/>
      <c r="AY48"/>
      <c r="AZ48"/>
    </row>
    <row r="49" ht="15.6" spans="2:52">
      <c r="F49" s="80" t="s">
        <v>620</v>
      </c>
      <c r="G49" s="99">
        <v>0</v>
      </c>
      <c r="H49" s="99">
        <v>0</v>
      </c>
      <c r="I49" s="99">
        <v>0</v>
      </c>
      <c r="J49"/>
      <c r="K49"/>
      <c r="L49"/>
      <c r="Q49" s="80" t="s">
        <v>597</v>
      </c>
      <c r="R49" s="80">
        <v>0</v>
      </c>
      <c r="S49" s="80" t="s">
        <v>1178</v>
      </c>
      <c r="T49" s="100">
        <v>1</v>
      </c>
      <c r="U49" s="100">
        <v>0</v>
      </c>
      <c r="V49" s="100">
        <v>0</v>
      </c>
      <c r="W49" s="100">
        <v>0</v>
      </c>
      <c r="X49"/>
      <c r="Y49"/>
      <c r="Z49"/>
      <c r="AA49"/>
      <c r="AB49"/>
      <c r="AC49"/>
      <c r="AD49"/>
      <c r="AE49"/>
      <c r="AF49"/>
      <c r="AG49"/>
      <c r="AH49"/>
      <c r="AI49"/>
      <c r="AJ49"/>
      <c r="AK49"/>
      <c r="AL49"/>
      <c r="AM49"/>
      <c r="AN49"/>
      <c r="AO49"/>
      <c r="AP49"/>
      <c r="AQ49"/>
      <c r="AR49"/>
      <c r="AS49"/>
      <c r="AT49"/>
      <c r="AU49"/>
      <c r="AV49"/>
      <c r="AW49"/>
      <c r="AX49"/>
      <c r="AY49"/>
      <c r="AZ49"/>
    </row>
    <row r="50" ht="15.6" spans="2:52">
      <c r="F50" s="80" t="s">
        <v>639</v>
      </c>
      <c r="G50" s="99">
        <v>0</v>
      </c>
      <c r="H50" s="99">
        <v>0</v>
      </c>
      <c r="I50" s="99">
        <v>0</v>
      </c>
      <c r="J50"/>
      <c r="K50"/>
      <c r="L50"/>
      <c r="Q50" s="80" t="s">
        <v>633</v>
      </c>
      <c r="R50" s="80">
        <v>0</v>
      </c>
      <c r="S50" s="80" t="s">
        <v>1178</v>
      </c>
      <c r="T50" s="100">
        <v>2</v>
      </c>
      <c r="U50" s="100">
        <v>0</v>
      </c>
      <c r="V50" s="100">
        <v>0</v>
      </c>
      <c r="W50" s="100">
        <v>0</v>
      </c>
      <c r="X50"/>
      <c r="Y50"/>
      <c r="Z50"/>
      <c r="AA50"/>
      <c r="AB50"/>
      <c r="AC50"/>
      <c r="AD50"/>
      <c r="AE50"/>
      <c r="AF50"/>
      <c r="AG50"/>
      <c r="AH50"/>
      <c r="AI50"/>
      <c r="AJ50"/>
      <c r="AK50"/>
      <c r="AL50"/>
      <c r="AM50"/>
      <c r="AN50"/>
      <c r="AO50"/>
      <c r="AP50"/>
      <c r="AQ50"/>
      <c r="AR50"/>
      <c r="AS50"/>
      <c r="AT50"/>
      <c r="AU50"/>
      <c r="AV50"/>
      <c r="AW50"/>
      <c r="AX50"/>
      <c r="AY50"/>
      <c r="AZ50"/>
    </row>
    <row r="51" ht="15.6" spans="2:52">
      <c r="B51" s="80" t="s">
        <v>4468</v>
      </c>
      <c r="G51" s="99">
        <v>0</v>
      </c>
      <c r="H51" s="99">
        <v>0</v>
      </c>
      <c r="I51" s="99">
        <v>0</v>
      </c>
      <c r="J51"/>
      <c r="K51"/>
      <c r="L51"/>
      <c r="Q51" s="80" t="s">
        <v>615</v>
      </c>
      <c r="R51" s="80">
        <v>0</v>
      </c>
      <c r="S51" s="80" t="s">
        <v>1178</v>
      </c>
      <c r="T51" s="100">
        <v>1</v>
      </c>
      <c r="U51" s="100">
        <v>0</v>
      </c>
      <c r="V51" s="100">
        <v>0</v>
      </c>
      <c r="W51" s="100">
        <v>0</v>
      </c>
      <c r="X51"/>
      <c r="Y51"/>
      <c r="Z51"/>
      <c r="AA51"/>
      <c r="AB51"/>
      <c r="AC51"/>
      <c r="AD51"/>
      <c r="AE51"/>
      <c r="AF51"/>
      <c r="AG51"/>
      <c r="AH51"/>
      <c r="AI51"/>
      <c r="AJ51"/>
      <c r="AK51"/>
      <c r="AL51"/>
      <c r="AM51"/>
      <c r="AN51"/>
      <c r="AO51"/>
      <c r="AP51"/>
      <c r="AQ51"/>
      <c r="AR51"/>
      <c r="AS51"/>
      <c r="AT51"/>
      <c r="AU51"/>
      <c r="AV51"/>
      <c r="AW51"/>
      <c r="AX51"/>
      <c r="AY51"/>
      <c r="AZ51"/>
    </row>
    <row r="52" ht="15.6" spans="2:52">
      <c r="B52" s="80" t="s">
        <v>113</v>
      </c>
      <c r="C52" s="80" t="s">
        <v>114</v>
      </c>
      <c r="D52" s="80">
        <v>0</v>
      </c>
      <c r="E52" s="80" t="s">
        <v>1178</v>
      </c>
      <c r="F52" s="80" t="s">
        <v>652</v>
      </c>
      <c r="G52" s="99">
        <v>0</v>
      </c>
      <c r="H52" s="99">
        <v>0</v>
      </c>
      <c r="I52" s="99">
        <v>0</v>
      </c>
      <c r="J52"/>
      <c r="K52"/>
      <c r="L52"/>
      <c r="Q52" s="80" t="s">
        <v>599</v>
      </c>
      <c r="R52" s="80">
        <v>0</v>
      </c>
      <c r="S52" s="80" t="s">
        <v>1178</v>
      </c>
      <c r="T52" s="100">
        <v>1</v>
      </c>
      <c r="U52" s="100">
        <v>0</v>
      </c>
      <c r="V52" s="100">
        <v>0</v>
      </c>
      <c r="W52" s="100">
        <v>0</v>
      </c>
      <c r="X52"/>
      <c r="Y52"/>
      <c r="Z52"/>
      <c r="AA52"/>
      <c r="AB52"/>
      <c r="AC52"/>
      <c r="AD52"/>
      <c r="AE52"/>
      <c r="AF52"/>
      <c r="AG52"/>
      <c r="AH52"/>
      <c r="AI52"/>
      <c r="AJ52"/>
      <c r="AK52"/>
      <c r="AL52"/>
      <c r="AM52"/>
      <c r="AN52"/>
      <c r="AO52"/>
      <c r="AP52"/>
      <c r="AQ52"/>
      <c r="AR52"/>
      <c r="AS52"/>
      <c r="AT52"/>
      <c r="AU52"/>
      <c r="AV52"/>
      <c r="AW52"/>
      <c r="AX52"/>
      <c r="AY52"/>
      <c r="AZ52"/>
    </row>
    <row r="53" ht="15.6" spans="2:52">
      <c r="F53" s="80" t="s">
        <v>595</v>
      </c>
      <c r="G53" s="99">
        <v>0</v>
      </c>
      <c r="H53" s="99">
        <v>0</v>
      </c>
      <c r="I53" s="99">
        <v>0</v>
      </c>
      <c r="J53"/>
      <c r="K53"/>
      <c r="L53"/>
      <c r="Q53" s="80" t="s">
        <v>601</v>
      </c>
      <c r="R53" s="80">
        <v>0</v>
      </c>
      <c r="S53" s="80" t="s">
        <v>1178</v>
      </c>
      <c r="T53" s="100">
        <v>1</v>
      </c>
      <c r="U53" s="100">
        <v>0</v>
      </c>
      <c r="V53" s="100">
        <v>0</v>
      </c>
      <c r="W53" s="100">
        <v>0</v>
      </c>
      <c r="X53"/>
      <c r="Y53"/>
      <c r="Z53"/>
      <c r="AA53"/>
      <c r="AB53"/>
      <c r="AC53"/>
      <c r="AD53"/>
      <c r="AE53"/>
      <c r="AF53"/>
      <c r="AG53"/>
      <c r="AH53"/>
      <c r="AI53"/>
      <c r="AJ53"/>
      <c r="AK53"/>
      <c r="AL53"/>
      <c r="AM53"/>
      <c r="AN53"/>
      <c r="AO53"/>
      <c r="AP53"/>
      <c r="AQ53"/>
      <c r="AR53"/>
      <c r="AS53"/>
      <c r="AT53"/>
      <c r="AU53"/>
      <c r="AV53"/>
      <c r="AW53"/>
      <c r="AX53"/>
      <c r="AY53"/>
      <c r="AZ53"/>
    </row>
    <row r="54" ht="15.6" spans="2:52">
      <c r="F54" s="80" t="s">
        <v>597</v>
      </c>
      <c r="G54" s="99">
        <v>0</v>
      </c>
      <c r="H54" s="99">
        <v>0</v>
      </c>
      <c r="I54" s="99">
        <v>0</v>
      </c>
      <c r="J54"/>
      <c r="K54"/>
      <c r="L54"/>
      <c r="Q54" s="80" t="s">
        <v>620</v>
      </c>
      <c r="R54" s="80">
        <v>0</v>
      </c>
      <c r="S54" s="80" t="s">
        <v>1178</v>
      </c>
      <c r="T54" s="100">
        <v>1</v>
      </c>
      <c r="U54" s="100">
        <v>0</v>
      </c>
      <c r="V54" s="100">
        <v>0</v>
      </c>
      <c r="W54" s="100">
        <v>0</v>
      </c>
      <c r="X54"/>
      <c r="Y54"/>
      <c r="Z54"/>
      <c r="AA54"/>
      <c r="AB54"/>
      <c r="AC54"/>
      <c r="AD54"/>
      <c r="AE54"/>
      <c r="AF54"/>
      <c r="AG54"/>
      <c r="AH54"/>
      <c r="AI54"/>
      <c r="AJ54"/>
      <c r="AK54"/>
      <c r="AL54"/>
      <c r="AM54"/>
      <c r="AN54"/>
      <c r="AO54"/>
      <c r="AP54"/>
      <c r="AQ54"/>
      <c r="AR54"/>
      <c r="AS54"/>
      <c r="AT54"/>
      <c r="AU54"/>
      <c r="AV54"/>
      <c r="AW54"/>
      <c r="AX54"/>
      <c r="AY54"/>
      <c r="AZ54"/>
    </row>
    <row r="55" ht="15.6" spans="2:52">
      <c r="F55" s="80" t="s">
        <v>633</v>
      </c>
      <c r="G55" s="99">
        <v>0</v>
      </c>
      <c r="H55" s="99">
        <v>0</v>
      </c>
      <c r="I55" s="99">
        <v>0</v>
      </c>
      <c r="J55"/>
      <c r="K55"/>
      <c r="L55"/>
      <c r="Q55" s="80" t="s">
        <v>639</v>
      </c>
      <c r="R55" s="80">
        <v>0</v>
      </c>
      <c r="S55" s="80" t="s">
        <v>1178</v>
      </c>
      <c r="T55" s="100">
        <v>2</v>
      </c>
      <c r="U55" s="100">
        <v>0</v>
      </c>
      <c r="V55" s="100">
        <v>0</v>
      </c>
      <c r="W55" s="100">
        <v>0</v>
      </c>
      <c r="X55"/>
      <c r="Y55"/>
      <c r="Z55"/>
      <c r="AA55"/>
      <c r="AB55"/>
      <c r="AC55"/>
      <c r="AD55"/>
      <c r="AE55"/>
      <c r="AF55"/>
      <c r="AG55"/>
      <c r="AH55"/>
      <c r="AI55"/>
      <c r="AJ55"/>
      <c r="AK55"/>
      <c r="AL55"/>
      <c r="AM55"/>
      <c r="AN55"/>
      <c r="AO55"/>
      <c r="AP55"/>
      <c r="AQ55"/>
      <c r="AR55"/>
      <c r="AS55"/>
      <c r="AT55"/>
      <c r="AU55"/>
      <c r="AV55"/>
      <c r="AW55"/>
      <c r="AX55"/>
      <c r="AY55"/>
      <c r="AZ55"/>
    </row>
    <row r="56" ht="15.6" spans="2:52">
      <c r="F56" s="80" t="s">
        <v>613</v>
      </c>
      <c r="G56" s="99">
        <v>0</v>
      </c>
      <c r="H56" s="99">
        <v>0</v>
      </c>
      <c r="I56" s="99">
        <v>0</v>
      </c>
      <c r="J56"/>
      <c r="K56"/>
      <c r="L56"/>
      <c r="M56" s="80" t="s">
        <v>113</v>
      </c>
      <c r="N56" s="80" t="s">
        <v>114</v>
      </c>
      <c r="O56" s="80" t="s">
        <v>1207</v>
      </c>
      <c r="P56" s="80" t="s">
        <v>3187</v>
      </c>
      <c r="Q56" s="80" t="s">
        <v>615</v>
      </c>
      <c r="R56" s="80">
        <v>0</v>
      </c>
      <c r="S56" s="80" t="s">
        <v>1178</v>
      </c>
      <c r="T56" s="100">
        <v>2</v>
      </c>
      <c r="U56" s="100">
        <v>0</v>
      </c>
      <c r="V56" s="100">
        <v>0</v>
      </c>
      <c r="W56" s="100">
        <v>0</v>
      </c>
      <c r="X56"/>
      <c r="Y56"/>
      <c r="Z56"/>
      <c r="AA56"/>
      <c r="AB56"/>
      <c r="AC56"/>
      <c r="AD56"/>
      <c r="AE56"/>
      <c r="AF56"/>
      <c r="AG56"/>
      <c r="AH56"/>
      <c r="AI56"/>
      <c r="AJ56"/>
      <c r="AK56"/>
      <c r="AL56"/>
      <c r="AM56"/>
      <c r="AN56"/>
      <c r="AO56"/>
      <c r="AP56"/>
      <c r="AQ56"/>
      <c r="AR56"/>
      <c r="AS56"/>
      <c r="AT56"/>
      <c r="AU56"/>
      <c r="AV56"/>
      <c r="AW56"/>
      <c r="AX56"/>
      <c r="AY56"/>
      <c r="AZ56"/>
    </row>
    <row r="57" ht="15.6" spans="2:52">
      <c r="F57" s="80" t="s">
        <v>615</v>
      </c>
      <c r="G57" s="99">
        <v>0</v>
      </c>
      <c r="H57" s="99">
        <v>0</v>
      </c>
      <c r="I57" s="99">
        <v>0</v>
      </c>
      <c r="J57"/>
      <c r="K57"/>
      <c r="L57"/>
      <c r="O57" s="80" t="s">
        <v>1208</v>
      </c>
      <c r="P57" s="80" t="s">
        <v>3189</v>
      </c>
      <c r="Q57" s="80" t="s">
        <v>652</v>
      </c>
      <c r="R57" s="80">
        <v>0</v>
      </c>
      <c r="S57" s="80" t="s">
        <v>1178</v>
      </c>
      <c r="T57" s="100">
        <v>2</v>
      </c>
      <c r="U57" s="100">
        <v>0</v>
      </c>
      <c r="V57" s="100">
        <v>0</v>
      </c>
      <c r="W57" s="100">
        <v>0</v>
      </c>
      <c r="X57"/>
      <c r="Y57"/>
      <c r="Z57"/>
      <c r="AA57"/>
      <c r="AB57"/>
      <c r="AC57"/>
      <c r="AD57"/>
      <c r="AE57"/>
      <c r="AF57"/>
      <c r="AG57"/>
      <c r="AH57"/>
      <c r="AI57"/>
      <c r="AJ57"/>
      <c r="AK57"/>
      <c r="AL57"/>
      <c r="AM57"/>
      <c r="AN57"/>
      <c r="AO57"/>
      <c r="AP57"/>
      <c r="AQ57"/>
      <c r="AR57"/>
      <c r="AS57"/>
      <c r="AT57"/>
      <c r="AU57"/>
      <c r="AV57"/>
      <c r="AW57"/>
      <c r="AX57"/>
      <c r="AY57"/>
      <c r="AZ57"/>
    </row>
    <row r="58" ht="15.6" spans="2:52">
      <c r="F58" s="80" t="s">
        <v>599</v>
      </c>
      <c r="G58" s="99">
        <v>0</v>
      </c>
      <c r="H58" s="99">
        <v>0</v>
      </c>
      <c r="I58" s="99">
        <v>0</v>
      </c>
      <c r="J58"/>
      <c r="K58"/>
      <c r="L58"/>
      <c r="Q58" s="80" t="s">
        <v>595</v>
      </c>
      <c r="R58" s="80">
        <v>0</v>
      </c>
      <c r="S58" s="80" t="s">
        <v>1178</v>
      </c>
      <c r="T58" s="100">
        <v>0</v>
      </c>
      <c r="U58" s="100">
        <v>0</v>
      </c>
      <c r="V58" s="100">
        <v>0</v>
      </c>
      <c r="W58" s="100">
        <v>0</v>
      </c>
      <c r="X58"/>
      <c r="Y58"/>
      <c r="Z58"/>
      <c r="AA58"/>
      <c r="AB58"/>
      <c r="AC58"/>
      <c r="AD58"/>
      <c r="AE58"/>
      <c r="AF58"/>
      <c r="AG58"/>
      <c r="AH58"/>
      <c r="AI58"/>
      <c r="AJ58"/>
      <c r="AK58"/>
      <c r="AL58"/>
      <c r="AM58"/>
      <c r="AN58"/>
      <c r="AO58"/>
      <c r="AP58"/>
      <c r="AQ58"/>
      <c r="AR58"/>
      <c r="AS58"/>
      <c r="AT58"/>
      <c r="AU58"/>
      <c r="AV58"/>
      <c r="AW58"/>
      <c r="AX58"/>
      <c r="AY58"/>
      <c r="AZ58"/>
    </row>
    <row r="59" ht="15.6" spans="2:52">
      <c r="F59" s="80" t="s">
        <v>620</v>
      </c>
      <c r="G59" s="99">
        <v>0</v>
      </c>
      <c r="H59" s="99">
        <v>0</v>
      </c>
      <c r="I59" s="99">
        <v>0</v>
      </c>
      <c r="J59"/>
      <c r="K59"/>
      <c r="L59"/>
      <c r="Q59" s="80" t="s">
        <v>597</v>
      </c>
      <c r="R59" s="80">
        <v>0</v>
      </c>
      <c r="S59" s="80" t="s">
        <v>1178</v>
      </c>
      <c r="T59" s="100">
        <v>1</v>
      </c>
      <c r="U59" s="100">
        <v>0</v>
      </c>
      <c r="V59" s="100">
        <v>0</v>
      </c>
      <c r="W59" s="100">
        <v>0</v>
      </c>
      <c r="X59"/>
      <c r="Y59"/>
      <c r="Z59"/>
      <c r="AA59"/>
      <c r="AB59"/>
      <c r="AC59"/>
      <c r="AD59"/>
      <c r="AE59"/>
      <c r="AF59"/>
      <c r="AG59"/>
      <c r="AH59"/>
      <c r="AI59"/>
      <c r="AJ59"/>
      <c r="AK59"/>
      <c r="AL59"/>
      <c r="AM59"/>
      <c r="AN59"/>
      <c r="AO59"/>
      <c r="AP59"/>
      <c r="AQ59"/>
      <c r="AR59"/>
      <c r="AS59"/>
      <c r="AT59"/>
      <c r="AU59"/>
      <c r="AV59"/>
      <c r="AW59"/>
      <c r="AX59"/>
      <c r="AY59"/>
      <c r="AZ59"/>
    </row>
    <row r="60" ht="15.6" spans="2:52">
      <c r="F60" s="80" t="s">
        <v>639</v>
      </c>
      <c r="G60" s="99">
        <v>0</v>
      </c>
      <c r="H60" s="99">
        <v>0</v>
      </c>
      <c r="I60" s="99">
        <v>0</v>
      </c>
      <c r="J60"/>
      <c r="K60"/>
      <c r="L60"/>
      <c r="Q60" s="80" t="s">
        <v>633</v>
      </c>
      <c r="R60" s="80">
        <v>0</v>
      </c>
      <c r="S60" s="80" t="s">
        <v>1178</v>
      </c>
      <c r="T60" s="100">
        <v>2</v>
      </c>
      <c r="U60" s="100">
        <v>0</v>
      </c>
      <c r="V60" s="100">
        <v>0</v>
      </c>
      <c r="W60" s="100">
        <v>0</v>
      </c>
      <c r="X60"/>
      <c r="Y60"/>
      <c r="Z60"/>
      <c r="AA60"/>
      <c r="AB60"/>
      <c r="AC60"/>
      <c r="AD60"/>
      <c r="AE60"/>
      <c r="AF60"/>
      <c r="AG60"/>
      <c r="AH60"/>
      <c r="AI60"/>
      <c r="AJ60"/>
      <c r="AK60"/>
      <c r="AL60"/>
      <c r="AM60"/>
      <c r="AN60"/>
      <c r="AO60"/>
      <c r="AP60"/>
      <c r="AQ60"/>
      <c r="AR60"/>
      <c r="AS60"/>
      <c r="AT60"/>
      <c r="AU60"/>
      <c r="AV60"/>
      <c r="AW60"/>
      <c r="AX60"/>
      <c r="AY60"/>
      <c r="AZ60"/>
    </row>
    <row r="61" ht="15.6" spans="2:52">
      <c r="B61" s="80" t="s">
        <v>4469</v>
      </c>
      <c r="G61" s="99">
        <v>0</v>
      </c>
      <c r="H61" s="99">
        <v>0</v>
      </c>
      <c r="I61" s="99">
        <v>0</v>
      </c>
      <c r="J61"/>
      <c r="K61"/>
      <c r="L61"/>
      <c r="Q61" s="80" t="s">
        <v>613</v>
      </c>
      <c r="R61" s="80">
        <v>0</v>
      </c>
      <c r="S61" s="80" t="s">
        <v>1178</v>
      </c>
      <c r="T61" s="100">
        <v>0</v>
      </c>
      <c r="U61" s="100">
        <v>0</v>
      </c>
      <c r="V61" s="100">
        <v>0</v>
      </c>
      <c r="W61" s="100">
        <v>0</v>
      </c>
      <c r="X61"/>
      <c r="Y61"/>
      <c r="Z61"/>
      <c r="AA61"/>
      <c r="AB61"/>
      <c r="AC61"/>
      <c r="AD61"/>
      <c r="AE61"/>
      <c r="AF61"/>
      <c r="AG61"/>
      <c r="AH61"/>
      <c r="AI61"/>
      <c r="AJ61"/>
      <c r="AK61"/>
      <c r="AL61"/>
      <c r="AM61"/>
      <c r="AN61"/>
      <c r="AO61"/>
      <c r="AP61"/>
      <c r="AQ61"/>
      <c r="AR61"/>
      <c r="AS61"/>
      <c r="AT61"/>
      <c r="AU61"/>
      <c r="AV61"/>
      <c r="AW61"/>
      <c r="AX61"/>
      <c r="AY61"/>
      <c r="AZ61"/>
    </row>
    <row r="62" ht="15.6" spans="2:52">
      <c r="B62" s="80" t="s">
        <v>116</v>
      </c>
      <c r="C62" s="80" t="s">
        <v>117</v>
      </c>
      <c r="D62" s="80">
        <v>0</v>
      </c>
      <c r="E62" s="80" t="s">
        <v>1178</v>
      </c>
      <c r="F62" s="80" t="s">
        <v>595</v>
      </c>
      <c r="G62" s="99">
        <v>0</v>
      </c>
      <c r="H62" s="99">
        <v>0</v>
      </c>
      <c r="I62" s="99">
        <v>0</v>
      </c>
      <c r="J62"/>
      <c r="K62"/>
      <c r="L62"/>
      <c r="Q62" s="80" t="s">
        <v>615</v>
      </c>
      <c r="R62" s="80">
        <v>0</v>
      </c>
      <c r="S62" s="80" t="s">
        <v>1178</v>
      </c>
      <c r="T62" s="100">
        <v>1</v>
      </c>
      <c r="U62" s="100">
        <v>0</v>
      </c>
      <c r="V62" s="100">
        <v>0</v>
      </c>
      <c r="W62" s="100">
        <v>0</v>
      </c>
      <c r="X62"/>
      <c r="Y62"/>
      <c r="Z62"/>
      <c r="AA62"/>
      <c r="AB62"/>
      <c r="AC62"/>
      <c r="AD62"/>
      <c r="AE62"/>
      <c r="AF62"/>
      <c r="AG62"/>
      <c r="AH62"/>
      <c r="AI62"/>
      <c r="AJ62"/>
      <c r="AK62"/>
      <c r="AL62"/>
      <c r="AM62"/>
      <c r="AN62"/>
      <c r="AO62"/>
      <c r="AP62"/>
      <c r="AQ62"/>
      <c r="AR62"/>
      <c r="AS62"/>
      <c r="AT62"/>
      <c r="AU62"/>
      <c r="AV62"/>
      <c r="AW62"/>
      <c r="AX62"/>
      <c r="AY62"/>
      <c r="AZ62"/>
    </row>
    <row r="63" ht="15.6" spans="2:52">
      <c r="F63" s="80" t="s">
        <v>599</v>
      </c>
      <c r="G63" s="99">
        <v>0</v>
      </c>
      <c r="H63" s="99">
        <v>0</v>
      </c>
      <c r="I63" s="99">
        <v>0</v>
      </c>
      <c r="J63"/>
      <c r="K63"/>
      <c r="L63"/>
      <c r="Q63" s="80" t="s">
        <v>599</v>
      </c>
      <c r="R63" s="80">
        <v>0</v>
      </c>
      <c r="S63" s="80" t="s">
        <v>1178</v>
      </c>
      <c r="T63" s="100">
        <v>1</v>
      </c>
      <c r="U63" s="100">
        <v>0</v>
      </c>
      <c r="V63" s="100">
        <v>0</v>
      </c>
      <c r="W63" s="100">
        <v>0</v>
      </c>
      <c r="X63"/>
      <c r="Y63"/>
      <c r="Z63"/>
      <c r="AA63"/>
      <c r="AB63"/>
      <c r="AC63"/>
      <c r="AD63"/>
      <c r="AE63"/>
      <c r="AF63"/>
      <c r="AG63"/>
      <c r="AH63"/>
      <c r="AI63"/>
      <c r="AJ63"/>
      <c r="AK63"/>
      <c r="AL63"/>
      <c r="AM63"/>
      <c r="AN63"/>
      <c r="AO63"/>
      <c r="AP63"/>
      <c r="AQ63"/>
      <c r="AR63"/>
      <c r="AS63"/>
      <c r="AT63"/>
      <c r="AU63"/>
      <c r="AV63"/>
      <c r="AW63"/>
      <c r="AX63"/>
      <c r="AY63"/>
      <c r="AZ63"/>
    </row>
    <row r="64" ht="15.6" spans="2:52">
      <c r="B64" s="80" t="s">
        <v>4470</v>
      </c>
      <c r="G64" s="99">
        <v>0</v>
      </c>
      <c r="H64" s="99">
        <v>0</v>
      </c>
      <c r="I64" s="99">
        <v>0</v>
      </c>
      <c r="J64"/>
      <c r="K64"/>
      <c r="L64"/>
      <c r="Q64" s="80" t="s">
        <v>620</v>
      </c>
      <c r="R64" s="80">
        <v>0</v>
      </c>
      <c r="S64" s="80" t="s">
        <v>1178</v>
      </c>
      <c r="T64" s="100">
        <v>1</v>
      </c>
      <c r="U64" s="100">
        <v>0</v>
      </c>
      <c r="V64" s="100">
        <v>0</v>
      </c>
      <c r="W64" s="100">
        <v>0</v>
      </c>
      <c r="X64"/>
      <c r="Y64"/>
      <c r="Z64"/>
      <c r="AA64"/>
      <c r="AB64"/>
      <c r="AC64"/>
      <c r="AD64"/>
      <c r="AE64"/>
      <c r="AF64"/>
      <c r="AG64"/>
      <c r="AH64"/>
      <c r="AI64"/>
      <c r="AJ64"/>
      <c r="AK64"/>
      <c r="AL64"/>
      <c r="AM64"/>
      <c r="AN64"/>
      <c r="AO64"/>
      <c r="AP64"/>
      <c r="AQ64"/>
      <c r="AR64"/>
      <c r="AS64"/>
      <c r="AT64"/>
      <c r="AU64"/>
      <c r="AV64"/>
      <c r="AW64"/>
      <c r="AX64"/>
      <c r="AY64"/>
      <c r="AZ64"/>
    </row>
    <row r="65" ht="15.6" spans="2:52">
      <c r="B65" s="80" t="s">
        <v>119</v>
      </c>
      <c r="C65" s="80" t="s">
        <v>120</v>
      </c>
      <c r="D65" s="80">
        <v>0</v>
      </c>
      <c r="E65" s="80" t="s">
        <v>1178</v>
      </c>
      <c r="F65" s="80" t="s">
        <v>595</v>
      </c>
      <c r="G65" s="99">
        <v>0</v>
      </c>
      <c r="H65" s="99">
        <v>0</v>
      </c>
      <c r="I65" s="99">
        <v>0</v>
      </c>
      <c r="J65"/>
      <c r="K65"/>
      <c r="L65"/>
      <c r="Q65" s="80" t="s">
        <v>639</v>
      </c>
      <c r="R65" s="80">
        <v>0</v>
      </c>
      <c r="S65" s="80" t="s">
        <v>1178</v>
      </c>
      <c r="T65" s="100">
        <v>2</v>
      </c>
      <c r="U65" s="100">
        <v>0</v>
      </c>
      <c r="V65" s="100">
        <v>0</v>
      </c>
      <c r="W65" s="100">
        <v>0</v>
      </c>
      <c r="X65"/>
      <c r="Y65"/>
      <c r="Z65"/>
      <c r="AA65"/>
      <c r="AB65"/>
      <c r="AC65"/>
      <c r="AD65"/>
      <c r="AE65"/>
      <c r="AF65"/>
      <c r="AG65"/>
      <c r="AH65"/>
      <c r="AI65"/>
      <c r="AJ65"/>
      <c r="AK65"/>
      <c r="AL65"/>
      <c r="AM65"/>
      <c r="AN65"/>
      <c r="AO65"/>
      <c r="AP65"/>
      <c r="AQ65"/>
      <c r="AR65"/>
      <c r="AS65"/>
      <c r="AT65"/>
      <c r="AU65"/>
      <c r="AV65"/>
      <c r="AW65"/>
      <c r="AX65"/>
      <c r="AY65"/>
      <c r="AZ65"/>
    </row>
    <row r="66" ht="15.6" spans="2:52">
      <c r="F66" s="80" t="s">
        <v>599</v>
      </c>
      <c r="G66" s="99">
        <v>0</v>
      </c>
      <c r="H66" s="99">
        <v>0</v>
      </c>
      <c r="I66" s="99">
        <v>0</v>
      </c>
      <c r="J66"/>
      <c r="K66"/>
      <c r="L66"/>
      <c r="M66" s="80" t="s">
        <v>116</v>
      </c>
      <c r="N66" s="80" t="s">
        <v>117</v>
      </c>
      <c r="O66" s="80" t="s">
        <v>3192</v>
      </c>
      <c r="P66" s="80" t="s">
        <v>3193</v>
      </c>
      <c r="Q66" s="80" t="s">
        <v>599</v>
      </c>
      <c r="R66" s="80">
        <v>0</v>
      </c>
      <c r="S66" s="80" t="s">
        <v>1176</v>
      </c>
      <c r="T66" s="100">
        <v>4</v>
      </c>
      <c r="U66" s="100">
        <v>0</v>
      </c>
      <c r="V66" s="100">
        <v>0</v>
      </c>
      <c r="W66" s="100">
        <v>0</v>
      </c>
      <c r="X66"/>
      <c r="Y66"/>
      <c r="Z66"/>
      <c r="AA66"/>
      <c r="AB66"/>
      <c r="AC66"/>
      <c r="AD66"/>
      <c r="AE66"/>
      <c r="AF66"/>
      <c r="AG66"/>
      <c r="AH66"/>
      <c r="AI66"/>
      <c r="AJ66"/>
      <c r="AK66"/>
      <c r="AL66"/>
      <c r="AM66"/>
      <c r="AN66"/>
      <c r="AO66"/>
      <c r="AP66"/>
      <c r="AQ66"/>
      <c r="AR66"/>
      <c r="AS66"/>
      <c r="AT66"/>
      <c r="AU66"/>
      <c r="AV66"/>
      <c r="AW66"/>
      <c r="AX66"/>
      <c r="AY66"/>
      <c r="AZ66"/>
    </row>
    <row r="67" ht="15.6" spans="2:52">
      <c r="B67" s="80" t="s">
        <v>4471</v>
      </c>
      <c r="G67" s="99">
        <v>0</v>
      </c>
      <c r="H67" s="99">
        <v>0</v>
      </c>
      <c r="I67" s="99">
        <v>0</v>
      </c>
      <c r="J67"/>
      <c r="K67"/>
      <c r="L67"/>
      <c r="O67" s="80" t="s">
        <v>1210</v>
      </c>
      <c r="P67" s="80" t="s">
        <v>3196</v>
      </c>
      <c r="Q67" s="80" t="s">
        <v>595</v>
      </c>
      <c r="R67" s="80">
        <v>0</v>
      </c>
      <c r="S67" s="80" t="s">
        <v>1178</v>
      </c>
      <c r="T67" s="100">
        <v>2</v>
      </c>
      <c r="U67" s="100">
        <v>0</v>
      </c>
      <c r="V67" s="100">
        <v>0</v>
      </c>
      <c r="W67" s="100">
        <v>0</v>
      </c>
      <c r="X67"/>
      <c r="Y67"/>
      <c r="Z67"/>
      <c r="AA67"/>
      <c r="AB67"/>
      <c r="AC67"/>
      <c r="AD67"/>
      <c r="AE67"/>
      <c r="AF67"/>
      <c r="AG67"/>
      <c r="AH67"/>
      <c r="AI67"/>
      <c r="AJ67"/>
      <c r="AK67"/>
      <c r="AL67"/>
      <c r="AM67"/>
      <c r="AN67"/>
      <c r="AO67"/>
      <c r="AP67"/>
      <c r="AQ67"/>
      <c r="AR67"/>
      <c r="AS67"/>
      <c r="AT67"/>
      <c r="AU67"/>
      <c r="AV67"/>
      <c r="AW67"/>
      <c r="AX67"/>
      <c r="AY67"/>
      <c r="AZ67"/>
    </row>
    <row r="68" ht="15.6" spans="2:52">
      <c r="B68" s="80" t="s">
        <v>121</v>
      </c>
      <c r="C68" s="80" t="s">
        <v>122</v>
      </c>
      <c r="D68" s="80">
        <v>0</v>
      </c>
      <c r="E68" s="80" t="s">
        <v>1178</v>
      </c>
      <c r="F68" s="80" t="s">
        <v>595</v>
      </c>
      <c r="G68" s="99">
        <v>0</v>
      </c>
      <c r="H68" s="99">
        <v>0</v>
      </c>
      <c r="I68" s="99">
        <v>0</v>
      </c>
      <c r="J68"/>
      <c r="K68"/>
      <c r="L68"/>
      <c r="O68" s="80" t="s">
        <v>3199</v>
      </c>
      <c r="P68" s="80" t="s">
        <v>3200</v>
      </c>
      <c r="Q68" s="80" t="s">
        <v>599</v>
      </c>
      <c r="R68" s="80">
        <v>0</v>
      </c>
      <c r="S68" s="80" t="s">
        <v>1176</v>
      </c>
      <c r="T68" s="100">
        <v>1</v>
      </c>
      <c r="U68" s="100">
        <v>0</v>
      </c>
      <c r="V68" s="100">
        <v>0</v>
      </c>
      <c r="W68" s="100">
        <v>0</v>
      </c>
      <c r="X68"/>
      <c r="Y68"/>
      <c r="Z68"/>
      <c r="AA68"/>
      <c r="AB68"/>
      <c r="AC68"/>
      <c r="AD68"/>
      <c r="AE68"/>
      <c r="AF68"/>
      <c r="AG68"/>
      <c r="AH68"/>
      <c r="AI68"/>
      <c r="AJ68"/>
      <c r="AK68"/>
      <c r="AL68"/>
      <c r="AM68"/>
      <c r="AN68"/>
      <c r="AO68"/>
      <c r="AP68"/>
      <c r="AQ68"/>
      <c r="AR68"/>
      <c r="AS68"/>
      <c r="AT68"/>
      <c r="AU68"/>
      <c r="AV68"/>
      <c r="AW68"/>
      <c r="AX68"/>
      <c r="AY68"/>
      <c r="AZ68"/>
    </row>
    <row r="69" ht="15.6" spans="2:52">
      <c r="F69" s="80" t="s">
        <v>597</v>
      </c>
      <c r="G69" s="99">
        <v>0</v>
      </c>
      <c r="H69" s="99">
        <v>0</v>
      </c>
      <c r="I69" s="99">
        <v>0</v>
      </c>
      <c r="J69"/>
      <c r="K69"/>
      <c r="L69"/>
      <c r="M69" s="80" t="s">
        <v>119</v>
      </c>
      <c r="N69" s="80" t="s">
        <v>120</v>
      </c>
      <c r="O69" s="80" t="s">
        <v>1211</v>
      </c>
      <c r="P69" s="80" t="s">
        <v>3203</v>
      </c>
      <c r="Q69" s="80" t="s">
        <v>595</v>
      </c>
      <c r="R69" s="80">
        <v>0</v>
      </c>
      <c r="S69" s="80" t="s">
        <v>1178</v>
      </c>
      <c r="T69" s="100">
        <v>2</v>
      </c>
      <c r="U69" s="100">
        <v>0</v>
      </c>
      <c r="V69" s="100">
        <v>0</v>
      </c>
      <c r="W69" s="100">
        <v>0</v>
      </c>
      <c r="X69"/>
      <c r="Y69"/>
      <c r="Z69"/>
      <c r="AA69"/>
      <c r="AB69"/>
      <c r="AC69"/>
      <c r="AD69"/>
      <c r="AE69"/>
      <c r="AF69"/>
      <c r="AG69"/>
      <c r="AH69"/>
      <c r="AI69"/>
      <c r="AJ69"/>
      <c r="AK69"/>
      <c r="AL69"/>
      <c r="AM69"/>
      <c r="AN69"/>
      <c r="AO69"/>
      <c r="AP69"/>
      <c r="AQ69"/>
      <c r="AR69"/>
      <c r="AS69"/>
      <c r="AT69"/>
      <c r="AU69"/>
      <c r="AV69"/>
      <c r="AW69"/>
      <c r="AX69"/>
      <c r="AY69"/>
      <c r="AZ69"/>
    </row>
    <row r="70" ht="15.6" spans="2:52">
      <c r="F70" s="80" t="s">
        <v>599</v>
      </c>
      <c r="G70" s="99">
        <v>0</v>
      </c>
      <c r="H70" s="99">
        <v>0</v>
      </c>
      <c r="I70" s="99">
        <v>0</v>
      </c>
      <c r="J70"/>
      <c r="K70"/>
      <c r="L70"/>
      <c r="O70" s="80" t="s">
        <v>1212</v>
      </c>
      <c r="P70" s="80" t="s">
        <v>3207</v>
      </c>
      <c r="Q70" s="80" t="s">
        <v>595</v>
      </c>
      <c r="R70" s="80">
        <v>0</v>
      </c>
      <c r="S70" s="80" t="s">
        <v>1178</v>
      </c>
      <c r="T70" s="100">
        <v>13</v>
      </c>
      <c r="U70" s="100">
        <v>0</v>
      </c>
      <c r="V70" s="100">
        <v>0</v>
      </c>
      <c r="W70" s="100">
        <v>0</v>
      </c>
      <c r="X70"/>
      <c r="Y70"/>
      <c r="Z70"/>
      <c r="AA70"/>
      <c r="AB70"/>
      <c r="AC70"/>
      <c r="AD70"/>
      <c r="AE70"/>
      <c r="AF70"/>
      <c r="AG70"/>
      <c r="AH70"/>
      <c r="AI70"/>
      <c r="AJ70"/>
      <c r="AK70"/>
      <c r="AL70"/>
      <c r="AM70"/>
      <c r="AN70"/>
      <c r="AO70"/>
      <c r="AP70"/>
      <c r="AQ70"/>
      <c r="AR70"/>
      <c r="AS70"/>
      <c r="AT70"/>
      <c r="AU70"/>
      <c r="AV70"/>
      <c r="AW70"/>
      <c r="AX70"/>
      <c r="AY70"/>
      <c r="AZ70"/>
    </row>
    <row r="71" ht="15.6" spans="2:52">
      <c r="B71" s="80" t="s">
        <v>4472</v>
      </c>
      <c r="G71" s="99">
        <v>0</v>
      </c>
      <c r="H71" s="99">
        <v>0</v>
      </c>
      <c r="I71" s="99">
        <v>0</v>
      </c>
      <c r="J71"/>
      <c r="K71"/>
      <c r="L71"/>
      <c r="O71" s="80" t="s">
        <v>1213</v>
      </c>
      <c r="P71" s="80" t="s">
        <v>3210</v>
      </c>
      <c r="Q71" s="80" t="s">
        <v>599</v>
      </c>
      <c r="R71" s="80">
        <v>0</v>
      </c>
      <c r="S71" s="80" t="s">
        <v>1178</v>
      </c>
      <c r="T71" s="100">
        <v>2</v>
      </c>
      <c r="U71" s="100">
        <v>0</v>
      </c>
      <c r="V71" s="100">
        <v>0</v>
      </c>
      <c r="W71" s="100">
        <v>0</v>
      </c>
      <c r="X71"/>
      <c r="Y71"/>
      <c r="Z71"/>
      <c r="AA71"/>
      <c r="AB71"/>
      <c r="AC71"/>
      <c r="AD71"/>
      <c r="AE71"/>
      <c r="AF71"/>
      <c r="AG71"/>
      <c r="AH71"/>
      <c r="AI71"/>
      <c r="AJ71"/>
      <c r="AK71"/>
      <c r="AL71"/>
      <c r="AM71"/>
      <c r="AN71"/>
      <c r="AO71"/>
      <c r="AP71"/>
      <c r="AQ71"/>
      <c r="AR71"/>
      <c r="AS71"/>
      <c r="AT71"/>
      <c r="AU71"/>
      <c r="AV71"/>
      <c r="AW71"/>
      <c r="AX71"/>
      <c r="AY71"/>
      <c r="AZ71"/>
    </row>
    <row r="72" ht="15.6" spans="2:52">
      <c r="B72" s="80" t="s">
        <v>123</v>
      </c>
      <c r="C72" s="80" t="s">
        <v>124</v>
      </c>
      <c r="D72" s="80">
        <v>0</v>
      </c>
      <c r="E72" s="80" t="s">
        <v>1178</v>
      </c>
      <c r="F72" s="80" t="s">
        <v>595</v>
      </c>
      <c r="G72" s="99">
        <v>0</v>
      </c>
      <c r="H72" s="99">
        <v>0</v>
      </c>
      <c r="I72" s="99">
        <v>0</v>
      </c>
      <c r="J72"/>
      <c r="K72"/>
      <c r="L72"/>
      <c r="M72" s="80" t="s">
        <v>121</v>
      </c>
      <c r="N72" s="80" t="s">
        <v>122</v>
      </c>
      <c r="O72" s="80" t="s">
        <v>1214</v>
      </c>
      <c r="P72" s="80" t="s">
        <v>3213</v>
      </c>
      <c r="Q72" s="80" t="s">
        <v>595</v>
      </c>
      <c r="R72" s="80">
        <v>0</v>
      </c>
      <c r="S72" s="80" t="s">
        <v>1178</v>
      </c>
      <c r="T72" s="100">
        <v>16</v>
      </c>
      <c r="U72" s="100">
        <v>0</v>
      </c>
      <c r="V72" s="100">
        <v>0</v>
      </c>
      <c r="W72" s="100">
        <v>0</v>
      </c>
      <c r="X72"/>
      <c r="Y72"/>
      <c r="Z72"/>
      <c r="AA72"/>
      <c r="AB72"/>
      <c r="AC72"/>
      <c r="AD72"/>
      <c r="AE72"/>
      <c r="AF72"/>
      <c r="AG72"/>
      <c r="AH72"/>
      <c r="AI72"/>
      <c r="AJ72"/>
      <c r="AK72"/>
      <c r="AL72"/>
      <c r="AM72"/>
      <c r="AN72"/>
      <c r="AO72"/>
      <c r="AP72"/>
      <c r="AQ72"/>
      <c r="AR72"/>
      <c r="AS72"/>
      <c r="AT72"/>
      <c r="AU72"/>
      <c r="AV72"/>
      <c r="AW72"/>
      <c r="AX72"/>
      <c r="AY72"/>
      <c r="AZ72"/>
    </row>
    <row r="73" ht="15.6" spans="2:52">
      <c r="F73" s="80" t="s">
        <v>597</v>
      </c>
      <c r="G73" s="99">
        <v>0</v>
      </c>
      <c r="H73" s="99">
        <v>0</v>
      </c>
      <c r="I73" s="99">
        <v>0</v>
      </c>
      <c r="J73"/>
      <c r="K73"/>
      <c r="L73"/>
      <c r="Q73" s="80" t="s">
        <v>597</v>
      </c>
      <c r="R73" s="80">
        <v>0</v>
      </c>
      <c r="S73" s="80" t="s">
        <v>1178</v>
      </c>
      <c r="T73" s="100">
        <v>2</v>
      </c>
      <c r="U73" s="100">
        <v>0</v>
      </c>
      <c r="V73" s="100">
        <v>0</v>
      </c>
      <c r="W73" s="100">
        <v>0</v>
      </c>
      <c r="X73"/>
      <c r="Y73"/>
      <c r="Z73"/>
      <c r="AA73"/>
      <c r="AB73"/>
      <c r="AC73"/>
      <c r="AD73"/>
      <c r="AE73"/>
      <c r="AF73"/>
      <c r="AG73"/>
      <c r="AH73"/>
      <c r="AI73"/>
      <c r="AJ73"/>
      <c r="AK73"/>
      <c r="AL73"/>
      <c r="AM73"/>
      <c r="AN73"/>
      <c r="AO73"/>
      <c r="AP73"/>
      <c r="AQ73"/>
      <c r="AR73"/>
      <c r="AS73"/>
      <c r="AT73"/>
      <c r="AU73"/>
      <c r="AV73"/>
      <c r="AW73"/>
      <c r="AX73"/>
      <c r="AY73"/>
      <c r="AZ73"/>
    </row>
    <row r="74" ht="15.6" spans="2:52">
      <c r="F74" s="80" t="s">
        <v>599</v>
      </c>
      <c r="G74" s="99">
        <v>0</v>
      </c>
      <c r="H74" s="99">
        <v>0</v>
      </c>
      <c r="I74" s="99">
        <v>0</v>
      </c>
      <c r="J74"/>
      <c r="K74"/>
      <c r="L74"/>
      <c r="O74" s="80" t="s">
        <v>1215</v>
      </c>
      <c r="P74" s="80" t="s">
        <v>3215</v>
      </c>
      <c r="Q74" s="80" t="s">
        <v>599</v>
      </c>
      <c r="R74" s="80">
        <v>0</v>
      </c>
      <c r="S74" s="80" t="s">
        <v>1178</v>
      </c>
      <c r="T74" s="100">
        <v>2</v>
      </c>
      <c r="U74" s="100">
        <v>0</v>
      </c>
      <c r="V74" s="100">
        <v>0</v>
      </c>
      <c r="W74" s="100">
        <v>0</v>
      </c>
      <c r="X74"/>
      <c r="Y74"/>
      <c r="Z74"/>
      <c r="AA74"/>
      <c r="AB74"/>
      <c r="AC74"/>
      <c r="AD74"/>
      <c r="AE74"/>
      <c r="AF74"/>
      <c r="AG74"/>
      <c r="AH74"/>
      <c r="AI74"/>
      <c r="AJ74"/>
      <c r="AK74"/>
      <c r="AL74"/>
      <c r="AM74"/>
      <c r="AN74"/>
      <c r="AO74"/>
      <c r="AP74"/>
      <c r="AQ74"/>
      <c r="AR74"/>
      <c r="AS74"/>
      <c r="AT74"/>
      <c r="AU74"/>
      <c r="AV74"/>
      <c r="AW74"/>
      <c r="AX74"/>
      <c r="AY74"/>
      <c r="AZ74"/>
    </row>
    <row r="75" ht="15.6" spans="2:52">
      <c r="B75" s="80" t="s">
        <v>4473</v>
      </c>
      <c r="G75" s="99">
        <v>0</v>
      </c>
      <c r="H75" s="99">
        <v>0</v>
      </c>
      <c r="I75" s="99">
        <v>0</v>
      </c>
      <c r="J75"/>
      <c r="K75"/>
      <c r="L75"/>
      <c r="M75" s="80" t="s">
        <v>123</v>
      </c>
      <c r="N75" s="80" t="s">
        <v>124</v>
      </c>
      <c r="O75" s="80" t="s">
        <v>1216</v>
      </c>
      <c r="P75" s="80" t="s">
        <v>3218</v>
      </c>
      <c r="Q75" s="80" t="s">
        <v>595</v>
      </c>
      <c r="R75" s="80">
        <v>0</v>
      </c>
      <c r="S75" s="80" t="s">
        <v>1178</v>
      </c>
      <c r="T75" s="100">
        <v>16</v>
      </c>
      <c r="U75" s="100">
        <v>0</v>
      </c>
      <c r="V75" s="100">
        <v>0</v>
      </c>
      <c r="W75" s="100">
        <v>0</v>
      </c>
      <c r="X75"/>
      <c r="Y75"/>
      <c r="Z75"/>
      <c r="AA75"/>
      <c r="AB75"/>
      <c r="AC75"/>
      <c r="AD75"/>
      <c r="AE75"/>
      <c r="AF75"/>
      <c r="AG75"/>
      <c r="AH75"/>
      <c r="AI75"/>
      <c r="AJ75"/>
      <c r="AK75"/>
      <c r="AL75"/>
      <c r="AM75"/>
      <c r="AN75"/>
      <c r="AO75"/>
      <c r="AP75"/>
      <c r="AQ75"/>
      <c r="AR75"/>
      <c r="AS75"/>
      <c r="AT75"/>
      <c r="AU75"/>
      <c r="AV75"/>
      <c r="AW75"/>
      <c r="AX75"/>
      <c r="AY75"/>
      <c r="AZ75"/>
    </row>
    <row r="76" ht="15.6" spans="2:52">
      <c r="B76" s="80" t="s">
        <v>125</v>
      </c>
      <c r="C76" s="80" t="s">
        <v>126</v>
      </c>
      <c r="D76" s="80">
        <v>0</v>
      </c>
      <c r="E76" s="80" t="s">
        <v>1176</v>
      </c>
      <c r="F76" s="80" t="s">
        <v>595</v>
      </c>
      <c r="G76" s="99">
        <v>0</v>
      </c>
      <c r="H76" s="99">
        <v>0</v>
      </c>
      <c r="I76" s="99">
        <v>0</v>
      </c>
      <c r="J76"/>
      <c r="K76"/>
      <c r="L76"/>
      <c r="Q76" s="80" t="s">
        <v>597</v>
      </c>
      <c r="R76" s="80">
        <v>0</v>
      </c>
      <c r="S76" s="80" t="s">
        <v>1178</v>
      </c>
      <c r="T76" s="100">
        <v>2</v>
      </c>
      <c r="U76" s="100">
        <v>0</v>
      </c>
      <c r="V76" s="100">
        <v>0</v>
      </c>
      <c r="W76" s="100">
        <v>0</v>
      </c>
      <c r="X76"/>
      <c r="Y76"/>
      <c r="Z76"/>
      <c r="AA76"/>
      <c r="AB76"/>
      <c r="AC76"/>
      <c r="AD76"/>
      <c r="AE76"/>
      <c r="AF76"/>
      <c r="AG76"/>
      <c r="AH76"/>
      <c r="AI76"/>
      <c r="AJ76"/>
      <c r="AK76"/>
      <c r="AL76"/>
      <c r="AM76"/>
      <c r="AN76"/>
      <c r="AO76"/>
      <c r="AP76"/>
      <c r="AQ76"/>
      <c r="AR76"/>
      <c r="AS76"/>
      <c r="AT76"/>
      <c r="AU76"/>
      <c r="AV76"/>
      <c r="AW76"/>
      <c r="AX76"/>
      <c r="AY76"/>
      <c r="AZ76"/>
    </row>
    <row r="77" ht="15.6" spans="2:52">
      <c r="F77" s="80" t="s">
        <v>599</v>
      </c>
      <c r="G77" s="99">
        <v>0</v>
      </c>
      <c r="H77" s="99">
        <v>0</v>
      </c>
      <c r="I77" s="99">
        <v>0</v>
      </c>
      <c r="J77"/>
      <c r="K77"/>
      <c r="L77"/>
      <c r="O77" s="80" t="s">
        <v>1217</v>
      </c>
      <c r="P77" s="80" t="s">
        <v>3220</v>
      </c>
      <c r="Q77" s="80" t="s">
        <v>599</v>
      </c>
      <c r="R77" s="80">
        <v>0</v>
      </c>
      <c r="S77" s="80" t="s">
        <v>1178</v>
      </c>
      <c r="T77" s="100">
        <v>2</v>
      </c>
      <c r="U77" s="100">
        <v>0</v>
      </c>
      <c r="V77" s="100">
        <v>0</v>
      </c>
      <c r="W77" s="100">
        <v>0</v>
      </c>
      <c r="X77"/>
      <c r="Y77"/>
      <c r="Z77"/>
      <c r="AA77"/>
      <c r="AB77"/>
      <c r="AC77"/>
      <c r="AD77"/>
      <c r="AE77"/>
      <c r="AF77"/>
      <c r="AG77"/>
      <c r="AH77"/>
      <c r="AI77"/>
      <c r="AJ77"/>
      <c r="AK77"/>
      <c r="AL77"/>
      <c r="AM77"/>
      <c r="AN77"/>
      <c r="AO77"/>
      <c r="AP77"/>
      <c r="AQ77"/>
      <c r="AR77"/>
      <c r="AS77"/>
      <c r="AT77"/>
      <c r="AU77"/>
      <c r="AV77"/>
      <c r="AW77"/>
      <c r="AX77"/>
      <c r="AY77"/>
      <c r="AZ77"/>
    </row>
    <row r="78" ht="15.6" spans="2:52">
      <c r="B78" s="80" t="s">
        <v>4474</v>
      </c>
      <c r="G78" s="99">
        <v>0</v>
      </c>
      <c r="H78" s="99">
        <v>0</v>
      </c>
      <c r="I78" s="99">
        <v>0</v>
      </c>
      <c r="J78"/>
      <c r="K78"/>
      <c r="L78"/>
      <c r="M78" s="80" t="s">
        <v>125</v>
      </c>
      <c r="N78" s="80" t="s">
        <v>126</v>
      </c>
      <c r="O78" s="80" t="s">
        <v>1221</v>
      </c>
      <c r="P78" s="80" t="s">
        <v>126</v>
      </c>
      <c r="Q78" s="80" t="s">
        <v>595</v>
      </c>
      <c r="R78" s="80">
        <v>0</v>
      </c>
      <c r="S78" s="80" t="s">
        <v>1178</v>
      </c>
      <c r="T78" s="100">
        <v>0</v>
      </c>
      <c r="U78" s="100">
        <v>0</v>
      </c>
      <c r="V78" s="100">
        <v>0</v>
      </c>
      <c r="W78" s="100">
        <v>0</v>
      </c>
      <c r="X78"/>
      <c r="Y78"/>
      <c r="Z78"/>
      <c r="AA78"/>
      <c r="AB78"/>
      <c r="AC78"/>
      <c r="AD78"/>
      <c r="AE78"/>
      <c r="AF78"/>
      <c r="AG78"/>
      <c r="AH78"/>
      <c r="AI78"/>
      <c r="AJ78"/>
      <c r="AK78"/>
      <c r="AL78"/>
      <c r="AM78"/>
      <c r="AN78"/>
      <c r="AO78"/>
      <c r="AP78"/>
      <c r="AQ78"/>
      <c r="AR78"/>
      <c r="AS78"/>
      <c r="AT78"/>
      <c r="AU78"/>
      <c r="AV78"/>
      <c r="AW78"/>
      <c r="AX78"/>
      <c r="AY78"/>
      <c r="AZ78"/>
    </row>
    <row r="79" ht="15.6" spans="2:52">
      <c r="B79" s="80" t="s">
        <v>127</v>
      </c>
      <c r="C79" s="80" t="s">
        <v>128</v>
      </c>
      <c r="D79" s="80">
        <v>0</v>
      </c>
      <c r="E79" s="80" t="s">
        <v>1178</v>
      </c>
      <c r="F79" s="80" t="s">
        <v>595</v>
      </c>
      <c r="G79" s="99">
        <v>0</v>
      </c>
      <c r="H79" s="99">
        <v>0</v>
      </c>
      <c r="I79" s="99">
        <v>0</v>
      </c>
      <c r="J79"/>
      <c r="K79"/>
      <c r="L79"/>
      <c r="O79" s="80" t="s">
        <v>1222</v>
      </c>
      <c r="P79" s="80" t="s">
        <v>3223</v>
      </c>
      <c r="Q79" s="80" t="s">
        <v>599</v>
      </c>
      <c r="R79" s="80">
        <v>0</v>
      </c>
      <c r="S79" s="80" t="s">
        <v>1178</v>
      </c>
      <c r="T79" s="100">
        <v>0</v>
      </c>
      <c r="U79" s="100">
        <v>0</v>
      </c>
      <c r="V79" s="100">
        <v>0</v>
      </c>
      <c r="W79" s="100">
        <v>0</v>
      </c>
      <c r="X79"/>
      <c r="Y79"/>
      <c r="Z79"/>
      <c r="AA79"/>
      <c r="AB79"/>
      <c r="AC79"/>
      <c r="AD79"/>
      <c r="AE79"/>
      <c r="AF79"/>
      <c r="AG79"/>
      <c r="AH79"/>
      <c r="AI79"/>
      <c r="AJ79"/>
      <c r="AK79"/>
      <c r="AL79"/>
      <c r="AM79"/>
      <c r="AN79"/>
      <c r="AO79"/>
      <c r="AP79"/>
      <c r="AQ79"/>
      <c r="AR79"/>
      <c r="AS79"/>
      <c r="AT79"/>
      <c r="AU79"/>
      <c r="AV79"/>
      <c r="AW79"/>
      <c r="AX79"/>
      <c r="AY79"/>
      <c r="AZ79"/>
    </row>
    <row r="80" ht="15.6" spans="2:52">
      <c r="F80" s="80" t="s">
        <v>599</v>
      </c>
      <c r="G80" s="99">
        <v>0</v>
      </c>
      <c r="H80" s="99">
        <v>0</v>
      </c>
      <c r="I80" s="99">
        <v>0</v>
      </c>
      <c r="J80"/>
      <c r="K80"/>
      <c r="L80"/>
      <c r="M80" s="80" t="s">
        <v>127</v>
      </c>
      <c r="N80" s="80" t="s">
        <v>128</v>
      </c>
      <c r="O80" s="80" t="s">
        <v>1223</v>
      </c>
      <c r="P80" s="80" t="s">
        <v>128</v>
      </c>
      <c r="Q80" s="80" t="s">
        <v>595</v>
      </c>
      <c r="R80" s="80">
        <v>0</v>
      </c>
      <c r="S80" s="80" t="s">
        <v>1178</v>
      </c>
      <c r="T80" s="100">
        <v>1</v>
      </c>
      <c r="U80" s="100">
        <v>0</v>
      </c>
      <c r="V80" s="100">
        <v>0</v>
      </c>
      <c r="W80" s="100">
        <v>0</v>
      </c>
      <c r="X80"/>
      <c r="Y80"/>
      <c r="Z80"/>
      <c r="AA80"/>
      <c r="AB80"/>
      <c r="AC80"/>
      <c r="AD80"/>
      <c r="AE80"/>
      <c r="AF80"/>
      <c r="AG80"/>
      <c r="AH80"/>
      <c r="AI80"/>
      <c r="AJ80"/>
      <c r="AK80"/>
      <c r="AL80"/>
      <c r="AM80"/>
      <c r="AN80"/>
      <c r="AO80"/>
      <c r="AP80"/>
      <c r="AQ80"/>
      <c r="AR80"/>
      <c r="AS80"/>
      <c r="AT80"/>
      <c r="AU80"/>
      <c r="AV80"/>
      <c r="AW80"/>
      <c r="AX80"/>
      <c r="AY80"/>
      <c r="AZ80"/>
    </row>
    <row r="81" ht="15.6" spans="2:52">
      <c r="B81" s="80" t="s">
        <v>4475</v>
      </c>
      <c r="G81" s="99">
        <v>0</v>
      </c>
      <c r="H81" s="99">
        <v>0</v>
      </c>
      <c r="I81" s="99">
        <v>0</v>
      </c>
      <c r="J81"/>
      <c r="K81"/>
      <c r="L81"/>
      <c r="Q81" s="80" t="s">
        <v>599</v>
      </c>
      <c r="R81" s="80">
        <v>0</v>
      </c>
      <c r="S81" s="80" t="s">
        <v>1178</v>
      </c>
      <c r="T81" s="100">
        <v>2</v>
      </c>
      <c r="U81" s="100">
        <v>0</v>
      </c>
      <c r="V81" s="100">
        <v>0</v>
      </c>
      <c r="W81" s="100">
        <v>0</v>
      </c>
      <c r="X81"/>
      <c r="Y81"/>
      <c r="Z81"/>
      <c r="AA81"/>
      <c r="AB81"/>
      <c r="AC81"/>
      <c r="AD81"/>
      <c r="AE81"/>
      <c r="AF81"/>
      <c r="AG81"/>
      <c r="AH81"/>
      <c r="AI81"/>
      <c r="AJ81"/>
      <c r="AK81"/>
      <c r="AL81"/>
      <c r="AM81"/>
      <c r="AN81"/>
      <c r="AO81"/>
      <c r="AP81"/>
      <c r="AQ81"/>
      <c r="AR81"/>
      <c r="AS81"/>
      <c r="AT81"/>
      <c r="AU81"/>
      <c r="AV81"/>
      <c r="AW81"/>
      <c r="AX81"/>
      <c r="AY81"/>
      <c r="AZ81"/>
    </row>
    <row r="82" ht="15.6" spans="2:52">
      <c r="B82" s="80" t="s">
        <v>129</v>
      </c>
      <c r="C82" s="80" t="s">
        <v>130</v>
      </c>
      <c r="D82" s="80">
        <v>0</v>
      </c>
      <c r="E82" s="80" t="s">
        <v>1178</v>
      </c>
      <c r="F82" s="80" t="s">
        <v>595</v>
      </c>
      <c r="G82" s="99">
        <v>0</v>
      </c>
      <c r="H82" s="99">
        <v>0</v>
      </c>
      <c r="I82" s="99">
        <v>0</v>
      </c>
      <c r="J82"/>
      <c r="K82"/>
      <c r="L82"/>
      <c r="M82" s="80" t="s">
        <v>129</v>
      </c>
      <c r="N82" s="80" t="s">
        <v>130</v>
      </c>
      <c r="O82" s="80" t="s">
        <v>1224</v>
      </c>
      <c r="P82" s="80" t="s">
        <v>3226</v>
      </c>
      <c r="Q82" s="80" t="s">
        <v>595</v>
      </c>
      <c r="R82" s="80">
        <v>0</v>
      </c>
      <c r="S82" s="80" t="s">
        <v>1178</v>
      </c>
      <c r="T82" s="100">
        <v>2</v>
      </c>
      <c r="U82" s="100">
        <v>0</v>
      </c>
      <c r="V82" s="100">
        <v>0</v>
      </c>
      <c r="W82" s="100">
        <v>0</v>
      </c>
      <c r="X82"/>
      <c r="Y82"/>
      <c r="Z82"/>
      <c r="AA82"/>
      <c r="AB82"/>
      <c r="AC82"/>
      <c r="AD82"/>
      <c r="AE82"/>
      <c r="AF82"/>
      <c r="AG82"/>
      <c r="AH82"/>
      <c r="AI82"/>
      <c r="AJ82"/>
      <c r="AK82"/>
      <c r="AL82"/>
      <c r="AM82"/>
      <c r="AN82"/>
      <c r="AO82"/>
      <c r="AP82"/>
      <c r="AQ82"/>
      <c r="AR82"/>
      <c r="AS82"/>
      <c r="AT82"/>
      <c r="AU82"/>
      <c r="AV82"/>
      <c r="AW82"/>
      <c r="AX82"/>
      <c r="AY82"/>
      <c r="AZ82"/>
    </row>
    <row r="83" ht="15.6" spans="2:52">
      <c r="F83" s="80" t="s">
        <v>597</v>
      </c>
      <c r="G83" s="99">
        <v>0</v>
      </c>
      <c r="H83" s="99">
        <v>0</v>
      </c>
      <c r="I83" s="99">
        <v>0</v>
      </c>
      <c r="J83"/>
      <c r="K83"/>
      <c r="L83"/>
      <c r="O83" s="80" t="s">
        <v>1225</v>
      </c>
      <c r="P83" s="80" t="s">
        <v>3228</v>
      </c>
      <c r="Q83" s="80" t="s">
        <v>597</v>
      </c>
      <c r="R83" s="80">
        <v>0</v>
      </c>
      <c r="S83" s="80" t="s">
        <v>1178</v>
      </c>
      <c r="T83" s="100">
        <v>4</v>
      </c>
      <c r="U83" s="100">
        <v>0</v>
      </c>
      <c r="V83" s="100">
        <v>0</v>
      </c>
      <c r="W83" s="100">
        <v>0</v>
      </c>
      <c r="X83"/>
      <c r="Y83"/>
      <c r="Z83"/>
      <c r="AA83"/>
      <c r="AB83"/>
      <c r="AC83"/>
      <c r="AD83"/>
      <c r="AE83"/>
      <c r="AF83"/>
      <c r="AG83"/>
      <c r="AH83"/>
      <c r="AI83"/>
      <c r="AJ83"/>
      <c r="AK83"/>
      <c r="AL83"/>
      <c r="AM83"/>
      <c r="AN83"/>
      <c r="AO83"/>
      <c r="AP83"/>
      <c r="AQ83"/>
      <c r="AR83"/>
      <c r="AS83"/>
      <c r="AT83"/>
      <c r="AU83"/>
      <c r="AV83"/>
      <c r="AW83"/>
      <c r="AX83"/>
      <c r="AY83"/>
      <c r="AZ83"/>
    </row>
    <row r="84" ht="15.6" spans="2:52">
      <c r="B84" s="80" t="s">
        <v>4476</v>
      </c>
      <c r="G84" s="99">
        <v>0</v>
      </c>
      <c r="H84" s="99">
        <v>0</v>
      </c>
      <c r="I84" s="99">
        <v>0</v>
      </c>
      <c r="J84"/>
      <c r="K84"/>
      <c r="L84"/>
      <c r="M84" s="80" t="s">
        <v>131</v>
      </c>
      <c r="N84" s="80" t="s">
        <v>132</v>
      </c>
      <c r="O84" s="80" t="s">
        <v>1226</v>
      </c>
      <c r="P84" s="80" t="s">
        <v>132</v>
      </c>
      <c r="Q84" s="80" t="s">
        <v>599</v>
      </c>
      <c r="R84" s="80">
        <v>0</v>
      </c>
      <c r="S84" s="80" t="s">
        <v>1178</v>
      </c>
      <c r="T84" s="100">
        <v>16</v>
      </c>
      <c r="U84" s="100">
        <v>0</v>
      </c>
      <c r="V84" s="100">
        <v>0</v>
      </c>
      <c r="W84" s="100">
        <v>0</v>
      </c>
      <c r="X84"/>
      <c r="Y84"/>
      <c r="Z84"/>
      <c r="AA84"/>
      <c r="AB84"/>
      <c r="AC84"/>
      <c r="AD84"/>
      <c r="AE84"/>
      <c r="AF84"/>
      <c r="AG84"/>
      <c r="AH84"/>
      <c r="AI84"/>
      <c r="AJ84"/>
      <c r="AK84"/>
      <c r="AL84"/>
      <c r="AM84"/>
      <c r="AN84"/>
      <c r="AO84"/>
      <c r="AP84"/>
      <c r="AQ84"/>
      <c r="AR84"/>
      <c r="AS84"/>
      <c r="AT84"/>
      <c r="AU84"/>
      <c r="AV84"/>
      <c r="AW84"/>
      <c r="AX84"/>
      <c r="AY84"/>
      <c r="AZ84"/>
    </row>
    <row r="85" ht="15.6" spans="2:52">
      <c r="B85" s="80" t="s">
        <v>131</v>
      </c>
      <c r="C85" s="80" t="s">
        <v>132</v>
      </c>
      <c r="D85" s="80">
        <v>0</v>
      </c>
      <c r="E85" s="80" t="s">
        <v>1178</v>
      </c>
      <c r="F85" s="80" t="s">
        <v>599</v>
      </c>
      <c r="G85" s="99">
        <v>0</v>
      </c>
      <c r="H85" s="99">
        <v>0</v>
      </c>
      <c r="I85" s="99">
        <v>0</v>
      </c>
      <c r="J85"/>
      <c r="K85"/>
      <c r="L85"/>
      <c r="M85" s="80" t="s">
        <v>133</v>
      </c>
      <c r="N85" s="80" t="s">
        <v>134</v>
      </c>
      <c r="O85" s="80" t="s">
        <v>1227</v>
      </c>
      <c r="P85" s="80" t="s">
        <v>134</v>
      </c>
      <c r="Q85" s="80" t="s">
        <v>595</v>
      </c>
      <c r="R85" s="80">
        <v>0</v>
      </c>
      <c r="S85" s="80" t="s">
        <v>1178</v>
      </c>
      <c r="T85" s="100">
        <v>6</v>
      </c>
      <c r="U85" s="100">
        <v>0</v>
      </c>
      <c r="V85" s="100">
        <v>0</v>
      </c>
      <c r="W85" s="100">
        <v>0</v>
      </c>
      <c r="X85"/>
      <c r="Y85"/>
      <c r="Z85"/>
      <c r="AA85"/>
      <c r="AB85"/>
      <c r="AC85"/>
      <c r="AD85"/>
      <c r="AE85"/>
      <c r="AF85"/>
      <c r="AG85"/>
      <c r="AH85"/>
      <c r="AI85"/>
      <c r="AJ85"/>
      <c r="AK85"/>
      <c r="AL85"/>
      <c r="AM85"/>
      <c r="AN85"/>
      <c r="AO85"/>
      <c r="AP85"/>
      <c r="AQ85"/>
      <c r="AR85"/>
      <c r="AS85"/>
      <c r="AT85"/>
      <c r="AU85"/>
      <c r="AV85"/>
      <c r="AW85"/>
      <c r="AX85"/>
      <c r="AY85"/>
      <c r="AZ85"/>
    </row>
    <row r="86" ht="15.6" spans="2:52">
      <c r="B86" s="80" t="s">
        <v>4477</v>
      </c>
      <c r="G86" s="99">
        <v>0</v>
      </c>
      <c r="H86" s="99">
        <v>0</v>
      </c>
      <c r="I86" s="99">
        <v>0</v>
      </c>
      <c r="J86"/>
      <c r="K86"/>
      <c r="L86"/>
      <c r="M86" s="80" t="s">
        <v>136</v>
      </c>
      <c r="N86" s="80" t="s">
        <v>137</v>
      </c>
      <c r="O86" s="80" t="s">
        <v>1229</v>
      </c>
      <c r="P86" s="80" t="s">
        <v>137</v>
      </c>
      <c r="Q86" s="80" t="s">
        <v>617</v>
      </c>
      <c r="R86" s="80">
        <v>0</v>
      </c>
      <c r="S86" s="80" t="s">
        <v>1178</v>
      </c>
      <c r="T86" s="100">
        <v>8</v>
      </c>
      <c r="U86" s="100">
        <v>0</v>
      </c>
      <c r="V86" s="100">
        <v>0</v>
      </c>
      <c r="W86" s="100">
        <v>0</v>
      </c>
      <c r="X86"/>
      <c r="Y86"/>
      <c r="Z86"/>
      <c r="AA86"/>
      <c r="AB86"/>
      <c r="AC86"/>
      <c r="AD86"/>
      <c r="AE86"/>
      <c r="AF86"/>
      <c r="AG86"/>
      <c r="AH86"/>
      <c r="AI86"/>
      <c r="AJ86"/>
      <c r="AK86"/>
      <c r="AL86"/>
      <c r="AM86"/>
      <c r="AN86"/>
      <c r="AO86"/>
      <c r="AP86"/>
      <c r="AQ86"/>
      <c r="AR86"/>
      <c r="AS86"/>
      <c r="AT86"/>
      <c r="AU86"/>
      <c r="AV86"/>
      <c r="AW86"/>
      <c r="AX86"/>
      <c r="AY86"/>
      <c r="AZ86"/>
    </row>
    <row r="87" ht="15.6" spans="2:52">
      <c r="B87" s="80" t="s">
        <v>133</v>
      </c>
      <c r="C87" s="80" t="s">
        <v>134</v>
      </c>
      <c r="D87" s="80">
        <v>0</v>
      </c>
      <c r="E87" s="80" t="s">
        <v>1178</v>
      </c>
      <c r="F87" s="80" t="s">
        <v>595</v>
      </c>
      <c r="G87" s="99">
        <v>0</v>
      </c>
      <c r="H87" s="99">
        <v>0</v>
      </c>
      <c r="I87" s="99">
        <v>0</v>
      </c>
      <c r="J87"/>
      <c r="K87"/>
      <c r="L87"/>
      <c r="O87" s="80" t="s">
        <v>1230</v>
      </c>
      <c r="P87" s="80" t="s">
        <v>3232</v>
      </c>
      <c r="Q87" s="80" t="s">
        <v>615</v>
      </c>
      <c r="R87" s="80">
        <v>0</v>
      </c>
      <c r="S87" s="80" t="s">
        <v>1178</v>
      </c>
      <c r="T87" s="100">
        <v>0</v>
      </c>
      <c r="U87" s="100">
        <v>0</v>
      </c>
      <c r="V87" s="100">
        <v>0</v>
      </c>
      <c r="W87" s="100">
        <v>0</v>
      </c>
      <c r="X87"/>
      <c r="Y87"/>
      <c r="Z87"/>
      <c r="AA87"/>
      <c r="AB87"/>
      <c r="AC87"/>
      <c r="AD87"/>
      <c r="AE87"/>
      <c r="AF87"/>
      <c r="AG87"/>
      <c r="AH87"/>
      <c r="AI87"/>
      <c r="AJ87"/>
      <c r="AK87"/>
      <c r="AL87"/>
      <c r="AM87"/>
      <c r="AN87"/>
      <c r="AO87"/>
      <c r="AP87"/>
      <c r="AQ87"/>
      <c r="AR87"/>
      <c r="AS87"/>
      <c r="AT87"/>
      <c r="AU87"/>
      <c r="AV87"/>
      <c r="AW87"/>
      <c r="AX87"/>
      <c r="AY87"/>
      <c r="AZ87"/>
    </row>
    <row r="88" ht="15.6" spans="2:52">
      <c r="B88" s="80" t="s">
        <v>4478</v>
      </c>
      <c r="G88" s="99">
        <v>0</v>
      </c>
      <c r="H88" s="99">
        <v>0</v>
      </c>
      <c r="I88" s="99">
        <v>0</v>
      </c>
      <c r="J88"/>
      <c r="K88"/>
      <c r="L88"/>
      <c r="M88" s="80" t="s">
        <v>138</v>
      </c>
      <c r="N88" s="80" t="s">
        <v>139</v>
      </c>
      <c r="O88" s="80" t="s">
        <v>3234</v>
      </c>
      <c r="P88" s="80" t="s">
        <v>3235</v>
      </c>
      <c r="Q88" s="80" t="s">
        <v>599</v>
      </c>
      <c r="R88" s="80">
        <v>0</v>
      </c>
      <c r="S88" s="80" t="s">
        <v>1178</v>
      </c>
      <c r="T88" s="100">
        <v>16</v>
      </c>
      <c r="U88" s="100">
        <v>0</v>
      </c>
      <c r="V88" s="100">
        <v>0</v>
      </c>
      <c r="W88" s="100">
        <v>0</v>
      </c>
      <c r="X88"/>
      <c r="Y88"/>
      <c r="Z88"/>
      <c r="AA88"/>
      <c r="AB88"/>
      <c r="AC88"/>
      <c r="AD88"/>
      <c r="AE88"/>
      <c r="AF88"/>
      <c r="AG88"/>
      <c r="AH88"/>
      <c r="AI88"/>
      <c r="AJ88"/>
      <c r="AK88"/>
      <c r="AL88"/>
      <c r="AM88"/>
      <c r="AN88"/>
      <c r="AO88"/>
      <c r="AP88"/>
      <c r="AQ88"/>
      <c r="AR88"/>
      <c r="AS88"/>
      <c r="AT88"/>
      <c r="AU88"/>
      <c r="AV88"/>
      <c r="AW88"/>
      <c r="AX88"/>
      <c r="AY88"/>
      <c r="AZ88"/>
    </row>
    <row r="89" ht="15.6" spans="2:52">
      <c r="B89" s="80" t="s">
        <v>136</v>
      </c>
      <c r="C89" s="80" t="s">
        <v>137</v>
      </c>
      <c r="D89" s="80">
        <v>0</v>
      </c>
      <c r="E89" s="80" t="s">
        <v>1178</v>
      </c>
      <c r="F89" s="80" t="s">
        <v>615</v>
      </c>
      <c r="G89" s="99">
        <v>0</v>
      </c>
      <c r="H89" s="99">
        <v>0</v>
      </c>
      <c r="I89" s="99">
        <v>0</v>
      </c>
      <c r="J89"/>
      <c r="K89"/>
      <c r="L89"/>
      <c r="O89" s="80" t="s">
        <v>3238</v>
      </c>
      <c r="P89" s="80" t="s">
        <v>3239</v>
      </c>
      <c r="Q89" s="80" t="s">
        <v>595</v>
      </c>
      <c r="R89" s="80">
        <v>0</v>
      </c>
      <c r="S89" s="80" t="s">
        <v>1178</v>
      </c>
      <c r="T89" s="100">
        <v>4</v>
      </c>
      <c r="U89" s="100">
        <v>0</v>
      </c>
      <c r="V89" s="100">
        <v>0</v>
      </c>
      <c r="W89" s="100">
        <v>0</v>
      </c>
      <c r="X89"/>
      <c r="Y89"/>
      <c r="Z89"/>
      <c r="AA89"/>
      <c r="AB89"/>
      <c r="AC89"/>
      <c r="AD89"/>
      <c r="AE89"/>
      <c r="AF89"/>
      <c r="AG89"/>
      <c r="AH89"/>
      <c r="AI89"/>
      <c r="AJ89"/>
      <c r="AK89"/>
      <c r="AL89"/>
      <c r="AM89"/>
      <c r="AN89"/>
      <c r="AO89"/>
      <c r="AP89"/>
      <c r="AQ89"/>
      <c r="AR89"/>
      <c r="AS89"/>
      <c r="AT89"/>
      <c r="AU89"/>
      <c r="AV89"/>
      <c r="AW89"/>
      <c r="AX89"/>
      <c r="AY89"/>
      <c r="AZ89"/>
    </row>
    <row r="90" ht="15.6" spans="2:52">
      <c r="F90" s="80" t="s">
        <v>617</v>
      </c>
      <c r="G90" s="99">
        <v>0</v>
      </c>
      <c r="H90" s="99">
        <v>0</v>
      </c>
      <c r="I90" s="99">
        <v>0</v>
      </c>
      <c r="J90"/>
      <c r="K90"/>
      <c r="L90"/>
      <c r="O90" s="80" t="s">
        <v>3241</v>
      </c>
      <c r="P90" s="80" t="s">
        <v>3242</v>
      </c>
      <c r="Q90" s="80" t="s">
        <v>597</v>
      </c>
      <c r="R90" s="80">
        <v>0</v>
      </c>
      <c r="S90" s="80" t="s">
        <v>1178</v>
      </c>
      <c r="T90" s="100">
        <v>2</v>
      </c>
      <c r="U90" s="100">
        <v>0</v>
      </c>
      <c r="V90" s="100">
        <v>0</v>
      </c>
      <c r="W90" s="100">
        <v>0</v>
      </c>
      <c r="X90"/>
      <c r="Y90"/>
      <c r="Z90"/>
      <c r="AA90"/>
      <c r="AB90"/>
      <c r="AC90"/>
      <c r="AD90"/>
      <c r="AE90"/>
      <c r="AF90"/>
      <c r="AG90"/>
      <c r="AH90"/>
      <c r="AI90"/>
      <c r="AJ90"/>
      <c r="AK90"/>
      <c r="AL90"/>
      <c r="AM90"/>
      <c r="AN90"/>
      <c r="AO90"/>
      <c r="AP90"/>
      <c r="AQ90"/>
      <c r="AR90"/>
      <c r="AS90"/>
      <c r="AT90"/>
      <c r="AU90"/>
      <c r="AV90"/>
      <c r="AW90"/>
      <c r="AX90"/>
      <c r="AY90"/>
      <c r="AZ90"/>
    </row>
    <row r="91" ht="15.6" spans="2:52">
      <c r="B91" s="80" t="s">
        <v>4479</v>
      </c>
      <c r="G91" s="99">
        <v>0</v>
      </c>
      <c r="H91" s="99">
        <v>0</v>
      </c>
      <c r="I91" s="99">
        <v>0</v>
      </c>
      <c r="J91"/>
      <c r="K91"/>
      <c r="L91"/>
      <c r="M91" s="80" t="s">
        <v>141</v>
      </c>
      <c r="N91" s="80" t="s">
        <v>142</v>
      </c>
      <c r="O91" s="80" t="s">
        <v>3244</v>
      </c>
      <c r="P91" s="80" t="s">
        <v>3245</v>
      </c>
      <c r="Q91" s="80" t="s">
        <v>599</v>
      </c>
      <c r="R91" s="80">
        <v>0</v>
      </c>
      <c r="S91" s="80" t="s">
        <v>1178</v>
      </c>
      <c r="T91" s="100">
        <v>16</v>
      </c>
      <c r="U91" s="100">
        <v>0</v>
      </c>
      <c r="V91" s="100">
        <v>0</v>
      </c>
      <c r="W91" s="100">
        <v>0</v>
      </c>
      <c r="X91"/>
      <c r="Y91"/>
      <c r="Z91"/>
      <c r="AA91"/>
      <c r="AB91"/>
      <c r="AC91"/>
      <c r="AD91"/>
      <c r="AE91"/>
      <c r="AF91"/>
      <c r="AG91"/>
      <c r="AH91"/>
      <c r="AI91"/>
      <c r="AJ91"/>
      <c r="AK91"/>
      <c r="AL91"/>
      <c r="AM91"/>
      <c r="AN91"/>
      <c r="AO91"/>
      <c r="AP91"/>
      <c r="AQ91"/>
      <c r="AR91"/>
      <c r="AS91"/>
      <c r="AT91"/>
      <c r="AU91"/>
      <c r="AV91"/>
      <c r="AW91"/>
      <c r="AX91"/>
      <c r="AY91"/>
      <c r="AZ91"/>
    </row>
    <row r="92" ht="15.6" spans="2:52">
      <c r="B92" s="80" t="s">
        <v>138</v>
      </c>
      <c r="C92" s="80" t="s">
        <v>139</v>
      </c>
      <c r="D92" s="80">
        <v>0</v>
      </c>
      <c r="E92" s="80" t="s">
        <v>1178</v>
      </c>
      <c r="F92" s="80" t="s">
        <v>595</v>
      </c>
      <c r="G92" s="99">
        <v>0</v>
      </c>
      <c r="H92" s="99">
        <v>0</v>
      </c>
      <c r="I92" s="99">
        <v>0</v>
      </c>
      <c r="J92"/>
      <c r="K92"/>
      <c r="L92"/>
      <c r="O92" s="80" t="s">
        <v>3247</v>
      </c>
      <c r="P92" s="80" t="s">
        <v>3248</v>
      </c>
      <c r="Q92" s="80" t="s">
        <v>595</v>
      </c>
      <c r="R92" s="80">
        <v>0</v>
      </c>
      <c r="S92" s="80" t="s">
        <v>1178</v>
      </c>
      <c r="T92" s="100">
        <v>4</v>
      </c>
      <c r="U92" s="100">
        <v>0</v>
      </c>
      <c r="V92" s="100">
        <v>0</v>
      </c>
      <c r="W92" s="100">
        <v>0</v>
      </c>
      <c r="X92"/>
      <c r="Y92"/>
      <c r="Z92"/>
      <c r="AA92"/>
      <c r="AB92"/>
      <c r="AC92"/>
      <c r="AD92"/>
      <c r="AE92"/>
      <c r="AF92"/>
      <c r="AG92"/>
      <c r="AH92"/>
      <c r="AI92"/>
      <c r="AJ92"/>
      <c r="AK92"/>
      <c r="AL92"/>
      <c r="AM92"/>
      <c r="AN92"/>
      <c r="AO92"/>
      <c r="AP92"/>
      <c r="AQ92"/>
      <c r="AR92"/>
      <c r="AS92"/>
      <c r="AT92"/>
      <c r="AU92"/>
      <c r="AV92"/>
      <c r="AW92"/>
      <c r="AX92"/>
      <c r="AY92"/>
      <c r="AZ92"/>
    </row>
    <row r="93" ht="15.6" spans="2:52">
      <c r="F93" s="80" t="s">
        <v>597</v>
      </c>
      <c r="G93" s="99">
        <v>0</v>
      </c>
      <c r="H93" s="99">
        <v>0</v>
      </c>
      <c r="I93" s="99">
        <v>0</v>
      </c>
      <c r="J93"/>
      <c r="K93"/>
      <c r="L93"/>
      <c r="M93" s="80" t="s">
        <v>143</v>
      </c>
      <c r="N93" s="80" t="s">
        <v>144</v>
      </c>
      <c r="O93" s="80" t="s">
        <v>3250</v>
      </c>
      <c r="P93" s="80" t="s">
        <v>3251</v>
      </c>
      <c r="Q93" s="80" t="s">
        <v>599</v>
      </c>
      <c r="R93" s="80">
        <v>0</v>
      </c>
      <c r="S93" s="80" t="s">
        <v>1178</v>
      </c>
      <c r="T93" s="100">
        <v>8</v>
      </c>
      <c r="U93" s="100">
        <v>0</v>
      </c>
      <c r="V93" s="100">
        <v>0</v>
      </c>
      <c r="W93" s="100">
        <v>0</v>
      </c>
      <c r="X93"/>
      <c r="Y93"/>
      <c r="Z93"/>
      <c r="AA93"/>
      <c r="AB93"/>
      <c r="AC93"/>
      <c r="AD93"/>
      <c r="AE93"/>
      <c r="AF93"/>
      <c r="AG93"/>
      <c r="AH93"/>
      <c r="AI93"/>
      <c r="AJ93"/>
      <c r="AK93"/>
      <c r="AL93"/>
      <c r="AM93"/>
      <c r="AN93"/>
      <c r="AO93"/>
      <c r="AP93"/>
      <c r="AQ93"/>
      <c r="AR93"/>
      <c r="AS93"/>
      <c r="AT93"/>
      <c r="AU93"/>
      <c r="AV93"/>
      <c r="AW93"/>
      <c r="AX93"/>
      <c r="AY93"/>
      <c r="AZ93"/>
    </row>
    <row r="94" ht="15.6" spans="2:52">
      <c r="F94" s="80" t="s">
        <v>599</v>
      </c>
      <c r="G94" s="99">
        <v>0</v>
      </c>
      <c r="H94" s="99">
        <v>0</v>
      </c>
      <c r="I94" s="99">
        <v>0</v>
      </c>
      <c r="J94"/>
      <c r="K94"/>
      <c r="L94"/>
      <c r="O94" s="80" t="s">
        <v>3253</v>
      </c>
      <c r="P94" s="80" t="s">
        <v>3254</v>
      </c>
      <c r="Q94" s="80" t="s">
        <v>595</v>
      </c>
      <c r="R94" s="80">
        <v>0</v>
      </c>
      <c r="S94" s="80" t="s">
        <v>1178</v>
      </c>
      <c r="T94" s="100">
        <v>4</v>
      </c>
      <c r="U94" s="100">
        <v>0</v>
      </c>
      <c r="V94" s="100">
        <v>0</v>
      </c>
      <c r="W94" s="100">
        <v>0</v>
      </c>
      <c r="X94"/>
      <c r="Y94"/>
      <c r="Z94"/>
      <c r="AA94"/>
      <c r="AB94"/>
      <c r="AC94"/>
      <c r="AD94"/>
      <c r="AE94"/>
      <c r="AF94"/>
      <c r="AG94"/>
      <c r="AH94"/>
      <c r="AI94"/>
      <c r="AJ94"/>
      <c r="AK94"/>
      <c r="AL94"/>
      <c r="AM94"/>
      <c r="AN94"/>
      <c r="AO94"/>
      <c r="AP94"/>
      <c r="AQ94"/>
      <c r="AR94"/>
      <c r="AS94"/>
      <c r="AT94"/>
      <c r="AU94"/>
      <c r="AV94"/>
      <c r="AW94"/>
      <c r="AX94"/>
      <c r="AY94"/>
      <c r="AZ94"/>
    </row>
    <row r="95" ht="15.6" spans="2:52">
      <c r="B95" s="80" t="s">
        <v>4480</v>
      </c>
      <c r="G95" s="99">
        <v>0</v>
      </c>
      <c r="H95" s="99">
        <v>0</v>
      </c>
      <c r="I95" s="99">
        <v>0</v>
      </c>
      <c r="J95"/>
      <c r="K95"/>
      <c r="L95"/>
      <c r="M95" s="80" t="s">
        <v>146</v>
      </c>
      <c r="N95" s="80" t="s">
        <v>147</v>
      </c>
      <c r="O95" s="80" t="s">
        <v>3256</v>
      </c>
      <c r="P95" s="80" t="s">
        <v>3257</v>
      </c>
      <c r="Q95" s="80" t="s">
        <v>599</v>
      </c>
      <c r="R95" s="80">
        <v>0</v>
      </c>
      <c r="S95" s="80" t="s">
        <v>1178</v>
      </c>
      <c r="T95" s="100">
        <v>8</v>
      </c>
      <c r="U95" s="100">
        <v>0</v>
      </c>
      <c r="V95" s="100">
        <v>0</v>
      </c>
      <c r="W95" s="100">
        <v>0</v>
      </c>
      <c r="X95"/>
      <c r="Y95"/>
      <c r="Z95"/>
      <c r="AA95"/>
      <c r="AB95"/>
      <c r="AC95"/>
      <c r="AD95"/>
      <c r="AE95"/>
      <c r="AF95"/>
      <c r="AG95"/>
      <c r="AH95"/>
      <c r="AI95"/>
      <c r="AJ95"/>
      <c r="AK95"/>
      <c r="AL95"/>
      <c r="AM95"/>
      <c r="AN95"/>
      <c r="AO95"/>
      <c r="AP95"/>
      <c r="AQ95"/>
      <c r="AR95"/>
      <c r="AS95"/>
      <c r="AT95"/>
      <c r="AU95"/>
      <c r="AV95"/>
      <c r="AW95"/>
      <c r="AX95"/>
      <c r="AY95"/>
      <c r="AZ95"/>
    </row>
    <row r="96" ht="15.6" spans="2:52">
      <c r="B96" s="80" t="s">
        <v>141</v>
      </c>
      <c r="C96" s="80" t="s">
        <v>142</v>
      </c>
      <c r="D96" s="80">
        <v>0</v>
      </c>
      <c r="E96" s="80" t="s">
        <v>1178</v>
      </c>
      <c r="F96" s="80" t="s">
        <v>595</v>
      </c>
      <c r="G96" s="99">
        <v>0</v>
      </c>
      <c r="H96" s="99">
        <v>0</v>
      </c>
      <c r="I96" s="99">
        <v>0</v>
      </c>
      <c r="J96"/>
      <c r="K96"/>
      <c r="L96"/>
      <c r="O96" s="80" t="s">
        <v>3259</v>
      </c>
      <c r="P96" s="80" t="s">
        <v>3260</v>
      </c>
      <c r="Q96" s="80" t="s">
        <v>595</v>
      </c>
      <c r="R96" s="80">
        <v>0</v>
      </c>
      <c r="S96" s="80" t="s">
        <v>1178</v>
      </c>
      <c r="T96" s="100">
        <v>8</v>
      </c>
      <c r="U96" s="100">
        <v>0</v>
      </c>
      <c r="V96" s="100">
        <v>0</v>
      </c>
      <c r="W96" s="100">
        <v>0</v>
      </c>
      <c r="X96"/>
      <c r="Y96"/>
      <c r="Z96"/>
      <c r="AA96"/>
      <c r="AB96"/>
      <c r="AC96"/>
      <c r="AD96"/>
      <c r="AE96"/>
      <c r="AF96"/>
      <c r="AG96"/>
      <c r="AH96"/>
      <c r="AI96"/>
      <c r="AJ96"/>
      <c r="AK96"/>
      <c r="AL96"/>
      <c r="AM96"/>
      <c r="AN96"/>
      <c r="AO96"/>
      <c r="AP96"/>
      <c r="AQ96"/>
      <c r="AR96"/>
      <c r="AS96"/>
      <c r="AT96"/>
      <c r="AU96"/>
      <c r="AV96"/>
      <c r="AW96"/>
      <c r="AX96"/>
      <c r="AY96"/>
      <c r="AZ96"/>
    </row>
    <row r="97" ht="15.6" spans="2:52">
      <c r="F97" s="80" t="s">
        <v>599</v>
      </c>
      <c r="G97" s="99">
        <v>0</v>
      </c>
      <c r="H97" s="99">
        <v>0</v>
      </c>
      <c r="I97" s="99">
        <v>0</v>
      </c>
      <c r="J97"/>
      <c r="K97"/>
      <c r="L97"/>
      <c r="O97" s="80" t="s">
        <v>3262</v>
      </c>
      <c r="P97" s="80" t="s">
        <v>3263</v>
      </c>
      <c r="Q97" s="80" t="s">
        <v>597</v>
      </c>
      <c r="R97" s="80">
        <v>0</v>
      </c>
      <c r="S97" s="80" t="s">
        <v>1178</v>
      </c>
      <c r="T97" s="100">
        <v>2</v>
      </c>
      <c r="U97" s="100">
        <v>0</v>
      </c>
      <c r="V97" s="100">
        <v>0</v>
      </c>
      <c r="W97" s="100">
        <v>0</v>
      </c>
      <c r="X97"/>
      <c r="Y97"/>
      <c r="Z97"/>
      <c r="AA97"/>
      <c r="AB97"/>
      <c r="AC97"/>
      <c r="AD97"/>
      <c r="AE97"/>
      <c r="AF97"/>
      <c r="AG97"/>
      <c r="AH97"/>
      <c r="AI97"/>
      <c r="AJ97"/>
      <c r="AK97"/>
      <c r="AL97"/>
      <c r="AM97"/>
      <c r="AN97"/>
      <c r="AO97"/>
      <c r="AP97"/>
      <c r="AQ97"/>
      <c r="AR97"/>
      <c r="AS97"/>
      <c r="AT97"/>
      <c r="AU97"/>
      <c r="AV97"/>
      <c r="AW97"/>
      <c r="AX97"/>
      <c r="AY97"/>
      <c r="AZ97"/>
    </row>
    <row r="98" ht="15.6" spans="2:52">
      <c r="B98" s="80" t="s">
        <v>4481</v>
      </c>
      <c r="G98" s="99">
        <v>0</v>
      </c>
      <c r="H98" s="99">
        <v>0</v>
      </c>
      <c r="I98" s="99">
        <v>0</v>
      </c>
      <c r="J98"/>
      <c r="K98"/>
      <c r="L98"/>
      <c r="M98" s="80" t="s">
        <v>149</v>
      </c>
      <c r="N98" s="80" t="s">
        <v>150</v>
      </c>
      <c r="O98" s="80" t="s">
        <v>3265</v>
      </c>
      <c r="P98" s="80" t="s">
        <v>3266</v>
      </c>
      <c r="Q98" s="80" t="s">
        <v>599</v>
      </c>
      <c r="R98" s="80">
        <v>0</v>
      </c>
      <c r="S98" s="80" t="s">
        <v>1178</v>
      </c>
      <c r="T98" s="100">
        <v>16</v>
      </c>
      <c r="U98" s="100">
        <v>0</v>
      </c>
      <c r="V98" s="100">
        <v>0</v>
      </c>
      <c r="W98" s="100">
        <v>0</v>
      </c>
      <c r="X98"/>
      <c r="Y98"/>
      <c r="Z98"/>
      <c r="AA98"/>
      <c r="AB98"/>
      <c r="AC98"/>
      <c r="AD98"/>
      <c r="AE98"/>
      <c r="AF98"/>
      <c r="AG98"/>
      <c r="AH98"/>
      <c r="AI98"/>
      <c r="AJ98"/>
      <c r="AK98"/>
      <c r="AL98"/>
      <c r="AM98"/>
      <c r="AN98"/>
      <c r="AO98"/>
      <c r="AP98"/>
      <c r="AQ98"/>
      <c r="AR98"/>
      <c r="AS98"/>
      <c r="AT98"/>
      <c r="AU98"/>
      <c r="AV98"/>
      <c r="AW98"/>
      <c r="AX98"/>
      <c r="AY98"/>
      <c r="AZ98"/>
    </row>
    <row r="99" ht="15.6" spans="2:52">
      <c r="B99" s="80" t="s">
        <v>143</v>
      </c>
      <c r="C99" s="80" t="s">
        <v>144</v>
      </c>
      <c r="D99" s="80">
        <v>0</v>
      </c>
      <c r="E99" s="80" t="s">
        <v>1178</v>
      </c>
      <c r="F99" s="80" t="s">
        <v>595</v>
      </c>
      <c r="G99" s="99">
        <v>0</v>
      </c>
      <c r="H99" s="99">
        <v>0</v>
      </c>
      <c r="I99" s="99">
        <v>0</v>
      </c>
      <c r="J99"/>
      <c r="K99"/>
      <c r="L99"/>
      <c r="O99" s="80" t="s">
        <v>3268</v>
      </c>
      <c r="P99" s="80" t="s">
        <v>3269</v>
      </c>
      <c r="Q99" s="80" t="s">
        <v>595</v>
      </c>
      <c r="R99" s="80">
        <v>0</v>
      </c>
      <c r="S99" s="80" t="s">
        <v>1281</v>
      </c>
      <c r="T99" s="100">
        <v>8</v>
      </c>
      <c r="U99" s="100">
        <v>0</v>
      </c>
      <c r="V99" s="100">
        <v>0</v>
      </c>
      <c r="W99" s="100">
        <v>0</v>
      </c>
      <c r="X99"/>
      <c r="Y99"/>
      <c r="Z99"/>
      <c r="AA99"/>
      <c r="AB99"/>
      <c r="AC99"/>
      <c r="AD99"/>
      <c r="AE99"/>
      <c r="AF99"/>
      <c r="AG99"/>
      <c r="AH99"/>
      <c r="AI99"/>
      <c r="AJ99"/>
      <c r="AK99"/>
      <c r="AL99"/>
      <c r="AM99"/>
      <c r="AN99"/>
      <c r="AO99"/>
      <c r="AP99"/>
      <c r="AQ99"/>
      <c r="AR99"/>
      <c r="AS99"/>
      <c r="AT99"/>
      <c r="AU99"/>
      <c r="AV99"/>
      <c r="AW99"/>
      <c r="AX99"/>
      <c r="AY99"/>
      <c r="AZ99"/>
    </row>
    <row r="100" ht="15.6" spans="2:52">
      <c r="F100" s="80" t="s">
        <v>599</v>
      </c>
      <c r="G100" s="99">
        <v>0</v>
      </c>
      <c r="H100" s="99">
        <v>0</v>
      </c>
      <c r="I100" s="99">
        <v>0</v>
      </c>
      <c r="J100"/>
      <c r="K100"/>
      <c r="L100"/>
      <c r="O100" s="80" t="s">
        <v>3271</v>
      </c>
      <c r="P100" s="80" t="s">
        <v>3272</v>
      </c>
      <c r="Q100" s="80" t="s">
        <v>597</v>
      </c>
      <c r="R100" s="80">
        <v>0</v>
      </c>
      <c r="S100" s="80" t="s">
        <v>1176</v>
      </c>
      <c r="T100" s="100">
        <v>2</v>
      </c>
      <c r="U100" s="100">
        <v>0</v>
      </c>
      <c r="V100" s="100">
        <v>0</v>
      </c>
      <c r="W100" s="100">
        <v>0</v>
      </c>
      <c r="X100"/>
      <c r="Y100"/>
      <c r="Z100"/>
      <c r="AA100"/>
      <c r="AB100"/>
      <c r="AC100"/>
      <c r="AD100"/>
      <c r="AE100"/>
      <c r="AF100"/>
      <c r="AG100"/>
      <c r="AH100"/>
      <c r="AI100"/>
      <c r="AJ100"/>
      <c r="AK100"/>
      <c r="AL100"/>
      <c r="AM100"/>
      <c r="AN100"/>
      <c r="AO100"/>
      <c r="AP100"/>
      <c r="AQ100"/>
      <c r="AR100"/>
      <c r="AS100"/>
      <c r="AT100"/>
      <c r="AU100"/>
      <c r="AV100"/>
      <c r="AW100"/>
      <c r="AX100"/>
      <c r="AY100"/>
      <c r="AZ100"/>
    </row>
    <row r="101" ht="15.6" spans="2:52">
      <c r="B101" s="80" t="s">
        <v>4482</v>
      </c>
      <c r="G101" s="99">
        <v>0</v>
      </c>
      <c r="H101" s="99">
        <v>0</v>
      </c>
      <c r="I101" s="99">
        <v>0</v>
      </c>
      <c r="J101"/>
      <c r="K101"/>
      <c r="L101"/>
      <c r="M101" s="80" t="s">
        <v>151</v>
      </c>
      <c r="N101" s="80" t="s">
        <v>152</v>
      </c>
      <c r="O101" s="80" t="s">
        <v>1238</v>
      </c>
      <c r="P101" s="80" t="s">
        <v>3274</v>
      </c>
      <c r="Q101" s="80" t="s">
        <v>613</v>
      </c>
      <c r="R101" s="80">
        <v>0</v>
      </c>
      <c r="S101" s="80" t="s">
        <v>1178</v>
      </c>
      <c r="T101" s="100">
        <v>1</v>
      </c>
      <c r="U101" s="100">
        <v>0</v>
      </c>
      <c r="V101" s="100">
        <v>0</v>
      </c>
      <c r="W101" s="100">
        <v>0</v>
      </c>
      <c r="X101"/>
      <c r="Y101"/>
      <c r="Z101"/>
      <c r="AA101"/>
      <c r="AB101"/>
      <c r="AC101"/>
      <c r="AD101"/>
      <c r="AE101"/>
      <c r="AF101"/>
      <c r="AG101"/>
      <c r="AH101"/>
      <c r="AI101"/>
      <c r="AJ101"/>
      <c r="AK101"/>
      <c r="AL101"/>
      <c r="AM101"/>
      <c r="AN101"/>
      <c r="AO101"/>
      <c r="AP101"/>
      <c r="AQ101"/>
      <c r="AR101"/>
      <c r="AS101"/>
      <c r="AT101"/>
      <c r="AU101"/>
      <c r="AV101"/>
      <c r="AW101"/>
      <c r="AX101"/>
      <c r="AY101"/>
      <c r="AZ101"/>
    </row>
    <row r="102" ht="15.6" spans="2:52">
      <c r="B102" s="80" t="s">
        <v>146</v>
      </c>
      <c r="C102" s="80" t="s">
        <v>147</v>
      </c>
      <c r="D102" s="80">
        <v>0</v>
      </c>
      <c r="E102" s="80" t="s">
        <v>1178</v>
      </c>
      <c r="F102" s="80" t="s">
        <v>595</v>
      </c>
      <c r="G102" s="99">
        <v>0</v>
      </c>
      <c r="H102" s="99">
        <v>0</v>
      </c>
      <c r="I102" s="99">
        <v>0</v>
      </c>
      <c r="J102"/>
      <c r="K102"/>
      <c r="L102"/>
      <c r="Q102" s="80" t="s">
        <v>615</v>
      </c>
      <c r="R102" s="80">
        <v>0</v>
      </c>
      <c r="S102" s="80" t="s">
        <v>1178</v>
      </c>
      <c r="T102" s="100">
        <v>4</v>
      </c>
      <c r="U102" s="100">
        <v>0</v>
      </c>
      <c r="V102" s="100">
        <v>0</v>
      </c>
      <c r="W102" s="100">
        <v>0</v>
      </c>
      <c r="X102"/>
      <c r="Y102"/>
      <c r="Z102"/>
      <c r="AA102"/>
      <c r="AB102"/>
      <c r="AC102"/>
      <c r="AD102"/>
      <c r="AE102"/>
      <c r="AF102"/>
      <c r="AG102"/>
      <c r="AH102"/>
      <c r="AI102"/>
      <c r="AJ102"/>
      <c r="AK102"/>
      <c r="AL102"/>
      <c r="AM102"/>
      <c r="AN102"/>
      <c r="AO102"/>
      <c r="AP102"/>
      <c r="AQ102"/>
      <c r="AR102"/>
      <c r="AS102"/>
      <c r="AT102"/>
      <c r="AU102"/>
      <c r="AV102"/>
      <c r="AW102"/>
      <c r="AX102"/>
      <c r="AY102"/>
      <c r="AZ102"/>
    </row>
    <row r="103" ht="15.6" spans="2:52">
      <c r="F103" s="80" t="s">
        <v>597</v>
      </c>
      <c r="G103" s="99">
        <v>0</v>
      </c>
      <c r="H103" s="99">
        <v>0</v>
      </c>
      <c r="I103" s="99">
        <v>0</v>
      </c>
      <c r="J103"/>
      <c r="K103"/>
      <c r="L103"/>
      <c r="O103" s="80" t="s">
        <v>1239</v>
      </c>
      <c r="P103" s="80" t="s">
        <v>3276</v>
      </c>
      <c r="Q103" s="80" t="s">
        <v>652</v>
      </c>
      <c r="R103" s="80">
        <v>0</v>
      </c>
      <c r="S103" s="80" t="s">
        <v>1178</v>
      </c>
      <c r="T103" s="100">
        <v>2</v>
      </c>
      <c r="U103" s="100">
        <v>0</v>
      </c>
      <c r="V103" s="100">
        <v>0</v>
      </c>
      <c r="W103" s="100">
        <v>0</v>
      </c>
      <c r="X103"/>
      <c r="Y103"/>
      <c r="Z103"/>
      <c r="AA103"/>
      <c r="AB103"/>
      <c r="AC103"/>
      <c r="AD103"/>
      <c r="AE103"/>
      <c r="AF103"/>
      <c r="AG103"/>
      <c r="AH103"/>
      <c r="AI103"/>
      <c r="AJ103"/>
      <c r="AK103"/>
      <c r="AL103"/>
      <c r="AM103"/>
      <c r="AN103"/>
      <c r="AO103"/>
      <c r="AP103"/>
      <c r="AQ103"/>
      <c r="AR103"/>
      <c r="AS103"/>
      <c r="AT103"/>
      <c r="AU103"/>
      <c r="AV103"/>
      <c r="AW103"/>
      <c r="AX103"/>
      <c r="AY103"/>
      <c r="AZ103"/>
    </row>
    <row r="104" ht="15.6" spans="2:52">
      <c r="F104" s="80" t="s">
        <v>599</v>
      </c>
      <c r="G104" s="99">
        <v>0</v>
      </c>
      <c r="H104" s="99">
        <v>0</v>
      </c>
      <c r="I104" s="99">
        <v>0</v>
      </c>
      <c r="J104"/>
      <c r="K104"/>
      <c r="L104"/>
      <c r="Q104" s="80" t="s">
        <v>615</v>
      </c>
      <c r="R104" s="80">
        <v>0</v>
      </c>
      <c r="S104" s="80" t="s">
        <v>1178</v>
      </c>
      <c r="T104" s="100">
        <v>2</v>
      </c>
      <c r="U104" s="100">
        <v>0</v>
      </c>
      <c r="V104" s="100">
        <v>0</v>
      </c>
      <c r="W104" s="100">
        <v>0</v>
      </c>
      <c r="X104"/>
      <c r="Y104"/>
      <c r="Z104"/>
      <c r="AA104"/>
      <c r="AB104"/>
      <c r="AC104"/>
      <c r="AD104"/>
      <c r="AE104"/>
      <c r="AF104"/>
      <c r="AG104"/>
      <c r="AH104"/>
      <c r="AI104"/>
      <c r="AJ104"/>
      <c r="AK104"/>
      <c r="AL104"/>
      <c r="AM104"/>
      <c r="AN104"/>
      <c r="AO104"/>
      <c r="AP104"/>
      <c r="AQ104"/>
      <c r="AR104"/>
      <c r="AS104"/>
      <c r="AT104"/>
      <c r="AU104"/>
      <c r="AV104"/>
      <c r="AW104"/>
      <c r="AX104"/>
      <c r="AY104"/>
      <c r="AZ104"/>
    </row>
    <row r="105" ht="15.6" spans="2:52">
      <c r="B105" s="80" t="s">
        <v>4483</v>
      </c>
      <c r="G105" s="99">
        <v>0</v>
      </c>
      <c r="H105" s="99">
        <v>0</v>
      </c>
      <c r="I105" s="99">
        <v>0</v>
      </c>
      <c r="J105"/>
      <c r="K105"/>
      <c r="L105"/>
      <c r="Q105" s="80" t="s">
        <v>617</v>
      </c>
      <c r="R105" s="80">
        <v>0</v>
      </c>
      <c r="S105" s="80" t="s">
        <v>1178</v>
      </c>
      <c r="T105" s="100">
        <v>2</v>
      </c>
      <c r="U105" s="100">
        <v>0</v>
      </c>
      <c r="V105" s="100">
        <v>0</v>
      </c>
      <c r="W105" s="100">
        <v>0</v>
      </c>
      <c r="X105"/>
      <c r="Y105"/>
      <c r="Z105"/>
      <c r="AA105"/>
      <c r="AB105"/>
      <c r="AC105"/>
      <c r="AD105"/>
      <c r="AE105"/>
      <c r="AF105"/>
      <c r="AG105"/>
      <c r="AH105"/>
      <c r="AI105"/>
      <c r="AJ105"/>
      <c r="AK105"/>
      <c r="AL105"/>
      <c r="AM105"/>
      <c r="AN105"/>
      <c r="AO105"/>
      <c r="AP105"/>
      <c r="AQ105"/>
      <c r="AR105"/>
      <c r="AS105"/>
      <c r="AT105"/>
      <c r="AU105"/>
      <c r="AV105"/>
      <c r="AW105"/>
      <c r="AX105"/>
      <c r="AY105"/>
      <c r="AZ105"/>
    </row>
    <row r="106" ht="15.6" spans="2:52">
      <c r="B106" s="80" t="s">
        <v>149</v>
      </c>
      <c r="C106" s="80" t="s">
        <v>150</v>
      </c>
      <c r="D106" s="80">
        <v>0</v>
      </c>
      <c r="E106" s="80" t="s">
        <v>1178</v>
      </c>
      <c r="F106" s="80" t="s">
        <v>595</v>
      </c>
      <c r="G106" s="99">
        <v>0</v>
      </c>
      <c r="H106" s="99">
        <v>0</v>
      </c>
      <c r="I106" s="99">
        <v>0</v>
      </c>
      <c r="J106"/>
      <c r="K106"/>
      <c r="L106"/>
      <c r="Q106" s="80" t="s">
        <v>599</v>
      </c>
      <c r="R106" s="80">
        <v>0</v>
      </c>
      <c r="S106" s="80" t="s">
        <v>1178</v>
      </c>
      <c r="T106" s="100">
        <v>2</v>
      </c>
      <c r="U106" s="100">
        <v>0</v>
      </c>
      <c r="V106" s="100">
        <v>0</v>
      </c>
      <c r="W106" s="100">
        <v>0</v>
      </c>
      <c r="X106"/>
      <c r="Y106"/>
      <c r="Z106"/>
      <c r="AA106"/>
      <c r="AB106"/>
      <c r="AC106"/>
      <c r="AD106"/>
      <c r="AE106"/>
      <c r="AF106"/>
      <c r="AG106"/>
      <c r="AH106"/>
      <c r="AI106"/>
      <c r="AJ106"/>
      <c r="AK106"/>
      <c r="AL106"/>
      <c r="AM106"/>
      <c r="AN106"/>
      <c r="AO106"/>
      <c r="AP106"/>
      <c r="AQ106"/>
      <c r="AR106"/>
      <c r="AS106"/>
      <c r="AT106"/>
      <c r="AU106"/>
      <c r="AV106"/>
      <c r="AW106"/>
      <c r="AX106"/>
      <c r="AY106"/>
      <c r="AZ106"/>
    </row>
    <row r="107" ht="15.6" spans="2:52">
      <c r="F107" s="80" t="s">
        <v>597</v>
      </c>
      <c r="G107" s="99">
        <v>0</v>
      </c>
      <c r="H107" s="99">
        <v>0</v>
      </c>
      <c r="I107" s="99">
        <v>0</v>
      </c>
      <c r="J107"/>
      <c r="K107"/>
      <c r="L107"/>
      <c r="Q107" s="80" t="s">
        <v>639</v>
      </c>
      <c r="R107" s="80">
        <v>0</v>
      </c>
      <c r="S107" s="80" t="s">
        <v>1178</v>
      </c>
      <c r="T107" s="100">
        <v>2</v>
      </c>
      <c r="U107" s="100">
        <v>0</v>
      </c>
      <c r="V107" s="100">
        <v>0</v>
      </c>
      <c r="W107" s="100">
        <v>0</v>
      </c>
      <c r="X107"/>
      <c r="Y107"/>
      <c r="Z107"/>
      <c r="AA107"/>
      <c r="AB107"/>
      <c r="AC107"/>
      <c r="AD107"/>
      <c r="AE107"/>
      <c r="AF107"/>
      <c r="AG107"/>
      <c r="AH107"/>
      <c r="AI107"/>
      <c r="AJ107"/>
      <c r="AK107"/>
      <c r="AL107"/>
      <c r="AM107"/>
      <c r="AN107"/>
      <c r="AO107"/>
      <c r="AP107"/>
      <c r="AQ107"/>
      <c r="AR107"/>
      <c r="AS107"/>
      <c r="AT107"/>
      <c r="AU107"/>
      <c r="AV107"/>
      <c r="AW107"/>
      <c r="AX107"/>
      <c r="AY107"/>
      <c r="AZ107"/>
    </row>
    <row r="108" ht="15.6" spans="2:52">
      <c r="F108" s="80" t="s">
        <v>599</v>
      </c>
      <c r="G108" s="99">
        <v>0</v>
      </c>
      <c r="H108" s="99">
        <v>0</v>
      </c>
      <c r="I108" s="99">
        <v>0</v>
      </c>
      <c r="J108"/>
      <c r="K108"/>
      <c r="L108"/>
      <c r="M108" s="80" t="s">
        <v>154</v>
      </c>
      <c r="N108" s="80" t="s">
        <v>155</v>
      </c>
      <c r="O108" s="80" t="s">
        <v>1240</v>
      </c>
      <c r="P108" s="80" t="s">
        <v>3278</v>
      </c>
      <c r="Q108" s="80" t="s">
        <v>595</v>
      </c>
      <c r="R108" s="80">
        <v>0</v>
      </c>
      <c r="S108" s="80" t="s">
        <v>1178</v>
      </c>
      <c r="T108" s="100">
        <v>0</v>
      </c>
      <c r="U108" s="100">
        <v>0</v>
      </c>
      <c r="V108" s="100">
        <v>0</v>
      </c>
      <c r="W108" s="100">
        <v>0</v>
      </c>
      <c r="X108"/>
      <c r="Y108"/>
      <c r="Z108"/>
      <c r="AA108"/>
      <c r="AB108"/>
      <c r="AC108"/>
      <c r="AD108"/>
      <c r="AE108"/>
      <c r="AF108"/>
      <c r="AG108"/>
      <c r="AH108"/>
      <c r="AI108"/>
      <c r="AJ108"/>
      <c r="AK108"/>
      <c r="AL108"/>
      <c r="AM108"/>
      <c r="AN108"/>
      <c r="AO108"/>
      <c r="AP108"/>
      <c r="AQ108"/>
      <c r="AR108"/>
      <c r="AS108"/>
      <c r="AT108"/>
      <c r="AU108"/>
      <c r="AV108"/>
      <c r="AW108"/>
      <c r="AX108"/>
      <c r="AY108"/>
      <c r="AZ108"/>
    </row>
    <row r="109" ht="15.6" spans="2:52">
      <c r="B109" s="80" t="s">
        <v>4484</v>
      </c>
      <c r="G109" s="99">
        <v>0</v>
      </c>
      <c r="H109" s="99">
        <v>0</v>
      </c>
      <c r="I109" s="99">
        <v>0</v>
      </c>
      <c r="J109"/>
      <c r="K109"/>
      <c r="L109"/>
      <c r="Q109" s="80" t="s">
        <v>597</v>
      </c>
      <c r="R109" s="80">
        <v>0</v>
      </c>
      <c r="S109" s="80" t="s">
        <v>1178</v>
      </c>
      <c r="T109" s="100">
        <v>4</v>
      </c>
      <c r="U109" s="100">
        <v>0</v>
      </c>
      <c r="V109" s="100">
        <v>0</v>
      </c>
      <c r="W109" s="100">
        <v>0</v>
      </c>
      <c r="X109"/>
      <c r="Y109"/>
      <c r="Z109"/>
      <c r="AA109"/>
      <c r="AB109"/>
      <c r="AC109"/>
      <c r="AD109"/>
      <c r="AE109"/>
      <c r="AF109"/>
      <c r="AG109"/>
      <c r="AH109"/>
      <c r="AI109"/>
      <c r="AJ109"/>
      <c r="AK109"/>
      <c r="AL109"/>
      <c r="AM109"/>
      <c r="AN109"/>
      <c r="AO109"/>
      <c r="AP109"/>
      <c r="AQ109"/>
      <c r="AR109"/>
      <c r="AS109"/>
      <c r="AT109"/>
      <c r="AU109"/>
      <c r="AV109"/>
      <c r="AW109"/>
      <c r="AX109"/>
      <c r="AY109"/>
      <c r="AZ109"/>
    </row>
    <row r="110" ht="15.6" spans="2:52">
      <c r="B110" s="80" t="s">
        <v>151</v>
      </c>
      <c r="C110" s="80" t="s">
        <v>152</v>
      </c>
      <c r="D110" s="80">
        <v>0</v>
      </c>
      <c r="E110" s="80" t="s">
        <v>1178</v>
      </c>
      <c r="F110" s="80" t="s">
        <v>652</v>
      </c>
      <c r="G110" s="99">
        <v>0</v>
      </c>
      <c r="H110" s="99">
        <v>0</v>
      </c>
      <c r="I110" s="99">
        <v>0</v>
      </c>
      <c r="J110"/>
      <c r="K110"/>
      <c r="L110"/>
      <c r="Q110" s="80" t="s">
        <v>615</v>
      </c>
      <c r="R110" s="80">
        <v>0</v>
      </c>
      <c r="S110" s="80" t="s">
        <v>1178</v>
      </c>
      <c r="T110" s="100">
        <v>4</v>
      </c>
      <c r="U110" s="100">
        <v>0</v>
      </c>
      <c r="V110" s="100">
        <v>0</v>
      </c>
      <c r="W110" s="100">
        <v>0</v>
      </c>
      <c r="X110"/>
      <c r="Y110"/>
      <c r="Z110"/>
      <c r="AA110"/>
      <c r="AB110"/>
      <c r="AC110"/>
      <c r="AD110"/>
      <c r="AE110"/>
      <c r="AF110"/>
      <c r="AG110"/>
      <c r="AH110"/>
      <c r="AI110"/>
      <c r="AJ110"/>
      <c r="AK110"/>
      <c r="AL110"/>
      <c r="AM110"/>
      <c r="AN110"/>
      <c r="AO110"/>
      <c r="AP110"/>
      <c r="AQ110"/>
      <c r="AR110"/>
      <c r="AS110"/>
      <c r="AT110"/>
      <c r="AU110"/>
      <c r="AV110"/>
      <c r="AW110"/>
      <c r="AX110"/>
      <c r="AY110"/>
      <c r="AZ110"/>
    </row>
    <row r="111" ht="15.6" spans="2:52">
      <c r="F111" s="80" t="s">
        <v>613</v>
      </c>
      <c r="G111" s="99">
        <v>0</v>
      </c>
      <c r="H111" s="99">
        <v>0</v>
      </c>
      <c r="I111" s="99">
        <v>0</v>
      </c>
      <c r="J111"/>
      <c r="K111"/>
      <c r="L111"/>
      <c r="Q111" s="80" t="s">
        <v>599</v>
      </c>
      <c r="R111" s="80">
        <v>0</v>
      </c>
      <c r="S111" s="80" t="s">
        <v>1178</v>
      </c>
      <c r="T111" s="100">
        <v>4</v>
      </c>
      <c r="U111" s="100">
        <v>0</v>
      </c>
      <c r="V111" s="100">
        <v>0</v>
      </c>
      <c r="W111" s="100">
        <v>0</v>
      </c>
      <c r="X111"/>
      <c r="Y111"/>
      <c r="Z111"/>
      <c r="AA111"/>
      <c r="AB111"/>
      <c r="AC111"/>
      <c r="AD111"/>
      <c r="AE111"/>
      <c r="AF111"/>
      <c r="AG111"/>
      <c r="AH111"/>
      <c r="AI111"/>
      <c r="AJ111"/>
      <c r="AK111"/>
      <c r="AL111"/>
      <c r="AM111"/>
      <c r="AN111"/>
      <c r="AO111"/>
      <c r="AP111"/>
      <c r="AQ111"/>
      <c r="AR111"/>
      <c r="AS111"/>
      <c r="AT111"/>
      <c r="AU111"/>
      <c r="AV111"/>
      <c r="AW111"/>
      <c r="AX111"/>
      <c r="AY111"/>
      <c r="AZ111"/>
    </row>
    <row r="112" ht="15.6" spans="2:52">
      <c r="F112" s="80" t="s">
        <v>615</v>
      </c>
      <c r="G112" s="99">
        <v>0</v>
      </c>
      <c r="H112" s="99">
        <v>0</v>
      </c>
      <c r="I112" s="99">
        <v>0</v>
      </c>
      <c r="J112"/>
      <c r="K112"/>
      <c r="L112"/>
      <c r="O112" s="80" t="s">
        <v>1241</v>
      </c>
      <c r="P112" s="80" t="s">
        <v>3280</v>
      </c>
      <c r="Q112" s="80" t="s">
        <v>595</v>
      </c>
      <c r="R112" s="80">
        <v>0</v>
      </c>
      <c r="S112" s="80" t="s">
        <v>1178</v>
      </c>
      <c r="T112" s="100">
        <v>0</v>
      </c>
      <c r="U112" s="100">
        <v>0</v>
      </c>
      <c r="V112" s="100">
        <v>0</v>
      </c>
      <c r="W112" s="100">
        <v>0</v>
      </c>
      <c r="X112"/>
      <c r="Y112"/>
      <c r="Z112"/>
      <c r="AA112"/>
      <c r="AB112"/>
      <c r="AC112"/>
      <c r="AD112"/>
      <c r="AE112"/>
      <c r="AF112"/>
      <c r="AG112"/>
      <c r="AH112"/>
      <c r="AI112"/>
      <c r="AJ112"/>
      <c r="AK112"/>
      <c r="AL112"/>
      <c r="AM112"/>
      <c r="AN112"/>
      <c r="AO112"/>
      <c r="AP112"/>
      <c r="AQ112"/>
      <c r="AR112"/>
      <c r="AS112"/>
      <c r="AT112"/>
      <c r="AU112"/>
      <c r="AV112"/>
      <c r="AW112"/>
      <c r="AX112"/>
      <c r="AY112"/>
      <c r="AZ112"/>
    </row>
    <row r="113" ht="15.6" spans="2:52">
      <c r="F113" s="80" t="s">
        <v>617</v>
      </c>
      <c r="G113" s="99">
        <v>0</v>
      </c>
      <c r="H113" s="99">
        <v>0</v>
      </c>
      <c r="I113" s="99">
        <v>0</v>
      </c>
      <c r="J113"/>
      <c r="K113"/>
      <c r="L113"/>
      <c r="Q113" s="80" t="s">
        <v>597</v>
      </c>
      <c r="R113" s="80">
        <v>0</v>
      </c>
      <c r="S113" s="80" t="s">
        <v>1178</v>
      </c>
      <c r="T113" s="100">
        <v>0</v>
      </c>
      <c r="U113" s="100">
        <v>0</v>
      </c>
      <c r="V113" s="100">
        <v>0</v>
      </c>
      <c r="W113" s="100">
        <v>0</v>
      </c>
      <c r="X113"/>
      <c r="Y113"/>
      <c r="Z113"/>
      <c r="AA113"/>
      <c r="AB113"/>
      <c r="AC113"/>
      <c r="AD113"/>
      <c r="AE113"/>
      <c r="AF113"/>
      <c r="AG113"/>
      <c r="AH113"/>
      <c r="AI113"/>
      <c r="AJ113"/>
      <c r="AK113"/>
      <c r="AL113"/>
      <c r="AM113"/>
      <c r="AN113"/>
      <c r="AO113"/>
      <c r="AP113"/>
      <c r="AQ113"/>
      <c r="AR113"/>
      <c r="AS113"/>
      <c r="AT113"/>
      <c r="AU113"/>
      <c r="AV113"/>
      <c r="AW113"/>
      <c r="AX113"/>
      <c r="AY113"/>
      <c r="AZ113"/>
    </row>
    <row r="114" ht="15.6" spans="2:52">
      <c r="F114" s="80" t="s">
        <v>599</v>
      </c>
      <c r="G114" s="99">
        <v>0</v>
      </c>
      <c r="H114" s="99">
        <v>0</v>
      </c>
      <c r="I114" s="99">
        <v>0</v>
      </c>
      <c r="J114"/>
      <c r="K114"/>
      <c r="L114"/>
      <c r="Q114" s="80" t="s">
        <v>613</v>
      </c>
      <c r="R114" s="80">
        <v>0</v>
      </c>
      <c r="S114" s="80" t="s">
        <v>1178</v>
      </c>
      <c r="T114" s="100">
        <v>0</v>
      </c>
      <c r="U114" s="100">
        <v>0</v>
      </c>
      <c r="V114" s="100">
        <v>0</v>
      </c>
      <c r="W114" s="100">
        <v>0</v>
      </c>
      <c r="X114"/>
      <c r="Y114"/>
      <c r="Z114"/>
      <c r="AA114"/>
      <c r="AB114"/>
      <c r="AC114"/>
      <c r="AD114"/>
      <c r="AE114"/>
      <c r="AF114"/>
      <c r="AG114"/>
      <c r="AH114"/>
      <c r="AI114"/>
      <c r="AJ114"/>
      <c r="AK114"/>
      <c r="AL114"/>
      <c r="AM114"/>
      <c r="AN114"/>
      <c r="AO114"/>
      <c r="AP114"/>
      <c r="AQ114"/>
      <c r="AR114"/>
      <c r="AS114"/>
      <c r="AT114"/>
      <c r="AU114"/>
      <c r="AV114"/>
      <c r="AW114"/>
      <c r="AX114"/>
      <c r="AY114"/>
      <c r="AZ114"/>
    </row>
    <row r="115" ht="15.6" spans="2:52">
      <c r="F115" s="80" t="s">
        <v>639</v>
      </c>
      <c r="G115" s="99">
        <v>0</v>
      </c>
      <c r="H115" s="99">
        <v>0</v>
      </c>
      <c r="I115" s="99">
        <v>0</v>
      </c>
      <c r="J115"/>
      <c r="K115"/>
      <c r="L115"/>
      <c r="Q115" s="80" t="s">
        <v>615</v>
      </c>
      <c r="R115" s="80">
        <v>0</v>
      </c>
      <c r="S115" s="80" t="s">
        <v>1178</v>
      </c>
      <c r="T115" s="100">
        <v>2</v>
      </c>
      <c r="U115" s="100">
        <v>0</v>
      </c>
      <c r="V115" s="100">
        <v>0</v>
      </c>
      <c r="W115" s="100">
        <v>0</v>
      </c>
      <c r="X115"/>
      <c r="Y115"/>
      <c r="Z115"/>
      <c r="AA115"/>
      <c r="AB115"/>
      <c r="AC115"/>
      <c r="AD115"/>
      <c r="AE115"/>
      <c r="AF115"/>
      <c r="AG115"/>
      <c r="AH115"/>
      <c r="AI115"/>
      <c r="AJ115"/>
      <c r="AK115"/>
      <c r="AL115"/>
      <c r="AM115"/>
      <c r="AN115"/>
      <c r="AO115"/>
      <c r="AP115"/>
      <c r="AQ115"/>
      <c r="AR115"/>
      <c r="AS115"/>
      <c r="AT115"/>
      <c r="AU115"/>
      <c r="AV115"/>
      <c r="AW115"/>
      <c r="AX115"/>
      <c r="AY115"/>
      <c r="AZ115"/>
    </row>
    <row r="116" ht="15.6" spans="2:52">
      <c r="B116" s="80" t="s">
        <v>4485</v>
      </c>
      <c r="G116" s="99">
        <v>0</v>
      </c>
      <c r="H116" s="99">
        <v>0</v>
      </c>
      <c r="I116" s="99">
        <v>0</v>
      </c>
      <c r="J116"/>
      <c r="K116"/>
      <c r="L116"/>
      <c r="Q116" s="80" t="s">
        <v>599</v>
      </c>
      <c r="R116" s="80">
        <v>0</v>
      </c>
      <c r="S116" s="80" t="s">
        <v>1178</v>
      </c>
      <c r="T116" s="100">
        <v>6</v>
      </c>
      <c r="U116" s="100">
        <v>0</v>
      </c>
      <c r="V116" s="100">
        <v>0</v>
      </c>
      <c r="W116" s="100">
        <v>0</v>
      </c>
      <c r="X116"/>
      <c r="Y116"/>
      <c r="Z116"/>
      <c r="AA116"/>
      <c r="AB116"/>
      <c r="AC116"/>
      <c r="AD116"/>
      <c r="AE116"/>
      <c r="AF116"/>
      <c r="AG116"/>
      <c r="AH116"/>
      <c r="AI116"/>
      <c r="AJ116"/>
      <c r="AK116"/>
      <c r="AL116"/>
      <c r="AM116"/>
      <c r="AN116"/>
      <c r="AO116"/>
      <c r="AP116"/>
      <c r="AQ116"/>
      <c r="AR116"/>
      <c r="AS116"/>
      <c r="AT116"/>
      <c r="AU116"/>
      <c r="AV116"/>
      <c r="AW116"/>
      <c r="AX116"/>
      <c r="AY116"/>
      <c r="AZ116"/>
    </row>
    <row r="117" ht="15.6" spans="2:52">
      <c r="B117" s="80" t="s">
        <v>154</v>
      </c>
      <c r="C117" s="80" t="s">
        <v>155</v>
      </c>
      <c r="D117" s="80">
        <v>0</v>
      </c>
      <c r="E117" s="80" t="s">
        <v>1178</v>
      </c>
      <c r="F117" s="80" t="s">
        <v>595</v>
      </c>
      <c r="G117" s="99">
        <v>0</v>
      </c>
      <c r="H117" s="99">
        <v>0</v>
      </c>
      <c r="I117" s="99">
        <v>0</v>
      </c>
      <c r="J117"/>
      <c r="K117"/>
      <c r="L117"/>
      <c r="Q117" s="80" t="s">
        <v>639</v>
      </c>
      <c r="R117" s="80">
        <v>0</v>
      </c>
      <c r="S117" s="80" t="s">
        <v>1178</v>
      </c>
      <c r="T117" s="100">
        <v>2</v>
      </c>
      <c r="U117" s="100">
        <v>0</v>
      </c>
      <c r="V117" s="100">
        <v>0</v>
      </c>
      <c r="W117" s="100">
        <v>0</v>
      </c>
      <c r="X117"/>
      <c r="Y117"/>
      <c r="Z117"/>
      <c r="AA117"/>
      <c r="AB117"/>
      <c r="AC117"/>
      <c r="AD117"/>
      <c r="AE117"/>
      <c r="AF117"/>
      <c r="AG117"/>
      <c r="AH117"/>
      <c r="AI117"/>
      <c r="AJ117"/>
      <c r="AK117"/>
      <c r="AL117"/>
      <c r="AM117"/>
      <c r="AN117"/>
      <c r="AO117"/>
      <c r="AP117"/>
      <c r="AQ117"/>
      <c r="AR117"/>
      <c r="AS117"/>
      <c r="AT117"/>
      <c r="AU117"/>
      <c r="AV117"/>
      <c r="AW117"/>
      <c r="AX117"/>
      <c r="AY117"/>
      <c r="AZ117"/>
    </row>
    <row r="118" ht="15.6" spans="2:52">
      <c r="F118" s="80" t="s">
        <v>597</v>
      </c>
      <c r="G118" s="99">
        <v>0</v>
      </c>
      <c r="H118" s="99">
        <v>0</v>
      </c>
      <c r="I118" s="99">
        <v>0</v>
      </c>
      <c r="J118"/>
      <c r="K118"/>
      <c r="L118"/>
      <c r="O118" s="80" t="s">
        <v>3282</v>
      </c>
      <c r="P118" s="80" t="s">
        <v>3283</v>
      </c>
      <c r="Q118" s="80" t="s">
        <v>595</v>
      </c>
      <c r="R118" s="80">
        <v>0</v>
      </c>
      <c r="S118" s="80" t="s">
        <v>1178</v>
      </c>
      <c r="T118" s="100">
        <v>0</v>
      </c>
      <c r="U118" s="100">
        <v>0</v>
      </c>
      <c r="V118" s="100">
        <v>0</v>
      </c>
      <c r="W118" s="100">
        <v>0</v>
      </c>
      <c r="X118"/>
      <c r="Y118"/>
      <c r="Z118"/>
      <c r="AA118"/>
      <c r="AB118"/>
      <c r="AC118"/>
      <c r="AD118"/>
      <c r="AE118"/>
      <c r="AF118"/>
      <c r="AG118"/>
      <c r="AH118"/>
      <c r="AI118"/>
      <c r="AJ118"/>
      <c r="AK118"/>
      <c r="AL118"/>
      <c r="AM118"/>
      <c r="AN118"/>
      <c r="AO118"/>
      <c r="AP118"/>
      <c r="AQ118"/>
      <c r="AR118"/>
      <c r="AS118"/>
      <c r="AT118"/>
      <c r="AU118"/>
      <c r="AV118"/>
      <c r="AW118"/>
      <c r="AX118"/>
      <c r="AY118"/>
      <c r="AZ118"/>
    </row>
    <row r="119" ht="15.6" spans="2:52">
      <c r="F119" s="80" t="s">
        <v>613</v>
      </c>
      <c r="G119" s="99">
        <v>0</v>
      </c>
      <c r="H119" s="99">
        <v>0</v>
      </c>
      <c r="I119" s="99">
        <v>0</v>
      </c>
      <c r="J119"/>
      <c r="K119"/>
      <c r="L119"/>
      <c r="Q119" s="80" t="s">
        <v>599</v>
      </c>
      <c r="R119" s="80">
        <v>0</v>
      </c>
      <c r="S119" s="80" t="s">
        <v>1178</v>
      </c>
      <c r="T119" s="100">
        <v>0</v>
      </c>
      <c r="U119" s="100">
        <v>0</v>
      </c>
      <c r="V119" s="100">
        <v>0</v>
      </c>
      <c r="W119" s="100">
        <v>0</v>
      </c>
      <c r="X119"/>
      <c r="Y119"/>
      <c r="Z119"/>
      <c r="AA119"/>
      <c r="AB119"/>
      <c r="AC119"/>
      <c r="AD119"/>
      <c r="AE119"/>
      <c r="AF119"/>
      <c r="AG119"/>
      <c r="AH119"/>
      <c r="AI119"/>
      <c r="AJ119"/>
      <c r="AK119"/>
      <c r="AL119"/>
      <c r="AM119"/>
      <c r="AN119"/>
      <c r="AO119"/>
      <c r="AP119"/>
      <c r="AQ119"/>
      <c r="AR119"/>
      <c r="AS119"/>
      <c r="AT119"/>
      <c r="AU119"/>
      <c r="AV119"/>
      <c r="AW119"/>
      <c r="AX119"/>
      <c r="AY119"/>
      <c r="AZ119"/>
    </row>
    <row r="120" ht="15.6" spans="2:52">
      <c r="F120" s="80" t="s">
        <v>615</v>
      </c>
      <c r="G120" s="99">
        <v>0</v>
      </c>
      <c r="H120" s="99">
        <v>0</v>
      </c>
      <c r="I120" s="99">
        <v>0</v>
      </c>
      <c r="J120"/>
      <c r="K120"/>
      <c r="L120"/>
      <c r="M120" s="80" t="s">
        <v>157</v>
      </c>
      <c r="N120" s="80" t="s">
        <v>158</v>
      </c>
      <c r="O120" s="80" t="s">
        <v>1242</v>
      </c>
      <c r="P120" s="80" t="s">
        <v>158</v>
      </c>
      <c r="Q120" s="80" t="s">
        <v>615</v>
      </c>
      <c r="R120" s="80">
        <v>0</v>
      </c>
      <c r="S120" s="80" t="s">
        <v>1178</v>
      </c>
      <c r="T120" s="100">
        <v>8</v>
      </c>
      <c r="U120" s="100">
        <v>0</v>
      </c>
      <c r="V120" s="100">
        <v>0</v>
      </c>
      <c r="W120" s="100">
        <v>0</v>
      </c>
      <c r="X120"/>
      <c r="Y120"/>
      <c r="Z120"/>
      <c r="AA120"/>
      <c r="AB120"/>
      <c r="AC120"/>
      <c r="AD120"/>
      <c r="AE120"/>
      <c r="AF120"/>
      <c r="AG120"/>
      <c r="AH120"/>
      <c r="AI120"/>
      <c r="AJ120"/>
      <c r="AK120"/>
      <c r="AL120"/>
      <c r="AM120"/>
      <c r="AN120"/>
      <c r="AO120"/>
      <c r="AP120"/>
      <c r="AQ120"/>
      <c r="AR120"/>
      <c r="AS120"/>
      <c r="AT120"/>
      <c r="AU120"/>
      <c r="AV120"/>
      <c r="AW120"/>
      <c r="AX120"/>
      <c r="AY120"/>
      <c r="AZ120"/>
    </row>
    <row r="121" ht="15.6" spans="2:52">
      <c r="F121" s="80" t="s">
        <v>599</v>
      </c>
      <c r="G121" s="99">
        <v>0</v>
      </c>
      <c r="H121" s="99">
        <v>0</v>
      </c>
      <c r="I121" s="99">
        <v>0</v>
      </c>
      <c r="J121"/>
      <c r="K121"/>
      <c r="L121"/>
      <c r="O121" s="80" t="s">
        <v>1243</v>
      </c>
      <c r="P121" s="80" t="s">
        <v>3287</v>
      </c>
      <c r="Q121" s="80" t="s">
        <v>613</v>
      </c>
      <c r="R121" s="80">
        <v>0</v>
      </c>
      <c r="S121" s="80" t="s">
        <v>1178</v>
      </c>
      <c r="T121" s="100">
        <v>4</v>
      </c>
      <c r="U121" s="100">
        <v>0</v>
      </c>
      <c r="V121" s="100">
        <v>0</v>
      </c>
      <c r="W121" s="100">
        <v>0</v>
      </c>
      <c r="X121"/>
      <c r="Y121"/>
      <c r="Z121"/>
      <c r="AA121"/>
      <c r="AB121"/>
      <c r="AC121"/>
      <c r="AD121"/>
      <c r="AE121"/>
      <c r="AF121"/>
      <c r="AG121"/>
      <c r="AH121"/>
      <c r="AI121"/>
      <c r="AJ121"/>
      <c r="AK121"/>
      <c r="AL121"/>
      <c r="AM121"/>
      <c r="AN121"/>
      <c r="AO121"/>
      <c r="AP121"/>
      <c r="AQ121"/>
      <c r="AR121"/>
      <c r="AS121"/>
      <c r="AT121"/>
      <c r="AU121"/>
      <c r="AV121"/>
      <c r="AW121"/>
      <c r="AX121"/>
      <c r="AY121"/>
      <c r="AZ121"/>
    </row>
    <row r="122" ht="15.6" spans="2:52">
      <c r="F122" s="80" t="s">
        <v>639</v>
      </c>
      <c r="G122" s="99">
        <v>0</v>
      </c>
      <c r="H122" s="99">
        <v>0</v>
      </c>
      <c r="I122" s="99">
        <v>0</v>
      </c>
      <c r="J122"/>
      <c r="K122"/>
      <c r="L122"/>
      <c r="M122" s="80" t="s">
        <v>159</v>
      </c>
      <c r="N122" s="80" t="s">
        <v>160</v>
      </c>
      <c r="O122" s="80" t="s">
        <v>1244</v>
      </c>
      <c r="P122" s="80" t="s">
        <v>3289</v>
      </c>
      <c r="Q122" s="80" t="s">
        <v>613</v>
      </c>
      <c r="R122" s="80">
        <v>0</v>
      </c>
      <c r="S122" s="80" t="s">
        <v>1178</v>
      </c>
      <c r="T122" s="100">
        <v>1</v>
      </c>
      <c r="U122" s="100">
        <v>0</v>
      </c>
      <c r="V122" s="100">
        <v>0</v>
      </c>
      <c r="W122" s="100">
        <v>0</v>
      </c>
      <c r="X122"/>
      <c r="Y122"/>
      <c r="Z122"/>
      <c r="AA122"/>
      <c r="AB122"/>
      <c r="AC122"/>
      <c r="AD122"/>
      <c r="AE122"/>
      <c r="AF122"/>
      <c r="AG122"/>
      <c r="AH122"/>
      <c r="AI122"/>
      <c r="AJ122"/>
      <c r="AK122"/>
      <c r="AL122"/>
      <c r="AM122"/>
      <c r="AN122"/>
      <c r="AO122"/>
      <c r="AP122"/>
      <c r="AQ122"/>
      <c r="AR122"/>
      <c r="AS122"/>
      <c r="AT122"/>
      <c r="AU122"/>
      <c r="AV122"/>
      <c r="AW122"/>
      <c r="AX122"/>
      <c r="AY122"/>
      <c r="AZ122"/>
    </row>
    <row r="123" ht="15.6" spans="2:52">
      <c r="B123" s="80" t="s">
        <v>4486</v>
      </c>
      <c r="G123" s="99">
        <v>0</v>
      </c>
      <c r="H123" s="99">
        <v>0</v>
      </c>
      <c r="I123" s="99">
        <v>0</v>
      </c>
      <c r="J123"/>
      <c r="K123"/>
      <c r="L123"/>
      <c r="Q123" s="80" t="s">
        <v>615</v>
      </c>
      <c r="R123" s="80">
        <v>0</v>
      </c>
      <c r="S123" s="80" t="s">
        <v>1178</v>
      </c>
      <c r="T123" s="100">
        <v>2</v>
      </c>
      <c r="U123" s="100">
        <v>0</v>
      </c>
      <c r="V123" s="100">
        <v>0</v>
      </c>
      <c r="W123" s="100">
        <v>0</v>
      </c>
      <c r="X123"/>
      <c r="Y123"/>
      <c r="Z123"/>
      <c r="AA123"/>
      <c r="AB123"/>
      <c r="AC123"/>
      <c r="AD123"/>
      <c r="AE123"/>
      <c r="AF123"/>
      <c r="AG123"/>
      <c r="AH123"/>
      <c r="AI123"/>
      <c r="AJ123"/>
      <c r="AK123"/>
      <c r="AL123"/>
      <c r="AM123"/>
      <c r="AN123"/>
      <c r="AO123"/>
      <c r="AP123"/>
      <c r="AQ123"/>
      <c r="AR123"/>
      <c r="AS123"/>
      <c r="AT123"/>
      <c r="AU123"/>
      <c r="AV123"/>
      <c r="AW123"/>
      <c r="AX123"/>
      <c r="AY123"/>
      <c r="AZ123"/>
    </row>
    <row r="124" ht="15.6" spans="2:52">
      <c r="B124" s="80" t="s">
        <v>157</v>
      </c>
      <c r="C124" s="80" t="s">
        <v>158</v>
      </c>
      <c r="D124" s="80">
        <v>0</v>
      </c>
      <c r="E124" s="80" t="s">
        <v>1178</v>
      </c>
      <c r="F124" s="80" t="s">
        <v>613</v>
      </c>
      <c r="G124" s="99">
        <v>0</v>
      </c>
      <c r="H124" s="99">
        <v>0</v>
      </c>
      <c r="I124" s="99">
        <v>0</v>
      </c>
      <c r="J124"/>
      <c r="K124"/>
      <c r="L124"/>
      <c r="O124" s="80" t="s">
        <v>1245</v>
      </c>
      <c r="P124" s="80" t="s">
        <v>3291</v>
      </c>
      <c r="Q124" s="80" t="s">
        <v>631</v>
      </c>
      <c r="R124" s="80">
        <v>0</v>
      </c>
      <c r="S124" s="80" t="s">
        <v>1178</v>
      </c>
      <c r="T124" s="100">
        <v>1.5</v>
      </c>
      <c r="U124" s="100">
        <v>0</v>
      </c>
      <c r="V124" s="100">
        <v>0</v>
      </c>
      <c r="W124" s="100">
        <v>0</v>
      </c>
      <c r="X124"/>
      <c r="Y124"/>
      <c r="Z124"/>
      <c r="AA124"/>
      <c r="AB124"/>
      <c r="AC124"/>
      <c r="AD124"/>
      <c r="AE124"/>
      <c r="AF124"/>
      <c r="AG124"/>
      <c r="AH124"/>
      <c r="AI124"/>
      <c r="AJ124"/>
      <c r="AK124"/>
      <c r="AL124"/>
      <c r="AM124"/>
      <c r="AN124"/>
      <c r="AO124"/>
      <c r="AP124"/>
      <c r="AQ124"/>
      <c r="AR124"/>
      <c r="AS124"/>
      <c r="AT124"/>
      <c r="AU124"/>
      <c r="AV124"/>
      <c r="AW124"/>
      <c r="AX124"/>
      <c r="AY124"/>
      <c r="AZ124"/>
    </row>
    <row r="125" ht="15.6" spans="2:52">
      <c r="F125" s="80" t="s">
        <v>615</v>
      </c>
      <c r="G125" s="99">
        <v>0</v>
      </c>
      <c r="H125" s="99">
        <v>0</v>
      </c>
      <c r="I125" s="99">
        <v>0</v>
      </c>
      <c r="J125"/>
      <c r="K125"/>
      <c r="L125"/>
      <c r="O125" s="80" t="s">
        <v>2903</v>
      </c>
      <c r="P125" s="80" t="s">
        <v>4487</v>
      </c>
      <c r="Q125" s="80" t="s">
        <v>635</v>
      </c>
      <c r="R125" s="80">
        <v>0</v>
      </c>
      <c r="S125" s="80" t="s">
        <v>1281</v>
      </c>
      <c r="T125" s="100">
        <v>1.5</v>
      </c>
      <c r="U125" s="100">
        <v>0</v>
      </c>
      <c r="V125" s="100">
        <v>0</v>
      </c>
      <c r="W125" s="100">
        <v>0</v>
      </c>
      <c r="X125"/>
      <c r="Y125"/>
      <c r="Z125"/>
      <c r="AA125"/>
      <c r="AB125"/>
      <c r="AC125"/>
      <c r="AD125"/>
      <c r="AE125"/>
      <c r="AF125"/>
      <c r="AG125"/>
      <c r="AH125"/>
      <c r="AI125"/>
      <c r="AJ125"/>
      <c r="AK125"/>
      <c r="AL125"/>
      <c r="AM125"/>
      <c r="AN125"/>
      <c r="AO125"/>
      <c r="AP125"/>
      <c r="AQ125"/>
      <c r="AR125"/>
      <c r="AS125"/>
      <c r="AT125"/>
      <c r="AU125"/>
      <c r="AV125"/>
      <c r="AW125"/>
      <c r="AX125"/>
      <c r="AY125"/>
      <c r="AZ125"/>
    </row>
    <row r="126" ht="15.6" spans="2:52">
      <c r="B126" s="80" t="s">
        <v>4488</v>
      </c>
      <c r="G126" s="99">
        <v>0</v>
      </c>
      <c r="H126" s="99">
        <v>0</v>
      </c>
      <c r="I126" s="99">
        <v>0</v>
      </c>
      <c r="J126"/>
      <c r="K126"/>
      <c r="L126"/>
      <c r="O126" s="80" t="s">
        <v>2905</v>
      </c>
      <c r="P126" s="80" t="s">
        <v>4489</v>
      </c>
      <c r="Q126" s="80" t="s">
        <v>635</v>
      </c>
      <c r="R126" s="80">
        <v>0</v>
      </c>
      <c r="S126" s="80" t="s">
        <v>1281</v>
      </c>
      <c r="T126" s="100">
        <v>1.5</v>
      </c>
      <c r="U126" s="100">
        <v>0</v>
      </c>
      <c r="V126" s="100">
        <v>0</v>
      </c>
      <c r="W126" s="100">
        <v>0</v>
      </c>
      <c r="X126"/>
      <c r="Y126"/>
      <c r="Z126"/>
      <c r="AA126"/>
      <c r="AB126"/>
      <c r="AC126"/>
      <c r="AD126"/>
      <c r="AE126"/>
      <c r="AF126"/>
      <c r="AG126"/>
      <c r="AH126"/>
      <c r="AI126"/>
      <c r="AJ126"/>
      <c r="AK126"/>
      <c r="AL126"/>
      <c r="AM126"/>
      <c r="AN126"/>
      <c r="AO126"/>
      <c r="AP126"/>
      <c r="AQ126"/>
      <c r="AR126"/>
      <c r="AS126"/>
      <c r="AT126"/>
      <c r="AU126"/>
      <c r="AV126"/>
      <c r="AW126"/>
      <c r="AX126"/>
      <c r="AY126"/>
      <c r="AZ126"/>
    </row>
    <row r="127" ht="15.6" spans="2:52">
      <c r="B127" s="80" t="s">
        <v>159</v>
      </c>
      <c r="C127" s="80" t="s">
        <v>160</v>
      </c>
      <c r="D127" s="80">
        <v>0</v>
      </c>
      <c r="E127" s="80" t="s">
        <v>1178</v>
      </c>
      <c r="F127" s="80" t="s">
        <v>631</v>
      </c>
      <c r="G127" s="99">
        <v>0</v>
      </c>
      <c r="H127" s="99">
        <v>0</v>
      </c>
      <c r="I127" s="99">
        <v>0</v>
      </c>
      <c r="J127"/>
      <c r="K127"/>
      <c r="L127"/>
      <c r="O127" s="80" t="s">
        <v>1246</v>
      </c>
      <c r="P127" s="80" t="s">
        <v>4490</v>
      </c>
      <c r="Q127" s="80" t="s">
        <v>638</v>
      </c>
      <c r="R127" s="80">
        <v>0</v>
      </c>
      <c r="S127" s="80" t="s">
        <v>1178</v>
      </c>
      <c r="T127" s="100">
        <v>6</v>
      </c>
      <c r="U127" s="100">
        <v>0</v>
      </c>
      <c r="V127" s="100">
        <v>0</v>
      </c>
      <c r="W127" s="100">
        <v>0</v>
      </c>
      <c r="X127"/>
      <c r="Y127"/>
      <c r="Z127"/>
      <c r="AA127"/>
      <c r="AB127"/>
      <c r="AC127"/>
      <c r="AD127"/>
      <c r="AE127"/>
      <c r="AF127"/>
      <c r="AG127"/>
      <c r="AH127"/>
      <c r="AI127"/>
      <c r="AJ127"/>
      <c r="AK127"/>
      <c r="AL127"/>
      <c r="AM127"/>
      <c r="AN127"/>
      <c r="AO127"/>
      <c r="AP127"/>
      <c r="AQ127"/>
      <c r="AR127"/>
      <c r="AS127"/>
      <c r="AT127"/>
      <c r="AU127"/>
      <c r="AV127"/>
      <c r="AW127"/>
      <c r="AX127"/>
      <c r="AY127"/>
      <c r="AZ127"/>
    </row>
    <row r="128" ht="15.6" spans="2:52">
      <c r="F128" s="80" t="s">
        <v>613</v>
      </c>
      <c r="G128" s="99">
        <v>0</v>
      </c>
      <c r="H128" s="99">
        <v>0</v>
      </c>
      <c r="I128" s="99">
        <v>0</v>
      </c>
      <c r="J128"/>
      <c r="K128"/>
      <c r="L128"/>
      <c r="O128" s="80" t="s">
        <v>2906</v>
      </c>
      <c r="P128" s="80" t="s">
        <v>3301</v>
      </c>
      <c r="Q128" s="80" t="s">
        <v>639</v>
      </c>
      <c r="R128" s="80">
        <v>0</v>
      </c>
      <c r="S128" s="80" t="s">
        <v>1178</v>
      </c>
      <c r="T128" s="100">
        <v>0</v>
      </c>
      <c r="U128" s="100">
        <v>0</v>
      </c>
      <c r="V128" s="100">
        <v>0</v>
      </c>
      <c r="W128" s="100">
        <v>0</v>
      </c>
      <c r="X128"/>
      <c r="Y128"/>
      <c r="Z128"/>
      <c r="AA128"/>
      <c r="AB128"/>
      <c r="AC128"/>
      <c r="AD128"/>
      <c r="AE128"/>
      <c r="AF128"/>
      <c r="AG128"/>
      <c r="AH128"/>
      <c r="AI128"/>
      <c r="AJ128"/>
      <c r="AK128"/>
      <c r="AL128"/>
      <c r="AM128"/>
      <c r="AN128"/>
      <c r="AO128"/>
      <c r="AP128"/>
      <c r="AQ128"/>
      <c r="AR128"/>
      <c r="AS128"/>
      <c r="AT128"/>
      <c r="AU128"/>
      <c r="AV128"/>
      <c r="AW128"/>
      <c r="AX128"/>
      <c r="AY128"/>
      <c r="AZ128"/>
    </row>
    <row r="129" ht="15.6" spans="2:52">
      <c r="F129" s="80" t="s">
        <v>615</v>
      </c>
      <c r="G129" s="99">
        <v>0</v>
      </c>
      <c r="H129" s="99">
        <v>0</v>
      </c>
      <c r="I129" s="99">
        <v>0</v>
      </c>
      <c r="J129"/>
      <c r="K129"/>
      <c r="L129"/>
      <c r="O129" s="80" t="s">
        <v>1247</v>
      </c>
      <c r="P129" s="80" t="s">
        <v>3305</v>
      </c>
      <c r="Q129" s="80" t="s">
        <v>615</v>
      </c>
      <c r="R129" s="80">
        <v>0</v>
      </c>
      <c r="S129" s="80" t="s">
        <v>1178</v>
      </c>
      <c r="T129" s="100">
        <v>1</v>
      </c>
      <c r="U129" s="100">
        <v>0</v>
      </c>
      <c r="V129" s="100">
        <v>0</v>
      </c>
      <c r="W129" s="100">
        <v>0</v>
      </c>
      <c r="X129"/>
      <c r="Y129"/>
      <c r="Z129"/>
      <c r="AA129"/>
      <c r="AB129"/>
      <c r="AC129"/>
      <c r="AD129"/>
      <c r="AE129"/>
      <c r="AF129"/>
      <c r="AG129"/>
      <c r="AH129"/>
      <c r="AI129"/>
      <c r="AJ129"/>
      <c r="AK129"/>
      <c r="AL129"/>
      <c r="AM129"/>
      <c r="AN129"/>
      <c r="AO129"/>
      <c r="AP129"/>
      <c r="AQ129"/>
      <c r="AR129"/>
      <c r="AS129"/>
      <c r="AT129"/>
      <c r="AU129"/>
      <c r="AV129"/>
      <c r="AW129"/>
      <c r="AX129"/>
      <c r="AY129"/>
      <c r="AZ129"/>
    </row>
    <row r="130" ht="15.6" spans="2:52">
      <c r="F130" s="80" t="s">
        <v>617</v>
      </c>
      <c r="G130" s="99">
        <v>0</v>
      </c>
      <c r="H130" s="99">
        <v>0</v>
      </c>
      <c r="I130" s="99">
        <v>0</v>
      </c>
      <c r="J130"/>
      <c r="K130"/>
      <c r="L130"/>
      <c r="Q130" s="80" t="s">
        <v>617</v>
      </c>
      <c r="R130" s="80">
        <v>0</v>
      </c>
      <c r="S130" s="80" t="s">
        <v>1178</v>
      </c>
      <c r="T130" s="100">
        <v>1</v>
      </c>
      <c r="U130" s="100">
        <v>0</v>
      </c>
      <c r="V130" s="100">
        <v>0</v>
      </c>
      <c r="W130" s="100">
        <v>0</v>
      </c>
      <c r="X130"/>
      <c r="Y130"/>
      <c r="Z130"/>
      <c r="AA130"/>
      <c r="AB130"/>
      <c r="AC130"/>
      <c r="AD130"/>
      <c r="AE130"/>
      <c r="AF130"/>
      <c r="AG130"/>
      <c r="AH130"/>
      <c r="AI130"/>
      <c r="AJ130"/>
      <c r="AK130"/>
      <c r="AL130"/>
      <c r="AM130"/>
      <c r="AN130"/>
      <c r="AO130"/>
      <c r="AP130"/>
      <c r="AQ130"/>
      <c r="AR130"/>
      <c r="AS130"/>
      <c r="AT130"/>
      <c r="AU130"/>
      <c r="AV130"/>
      <c r="AW130"/>
      <c r="AX130"/>
      <c r="AY130"/>
      <c r="AZ130"/>
    </row>
    <row r="131" ht="15.6" spans="2:52">
      <c r="F131" s="80" t="s">
        <v>599</v>
      </c>
      <c r="G131" s="99">
        <v>0</v>
      </c>
      <c r="H131" s="99">
        <v>0</v>
      </c>
      <c r="I131" s="99">
        <v>0</v>
      </c>
      <c r="J131"/>
      <c r="K131"/>
      <c r="L131"/>
      <c r="Q131" s="80" t="s">
        <v>599</v>
      </c>
      <c r="R131" s="80">
        <v>0</v>
      </c>
      <c r="S131" s="80" t="s">
        <v>1178</v>
      </c>
      <c r="T131" s="100">
        <v>2</v>
      </c>
      <c r="U131" s="100">
        <v>0</v>
      </c>
      <c r="V131" s="100">
        <v>0</v>
      </c>
      <c r="W131" s="100">
        <v>0</v>
      </c>
      <c r="X131"/>
      <c r="Y131"/>
      <c r="Z131"/>
      <c r="AA131"/>
      <c r="AB131"/>
      <c r="AC131"/>
      <c r="AD131"/>
      <c r="AE131"/>
      <c r="AF131"/>
      <c r="AG131"/>
      <c r="AH131"/>
      <c r="AI131"/>
      <c r="AJ131"/>
      <c r="AK131"/>
      <c r="AL131"/>
      <c r="AM131"/>
      <c r="AN131"/>
      <c r="AO131"/>
      <c r="AP131"/>
      <c r="AQ131"/>
      <c r="AR131"/>
      <c r="AS131"/>
      <c r="AT131"/>
      <c r="AU131"/>
      <c r="AV131"/>
      <c r="AW131"/>
      <c r="AX131"/>
      <c r="AY131"/>
      <c r="AZ131"/>
    </row>
    <row r="132" ht="15.6" spans="2:52">
      <c r="F132" s="80" t="s">
        <v>638</v>
      </c>
      <c r="G132" s="99">
        <v>0</v>
      </c>
      <c r="H132" s="99">
        <v>0</v>
      </c>
      <c r="I132" s="99">
        <v>0</v>
      </c>
      <c r="J132"/>
      <c r="K132"/>
      <c r="L132"/>
      <c r="M132" s="80" t="s">
        <v>161</v>
      </c>
      <c r="N132" s="80" t="s">
        <v>162</v>
      </c>
      <c r="O132" s="80" t="s">
        <v>1248</v>
      </c>
      <c r="P132" s="80" t="s">
        <v>3309</v>
      </c>
      <c r="Q132" s="80" t="s">
        <v>595</v>
      </c>
      <c r="R132" s="80">
        <v>0</v>
      </c>
      <c r="S132" s="80" t="s">
        <v>1178</v>
      </c>
      <c r="T132" s="100">
        <v>0</v>
      </c>
      <c r="U132" s="100">
        <v>0</v>
      </c>
      <c r="V132" s="100">
        <v>0</v>
      </c>
      <c r="W132" s="100">
        <v>0</v>
      </c>
      <c r="X132"/>
      <c r="Y132"/>
      <c r="Z132"/>
      <c r="AA132"/>
      <c r="AB132"/>
      <c r="AC132"/>
      <c r="AD132"/>
      <c r="AE132"/>
      <c r="AF132"/>
      <c r="AG132"/>
      <c r="AH132"/>
      <c r="AI132"/>
      <c r="AJ132"/>
      <c r="AK132"/>
      <c r="AL132"/>
      <c r="AM132"/>
      <c r="AN132"/>
      <c r="AO132"/>
      <c r="AP132"/>
      <c r="AQ132"/>
      <c r="AR132"/>
      <c r="AS132"/>
      <c r="AT132"/>
      <c r="AU132"/>
      <c r="AV132"/>
      <c r="AW132"/>
      <c r="AX132"/>
      <c r="AY132"/>
      <c r="AZ132"/>
    </row>
    <row r="133" ht="15.6" spans="2:52">
      <c r="F133" s="80" t="s">
        <v>635</v>
      </c>
      <c r="G133" s="99">
        <v>0</v>
      </c>
      <c r="H133" s="99">
        <v>0</v>
      </c>
      <c r="I133" s="99">
        <v>0</v>
      </c>
      <c r="J133"/>
      <c r="K133"/>
      <c r="L133"/>
      <c r="Q133" s="80" t="s">
        <v>597</v>
      </c>
      <c r="R133" s="80">
        <v>0</v>
      </c>
      <c r="S133" s="80" t="s">
        <v>1178</v>
      </c>
      <c r="T133" s="100">
        <v>4</v>
      </c>
      <c r="U133" s="100">
        <v>0</v>
      </c>
      <c r="V133" s="100">
        <v>0</v>
      </c>
      <c r="W133" s="100">
        <v>0</v>
      </c>
      <c r="X133"/>
      <c r="Y133"/>
      <c r="Z133"/>
      <c r="AA133"/>
      <c r="AB133"/>
      <c r="AC133"/>
      <c r="AD133"/>
      <c r="AE133"/>
      <c r="AF133"/>
      <c r="AG133"/>
      <c r="AH133"/>
      <c r="AI133"/>
      <c r="AJ133"/>
      <c r="AK133"/>
      <c r="AL133"/>
      <c r="AM133"/>
      <c r="AN133"/>
      <c r="AO133"/>
      <c r="AP133"/>
      <c r="AQ133"/>
      <c r="AR133"/>
      <c r="AS133"/>
      <c r="AT133"/>
      <c r="AU133"/>
      <c r="AV133"/>
      <c r="AW133"/>
      <c r="AX133"/>
      <c r="AY133"/>
      <c r="AZ133"/>
    </row>
    <row r="134" ht="15.6" spans="2:52">
      <c r="F134" s="80" t="s">
        <v>639</v>
      </c>
      <c r="G134" s="99">
        <v>0</v>
      </c>
      <c r="H134" s="99">
        <v>0</v>
      </c>
      <c r="I134" s="99">
        <v>0</v>
      </c>
      <c r="J134"/>
      <c r="K134"/>
      <c r="L134"/>
      <c r="Q134" s="80" t="s">
        <v>615</v>
      </c>
      <c r="R134" s="80">
        <v>0</v>
      </c>
      <c r="S134" s="80" t="s">
        <v>1178</v>
      </c>
      <c r="T134" s="100">
        <v>2</v>
      </c>
      <c r="U134" s="100">
        <v>0</v>
      </c>
      <c r="V134" s="100">
        <v>0</v>
      </c>
      <c r="W134" s="100">
        <v>0</v>
      </c>
      <c r="X134"/>
      <c r="Y134"/>
      <c r="Z134"/>
      <c r="AA134"/>
      <c r="AB134"/>
      <c r="AC134"/>
      <c r="AD134"/>
      <c r="AE134"/>
      <c r="AF134"/>
      <c r="AG134"/>
      <c r="AH134"/>
      <c r="AI134"/>
      <c r="AJ134"/>
      <c r="AK134"/>
      <c r="AL134"/>
      <c r="AM134"/>
      <c r="AN134"/>
      <c r="AO134"/>
      <c r="AP134"/>
      <c r="AQ134"/>
      <c r="AR134"/>
      <c r="AS134"/>
      <c r="AT134"/>
      <c r="AU134"/>
      <c r="AV134"/>
      <c r="AW134"/>
      <c r="AX134"/>
      <c r="AY134"/>
      <c r="AZ134"/>
    </row>
    <row r="135" ht="15.6" spans="2:52">
      <c r="B135" s="80" t="s">
        <v>4491</v>
      </c>
      <c r="G135" s="99">
        <v>0</v>
      </c>
      <c r="H135" s="99">
        <v>0</v>
      </c>
      <c r="I135" s="99">
        <v>0</v>
      </c>
      <c r="J135"/>
      <c r="K135"/>
      <c r="L135"/>
      <c r="Q135" s="80" t="s">
        <v>599</v>
      </c>
      <c r="R135" s="80">
        <v>0</v>
      </c>
      <c r="S135" s="80" t="s">
        <v>1178</v>
      </c>
      <c r="T135" s="100">
        <v>4</v>
      </c>
      <c r="U135" s="100">
        <v>0</v>
      </c>
      <c r="V135" s="100">
        <v>0</v>
      </c>
      <c r="W135" s="100">
        <v>0</v>
      </c>
      <c r="X135"/>
      <c r="Y135"/>
      <c r="Z135"/>
      <c r="AA135"/>
      <c r="AB135"/>
      <c r="AC135"/>
      <c r="AD135"/>
      <c r="AE135"/>
      <c r="AF135"/>
      <c r="AG135"/>
      <c r="AH135"/>
      <c r="AI135"/>
      <c r="AJ135"/>
      <c r="AK135"/>
      <c r="AL135"/>
      <c r="AM135"/>
      <c r="AN135"/>
      <c r="AO135"/>
      <c r="AP135"/>
      <c r="AQ135"/>
      <c r="AR135"/>
      <c r="AS135"/>
      <c r="AT135"/>
      <c r="AU135"/>
      <c r="AV135"/>
      <c r="AW135"/>
      <c r="AX135"/>
      <c r="AY135"/>
      <c r="AZ135"/>
    </row>
    <row r="136" ht="15.6" spans="2:52">
      <c r="B136" s="80" t="s">
        <v>161</v>
      </c>
      <c r="C136" s="80" t="s">
        <v>162</v>
      </c>
      <c r="D136" s="80">
        <v>0</v>
      </c>
      <c r="E136" s="80" t="s">
        <v>1178</v>
      </c>
      <c r="F136" s="80" t="s">
        <v>595</v>
      </c>
      <c r="G136" s="99">
        <v>0</v>
      </c>
      <c r="H136" s="99">
        <v>0</v>
      </c>
      <c r="I136" s="99">
        <v>0</v>
      </c>
      <c r="J136"/>
      <c r="K136"/>
      <c r="L136"/>
      <c r="O136" s="80" t="s">
        <v>1249</v>
      </c>
      <c r="P136" s="80" t="s">
        <v>3313</v>
      </c>
      <c r="Q136" s="80" t="s">
        <v>595</v>
      </c>
      <c r="R136" s="80">
        <v>0</v>
      </c>
      <c r="S136" s="80" t="s">
        <v>1178</v>
      </c>
      <c r="T136" s="100">
        <v>0</v>
      </c>
      <c r="U136" s="100">
        <v>0</v>
      </c>
      <c r="V136" s="100">
        <v>0</v>
      </c>
      <c r="W136" s="100">
        <v>0</v>
      </c>
      <c r="X136"/>
      <c r="Y136"/>
      <c r="Z136"/>
      <c r="AA136"/>
      <c r="AB136"/>
      <c r="AC136"/>
      <c r="AD136"/>
      <c r="AE136"/>
      <c r="AF136"/>
      <c r="AG136"/>
      <c r="AH136"/>
      <c r="AI136"/>
      <c r="AJ136"/>
      <c r="AK136"/>
      <c r="AL136"/>
      <c r="AM136"/>
      <c r="AN136"/>
      <c r="AO136"/>
      <c r="AP136"/>
      <c r="AQ136"/>
      <c r="AR136"/>
      <c r="AS136"/>
      <c r="AT136"/>
      <c r="AU136"/>
      <c r="AV136"/>
      <c r="AW136"/>
      <c r="AX136"/>
      <c r="AY136"/>
      <c r="AZ136"/>
    </row>
    <row r="137" ht="15.6" spans="2:52">
      <c r="F137" s="80" t="s">
        <v>597</v>
      </c>
      <c r="G137" s="99">
        <v>0</v>
      </c>
      <c r="H137" s="99">
        <v>0</v>
      </c>
      <c r="I137" s="99">
        <v>0</v>
      </c>
      <c r="J137"/>
      <c r="K137"/>
      <c r="L137"/>
      <c r="Q137" s="80" t="s">
        <v>597</v>
      </c>
      <c r="R137" s="80">
        <v>0</v>
      </c>
      <c r="S137" s="80" t="s">
        <v>1178</v>
      </c>
      <c r="T137" s="100">
        <v>0</v>
      </c>
      <c r="U137" s="100">
        <v>0</v>
      </c>
      <c r="V137" s="100">
        <v>0</v>
      </c>
      <c r="W137" s="100">
        <v>0</v>
      </c>
      <c r="X137"/>
      <c r="Y137"/>
      <c r="Z137"/>
      <c r="AA137"/>
      <c r="AB137"/>
      <c r="AC137"/>
      <c r="AD137"/>
      <c r="AE137"/>
      <c r="AF137"/>
      <c r="AG137"/>
      <c r="AH137"/>
      <c r="AI137"/>
      <c r="AJ137"/>
      <c r="AK137"/>
      <c r="AL137"/>
      <c r="AM137"/>
      <c r="AN137"/>
      <c r="AO137"/>
      <c r="AP137"/>
      <c r="AQ137"/>
      <c r="AR137"/>
      <c r="AS137"/>
      <c r="AT137"/>
      <c r="AU137"/>
      <c r="AV137"/>
      <c r="AW137"/>
      <c r="AX137"/>
      <c r="AY137"/>
      <c r="AZ137"/>
    </row>
    <row r="138" ht="15.6" spans="2:52">
      <c r="F138" s="80" t="s">
        <v>615</v>
      </c>
      <c r="G138" s="99">
        <v>0</v>
      </c>
      <c r="H138" s="99">
        <v>0</v>
      </c>
      <c r="I138" s="99">
        <v>0</v>
      </c>
      <c r="J138"/>
      <c r="K138"/>
      <c r="L138"/>
      <c r="Q138" s="80" t="s">
        <v>615</v>
      </c>
      <c r="R138" s="80">
        <v>0</v>
      </c>
      <c r="S138" s="80" t="s">
        <v>1178</v>
      </c>
      <c r="T138" s="100">
        <v>2</v>
      </c>
      <c r="U138" s="100">
        <v>0</v>
      </c>
      <c r="V138" s="100">
        <v>0</v>
      </c>
      <c r="W138" s="100">
        <v>0</v>
      </c>
      <c r="X138"/>
      <c r="Y138"/>
      <c r="Z138"/>
      <c r="AA138"/>
      <c r="AB138"/>
      <c r="AC138"/>
      <c r="AD138"/>
      <c r="AE138"/>
      <c r="AF138"/>
      <c r="AG138"/>
      <c r="AH138"/>
      <c r="AI138"/>
      <c r="AJ138"/>
      <c r="AK138"/>
      <c r="AL138"/>
      <c r="AM138"/>
      <c r="AN138"/>
      <c r="AO138"/>
      <c r="AP138"/>
      <c r="AQ138"/>
      <c r="AR138"/>
      <c r="AS138"/>
      <c r="AT138"/>
      <c r="AU138"/>
      <c r="AV138"/>
      <c r="AW138"/>
      <c r="AX138"/>
      <c r="AY138"/>
      <c r="AZ138"/>
    </row>
    <row r="139" ht="15.6" spans="2:52">
      <c r="F139" s="80" t="s">
        <v>599</v>
      </c>
      <c r="G139" s="99">
        <v>0</v>
      </c>
      <c r="H139" s="99">
        <v>0</v>
      </c>
      <c r="I139" s="99">
        <v>0</v>
      </c>
      <c r="J139"/>
      <c r="K139"/>
      <c r="L139"/>
      <c r="Q139" s="80" t="s">
        <v>599</v>
      </c>
      <c r="R139" s="80">
        <v>0</v>
      </c>
      <c r="S139" s="80" t="s">
        <v>1178</v>
      </c>
      <c r="T139" s="100">
        <v>8</v>
      </c>
      <c r="U139" s="100">
        <v>0</v>
      </c>
      <c r="V139" s="100">
        <v>0</v>
      </c>
      <c r="W139" s="100">
        <v>0</v>
      </c>
      <c r="X139"/>
      <c r="Y139"/>
      <c r="Z139"/>
      <c r="AA139"/>
      <c r="AB139"/>
      <c r="AC139"/>
      <c r="AD139"/>
      <c r="AE139"/>
      <c r="AF139"/>
      <c r="AG139"/>
      <c r="AH139"/>
      <c r="AI139"/>
      <c r="AJ139"/>
      <c r="AK139"/>
      <c r="AL139"/>
      <c r="AM139"/>
      <c r="AN139"/>
      <c r="AO139"/>
      <c r="AP139"/>
      <c r="AQ139"/>
      <c r="AR139"/>
      <c r="AS139"/>
      <c r="AT139"/>
      <c r="AU139"/>
      <c r="AV139"/>
      <c r="AW139"/>
      <c r="AX139"/>
      <c r="AY139"/>
      <c r="AZ139"/>
    </row>
    <row r="140" ht="15.6" spans="2:52">
      <c r="B140" s="80" t="s">
        <v>4492</v>
      </c>
      <c r="G140" s="99">
        <v>0</v>
      </c>
      <c r="H140" s="99">
        <v>0</v>
      </c>
      <c r="I140" s="99">
        <v>0</v>
      </c>
      <c r="J140"/>
      <c r="K140"/>
      <c r="L140"/>
      <c r="M140" s="80" t="s">
        <v>163</v>
      </c>
      <c r="N140" s="80" t="s">
        <v>164</v>
      </c>
      <c r="O140" s="80" t="s">
        <v>1250</v>
      </c>
      <c r="P140" s="80" t="s">
        <v>3316</v>
      </c>
      <c r="Q140" s="80" t="s">
        <v>595</v>
      </c>
      <c r="R140" s="80">
        <v>0</v>
      </c>
      <c r="S140" s="80" t="s">
        <v>1178</v>
      </c>
      <c r="T140" s="100">
        <v>0</v>
      </c>
      <c r="U140" s="100">
        <v>0</v>
      </c>
      <c r="V140" s="100">
        <v>0</v>
      </c>
      <c r="W140" s="100">
        <v>0</v>
      </c>
      <c r="X140"/>
      <c r="Y140"/>
      <c r="Z140"/>
      <c r="AA140"/>
      <c r="AB140"/>
      <c r="AC140"/>
      <c r="AD140"/>
      <c r="AE140"/>
      <c r="AF140"/>
      <c r="AG140"/>
      <c r="AH140"/>
      <c r="AI140"/>
      <c r="AJ140"/>
      <c r="AK140"/>
      <c r="AL140"/>
      <c r="AM140"/>
      <c r="AN140"/>
      <c r="AO140"/>
      <c r="AP140"/>
      <c r="AQ140"/>
      <c r="AR140"/>
      <c r="AS140"/>
      <c r="AT140"/>
      <c r="AU140"/>
      <c r="AV140"/>
      <c r="AW140"/>
      <c r="AX140"/>
      <c r="AY140"/>
      <c r="AZ140"/>
    </row>
    <row r="141" ht="15.6" spans="2:52">
      <c r="B141" s="80" t="s">
        <v>163</v>
      </c>
      <c r="C141" s="80" t="s">
        <v>164</v>
      </c>
      <c r="D141" s="80">
        <v>0</v>
      </c>
      <c r="E141" s="80" t="s">
        <v>1178</v>
      </c>
      <c r="F141" s="80" t="s">
        <v>595</v>
      </c>
      <c r="G141" s="99">
        <v>0</v>
      </c>
      <c r="H141" s="99">
        <v>0</v>
      </c>
      <c r="I141" s="99">
        <v>0</v>
      </c>
      <c r="J141"/>
      <c r="K141"/>
      <c r="L141"/>
      <c r="Q141" s="80" t="s">
        <v>597</v>
      </c>
      <c r="R141" s="80">
        <v>0</v>
      </c>
      <c r="S141" s="80" t="s">
        <v>1178</v>
      </c>
      <c r="T141" s="100">
        <v>4</v>
      </c>
      <c r="U141" s="100">
        <v>0</v>
      </c>
      <c r="V141" s="100">
        <v>0</v>
      </c>
      <c r="W141" s="100">
        <v>0</v>
      </c>
      <c r="X141"/>
      <c r="Y141"/>
      <c r="Z141"/>
      <c r="AA141"/>
      <c r="AB141"/>
      <c r="AC141"/>
      <c r="AD141"/>
      <c r="AE141"/>
      <c r="AF141"/>
      <c r="AG141"/>
      <c r="AH141"/>
      <c r="AI141"/>
      <c r="AJ141"/>
      <c r="AK141"/>
      <c r="AL141"/>
      <c r="AM141"/>
      <c r="AN141"/>
      <c r="AO141"/>
      <c r="AP141"/>
      <c r="AQ141"/>
      <c r="AR141"/>
      <c r="AS141"/>
      <c r="AT141"/>
      <c r="AU141"/>
      <c r="AV141"/>
      <c r="AW141"/>
      <c r="AX141"/>
      <c r="AY141"/>
      <c r="AZ141"/>
    </row>
    <row r="142" ht="15.6" spans="2:52">
      <c r="F142" s="80" t="s">
        <v>597</v>
      </c>
      <c r="G142" s="99">
        <v>0</v>
      </c>
      <c r="H142" s="99">
        <v>0</v>
      </c>
      <c r="I142" s="99">
        <v>0</v>
      </c>
      <c r="J142"/>
      <c r="K142"/>
      <c r="L142"/>
      <c r="Q142" s="80" t="s">
        <v>615</v>
      </c>
      <c r="R142" s="80">
        <v>0</v>
      </c>
      <c r="S142" s="80" t="s">
        <v>1178</v>
      </c>
      <c r="T142" s="100">
        <v>2</v>
      </c>
      <c r="U142" s="100">
        <v>0</v>
      </c>
      <c r="V142" s="100">
        <v>0</v>
      </c>
      <c r="W142" s="100">
        <v>0</v>
      </c>
      <c r="X142"/>
      <c r="Y142"/>
      <c r="Z142"/>
      <c r="AA142"/>
      <c r="AB142"/>
      <c r="AC142"/>
      <c r="AD142"/>
      <c r="AE142"/>
      <c r="AF142"/>
      <c r="AG142"/>
      <c r="AH142"/>
      <c r="AI142"/>
      <c r="AJ142"/>
      <c r="AK142"/>
      <c r="AL142"/>
      <c r="AM142"/>
      <c r="AN142"/>
      <c r="AO142"/>
      <c r="AP142"/>
      <c r="AQ142"/>
      <c r="AR142"/>
      <c r="AS142"/>
      <c r="AT142"/>
      <c r="AU142"/>
      <c r="AV142"/>
      <c r="AW142"/>
      <c r="AX142"/>
      <c r="AY142"/>
      <c r="AZ142"/>
    </row>
    <row r="143" ht="15.6" spans="2:52">
      <c r="F143" s="80" t="s">
        <v>613</v>
      </c>
      <c r="G143" s="99">
        <v>0</v>
      </c>
      <c r="H143" s="99">
        <v>0</v>
      </c>
      <c r="I143" s="99">
        <v>0</v>
      </c>
      <c r="J143"/>
      <c r="K143"/>
      <c r="L143"/>
      <c r="Q143" s="80" t="s">
        <v>599</v>
      </c>
      <c r="R143" s="80">
        <v>0</v>
      </c>
      <c r="S143" s="80" t="s">
        <v>1178</v>
      </c>
      <c r="T143" s="100">
        <v>4</v>
      </c>
      <c r="U143" s="100">
        <v>0</v>
      </c>
      <c r="V143" s="100">
        <v>0</v>
      </c>
      <c r="W143" s="100">
        <v>0</v>
      </c>
      <c r="X143"/>
      <c r="Y143"/>
      <c r="Z143"/>
      <c r="AA143"/>
      <c r="AB143"/>
      <c r="AC143"/>
      <c r="AD143"/>
      <c r="AE143"/>
      <c r="AF143"/>
      <c r="AG143"/>
      <c r="AH143"/>
      <c r="AI143"/>
      <c r="AJ143"/>
      <c r="AK143"/>
      <c r="AL143"/>
      <c r="AM143"/>
      <c r="AN143"/>
      <c r="AO143"/>
      <c r="AP143"/>
      <c r="AQ143"/>
      <c r="AR143"/>
      <c r="AS143"/>
      <c r="AT143"/>
      <c r="AU143"/>
      <c r="AV143"/>
      <c r="AW143"/>
      <c r="AX143"/>
      <c r="AY143"/>
      <c r="AZ143"/>
    </row>
    <row r="144" ht="15.6" spans="2:52">
      <c r="F144" s="80" t="s">
        <v>615</v>
      </c>
      <c r="G144" s="99">
        <v>0</v>
      </c>
      <c r="H144" s="99">
        <v>0</v>
      </c>
      <c r="I144" s="99">
        <v>0</v>
      </c>
      <c r="J144"/>
      <c r="K144"/>
      <c r="L144"/>
      <c r="O144" s="80" t="s">
        <v>1251</v>
      </c>
      <c r="P144" s="80" t="s">
        <v>3319</v>
      </c>
      <c r="Q144" s="80" t="s">
        <v>595</v>
      </c>
      <c r="R144" s="80">
        <v>0</v>
      </c>
      <c r="S144" s="80" t="s">
        <v>1178</v>
      </c>
      <c r="T144" s="100">
        <v>0</v>
      </c>
      <c r="U144" s="100">
        <v>0</v>
      </c>
      <c r="V144" s="100">
        <v>0</v>
      </c>
      <c r="W144" s="100">
        <v>0</v>
      </c>
      <c r="X144"/>
      <c r="Y144"/>
      <c r="Z144"/>
      <c r="AA144"/>
      <c r="AB144"/>
      <c r="AC144"/>
      <c r="AD144"/>
      <c r="AE144"/>
      <c r="AF144"/>
      <c r="AG144"/>
      <c r="AH144"/>
      <c r="AI144"/>
      <c r="AJ144"/>
      <c r="AK144"/>
      <c r="AL144"/>
      <c r="AM144"/>
      <c r="AN144"/>
      <c r="AO144"/>
      <c r="AP144"/>
      <c r="AQ144"/>
      <c r="AR144"/>
      <c r="AS144"/>
      <c r="AT144"/>
      <c r="AU144"/>
      <c r="AV144"/>
      <c r="AW144"/>
      <c r="AX144"/>
      <c r="AY144"/>
      <c r="AZ144"/>
    </row>
    <row r="145" ht="15.6" spans="2:52">
      <c r="F145" s="80" t="s">
        <v>599</v>
      </c>
      <c r="G145" s="99">
        <v>0</v>
      </c>
      <c r="H145" s="99">
        <v>0</v>
      </c>
      <c r="I145" s="99">
        <v>0</v>
      </c>
      <c r="J145"/>
      <c r="K145"/>
      <c r="L145"/>
      <c r="Q145" s="80" t="s">
        <v>597</v>
      </c>
      <c r="R145" s="80">
        <v>0</v>
      </c>
      <c r="S145" s="80" t="s">
        <v>1178</v>
      </c>
      <c r="T145" s="100">
        <v>0</v>
      </c>
      <c r="U145" s="100">
        <v>0</v>
      </c>
      <c r="V145" s="100">
        <v>0</v>
      </c>
      <c r="W145" s="100">
        <v>0</v>
      </c>
      <c r="X145"/>
      <c r="Y145"/>
      <c r="Z145"/>
      <c r="AA145"/>
      <c r="AB145"/>
      <c r="AC145"/>
      <c r="AD145"/>
      <c r="AE145"/>
      <c r="AF145"/>
      <c r="AG145"/>
      <c r="AH145"/>
      <c r="AI145"/>
      <c r="AJ145"/>
      <c r="AK145"/>
      <c r="AL145"/>
      <c r="AM145"/>
      <c r="AN145"/>
      <c r="AO145"/>
      <c r="AP145"/>
      <c r="AQ145"/>
      <c r="AR145"/>
      <c r="AS145"/>
      <c r="AT145"/>
      <c r="AU145"/>
      <c r="AV145"/>
      <c r="AW145"/>
      <c r="AX145"/>
      <c r="AY145"/>
      <c r="AZ145"/>
    </row>
    <row r="146" ht="15.6" spans="2:52">
      <c r="B146" s="80" t="s">
        <v>4493</v>
      </c>
      <c r="G146" s="99">
        <v>0</v>
      </c>
      <c r="H146" s="99">
        <v>0</v>
      </c>
      <c r="I146" s="99">
        <v>0</v>
      </c>
      <c r="J146"/>
      <c r="K146"/>
      <c r="L146"/>
      <c r="Q146" s="80" t="s">
        <v>613</v>
      </c>
      <c r="R146" s="80">
        <v>0</v>
      </c>
      <c r="S146" s="80" t="s">
        <v>1178</v>
      </c>
      <c r="T146" s="100">
        <v>1</v>
      </c>
      <c r="U146" s="100">
        <v>0</v>
      </c>
      <c r="V146" s="100">
        <v>0</v>
      </c>
      <c r="W146" s="100">
        <v>0</v>
      </c>
      <c r="X146"/>
      <c r="Y146"/>
      <c r="Z146"/>
      <c r="AA146"/>
      <c r="AB146"/>
      <c r="AC146"/>
      <c r="AD146"/>
      <c r="AE146"/>
      <c r="AF146"/>
      <c r="AG146"/>
      <c r="AH146"/>
      <c r="AI146"/>
      <c r="AJ146"/>
      <c r="AK146"/>
      <c r="AL146"/>
      <c r="AM146"/>
      <c r="AN146"/>
      <c r="AO146"/>
      <c r="AP146"/>
      <c r="AQ146"/>
      <c r="AR146"/>
      <c r="AS146"/>
      <c r="AT146"/>
      <c r="AU146"/>
      <c r="AV146"/>
      <c r="AW146"/>
      <c r="AX146"/>
      <c r="AY146"/>
      <c r="AZ146"/>
    </row>
    <row r="147" ht="15.6" spans="2:52">
      <c r="B147" s="80" t="s">
        <v>165</v>
      </c>
      <c r="C147" s="80" t="s">
        <v>166</v>
      </c>
      <c r="D147" s="80">
        <v>0</v>
      </c>
      <c r="E147" s="80" t="s">
        <v>1176</v>
      </c>
      <c r="F147" s="80" t="s">
        <v>595</v>
      </c>
      <c r="G147" s="99">
        <v>0</v>
      </c>
      <c r="H147" s="99">
        <v>0</v>
      </c>
      <c r="I147" s="99">
        <v>0</v>
      </c>
      <c r="J147"/>
      <c r="K147"/>
      <c r="L147"/>
      <c r="Q147" s="80" t="s">
        <v>615</v>
      </c>
      <c r="R147" s="80">
        <v>0</v>
      </c>
      <c r="S147" s="80" t="s">
        <v>1178</v>
      </c>
      <c r="T147" s="100">
        <v>1</v>
      </c>
      <c r="U147" s="100">
        <v>0</v>
      </c>
      <c r="V147" s="100">
        <v>0</v>
      </c>
      <c r="W147" s="100">
        <v>0</v>
      </c>
      <c r="X147"/>
      <c r="Y147"/>
      <c r="Z147"/>
      <c r="AA147"/>
      <c r="AB147"/>
      <c r="AC147"/>
      <c r="AD147"/>
      <c r="AE147"/>
      <c r="AF147"/>
      <c r="AG147"/>
      <c r="AH147"/>
      <c r="AI147"/>
      <c r="AJ147"/>
      <c r="AK147"/>
      <c r="AL147"/>
      <c r="AM147"/>
      <c r="AN147"/>
      <c r="AO147"/>
      <c r="AP147"/>
      <c r="AQ147"/>
      <c r="AR147"/>
      <c r="AS147"/>
      <c r="AT147"/>
      <c r="AU147"/>
      <c r="AV147"/>
      <c r="AW147"/>
      <c r="AX147"/>
      <c r="AY147"/>
      <c r="AZ147"/>
    </row>
    <row r="148" ht="15.6" spans="2:52">
      <c r="F148" s="80" t="s">
        <v>599</v>
      </c>
      <c r="G148" s="99">
        <v>0</v>
      </c>
      <c r="H148" s="99">
        <v>0</v>
      </c>
      <c r="I148" s="99">
        <v>0</v>
      </c>
      <c r="J148"/>
      <c r="K148"/>
      <c r="L148"/>
      <c r="Q148" s="80" t="s">
        <v>599</v>
      </c>
      <c r="R148" s="80">
        <v>0</v>
      </c>
      <c r="S148" s="80" t="s">
        <v>1178</v>
      </c>
      <c r="T148" s="100">
        <v>8</v>
      </c>
      <c r="U148" s="100">
        <v>0</v>
      </c>
      <c r="V148" s="100">
        <v>0</v>
      </c>
      <c r="W148" s="100">
        <v>0</v>
      </c>
      <c r="X148"/>
      <c r="Y148"/>
      <c r="Z148"/>
      <c r="AA148"/>
      <c r="AB148"/>
      <c r="AC148"/>
      <c r="AD148"/>
      <c r="AE148"/>
      <c r="AF148"/>
      <c r="AG148"/>
      <c r="AH148"/>
      <c r="AI148"/>
      <c r="AJ148"/>
      <c r="AK148"/>
      <c r="AL148"/>
      <c r="AM148"/>
      <c r="AN148"/>
      <c r="AO148"/>
      <c r="AP148"/>
      <c r="AQ148"/>
      <c r="AR148"/>
      <c r="AS148"/>
      <c r="AT148"/>
      <c r="AU148"/>
      <c r="AV148"/>
      <c r="AW148"/>
      <c r="AX148"/>
      <c r="AY148"/>
      <c r="AZ148"/>
    </row>
    <row r="149" ht="15.6" spans="2:52">
      <c r="B149" s="80" t="s">
        <v>4494</v>
      </c>
      <c r="G149" s="99">
        <v>0</v>
      </c>
      <c r="H149" s="99">
        <v>0</v>
      </c>
      <c r="I149" s="99">
        <v>0</v>
      </c>
      <c r="J149"/>
      <c r="K149"/>
      <c r="L149"/>
      <c r="M149" s="80" t="s">
        <v>165</v>
      </c>
      <c r="N149" s="80" t="s">
        <v>166</v>
      </c>
      <c r="O149" s="80" t="s">
        <v>3321</v>
      </c>
      <c r="P149" s="80" t="s">
        <v>3322</v>
      </c>
      <c r="Q149" s="80" t="s">
        <v>599</v>
      </c>
      <c r="R149" s="80">
        <v>0</v>
      </c>
      <c r="S149" s="80" t="s">
        <v>1178</v>
      </c>
      <c r="T149" s="100">
        <v>4</v>
      </c>
      <c r="U149" s="100">
        <v>0</v>
      </c>
      <c r="V149" s="100">
        <v>0</v>
      </c>
      <c r="W149" s="100">
        <v>0</v>
      </c>
      <c r="X149"/>
      <c r="Y149"/>
      <c r="Z149"/>
      <c r="AA149"/>
      <c r="AB149"/>
      <c r="AC149"/>
      <c r="AD149"/>
      <c r="AE149"/>
      <c r="AF149"/>
      <c r="AG149"/>
      <c r="AH149"/>
      <c r="AI149"/>
      <c r="AJ149"/>
      <c r="AK149"/>
      <c r="AL149"/>
      <c r="AM149"/>
      <c r="AN149"/>
      <c r="AO149"/>
      <c r="AP149"/>
      <c r="AQ149"/>
      <c r="AR149"/>
      <c r="AS149"/>
      <c r="AT149"/>
      <c r="AU149"/>
      <c r="AV149"/>
      <c r="AW149"/>
      <c r="AX149"/>
      <c r="AY149"/>
      <c r="AZ149"/>
    </row>
    <row r="150" ht="15.6" spans="2:52">
      <c r="B150" s="80" t="s">
        <v>167</v>
      </c>
      <c r="C150" s="80" t="s">
        <v>168</v>
      </c>
      <c r="D150" s="80">
        <v>0</v>
      </c>
      <c r="E150" s="80" t="s">
        <v>1178</v>
      </c>
      <c r="F150" s="80" t="s">
        <v>595</v>
      </c>
      <c r="G150" s="99">
        <v>0</v>
      </c>
      <c r="H150" s="99">
        <v>0</v>
      </c>
      <c r="I150" s="99">
        <v>0</v>
      </c>
      <c r="J150"/>
      <c r="K150"/>
      <c r="L150"/>
      <c r="O150" s="80" t="s">
        <v>1252</v>
      </c>
      <c r="P150" s="80" t="s">
        <v>3324</v>
      </c>
      <c r="Q150" s="80" t="s">
        <v>595</v>
      </c>
      <c r="R150" s="80">
        <v>0</v>
      </c>
      <c r="S150" s="80" t="s">
        <v>1178</v>
      </c>
      <c r="T150" s="100">
        <v>4</v>
      </c>
      <c r="U150" s="100">
        <v>0</v>
      </c>
      <c r="V150" s="100">
        <v>0</v>
      </c>
      <c r="W150" s="100">
        <v>0</v>
      </c>
      <c r="X150"/>
      <c r="Y150"/>
      <c r="Z150"/>
      <c r="AA150"/>
      <c r="AB150"/>
      <c r="AC150"/>
      <c r="AD150"/>
      <c r="AE150"/>
      <c r="AF150"/>
      <c r="AG150"/>
      <c r="AH150"/>
      <c r="AI150"/>
      <c r="AJ150"/>
      <c r="AK150"/>
      <c r="AL150"/>
      <c r="AM150"/>
      <c r="AN150"/>
      <c r="AO150"/>
      <c r="AP150"/>
      <c r="AQ150"/>
      <c r="AR150"/>
      <c r="AS150"/>
      <c r="AT150"/>
      <c r="AU150"/>
      <c r="AV150"/>
      <c r="AW150"/>
      <c r="AX150"/>
      <c r="AY150"/>
      <c r="AZ150"/>
    </row>
    <row r="151" ht="15.6" spans="2:52">
      <c r="F151" s="80" t="s">
        <v>599</v>
      </c>
      <c r="G151" s="99">
        <v>0</v>
      </c>
      <c r="H151" s="99">
        <v>0</v>
      </c>
      <c r="I151" s="99">
        <v>0</v>
      </c>
      <c r="J151"/>
      <c r="K151"/>
      <c r="L151"/>
      <c r="O151" s="80" t="s">
        <v>1253</v>
      </c>
      <c r="P151" s="80" t="s">
        <v>3327</v>
      </c>
      <c r="Q151" s="80" t="s">
        <v>599</v>
      </c>
      <c r="R151" s="80">
        <v>0</v>
      </c>
      <c r="S151" s="80" t="s">
        <v>1178</v>
      </c>
      <c r="T151" s="100">
        <v>2</v>
      </c>
      <c r="U151" s="100">
        <v>0</v>
      </c>
      <c r="V151" s="100">
        <v>0</v>
      </c>
      <c r="W151" s="100">
        <v>0</v>
      </c>
      <c r="X151"/>
      <c r="Y151"/>
      <c r="Z151"/>
      <c r="AA151"/>
      <c r="AB151"/>
      <c r="AC151"/>
      <c r="AD151"/>
      <c r="AE151"/>
      <c r="AF151"/>
      <c r="AG151"/>
      <c r="AH151"/>
      <c r="AI151"/>
      <c r="AJ151"/>
      <c r="AK151"/>
      <c r="AL151"/>
      <c r="AM151"/>
      <c r="AN151"/>
      <c r="AO151"/>
      <c r="AP151"/>
      <c r="AQ151"/>
      <c r="AR151"/>
      <c r="AS151"/>
      <c r="AT151"/>
      <c r="AU151"/>
      <c r="AV151"/>
      <c r="AW151"/>
      <c r="AX151"/>
      <c r="AY151"/>
      <c r="AZ151"/>
    </row>
    <row r="152" ht="15.6" spans="2:52">
      <c r="B152" s="80" t="s">
        <v>4495</v>
      </c>
      <c r="G152" s="99">
        <v>0</v>
      </c>
      <c r="H152" s="99">
        <v>0</v>
      </c>
      <c r="I152" s="99">
        <v>0</v>
      </c>
      <c r="J152"/>
      <c r="K152"/>
      <c r="L152"/>
      <c r="O152" s="80" t="s">
        <v>1254</v>
      </c>
      <c r="P152" s="80" t="s">
        <v>3330</v>
      </c>
      <c r="Q152" s="80" t="s">
        <v>595</v>
      </c>
      <c r="R152" s="80">
        <v>0</v>
      </c>
      <c r="S152" s="80" t="s">
        <v>1178</v>
      </c>
      <c r="T152" s="100">
        <v>8</v>
      </c>
      <c r="U152" s="100">
        <v>0</v>
      </c>
      <c r="V152" s="100">
        <v>0</v>
      </c>
      <c r="W152" s="100">
        <v>0</v>
      </c>
      <c r="X152"/>
      <c r="Y152"/>
      <c r="Z152"/>
      <c r="AA152"/>
      <c r="AB152"/>
      <c r="AC152"/>
      <c r="AD152"/>
      <c r="AE152"/>
      <c r="AF152"/>
      <c r="AG152"/>
      <c r="AH152"/>
      <c r="AI152"/>
      <c r="AJ152"/>
      <c r="AK152"/>
      <c r="AL152"/>
      <c r="AM152"/>
      <c r="AN152"/>
      <c r="AO152"/>
      <c r="AP152"/>
      <c r="AQ152"/>
      <c r="AR152"/>
      <c r="AS152"/>
      <c r="AT152"/>
      <c r="AU152"/>
      <c r="AV152"/>
      <c r="AW152"/>
      <c r="AX152"/>
      <c r="AY152"/>
      <c r="AZ152"/>
    </row>
    <row r="153" ht="15.6" spans="2:52">
      <c r="B153" s="80" t="s">
        <v>169</v>
      </c>
      <c r="C153" s="80" t="s">
        <v>170</v>
      </c>
      <c r="D153" s="80">
        <v>0</v>
      </c>
      <c r="E153" s="80" t="s">
        <v>1178</v>
      </c>
      <c r="F153" s="80" t="s">
        <v>613</v>
      </c>
      <c r="G153" s="99">
        <v>0</v>
      </c>
      <c r="H153" s="99">
        <v>0</v>
      </c>
      <c r="I153" s="99">
        <v>0</v>
      </c>
      <c r="J153"/>
      <c r="K153"/>
      <c r="L153"/>
      <c r="M153" s="80" t="s">
        <v>167</v>
      </c>
      <c r="N153" s="80" t="s">
        <v>168</v>
      </c>
      <c r="O153" s="80" t="s">
        <v>1255</v>
      </c>
      <c r="P153" s="80" t="s">
        <v>3332</v>
      </c>
      <c r="Q153" s="80" t="s">
        <v>595</v>
      </c>
      <c r="R153" s="80">
        <v>0</v>
      </c>
      <c r="S153" s="80" t="s">
        <v>1178</v>
      </c>
      <c r="T153" s="100">
        <v>4</v>
      </c>
      <c r="U153" s="100">
        <v>0</v>
      </c>
      <c r="V153" s="100">
        <v>0</v>
      </c>
      <c r="W153" s="100">
        <v>0</v>
      </c>
      <c r="X153"/>
      <c r="Y153"/>
      <c r="Z153"/>
      <c r="AA153"/>
      <c r="AB153"/>
      <c r="AC153"/>
      <c r="AD153"/>
      <c r="AE153"/>
      <c r="AF153"/>
      <c r="AG153"/>
      <c r="AH153"/>
      <c r="AI153"/>
      <c r="AJ153"/>
      <c r="AK153"/>
      <c r="AL153"/>
      <c r="AM153"/>
      <c r="AN153"/>
      <c r="AO153"/>
      <c r="AP153"/>
      <c r="AQ153"/>
      <c r="AR153"/>
      <c r="AS153"/>
      <c r="AT153"/>
      <c r="AU153"/>
      <c r="AV153"/>
      <c r="AW153"/>
      <c r="AX153"/>
      <c r="AY153"/>
      <c r="AZ153"/>
    </row>
    <row r="154" ht="15.6" spans="2:52">
      <c r="F154" s="80" t="s">
        <v>615</v>
      </c>
      <c r="G154" s="99">
        <v>0</v>
      </c>
      <c r="H154" s="99">
        <v>0</v>
      </c>
      <c r="I154" s="99">
        <v>0</v>
      </c>
      <c r="J154"/>
      <c r="K154"/>
      <c r="L154"/>
      <c r="O154" s="80" t="s">
        <v>1256</v>
      </c>
      <c r="P154" s="80" t="s">
        <v>3334</v>
      </c>
      <c r="Q154" s="80" t="s">
        <v>595</v>
      </c>
      <c r="R154" s="80">
        <v>0</v>
      </c>
      <c r="S154" s="80" t="s">
        <v>1178</v>
      </c>
      <c r="T154" s="100">
        <v>13</v>
      </c>
      <c r="U154" s="100">
        <v>0</v>
      </c>
      <c r="V154" s="100">
        <v>0</v>
      </c>
      <c r="W154" s="100">
        <v>0</v>
      </c>
      <c r="X154"/>
      <c r="Y154"/>
      <c r="Z154"/>
      <c r="AA154"/>
      <c r="AB154"/>
      <c r="AC154"/>
      <c r="AD154"/>
      <c r="AE154"/>
      <c r="AF154"/>
      <c r="AG154"/>
      <c r="AH154"/>
      <c r="AI154"/>
      <c r="AJ154"/>
      <c r="AK154"/>
      <c r="AL154"/>
      <c r="AM154"/>
      <c r="AN154"/>
      <c r="AO154"/>
      <c r="AP154"/>
      <c r="AQ154"/>
      <c r="AR154"/>
      <c r="AS154"/>
      <c r="AT154"/>
      <c r="AU154"/>
      <c r="AV154"/>
      <c r="AW154"/>
      <c r="AX154"/>
      <c r="AY154"/>
      <c r="AZ154"/>
    </row>
    <row r="155" ht="15.6" spans="2:52">
      <c r="B155" s="80" t="s">
        <v>4496</v>
      </c>
      <c r="G155" s="99">
        <v>0</v>
      </c>
      <c r="H155" s="99">
        <v>0</v>
      </c>
      <c r="I155" s="99">
        <v>0</v>
      </c>
      <c r="J155"/>
      <c r="K155"/>
      <c r="L155"/>
      <c r="O155" s="80" t="s">
        <v>1257</v>
      </c>
      <c r="P155" s="80" t="s">
        <v>3338</v>
      </c>
      <c r="Q155" s="80" t="s">
        <v>599</v>
      </c>
      <c r="R155" s="80">
        <v>0</v>
      </c>
      <c r="S155" s="80" t="s">
        <v>1178</v>
      </c>
      <c r="T155" s="100">
        <v>2</v>
      </c>
      <c r="U155" s="100">
        <v>0</v>
      </c>
      <c r="V155" s="100">
        <v>0</v>
      </c>
      <c r="W155" s="100">
        <v>0</v>
      </c>
      <c r="X155"/>
      <c r="Y155"/>
      <c r="Z155"/>
      <c r="AA155"/>
      <c r="AB155"/>
      <c r="AC155"/>
      <c r="AD155"/>
      <c r="AE155"/>
      <c r="AF155"/>
      <c r="AG155"/>
      <c r="AH155"/>
      <c r="AI155"/>
      <c r="AJ155"/>
      <c r="AK155"/>
      <c r="AL155"/>
      <c r="AM155"/>
      <c r="AN155"/>
      <c r="AO155"/>
      <c r="AP155"/>
      <c r="AQ155"/>
      <c r="AR155"/>
      <c r="AS155"/>
      <c r="AT155"/>
      <c r="AU155"/>
      <c r="AV155"/>
      <c r="AW155"/>
      <c r="AX155"/>
      <c r="AY155"/>
      <c r="AZ155"/>
    </row>
    <row r="156" ht="15.6" spans="2:52">
      <c r="B156" s="80" t="s">
        <v>171</v>
      </c>
      <c r="C156" s="80" t="s">
        <v>172</v>
      </c>
      <c r="D156" s="80">
        <v>0</v>
      </c>
      <c r="E156" s="80" t="s">
        <v>1178</v>
      </c>
      <c r="F156" s="80" t="s">
        <v>595</v>
      </c>
      <c r="G156" s="99">
        <v>0</v>
      </c>
      <c r="H156" s="99">
        <v>0</v>
      </c>
      <c r="I156" s="99">
        <v>0</v>
      </c>
      <c r="J156"/>
      <c r="K156"/>
      <c r="L156"/>
      <c r="M156" s="80" t="s">
        <v>169</v>
      </c>
      <c r="N156" s="80" t="s">
        <v>170</v>
      </c>
      <c r="O156" s="80" t="s">
        <v>1258</v>
      </c>
      <c r="P156" s="80" t="s">
        <v>3341</v>
      </c>
      <c r="Q156" s="80" t="s">
        <v>615</v>
      </c>
      <c r="R156" s="80">
        <v>0</v>
      </c>
      <c r="S156" s="80" t="s">
        <v>1178</v>
      </c>
      <c r="T156" s="100">
        <v>2</v>
      </c>
      <c r="U156" s="100">
        <v>0</v>
      </c>
      <c r="V156" s="100">
        <v>0</v>
      </c>
      <c r="W156" s="100">
        <v>0</v>
      </c>
      <c r="X156"/>
      <c r="Y156"/>
      <c r="Z156"/>
      <c r="AA156"/>
      <c r="AB156"/>
      <c r="AC156"/>
      <c r="AD156"/>
      <c r="AE156"/>
      <c r="AF156"/>
      <c r="AG156"/>
      <c r="AH156"/>
      <c r="AI156"/>
      <c r="AJ156"/>
      <c r="AK156"/>
      <c r="AL156"/>
      <c r="AM156"/>
      <c r="AN156"/>
      <c r="AO156"/>
      <c r="AP156"/>
      <c r="AQ156"/>
      <c r="AR156"/>
      <c r="AS156"/>
      <c r="AT156"/>
      <c r="AU156"/>
      <c r="AV156"/>
      <c r="AW156"/>
      <c r="AX156"/>
      <c r="AY156"/>
      <c r="AZ156"/>
    </row>
    <row r="157" ht="15.6" spans="2:52">
      <c r="F157" s="80" t="s">
        <v>599</v>
      </c>
      <c r="G157" s="99">
        <v>0</v>
      </c>
      <c r="H157" s="99">
        <v>0</v>
      </c>
      <c r="I157" s="99">
        <v>0</v>
      </c>
      <c r="J157"/>
      <c r="K157"/>
      <c r="L157"/>
      <c r="O157" s="80" t="s">
        <v>1259</v>
      </c>
      <c r="P157" s="80" t="s">
        <v>3344</v>
      </c>
      <c r="Q157" s="80" t="s">
        <v>613</v>
      </c>
      <c r="R157" s="80">
        <v>0</v>
      </c>
      <c r="S157" s="80" t="s">
        <v>1178</v>
      </c>
      <c r="T157" s="100">
        <v>0</v>
      </c>
      <c r="U157" s="100">
        <v>0</v>
      </c>
      <c r="V157" s="100">
        <v>0</v>
      </c>
      <c r="W157" s="100">
        <v>0</v>
      </c>
      <c r="X157"/>
      <c r="Y157"/>
      <c r="Z157"/>
      <c r="AA157"/>
      <c r="AB157"/>
      <c r="AC157"/>
      <c r="AD157"/>
      <c r="AE157"/>
      <c r="AF157"/>
      <c r="AG157"/>
      <c r="AH157"/>
      <c r="AI157"/>
      <c r="AJ157"/>
      <c r="AK157"/>
      <c r="AL157"/>
      <c r="AM157"/>
      <c r="AN157"/>
      <c r="AO157"/>
      <c r="AP157"/>
      <c r="AQ157"/>
      <c r="AR157"/>
      <c r="AS157"/>
      <c r="AT157"/>
      <c r="AU157"/>
      <c r="AV157"/>
      <c r="AW157"/>
      <c r="AX157"/>
      <c r="AY157"/>
      <c r="AZ157"/>
    </row>
    <row r="158" ht="15.6" spans="2:52">
      <c r="B158" s="80" t="s">
        <v>4497</v>
      </c>
      <c r="G158" s="99">
        <v>0</v>
      </c>
      <c r="H158" s="99">
        <v>0</v>
      </c>
      <c r="I158" s="99">
        <v>0</v>
      </c>
      <c r="J158"/>
      <c r="K158"/>
      <c r="L158"/>
      <c r="Q158" s="80" t="s">
        <v>615</v>
      </c>
      <c r="R158" s="80">
        <v>0</v>
      </c>
      <c r="S158" s="80" t="s">
        <v>1178</v>
      </c>
      <c r="T158" s="100">
        <v>1</v>
      </c>
      <c r="U158" s="100">
        <v>0</v>
      </c>
      <c r="V158" s="100">
        <v>0</v>
      </c>
      <c r="W158" s="100">
        <v>0</v>
      </c>
      <c r="X158"/>
      <c r="Y158"/>
      <c r="Z158"/>
      <c r="AA158"/>
      <c r="AB158"/>
      <c r="AC158"/>
      <c r="AD158"/>
      <c r="AE158"/>
      <c r="AF158"/>
      <c r="AG158"/>
      <c r="AH158"/>
      <c r="AI158"/>
      <c r="AJ158"/>
      <c r="AK158"/>
      <c r="AL158"/>
      <c r="AM158"/>
      <c r="AN158"/>
      <c r="AO158"/>
      <c r="AP158"/>
      <c r="AQ158"/>
      <c r="AR158"/>
      <c r="AS158"/>
      <c r="AT158"/>
      <c r="AU158"/>
      <c r="AV158"/>
      <c r="AW158"/>
      <c r="AX158"/>
      <c r="AY158"/>
      <c r="AZ158"/>
    </row>
    <row r="159" ht="15.6" spans="2:52">
      <c r="B159" s="80" t="s">
        <v>173</v>
      </c>
      <c r="C159" s="80" t="s">
        <v>174</v>
      </c>
      <c r="D159" s="80">
        <v>0</v>
      </c>
      <c r="E159" s="80" t="s">
        <v>1178</v>
      </c>
      <c r="F159" s="80" t="s">
        <v>595</v>
      </c>
      <c r="G159" s="99">
        <v>0</v>
      </c>
      <c r="H159" s="99">
        <v>0</v>
      </c>
      <c r="I159" s="99">
        <v>0</v>
      </c>
      <c r="J159"/>
      <c r="K159"/>
      <c r="L159"/>
      <c r="M159" s="80" t="s">
        <v>171</v>
      </c>
      <c r="N159" s="80" t="s">
        <v>172</v>
      </c>
      <c r="O159" s="80" t="s">
        <v>1264</v>
      </c>
      <c r="P159" s="80" t="s">
        <v>3347</v>
      </c>
      <c r="Q159" s="80" t="s">
        <v>595</v>
      </c>
      <c r="R159" s="80">
        <v>0</v>
      </c>
      <c r="S159" s="80" t="s">
        <v>1178</v>
      </c>
      <c r="T159" s="100">
        <v>0</v>
      </c>
      <c r="U159" s="100">
        <v>0</v>
      </c>
      <c r="V159" s="100">
        <v>0</v>
      </c>
      <c r="W159" s="100">
        <v>0</v>
      </c>
      <c r="X159"/>
      <c r="Y159"/>
      <c r="Z159"/>
      <c r="AA159"/>
      <c r="AB159"/>
      <c r="AC159"/>
      <c r="AD159"/>
      <c r="AE159"/>
      <c r="AF159"/>
      <c r="AG159"/>
      <c r="AH159"/>
      <c r="AI159"/>
      <c r="AJ159"/>
      <c r="AK159"/>
      <c r="AL159"/>
      <c r="AM159"/>
      <c r="AN159"/>
      <c r="AO159"/>
      <c r="AP159"/>
      <c r="AQ159"/>
      <c r="AR159"/>
      <c r="AS159"/>
      <c r="AT159"/>
      <c r="AU159"/>
      <c r="AV159"/>
      <c r="AW159"/>
      <c r="AX159"/>
      <c r="AY159"/>
      <c r="AZ159"/>
    </row>
    <row r="160" ht="15.6" spans="2:52">
      <c r="F160" s="80" t="s">
        <v>599</v>
      </c>
      <c r="G160" s="99">
        <v>0</v>
      </c>
      <c r="H160" s="99">
        <v>0</v>
      </c>
      <c r="I160" s="99">
        <v>0</v>
      </c>
      <c r="J160"/>
      <c r="K160"/>
      <c r="L160"/>
      <c r="O160" s="80" t="s">
        <v>1265</v>
      </c>
      <c r="P160" s="80" t="s">
        <v>3350</v>
      </c>
      <c r="Q160" s="80" t="s">
        <v>595</v>
      </c>
      <c r="R160" s="80">
        <v>0</v>
      </c>
      <c r="S160" s="80" t="s">
        <v>1178</v>
      </c>
      <c r="T160" s="100">
        <v>0</v>
      </c>
      <c r="U160" s="100">
        <v>0</v>
      </c>
      <c r="V160" s="100">
        <v>0</v>
      </c>
      <c r="W160" s="100">
        <v>0</v>
      </c>
      <c r="X160"/>
      <c r="Y160"/>
      <c r="Z160"/>
      <c r="AA160"/>
      <c r="AB160"/>
      <c r="AC160"/>
      <c r="AD160"/>
      <c r="AE160"/>
      <c r="AF160"/>
      <c r="AG160"/>
      <c r="AH160"/>
      <c r="AI160"/>
      <c r="AJ160"/>
      <c r="AK160"/>
      <c r="AL160"/>
      <c r="AM160"/>
      <c r="AN160"/>
      <c r="AO160"/>
      <c r="AP160"/>
      <c r="AQ160"/>
      <c r="AR160"/>
      <c r="AS160"/>
      <c r="AT160"/>
      <c r="AU160"/>
      <c r="AV160"/>
      <c r="AW160"/>
      <c r="AX160"/>
      <c r="AY160"/>
      <c r="AZ160"/>
    </row>
    <row r="161" ht="15.6" spans="2:52">
      <c r="B161" s="80" t="s">
        <v>4498</v>
      </c>
      <c r="G161" s="99">
        <v>0</v>
      </c>
      <c r="H161" s="99">
        <v>0</v>
      </c>
      <c r="I161" s="99">
        <v>0</v>
      </c>
      <c r="J161"/>
      <c r="K161"/>
      <c r="L161"/>
      <c r="O161" s="80" t="s">
        <v>1266</v>
      </c>
      <c r="P161" s="80" t="s">
        <v>3353</v>
      </c>
      <c r="Q161" s="80" t="s">
        <v>599</v>
      </c>
      <c r="R161" s="80">
        <v>0</v>
      </c>
      <c r="S161" s="80" t="s">
        <v>1178</v>
      </c>
      <c r="T161" s="100">
        <v>2</v>
      </c>
      <c r="U161" s="100">
        <v>0</v>
      </c>
      <c r="V161" s="100">
        <v>0</v>
      </c>
      <c r="W161" s="100">
        <v>0</v>
      </c>
      <c r="X161"/>
      <c r="Y161"/>
      <c r="Z161"/>
      <c r="AA161"/>
      <c r="AB161"/>
      <c r="AC161"/>
      <c r="AD161"/>
      <c r="AE161"/>
      <c r="AF161"/>
      <c r="AG161"/>
      <c r="AH161"/>
      <c r="AI161"/>
      <c r="AJ161"/>
      <c r="AK161"/>
      <c r="AL161"/>
      <c r="AM161"/>
      <c r="AN161"/>
      <c r="AO161"/>
      <c r="AP161"/>
      <c r="AQ161"/>
      <c r="AR161"/>
      <c r="AS161"/>
      <c r="AT161"/>
      <c r="AU161"/>
      <c r="AV161"/>
      <c r="AW161"/>
      <c r="AX161"/>
      <c r="AY161"/>
      <c r="AZ161"/>
    </row>
    <row r="162" ht="15.6" spans="2:52">
      <c r="B162" s="80" t="s">
        <v>175</v>
      </c>
      <c r="C162" s="80" t="s">
        <v>176</v>
      </c>
      <c r="D162" s="80">
        <v>0</v>
      </c>
      <c r="E162" s="80" t="s">
        <v>1178</v>
      </c>
      <c r="F162" s="80" t="s">
        <v>599</v>
      </c>
      <c r="G162" s="99">
        <v>0</v>
      </c>
      <c r="H162" s="99">
        <v>0</v>
      </c>
      <c r="I162" s="99">
        <v>0</v>
      </c>
      <c r="J162"/>
      <c r="K162"/>
      <c r="L162"/>
      <c r="M162" s="80" t="s">
        <v>173</v>
      </c>
      <c r="N162" s="80" t="s">
        <v>174</v>
      </c>
      <c r="O162" s="80" t="s">
        <v>1267</v>
      </c>
      <c r="P162" s="80" t="s">
        <v>3357</v>
      </c>
      <c r="Q162" s="80" t="s">
        <v>595</v>
      </c>
      <c r="R162" s="80">
        <v>0</v>
      </c>
      <c r="S162" s="80" t="s">
        <v>1178</v>
      </c>
      <c r="T162" s="100">
        <v>2</v>
      </c>
      <c r="U162" s="100">
        <v>0</v>
      </c>
      <c r="V162" s="100">
        <v>0</v>
      </c>
      <c r="W162" s="100">
        <v>0</v>
      </c>
      <c r="X162"/>
      <c r="Y162"/>
      <c r="Z162"/>
      <c r="AA162"/>
      <c r="AB162"/>
      <c r="AC162"/>
      <c r="AD162"/>
      <c r="AE162"/>
      <c r="AF162"/>
      <c r="AG162"/>
      <c r="AH162"/>
      <c r="AI162"/>
      <c r="AJ162"/>
      <c r="AK162"/>
      <c r="AL162"/>
      <c r="AM162"/>
      <c r="AN162"/>
      <c r="AO162"/>
      <c r="AP162"/>
      <c r="AQ162"/>
      <c r="AR162"/>
      <c r="AS162"/>
      <c r="AT162"/>
      <c r="AU162"/>
      <c r="AV162"/>
      <c r="AW162"/>
      <c r="AX162"/>
      <c r="AY162"/>
      <c r="AZ162"/>
    </row>
    <row r="163" ht="15.6" spans="2:52">
      <c r="F163" s="80" t="s">
        <v>601</v>
      </c>
      <c r="G163" s="99">
        <v>0</v>
      </c>
      <c r="H163" s="99">
        <v>0</v>
      </c>
      <c r="I163" s="99">
        <v>0</v>
      </c>
      <c r="J163"/>
      <c r="K163"/>
      <c r="L163"/>
      <c r="O163" s="80" t="s">
        <v>1268</v>
      </c>
      <c r="P163" s="80" t="s">
        <v>3360</v>
      </c>
      <c r="Q163" s="80" t="s">
        <v>595</v>
      </c>
      <c r="R163" s="80">
        <v>0</v>
      </c>
      <c r="S163" s="80" t="s">
        <v>1178</v>
      </c>
      <c r="T163" s="100">
        <v>13</v>
      </c>
      <c r="U163" s="100">
        <v>0</v>
      </c>
      <c r="V163" s="100">
        <v>0</v>
      </c>
      <c r="W163" s="100">
        <v>0</v>
      </c>
      <c r="X163"/>
      <c r="Y163"/>
      <c r="Z163"/>
      <c r="AA163"/>
      <c r="AB163"/>
      <c r="AC163"/>
      <c r="AD163"/>
      <c r="AE163"/>
      <c r="AF163"/>
      <c r="AG163"/>
      <c r="AH163"/>
      <c r="AI163"/>
      <c r="AJ163"/>
      <c r="AK163"/>
      <c r="AL163"/>
      <c r="AM163"/>
      <c r="AN163"/>
      <c r="AO163"/>
      <c r="AP163"/>
      <c r="AQ163"/>
      <c r="AR163"/>
      <c r="AS163"/>
      <c r="AT163"/>
      <c r="AU163"/>
      <c r="AV163"/>
      <c r="AW163"/>
      <c r="AX163"/>
      <c r="AY163"/>
      <c r="AZ163"/>
    </row>
    <row r="164" ht="15.6" spans="2:52">
      <c r="B164" s="80" t="s">
        <v>4499</v>
      </c>
      <c r="G164" s="99">
        <v>0</v>
      </c>
      <c r="H164" s="99">
        <v>0</v>
      </c>
      <c r="I164" s="99">
        <v>0</v>
      </c>
      <c r="J164"/>
      <c r="K164"/>
      <c r="L164"/>
      <c r="O164" s="80" t="s">
        <v>1269</v>
      </c>
      <c r="P164" s="80" t="s">
        <v>3363</v>
      </c>
      <c r="Q164" s="80" t="s">
        <v>599</v>
      </c>
      <c r="R164" s="80">
        <v>0</v>
      </c>
      <c r="S164" s="80" t="s">
        <v>1178</v>
      </c>
      <c r="T164" s="100">
        <v>2</v>
      </c>
      <c r="U164" s="100">
        <v>0</v>
      </c>
      <c r="V164" s="100">
        <v>0</v>
      </c>
      <c r="W164" s="100">
        <v>0</v>
      </c>
      <c r="X164"/>
      <c r="Y164"/>
      <c r="Z164"/>
      <c r="AA164"/>
      <c r="AB164"/>
      <c r="AC164"/>
      <c r="AD164"/>
      <c r="AE164"/>
      <c r="AF164"/>
      <c r="AG164"/>
      <c r="AH164"/>
      <c r="AI164"/>
      <c r="AJ164"/>
      <c r="AK164"/>
      <c r="AL164"/>
      <c r="AM164"/>
      <c r="AN164"/>
      <c r="AO164"/>
      <c r="AP164"/>
      <c r="AQ164"/>
      <c r="AR164"/>
      <c r="AS164"/>
      <c r="AT164"/>
      <c r="AU164"/>
      <c r="AV164"/>
      <c r="AW164"/>
      <c r="AX164"/>
      <c r="AY164"/>
      <c r="AZ164"/>
    </row>
    <row r="165" ht="15.6" spans="2:52">
      <c r="B165" s="80" t="s">
        <v>177</v>
      </c>
      <c r="C165" s="80" t="s">
        <v>178</v>
      </c>
      <c r="D165" s="80">
        <v>0</v>
      </c>
      <c r="E165" s="80" t="s">
        <v>1178</v>
      </c>
      <c r="F165" s="80" t="s">
        <v>595</v>
      </c>
      <c r="G165" s="99">
        <v>0</v>
      </c>
      <c r="H165" s="99">
        <v>0</v>
      </c>
      <c r="I165" s="99">
        <v>0</v>
      </c>
      <c r="J165"/>
      <c r="K165"/>
      <c r="L165"/>
      <c r="M165" s="80" t="s">
        <v>175</v>
      </c>
      <c r="N165" s="80" t="s">
        <v>176</v>
      </c>
      <c r="O165" s="80" t="s">
        <v>1270</v>
      </c>
      <c r="P165" s="80" t="s">
        <v>3367</v>
      </c>
      <c r="Q165" s="80" t="s">
        <v>599</v>
      </c>
      <c r="R165" s="80">
        <v>0</v>
      </c>
      <c r="S165" s="80" t="s">
        <v>1178</v>
      </c>
      <c r="T165" s="100">
        <v>2</v>
      </c>
      <c r="U165" s="100">
        <v>0</v>
      </c>
      <c r="V165" s="100">
        <v>0</v>
      </c>
      <c r="W165" s="100">
        <v>0</v>
      </c>
      <c r="X165"/>
      <c r="Y165"/>
      <c r="Z165"/>
      <c r="AA165"/>
      <c r="AB165"/>
      <c r="AC165"/>
      <c r="AD165"/>
      <c r="AE165"/>
      <c r="AF165"/>
      <c r="AG165"/>
      <c r="AH165"/>
      <c r="AI165"/>
      <c r="AJ165"/>
      <c r="AK165"/>
      <c r="AL165"/>
      <c r="AM165"/>
      <c r="AN165"/>
      <c r="AO165"/>
      <c r="AP165"/>
      <c r="AQ165"/>
      <c r="AR165"/>
      <c r="AS165"/>
      <c r="AT165"/>
      <c r="AU165"/>
      <c r="AV165"/>
      <c r="AW165"/>
      <c r="AX165"/>
      <c r="AY165"/>
      <c r="AZ165"/>
    </row>
    <row r="166" ht="15.6" spans="2:52">
      <c r="F166" s="80" t="s">
        <v>599</v>
      </c>
      <c r="G166" s="99">
        <v>0</v>
      </c>
      <c r="H166" s="99">
        <v>0</v>
      </c>
      <c r="I166" s="99">
        <v>0</v>
      </c>
      <c r="J166"/>
      <c r="K166"/>
      <c r="L166"/>
      <c r="O166" s="80" t="s">
        <v>1271</v>
      </c>
      <c r="P166" s="80" t="s">
        <v>3370</v>
      </c>
      <c r="Q166" s="80" t="s">
        <v>599</v>
      </c>
      <c r="R166" s="80">
        <v>0</v>
      </c>
      <c r="S166" s="80" t="s">
        <v>1178</v>
      </c>
      <c r="T166" s="100">
        <v>13</v>
      </c>
      <c r="U166" s="100">
        <v>0</v>
      </c>
      <c r="V166" s="100">
        <v>0</v>
      </c>
      <c r="W166" s="100">
        <v>0</v>
      </c>
      <c r="X166"/>
      <c r="Y166"/>
      <c r="Z166"/>
      <c r="AA166"/>
      <c r="AB166"/>
      <c r="AC166"/>
      <c r="AD166"/>
      <c r="AE166"/>
      <c r="AF166"/>
      <c r="AG166"/>
      <c r="AH166"/>
      <c r="AI166"/>
      <c r="AJ166"/>
      <c r="AK166"/>
      <c r="AL166"/>
      <c r="AM166"/>
      <c r="AN166"/>
      <c r="AO166"/>
      <c r="AP166"/>
      <c r="AQ166"/>
      <c r="AR166"/>
      <c r="AS166"/>
      <c r="AT166"/>
      <c r="AU166"/>
      <c r="AV166"/>
      <c r="AW166"/>
      <c r="AX166"/>
      <c r="AY166"/>
      <c r="AZ166"/>
    </row>
    <row r="167" ht="15.6" spans="2:52">
      <c r="B167" s="80" t="s">
        <v>4500</v>
      </c>
      <c r="G167" s="99">
        <v>0</v>
      </c>
      <c r="H167" s="99">
        <v>0</v>
      </c>
      <c r="I167" s="99">
        <v>0</v>
      </c>
      <c r="J167"/>
      <c r="K167"/>
      <c r="L167"/>
      <c r="O167" s="80" t="s">
        <v>1272</v>
      </c>
      <c r="P167" s="80" t="s">
        <v>3373</v>
      </c>
      <c r="Q167" s="80" t="s">
        <v>601</v>
      </c>
      <c r="R167" s="80">
        <v>0</v>
      </c>
      <c r="S167" s="80" t="s">
        <v>1178</v>
      </c>
      <c r="T167" s="100">
        <v>2</v>
      </c>
      <c r="U167" s="100">
        <v>0</v>
      </c>
      <c r="V167" s="100">
        <v>0</v>
      </c>
      <c r="W167" s="100">
        <v>0</v>
      </c>
      <c r="X167"/>
      <c r="Y167"/>
      <c r="Z167"/>
      <c r="AA167"/>
      <c r="AB167"/>
      <c r="AC167"/>
      <c r="AD167"/>
      <c r="AE167"/>
      <c r="AF167"/>
      <c r="AG167"/>
      <c r="AH167"/>
      <c r="AI167"/>
      <c r="AJ167"/>
      <c r="AK167"/>
      <c r="AL167"/>
      <c r="AM167"/>
      <c r="AN167"/>
      <c r="AO167"/>
      <c r="AP167"/>
      <c r="AQ167"/>
      <c r="AR167"/>
      <c r="AS167"/>
      <c r="AT167"/>
      <c r="AU167"/>
      <c r="AV167"/>
      <c r="AW167"/>
      <c r="AX167"/>
      <c r="AY167"/>
      <c r="AZ167"/>
    </row>
    <row r="168" ht="15.6" spans="2:52">
      <c r="B168" s="80" t="s">
        <v>179</v>
      </c>
      <c r="C168" s="80" t="s">
        <v>180</v>
      </c>
      <c r="D168" s="80">
        <v>0</v>
      </c>
      <c r="E168" s="80" t="s">
        <v>1178</v>
      </c>
      <c r="F168" s="80" t="s">
        <v>601</v>
      </c>
      <c r="G168" s="99">
        <v>0</v>
      </c>
      <c r="H168" s="99">
        <v>0</v>
      </c>
      <c r="I168" s="99">
        <v>0</v>
      </c>
      <c r="J168"/>
      <c r="K168"/>
      <c r="L168"/>
      <c r="M168" s="80" t="s">
        <v>177</v>
      </c>
      <c r="N168" s="80" t="s">
        <v>178</v>
      </c>
      <c r="O168" s="80" t="s">
        <v>1273</v>
      </c>
      <c r="P168" s="80" t="s">
        <v>3376</v>
      </c>
      <c r="Q168" s="80" t="s">
        <v>595</v>
      </c>
      <c r="R168" s="80">
        <v>0</v>
      </c>
      <c r="S168" s="80" t="s">
        <v>1178</v>
      </c>
      <c r="T168" s="100">
        <v>1</v>
      </c>
      <c r="U168" s="100">
        <v>0</v>
      </c>
      <c r="V168" s="100">
        <v>0</v>
      </c>
      <c r="W168" s="100">
        <v>0</v>
      </c>
      <c r="X168"/>
      <c r="Y168"/>
      <c r="Z168"/>
      <c r="AA168"/>
      <c r="AB168"/>
      <c r="AC168"/>
      <c r="AD168"/>
      <c r="AE168"/>
      <c r="AF168"/>
      <c r="AG168"/>
      <c r="AH168"/>
      <c r="AI168"/>
      <c r="AJ168"/>
      <c r="AK168"/>
      <c r="AL168"/>
      <c r="AM168"/>
      <c r="AN168"/>
      <c r="AO168"/>
      <c r="AP168"/>
      <c r="AQ168"/>
      <c r="AR168"/>
      <c r="AS168"/>
      <c r="AT168"/>
      <c r="AU168"/>
      <c r="AV168"/>
      <c r="AW168"/>
      <c r="AX168"/>
      <c r="AY168"/>
      <c r="AZ168"/>
    </row>
    <row r="169" ht="15.6" spans="2:52">
      <c r="F169" s="80" t="s">
        <v>603</v>
      </c>
      <c r="G169" s="99">
        <v>0</v>
      </c>
      <c r="H169" s="99">
        <v>0</v>
      </c>
      <c r="I169" s="99">
        <v>0</v>
      </c>
      <c r="J169"/>
      <c r="K169"/>
      <c r="L169"/>
      <c r="O169" s="80" t="s">
        <v>1274</v>
      </c>
      <c r="P169" s="80" t="s">
        <v>3379</v>
      </c>
      <c r="Q169" s="80" t="s">
        <v>595</v>
      </c>
      <c r="R169" s="80">
        <v>0</v>
      </c>
      <c r="S169" s="80" t="s">
        <v>1178</v>
      </c>
      <c r="T169" s="100">
        <v>2</v>
      </c>
      <c r="U169" s="100">
        <v>0</v>
      </c>
      <c r="V169" s="100">
        <v>0</v>
      </c>
      <c r="W169" s="100">
        <v>0</v>
      </c>
      <c r="X169"/>
      <c r="Y169"/>
      <c r="Z169"/>
      <c r="AA169"/>
      <c r="AB169"/>
      <c r="AC169"/>
      <c r="AD169"/>
      <c r="AE169"/>
      <c r="AF169"/>
      <c r="AG169"/>
      <c r="AH169"/>
      <c r="AI169"/>
      <c r="AJ169"/>
      <c r="AK169"/>
      <c r="AL169"/>
      <c r="AM169"/>
      <c r="AN169"/>
      <c r="AO169"/>
      <c r="AP169"/>
      <c r="AQ169"/>
      <c r="AR169"/>
      <c r="AS169"/>
      <c r="AT169"/>
      <c r="AU169"/>
      <c r="AV169"/>
      <c r="AW169"/>
      <c r="AX169"/>
      <c r="AY169"/>
      <c r="AZ169"/>
    </row>
    <row r="170" ht="15.6" spans="2:52">
      <c r="B170" s="80" t="s">
        <v>4501</v>
      </c>
      <c r="G170" s="99">
        <v>0</v>
      </c>
      <c r="H170" s="99">
        <v>0</v>
      </c>
      <c r="I170" s="99">
        <v>0</v>
      </c>
      <c r="J170"/>
      <c r="K170"/>
      <c r="L170"/>
      <c r="O170" s="80" t="s">
        <v>1275</v>
      </c>
      <c r="P170" s="80" t="s">
        <v>3382</v>
      </c>
      <c r="Q170" s="80" t="s">
        <v>599</v>
      </c>
      <c r="R170" s="80">
        <v>0</v>
      </c>
      <c r="S170" s="80" t="s">
        <v>1178</v>
      </c>
      <c r="T170" s="100">
        <v>0.5</v>
      </c>
      <c r="U170" s="100">
        <v>0</v>
      </c>
      <c r="V170" s="100">
        <v>0</v>
      </c>
      <c r="W170" s="100">
        <v>0</v>
      </c>
      <c r="X170"/>
      <c r="Y170"/>
      <c r="Z170"/>
      <c r="AA170"/>
      <c r="AB170"/>
      <c r="AC170"/>
      <c r="AD170"/>
      <c r="AE170"/>
      <c r="AF170"/>
      <c r="AG170"/>
      <c r="AH170"/>
      <c r="AI170"/>
      <c r="AJ170"/>
      <c r="AK170"/>
      <c r="AL170"/>
      <c r="AM170"/>
      <c r="AN170"/>
      <c r="AO170"/>
      <c r="AP170"/>
      <c r="AQ170"/>
      <c r="AR170"/>
      <c r="AS170"/>
      <c r="AT170"/>
      <c r="AU170"/>
      <c r="AV170"/>
      <c r="AW170"/>
      <c r="AX170"/>
      <c r="AY170"/>
      <c r="AZ170"/>
    </row>
    <row r="171" ht="15.6" spans="2:52">
      <c r="B171" s="80" t="s">
        <v>181</v>
      </c>
      <c r="C171" s="80" t="s">
        <v>182</v>
      </c>
      <c r="D171" s="80">
        <v>0</v>
      </c>
      <c r="E171" s="80" t="s">
        <v>1178</v>
      </c>
      <c r="F171" s="80" t="s">
        <v>595</v>
      </c>
      <c r="G171" s="99">
        <v>0</v>
      </c>
      <c r="H171" s="99">
        <v>0</v>
      </c>
      <c r="I171" s="99">
        <v>0</v>
      </c>
      <c r="J171"/>
      <c r="K171"/>
      <c r="L171"/>
      <c r="M171" s="80" t="s">
        <v>179</v>
      </c>
      <c r="N171" s="80" t="s">
        <v>180</v>
      </c>
      <c r="O171" s="80" t="s">
        <v>1276</v>
      </c>
      <c r="P171" s="80" t="s">
        <v>3384</v>
      </c>
      <c r="Q171" s="80" t="s">
        <v>603</v>
      </c>
      <c r="R171" s="80">
        <v>0</v>
      </c>
      <c r="S171" s="80" t="s">
        <v>1178</v>
      </c>
      <c r="T171" s="100">
        <v>3</v>
      </c>
      <c r="U171" s="100">
        <v>0</v>
      </c>
      <c r="V171" s="100">
        <v>0</v>
      </c>
      <c r="W171" s="100">
        <v>0</v>
      </c>
      <c r="X171"/>
      <c r="Y171"/>
      <c r="Z171"/>
      <c r="AA171"/>
      <c r="AB171"/>
      <c r="AC171"/>
      <c r="AD171"/>
      <c r="AE171"/>
      <c r="AF171"/>
      <c r="AG171"/>
      <c r="AH171"/>
      <c r="AI171"/>
      <c r="AJ171"/>
      <c r="AK171"/>
      <c r="AL171"/>
      <c r="AM171"/>
      <c r="AN171"/>
      <c r="AO171"/>
      <c r="AP171"/>
      <c r="AQ171"/>
      <c r="AR171"/>
      <c r="AS171"/>
      <c r="AT171"/>
      <c r="AU171"/>
      <c r="AV171"/>
      <c r="AW171"/>
      <c r="AX171"/>
      <c r="AY171"/>
      <c r="AZ171"/>
    </row>
    <row r="172" ht="15.6" spans="2:52">
      <c r="F172" s="80" t="s">
        <v>599</v>
      </c>
      <c r="G172" s="99">
        <v>0</v>
      </c>
      <c r="H172" s="99">
        <v>0</v>
      </c>
      <c r="I172" s="99">
        <v>0</v>
      </c>
      <c r="J172"/>
      <c r="K172"/>
      <c r="L172"/>
      <c r="O172" s="80" t="s">
        <v>1277</v>
      </c>
      <c r="P172" s="80" t="s">
        <v>3386</v>
      </c>
      <c r="Q172" s="80" t="s">
        <v>603</v>
      </c>
      <c r="R172" s="80">
        <v>0</v>
      </c>
      <c r="S172" s="80" t="s">
        <v>1178</v>
      </c>
      <c r="T172" s="100">
        <v>21</v>
      </c>
      <c r="U172" s="100">
        <v>0</v>
      </c>
      <c r="V172" s="100">
        <v>0</v>
      </c>
      <c r="W172" s="100">
        <v>0</v>
      </c>
      <c r="X172"/>
      <c r="Y172"/>
      <c r="Z172"/>
      <c r="AA172"/>
      <c r="AB172"/>
      <c r="AC172"/>
      <c r="AD172"/>
      <c r="AE172"/>
      <c r="AF172"/>
      <c r="AG172"/>
      <c r="AH172"/>
      <c r="AI172"/>
      <c r="AJ172"/>
      <c r="AK172"/>
      <c r="AL172"/>
      <c r="AM172"/>
      <c r="AN172"/>
      <c r="AO172"/>
      <c r="AP172"/>
      <c r="AQ172"/>
      <c r="AR172"/>
      <c r="AS172"/>
      <c r="AT172"/>
      <c r="AU172"/>
      <c r="AV172"/>
      <c r="AW172"/>
      <c r="AX172"/>
      <c r="AY172"/>
      <c r="AZ172"/>
    </row>
    <row r="173" ht="15.6" spans="2:52">
      <c r="B173" s="80" t="s">
        <v>4502</v>
      </c>
      <c r="G173" s="99">
        <v>0</v>
      </c>
      <c r="H173" s="99">
        <v>0</v>
      </c>
      <c r="I173" s="99">
        <v>0</v>
      </c>
      <c r="J173"/>
      <c r="K173"/>
      <c r="L173"/>
      <c r="O173" s="80" t="s">
        <v>1278</v>
      </c>
      <c r="P173" s="80" t="s">
        <v>3389</v>
      </c>
      <c r="Q173" s="80" t="s">
        <v>601</v>
      </c>
      <c r="R173" s="80">
        <v>0</v>
      </c>
      <c r="S173" s="80" t="s">
        <v>1178</v>
      </c>
      <c r="T173" s="100">
        <v>2</v>
      </c>
      <c r="U173" s="100">
        <v>0</v>
      </c>
      <c r="V173" s="100">
        <v>0</v>
      </c>
      <c r="W173" s="100">
        <v>0</v>
      </c>
      <c r="X173"/>
      <c r="Y173"/>
      <c r="Z173"/>
      <c r="AA173"/>
      <c r="AB173"/>
      <c r="AC173"/>
      <c r="AD173"/>
      <c r="AE173"/>
      <c r="AF173"/>
      <c r="AG173"/>
      <c r="AH173"/>
      <c r="AI173"/>
      <c r="AJ173"/>
      <c r="AK173"/>
      <c r="AL173"/>
      <c r="AM173"/>
      <c r="AN173"/>
      <c r="AO173"/>
      <c r="AP173"/>
      <c r="AQ173"/>
      <c r="AR173"/>
      <c r="AS173"/>
      <c r="AT173"/>
      <c r="AU173"/>
      <c r="AV173"/>
      <c r="AW173"/>
      <c r="AX173"/>
      <c r="AY173"/>
      <c r="AZ173"/>
    </row>
    <row r="174" ht="15.6" spans="2:52">
      <c r="B174" s="80" t="s">
        <v>183</v>
      </c>
      <c r="C174" s="80" t="s">
        <v>184</v>
      </c>
      <c r="D174" s="80">
        <v>0</v>
      </c>
      <c r="E174" s="80" t="s">
        <v>1281</v>
      </c>
      <c r="F174" s="80" t="s">
        <v>595</v>
      </c>
      <c r="G174" s="99">
        <v>0</v>
      </c>
      <c r="H174" s="99">
        <v>0</v>
      </c>
      <c r="I174" s="99">
        <v>0</v>
      </c>
      <c r="J174"/>
      <c r="K174"/>
      <c r="L174"/>
      <c r="M174" s="80" t="s">
        <v>181</v>
      </c>
      <c r="N174" s="80" t="s">
        <v>182</v>
      </c>
      <c r="O174" s="80" t="s">
        <v>1279</v>
      </c>
      <c r="P174" s="80" t="s">
        <v>182</v>
      </c>
      <c r="Q174" s="80" t="s">
        <v>595</v>
      </c>
      <c r="R174" s="80">
        <v>0</v>
      </c>
      <c r="S174" s="80" t="s">
        <v>1178</v>
      </c>
      <c r="T174" s="100">
        <v>8</v>
      </c>
      <c r="U174" s="100">
        <v>0</v>
      </c>
      <c r="V174" s="100">
        <v>0</v>
      </c>
      <c r="W174" s="100">
        <v>0</v>
      </c>
      <c r="X174"/>
      <c r="Y174"/>
      <c r="Z174"/>
      <c r="AA174"/>
      <c r="AB174"/>
      <c r="AC174"/>
      <c r="AD174"/>
      <c r="AE174"/>
      <c r="AF174"/>
      <c r="AG174"/>
      <c r="AH174"/>
      <c r="AI174"/>
      <c r="AJ174"/>
      <c r="AK174"/>
      <c r="AL174"/>
      <c r="AM174"/>
      <c r="AN174"/>
      <c r="AO174"/>
      <c r="AP174"/>
      <c r="AQ174"/>
      <c r="AR174"/>
      <c r="AS174"/>
      <c r="AT174"/>
      <c r="AU174"/>
      <c r="AV174"/>
      <c r="AW174"/>
      <c r="AX174"/>
      <c r="AY174"/>
      <c r="AZ174"/>
    </row>
    <row r="175" ht="15.6" spans="2:52">
      <c r="F175" s="80" t="s">
        <v>599</v>
      </c>
      <c r="G175" s="99">
        <v>0</v>
      </c>
      <c r="H175" s="99">
        <v>0</v>
      </c>
      <c r="I175" s="99">
        <v>0</v>
      </c>
      <c r="J175"/>
      <c r="K175"/>
      <c r="L175"/>
      <c r="Q175" s="80" t="s">
        <v>599</v>
      </c>
      <c r="R175" s="80">
        <v>0</v>
      </c>
      <c r="S175" s="80" t="s">
        <v>1178</v>
      </c>
      <c r="T175" s="100">
        <v>8</v>
      </c>
      <c r="U175" s="100">
        <v>0</v>
      </c>
      <c r="V175" s="100">
        <v>0</v>
      </c>
      <c r="W175" s="100">
        <v>0</v>
      </c>
      <c r="X175"/>
      <c r="Y175"/>
      <c r="Z175"/>
      <c r="AA175"/>
      <c r="AB175"/>
      <c r="AC175"/>
      <c r="AD175"/>
      <c r="AE175"/>
      <c r="AF175"/>
      <c r="AG175"/>
      <c r="AH175"/>
      <c r="AI175"/>
      <c r="AJ175"/>
      <c r="AK175"/>
      <c r="AL175"/>
      <c r="AM175"/>
      <c r="AN175"/>
      <c r="AO175"/>
      <c r="AP175"/>
      <c r="AQ175"/>
      <c r="AR175"/>
      <c r="AS175"/>
      <c r="AT175"/>
      <c r="AU175"/>
      <c r="AV175"/>
      <c r="AW175"/>
      <c r="AX175"/>
      <c r="AY175"/>
      <c r="AZ175"/>
    </row>
    <row r="176" ht="15.6" spans="2:52">
      <c r="B176" s="80" t="s">
        <v>4503</v>
      </c>
      <c r="G176" s="99">
        <v>0</v>
      </c>
      <c r="H176" s="99">
        <v>0</v>
      </c>
      <c r="I176" s="99">
        <v>0</v>
      </c>
      <c r="J176"/>
      <c r="K176"/>
      <c r="L176"/>
      <c r="M176" s="80" t="s">
        <v>183</v>
      </c>
      <c r="N176" s="80" t="s">
        <v>184</v>
      </c>
      <c r="O176" s="80" t="s">
        <v>1280</v>
      </c>
      <c r="P176" s="80" t="s">
        <v>3392</v>
      </c>
      <c r="Q176" s="80" t="s">
        <v>595</v>
      </c>
      <c r="R176" s="80">
        <v>0</v>
      </c>
      <c r="S176" s="80" t="s">
        <v>1281</v>
      </c>
      <c r="T176" s="100">
        <v>4</v>
      </c>
      <c r="U176" s="100">
        <v>0</v>
      </c>
      <c r="V176" s="100">
        <v>0</v>
      </c>
      <c r="W176" s="100">
        <v>0</v>
      </c>
      <c r="X176"/>
      <c r="Y176"/>
      <c r="Z176"/>
      <c r="AA176"/>
      <c r="AB176"/>
      <c r="AC176"/>
      <c r="AD176"/>
      <c r="AE176"/>
      <c r="AF176"/>
      <c r="AG176"/>
      <c r="AH176"/>
      <c r="AI176"/>
      <c r="AJ176"/>
      <c r="AK176"/>
      <c r="AL176"/>
      <c r="AM176"/>
      <c r="AN176"/>
      <c r="AO176"/>
      <c r="AP176"/>
      <c r="AQ176"/>
      <c r="AR176"/>
      <c r="AS176"/>
      <c r="AT176"/>
      <c r="AU176"/>
      <c r="AV176"/>
      <c r="AW176"/>
      <c r="AX176"/>
      <c r="AY176"/>
      <c r="AZ176"/>
    </row>
    <row r="177" ht="15.6" spans="2:52">
      <c r="B177" s="80" t="s">
        <v>185</v>
      </c>
      <c r="C177" s="80" t="s">
        <v>186</v>
      </c>
      <c r="D177" s="80">
        <v>0</v>
      </c>
      <c r="E177" s="80" t="s">
        <v>1178</v>
      </c>
      <c r="F177" s="80" t="s">
        <v>595</v>
      </c>
      <c r="G177" s="99">
        <v>0</v>
      </c>
      <c r="H177" s="99">
        <v>0</v>
      </c>
      <c r="I177" s="99">
        <v>0</v>
      </c>
      <c r="J177"/>
      <c r="K177"/>
      <c r="L177"/>
      <c r="Q177" s="80" t="s">
        <v>599</v>
      </c>
      <c r="R177" s="80">
        <v>0</v>
      </c>
      <c r="S177" s="80" t="s">
        <v>1281</v>
      </c>
      <c r="T177" s="100">
        <v>1</v>
      </c>
      <c r="U177" s="100">
        <v>0</v>
      </c>
      <c r="V177" s="100">
        <v>0</v>
      </c>
      <c r="W177" s="100">
        <v>0</v>
      </c>
      <c r="X177"/>
      <c r="Y177"/>
      <c r="Z177"/>
      <c r="AA177"/>
      <c r="AB177"/>
      <c r="AC177"/>
      <c r="AD177"/>
      <c r="AE177"/>
      <c r="AF177"/>
      <c r="AG177"/>
      <c r="AH177"/>
      <c r="AI177"/>
      <c r="AJ177"/>
      <c r="AK177"/>
      <c r="AL177"/>
      <c r="AM177"/>
      <c r="AN177"/>
      <c r="AO177"/>
      <c r="AP177"/>
      <c r="AQ177"/>
      <c r="AR177"/>
      <c r="AS177"/>
      <c r="AT177"/>
      <c r="AU177"/>
      <c r="AV177"/>
      <c r="AW177"/>
      <c r="AX177"/>
      <c r="AY177"/>
      <c r="AZ177"/>
    </row>
    <row r="178" ht="15.6" spans="2:52">
      <c r="F178" s="80" t="s">
        <v>597</v>
      </c>
      <c r="G178" s="99">
        <v>0</v>
      </c>
      <c r="H178" s="99">
        <v>0</v>
      </c>
      <c r="I178" s="99">
        <v>0</v>
      </c>
      <c r="J178"/>
      <c r="K178"/>
      <c r="L178"/>
      <c r="O178" s="80" t="s">
        <v>1282</v>
      </c>
      <c r="P178" s="80" t="s">
        <v>3394</v>
      </c>
      <c r="Q178" s="80" t="s">
        <v>595</v>
      </c>
      <c r="R178" s="80">
        <v>0</v>
      </c>
      <c r="S178" s="80" t="s">
        <v>1281</v>
      </c>
      <c r="T178" s="100">
        <v>4</v>
      </c>
      <c r="U178" s="100">
        <v>0</v>
      </c>
      <c r="V178" s="100">
        <v>0</v>
      </c>
      <c r="W178" s="100">
        <v>0</v>
      </c>
      <c r="X178"/>
      <c r="Y178"/>
      <c r="Z178"/>
      <c r="AA178"/>
      <c r="AB178"/>
      <c r="AC178"/>
      <c r="AD178"/>
      <c r="AE178"/>
      <c r="AF178"/>
      <c r="AG178"/>
      <c r="AH178"/>
      <c r="AI178"/>
      <c r="AJ178"/>
      <c r="AK178"/>
      <c r="AL178"/>
      <c r="AM178"/>
      <c r="AN178"/>
      <c r="AO178"/>
      <c r="AP178"/>
      <c r="AQ178"/>
      <c r="AR178"/>
      <c r="AS178"/>
      <c r="AT178"/>
      <c r="AU178"/>
      <c r="AV178"/>
      <c r="AW178"/>
      <c r="AX178"/>
      <c r="AY178"/>
      <c r="AZ178"/>
    </row>
    <row r="179" ht="15.6" spans="2:52">
      <c r="F179" s="80" t="s">
        <v>599</v>
      </c>
      <c r="G179" s="99">
        <v>0</v>
      </c>
      <c r="H179" s="99">
        <v>0</v>
      </c>
      <c r="I179" s="99">
        <v>0</v>
      </c>
      <c r="J179"/>
      <c r="K179"/>
      <c r="L179"/>
      <c r="M179" s="80" t="s">
        <v>185</v>
      </c>
      <c r="N179" s="80" t="s">
        <v>186</v>
      </c>
      <c r="O179" s="80" t="s">
        <v>1283</v>
      </c>
      <c r="P179" s="80" t="s">
        <v>3396</v>
      </c>
      <c r="Q179" s="80" t="s">
        <v>595</v>
      </c>
      <c r="R179" s="80">
        <v>0</v>
      </c>
      <c r="S179" s="80" t="s">
        <v>1178</v>
      </c>
      <c r="T179" s="100">
        <v>2</v>
      </c>
      <c r="U179" s="100">
        <v>0</v>
      </c>
      <c r="V179" s="100">
        <v>0</v>
      </c>
      <c r="W179" s="100">
        <v>0</v>
      </c>
      <c r="X179"/>
      <c r="Y179"/>
      <c r="Z179"/>
      <c r="AA179"/>
      <c r="AB179"/>
      <c r="AC179"/>
      <c r="AD179"/>
      <c r="AE179"/>
      <c r="AF179"/>
      <c r="AG179"/>
      <c r="AH179"/>
      <c r="AI179"/>
      <c r="AJ179"/>
      <c r="AK179"/>
      <c r="AL179"/>
      <c r="AM179"/>
      <c r="AN179"/>
      <c r="AO179"/>
      <c r="AP179"/>
      <c r="AQ179"/>
      <c r="AR179"/>
      <c r="AS179"/>
      <c r="AT179"/>
      <c r="AU179"/>
      <c r="AV179"/>
      <c r="AW179"/>
      <c r="AX179"/>
      <c r="AY179"/>
      <c r="AZ179"/>
    </row>
    <row r="180" ht="15.6" spans="2:52">
      <c r="B180" s="80" t="s">
        <v>4504</v>
      </c>
      <c r="G180" s="99">
        <v>0</v>
      </c>
      <c r="H180" s="99">
        <v>0</v>
      </c>
      <c r="I180" s="99">
        <v>0</v>
      </c>
      <c r="J180"/>
      <c r="K180"/>
      <c r="L180"/>
      <c r="O180" s="80" t="s">
        <v>1284</v>
      </c>
      <c r="P180" s="80" t="s">
        <v>3399</v>
      </c>
      <c r="Q180" s="80" t="s">
        <v>599</v>
      </c>
      <c r="R180" s="80">
        <v>0</v>
      </c>
      <c r="S180" s="80" t="s">
        <v>1178</v>
      </c>
      <c r="T180" s="100">
        <v>1</v>
      </c>
      <c r="U180" s="100">
        <v>0</v>
      </c>
      <c r="V180" s="100">
        <v>0</v>
      </c>
      <c r="W180" s="100">
        <v>0</v>
      </c>
      <c r="X180"/>
      <c r="Y180"/>
      <c r="Z180"/>
      <c r="AA180"/>
      <c r="AB180"/>
      <c r="AC180"/>
      <c r="AD180"/>
      <c r="AE180"/>
      <c r="AF180"/>
      <c r="AG180"/>
      <c r="AH180"/>
      <c r="AI180"/>
      <c r="AJ180"/>
      <c r="AK180"/>
      <c r="AL180"/>
      <c r="AM180"/>
      <c r="AN180"/>
      <c r="AO180"/>
      <c r="AP180"/>
      <c r="AQ180"/>
      <c r="AR180"/>
      <c r="AS180"/>
      <c r="AT180"/>
      <c r="AU180"/>
      <c r="AV180"/>
      <c r="AW180"/>
      <c r="AX180"/>
      <c r="AY180"/>
      <c r="AZ180"/>
    </row>
    <row r="181" ht="15.6" spans="2:52">
      <c r="B181" s="80" t="s">
        <v>188</v>
      </c>
      <c r="C181" s="80" t="s">
        <v>189</v>
      </c>
      <c r="D181" s="80">
        <v>0</v>
      </c>
      <c r="E181" s="80" t="s">
        <v>1176</v>
      </c>
      <c r="F181" s="80" t="s">
        <v>595</v>
      </c>
      <c r="G181" s="99">
        <v>0</v>
      </c>
      <c r="H181" s="99">
        <v>0</v>
      </c>
      <c r="I181" s="99">
        <v>0</v>
      </c>
      <c r="J181"/>
      <c r="K181"/>
      <c r="L181"/>
      <c r="O181" s="80" t="s">
        <v>1285</v>
      </c>
      <c r="P181" s="80" t="s">
        <v>3403</v>
      </c>
      <c r="Q181" s="80" t="s">
        <v>597</v>
      </c>
      <c r="R181" s="80">
        <v>0</v>
      </c>
      <c r="S181" s="80" t="s">
        <v>1178</v>
      </c>
      <c r="T181" s="100">
        <v>2</v>
      </c>
      <c r="U181" s="100">
        <v>0</v>
      </c>
      <c r="V181" s="100">
        <v>0</v>
      </c>
      <c r="W181" s="100">
        <v>0</v>
      </c>
      <c r="X181"/>
      <c r="Y181"/>
      <c r="Z181"/>
      <c r="AA181"/>
      <c r="AB181"/>
      <c r="AC181"/>
      <c r="AD181"/>
      <c r="AE181"/>
      <c r="AF181"/>
      <c r="AG181"/>
      <c r="AH181"/>
      <c r="AI181"/>
      <c r="AJ181"/>
      <c r="AK181"/>
      <c r="AL181"/>
      <c r="AM181"/>
      <c r="AN181"/>
      <c r="AO181"/>
      <c r="AP181"/>
      <c r="AQ181"/>
      <c r="AR181"/>
      <c r="AS181"/>
      <c r="AT181"/>
      <c r="AU181"/>
      <c r="AV181"/>
      <c r="AW181"/>
      <c r="AX181"/>
      <c r="AY181"/>
      <c r="AZ181"/>
    </row>
    <row r="182" ht="15.6" spans="2:52">
      <c r="F182" s="80" t="s">
        <v>599</v>
      </c>
      <c r="G182" s="99">
        <v>0</v>
      </c>
      <c r="H182" s="99">
        <v>0</v>
      </c>
      <c r="I182" s="99">
        <v>0</v>
      </c>
      <c r="J182"/>
      <c r="K182"/>
      <c r="L182"/>
      <c r="M182" s="80" t="s">
        <v>188</v>
      </c>
      <c r="N182" s="80" t="s">
        <v>189</v>
      </c>
      <c r="O182" s="80" t="s">
        <v>1286</v>
      </c>
      <c r="P182" s="80" t="s">
        <v>3407</v>
      </c>
      <c r="Q182" s="80" t="s">
        <v>595</v>
      </c>
      <c r="R182" s="80">
        <v>0</v>
      </c>
      <c r="S182" s="80" t="s">
        <v>1178</v>
      </c>
      <c r="T182" s="100">
        <v>1</v>
      </c>
      <c r="U182" s="100">
        <v>0</v>
      </c>
      <c r="V182" s="100">
        <v>0</v>
      </c>
      <c r="W182" s="100">
        <v>0</v>
      </c>
      <c r="X182"/>
      <c r="Y182"/>
      <c r="Z182"/>
      <c r="AA182"/>
      <c r="AB182"/>
      <c r="AC182"/>
      <c r="AD182"/>
      <c r="AE182"/>
      <c r="AF182"/>
      <c r="AG182"/>
      <c r="AH182"/>
      <c r="AI182"/>
      <c r="AJ182"/>
      <c r="AK182"/>
      <c r="AL182"/>
      <c r="AM182"/>
      <c r="AN182"/>
      <c r="AO182"/>
      <c r="AP182"/>
      <c r="AQ182"/>
      <c r="AR182"/>
      <c r="AS182"/>
      <c r="AT182"/>
      <c r="AU182"/>
      <c r="AV182"/>
      <c r="AW182"/>
      <c r="AX182"/>
      <c r="AY182"/>
      <c r="AZ182"/>
    </row>
    <row r="183" ht="15.6" spans="2:52">
      <c r="B183" s="80" t="s">
        <v>4505</v>
      </c>
      <c r="G183" s="99">
        <v>0</v>
      </c>
      <c r="H183" s="99">
        <v>0</v>
      </c>
      <c r="I183" s="99">
        <v>0</v>
      </c>
      <c r="J183"/>
      <c r="K183"/>
      <c r="L183"/>
      <c r="O183" s="80" t="s">
        <v>1287</v>
      </c>
      <c r="P183" s="80" t="s">
        <v>3409</v>
      </c>
      <c r="Q183" s="80" t="s">
        <v>599</v>
      </c>
      <c r="R183" s="80">
        <v>0</v>
      </c>
      <c r="S183" s="80" t="s">
        <v>1178</v>
      </c>
      <c r="T183" s="100">
        <v>2</v>
      </c>
      <c r="U183" s="100">
        <v>0</v>
      </c>
      <c r="V183" s="100">
        <v>0</v>
      </c>
      <c r="W183" s="100">
        <v>0</v>
      </c>
      <c r="X183"/>
      <c r="Y183"/>
      <c r="Z183"/>
      <c r="AA183"/>
      <c r="AB183"/>
      <c r="AC183"/>
      <c r="AD183"/>
      <c r="AE183"/>
      <c r="AF183"/>
      <c r="AG183"/>
      <c r="AH183"/>
      <c r="AI183"/>
      <c r="AJ183"/>
      <c r="AK183"/>
      <c r="AL183"/>
      <c r="AM183"/>
      <c r="AN183"/>
      <c r="AO183"/>
      <c r="AP183"/>
      <c r="AQ183"/>
      <c r="AR183"/>
      <c r="AS183"/>
      <c r="AT183"/>
      <c r="AU183"/>
      <c r="AV183"/>
      <c r="AW183"/>
      <c r="AX183"/>
      <c r="AY183"/>
      <c r="AZ183"/>
    </row>
    <row r="184" ht="15.6" spans="2:52">
      <c r="B184" s="80" t="s">
        <v>190</v>
      </c>
      <c r="C184" s="80" t="s">
        <v>191</v>
      </c>
      <c r="D184" s="80">
        <v>0</v>
      </c>
      <c r="E184" s="80" t="s">
        <v>1178</v>
      </c>
      <c r="F184" s="80" t="s">
        <v>595</v>
      </c>
      <c r="G184" s="99">
        <v>0</v>
      </c>
      <c r="H184" s="99">
        <v>0</v>
      </c>
      <c r="I184" s="99">
        <v>0</v>
      </c>
      <c r="J184"/>
      <c r="K184"/>
      <c r="L184"/>
      <c r="M184" s="80" t="s">
        <v>190</v>
      </c>
      <c r="N184" s="80" t="s">
        <v>191</v>
      </c>
      <c r="O184" s="80" t="s">
        <v>1288</v>
      </c>
      <c r="P184" s="80" t="s">
        <v>191</v>
      </c>
      <c r="Q184" s="80" t="s">
        <v>595</v>
      </c>
      <c r="R184" s="80">
        <v>0</v>
      </c>
      <c r="S184" s="80" t="s">
        <v>1178</v>
      </c>
      <c r="T184" s="100">
        <v>1</v>
      </c>
      <c r="U184" s="100">
        <v>0</v>
      </c>
      <c r="V184" s="100">
        <v>0</v>
      </c>
      <c r="W184" s="100">
        <v>0</v>
      </c>
      <c r="X184"/>
      <c r="Y184"/>
      <c r="Z184"/>
      <c r="AA184"/>
      <c r="AB184"/>
      <c r="AC184"/>
      <c r="AD184"/>
      <c r="AE184"/>
      <c r="AF184"/>
      <c r="AG184"/>
      <c r="AH184"/>
      <c r="AI184"/>
      <c r="AJ184"/>
      <c r="AK184"/>
      <c r="AL184"/>
      <c r="AM184"/>
      <c r="AN184"/>
      <c r="AO184"/>
      <c r="AP184"/>
      <c r="AQ184"/>
      <c r="AR184"/>
      <c r="AS184"/>
      <c r="AT184"/>
      <c r="AU184"/>
      <c r="AV184"/>
      <c r="AW184"/>
      <c r="AX184"/>
      <c r="AY184"/>
      <c r="AZ184"/>
    </row>
    <row r="185" ht="15.6" spans="2:52">
      <c r="F185" s="80" t="s">
        <v>599</v>
      </c>
      <c r="G185" s="99">
        <v>0</v>
      </c>
      <c r="H185" s="99">
        <v>0</v>
      </c>
      <c r="I185" s="99">
        <v>0</v>
      </c>
      <c r="J185"/>
      <c r="K185"/>
      <c r="L185"/>
      <c r="Q185" s="80" t="s">
        <v>599</v>
      </c>
      <c r="R185" s="80">
        <v>0</v>
      </c>
      <c r="S185" s="80" t="s">
        <v>1178</v>
      </c>
      <c r="T185" s="100">
        <v>0.5</v>
      </c>
      <c r="U185" s="100">
        <v>0</v>
      </c>
      <c r="V185" s="100">
        <v>0</v>
      </c>
      <c r="W185" s="100">
        <v>0</v>
      </c>
      <c r="X185"/>
      <c r="Y185"/>
      <c r="Z185"/>
      <c r="AA185"/>
      <c r="AB185"/>
      <c r="AC185"/>
      <c r="AD185"/>
      <c r="AE185"/>
      <c r="AF185"/>
      <c r="AG185"/>
      <c r="AH185"/>
      <c r="AI185"/>
      <c r="AJ185"/>
      <c r="AK185"/>
      <c r="AL185"/>
      <c r="AM185"/>
      <c r="AN185"/>
      <c r="AO185"/>
      <c r="AP185"/>
      <c r="AQ185"/>
      <c r="AR185"/>
      <c r="AS185"/>
      <c r="AT185"/>
      <c r="AU185"/>
      <c r="AV185"/>
      <c r="AW185"/>
      <c r="AX185"/>
      <c r="AY185"/>
      <c r="AZ185"/>
    </row>
    <row r="186" ht="15.6" spans="2:52">
      <c r="B186" s="80" t="s">
        <v>4506</v>
      </c>
      <c r="G186" s="99">
        <v>0</v>
      </c>
      <c r="H186" s="99">
        <v>0</v>
      </c>
      <c r="I186" s="99">
        <v>0</v>
      </c>
      <c r="J186"/>
      <c r="K186"/>
      <c r="L186"/>
      <c r="M186" s="80" t="s">
        <v>192</v>
      </c>
      <c r="N186" s="80" t="s">
        <v>193</v>
      </c>
      <c r="O186" s="80" t="s">
        <v>1289</v>
      </c>
      <c r="P186" s="80" t="s">
        <v>193</v>
      </c>
      <c r="Q186" s="80" t="s">
        <v>595</v>
      </c>
      <c r="R186" s="80">
        <v>0</v>
      </c>
      <c r="S186" s="80" t="s">
        <v>1178</v>
      </c>
      <c r="T186" s="100">
        <v>1</v>
      </c>
      <c r="U186" s="100">
        <v>0</v>
      </c>
      <c r="V186" s="100">
        <v>0</v>
      </c>
      <c r="W186" s="100">
        <v>0</v>
      </c>
      <c r="X186"/>
      <c r="Y186"/>
      <c r="Z186"/>
      <c r="AA186"/>
      <c r="AB186"/>
      <c r="AC186"/>
      <c r="AD186"/>
      <c r="AE186"/>
      <c r="AF186"/>
      <c r="AG186"/>
      <c r="AH186"/>
      <c r="AI186"/>
      <c r="AJ186"/>
      <c r="AK186"/>
      <c r="AL186"/>
      <c r="AM186"/>
      <c r="AN186"/>
      <c r="AO186"/>
      <c r="AP186"/>
      <c r="AQ186"/>
      <c r="AR186"/>
      <c r="AS186"/>
      <c r="AT186"/>
      <c r="AU186"/>
      <c r="AV186"/>
      <c r="AW186"/>
      <c r="AX186"/>
      <c r="AY186"/>
      <c r="AZ186"/>
    </row>
    <row r="187" ht="15.6" spans="2:52">
      <c r="B187" s="80" t="s">
        <v>192</v>
      </c>
      <c r="C187" s="80" t="s">
        <v>193</v>
      </c>
      <c r="D187" s="80">
        <v>0</v>
      </c>
      <c r="E187" s="80" t="s">
        <v>2285</v>
      </c>
      <c r="F187" s="80" t="s">
        <v>595</v>
      </c>
      <c r="G187" s="99">
        <v>0</v>
      </c>
      <c r="H187" s="99">
        <v>0</v>
      </c>
      <c r="I187" s="99">
        <v>0</v>
      </c>
      <c r="J187"/>
      <c r="K187"/>
      <c r="L187"/>
      <c r="Q187" s="80" t="s">
        <v>599</v>
      </c>
      <c r="R187" s="80">
        <v>0</v>
      </c>
      <c r="S187" s="80" t="s">
        <v>1178</v>
      </c>
      <c r="T187" s="100">
        <v>0.5</v>
      </c>
      <c r="U187" s="100">
        <v>0</v>
      </c>
      <c r="V187" s="100">
        <v>0</v>
      </c>
      <c r="W187" s="100">
        <v>0</v>
      </c>
      <c r="X187"/>
      <c r="Y187"/>
      <c r="Z187"/>
      <c r="AA187"/>
      <c r="AB187"/>
      <c r="AC187"/>
      <c r="AD187"/>
      <c r="AE187"/>
      <c r="AF187"/>
      <c r="AG187"/>
      <c r="AH187"/>
      <c r="AI187"/>
      <c r="AJ187"/>
      <c r="AK187"/>
      <c r="AL187"/>
      <c r="AM187"/>
      <c r="AN187"/>
      <c r="AO187"/>
      <c r="AP187"/>
      <c r="AQ187"/>
      <c r="AR187"/>
      <c r="AS187"/>
      <c r="AT187"/>
      <c r="AU187"/>
      <c r="AV187"/>
      <c r="AW187"/>
      <c r="AX187"/>
      <c r="AY187"/>
      <c r="AZ187"/>
    </row>
    <row r="188" ht="15.6" spans="2:52">
      <c r="F188" s="80" t="s">
        <v>599</v>
      </c>
      <c r="G188" s="99">
        <v>0</v>
      </c>
      <c r="H188" s="99">
        <v>0</v>
      </c>
      <c r="I188" s="99">
        <v>0</v>
      </c>
      <c r="J188"/>
      <c r="K188"/>
      <c r="L188"/>
      <c r="M188" s="80" t="s">
        <v>194</v>
      </c>
      <c r="N188" s="80" t="s">
        <v>195</v>
      </c>
      <c r="O188" s="80" t="s">
        <v>1290</v>
      </c>
      <c r="P188" s="80" t="s">
        <v>195</v>
      </c>
      <c r="Q188" s="80" t="s">
        <v>595</v>
      </c>
      <c r="R188" s="80">
        <v>0</v>
      </c>
      <c r="S188" s="80" t="s">
        <v>1178</v>
      </c>
      <c r="T188" s="100">
        <v>4</v>
      </c>
      <c r="U188" s="100">
        <v>0</v>
      </c>
      <c r="V188" s="100">
        <v>0</v>
      </c>
      <c r="W188" s="100">
        <v>0</v>
      </c>
      <c r="X188"/>
      <c r="Y188"/>
      <c r="Z188"/>
      <c r="AA188"/>
      <c r="AB188"/>
      <c r="AC188"/>
      <c r="AD188"/>
      <c r="AE188"/>
      <c r="AF188"/>
      <c r="AG188"/>
      <c r="AH188"/>
      <c r="AI188"/>
      <c r="AJ188"/>
      <c r="AK188"/>
      <c r="AL188"/>
      <c r="AM188"/>
      <c r="AN188"/>
      <c r="AO188"/>
      <c r="AP188"/>
      <c r="AQ188"/>
      <c r="AR188"/>
      <c r="AS188"/>
      <c r="AT188"/>
      <c r="AU188"/>
      <c r="AV188"/>
      <c r="AW188"/>
      <c r="AX188"/>
      <c r="AY188"/>
      <c r="AZ188"/>
    </row>
    <row r="189" ht="15.6" spans="2:52">
      <c r="B189" s="80" t="s">
        <v>4507</v>
      </c>
      <c r="G189" s="99">
        <v>0</v>
      </c>
      <c r="H189" s="99">
        <v>0</v>
      </c>
      <c r="I189" s="99">
        <v>0</v>
      </c>
      <c r="J189"/>
      <c r="K189"/>
      <c r="L189"/>
      <c r="Q189" s="80" t="s">
        <v>597</v>
      </c>
      <c r="R189" s="80">
        <v>0</v>
      </c>
      <c r="S189" s="80" t="s">
        <v>1178</v>
      </c>
      <c r="T189" s="100">
        <v>1</v>
      </c>
      <c r="U189" s="100">
        <v>0</v>
      </c>
      <c r="V189" s="100">
        <v>0</v>
      </c>
      <c r="W189" s="100">
        <v>0</v>
      </c>
      <c r="X189"/>
      <c r="Y189"/>
      <c r="Z189"/>
      <c r="AA189"/>
      <c r="AB189"/>
      <c r="AC189"/>
      <c r="AD189"/>
      <c r="AE189"/>
      <c r="AF189"/>
      <c r="AG189"/>
      <c r="AH189"/>
      <c r="AI189"/>
      <c r="AJ189"/>
      <c r="AK189"/>
      <c r="AL189"/>
      <c r="AM189"/>
      <c r="AN189"/>
      <c r="AO189"/>
      <c r="AP189"/>
      <c r="AQ189"/>
      <c r="AR189"/>
      <c r="AS189"/>
      <c r="AT189"/>
      <c r="AU189"/>
      <c r="AV189"/>
      <c r="AW189"/>
      <c r="AX189"/>
      <c r="AY189"/>
      <c r="AZ189"/>
    </row>
    <row r="190" ht="15.6" spans="2:52">
      <c r="B190" s="80" t="s">
        <v>194</v>
      </c>
      <c r="C190" s="80" t="s">
        <v>195</v>
      </c>
      <c r="D190" s="80">
        <v>0</v>
      </c>
      <c r="E190" s="80" t="s">
        <v>1178</v>
      </c>
      <c r="F190" s="80" t="s">
        <v>595</v>
      </c>
      <c r="G190" s="99">
        <v>0</v>
      </c>
      <c r="H190" s="99">
        <v>0</v>
      </c>
      <c r="I190" s="99">
        <v>0</v>
      </c>
      <c r="J190"/>
      <c r="K190"/>
      <c r="L190"/>
      <c r="O190" s="80" t="s">
        <v>1291</v>
      </c>
      <c r="P190" s="80" t="s">
        <v>3418</v>
      </c>
      <c r="Q190" s="80" t="s">
        <v>599</v>
      </c>
      <c r="R190" s="80">
        <v>0</v>
      </c>
      <c r="S190" s="80" t="s">
        <v>1178</v>
      </c>
      <c r="T190" s="100">
        <v>1</v>
      </c>
      <c r="U190" s="100">
        <v>0</v>
      </c>
      <c r="V190" s="100">
        <v>0</v>
      </c>
      <c r="W190" s="100">
        <v>0</v>
      </c>
      <c r="X190"/>
      <c r="Y190"/>
      <c r="Z190"/>
      <c r="AA190"/>
      <c r="AB190"/>
      <c r="AC190"/>
      <c r="AD190"/>
      <c r="AE190"/>
      <c r="AF190"/>
      <c r="AG190"/>
      <c r="AH190"/>
      <c r="AI190"/>
      <c r="AJ190"/>
      <c r="AK190"/>
      <c r="AL190"/>
      <c r="AM190"/>
      <c r="AN190"/>
      <c r="AO190"/>
      <c r="AP190"/>
      <c r="AQ190"/>
      <c r="AR190"/>
      <c r="AS190"/>
      <c r="AT190"/>
      <c r="AU190"/>
      <c r="AV190"/>
      <c r="AW190"/>
      <c r="AX190"/>
      <c r="AY190"/>
      <c r="AZ190"/>
    </row>
    <row r="191" ht="15.6" spans="2:52">
      <c r="F191" s="80" t="s">
        <v>597</v>
      </c>
      <c r="G191" s="99">
        <v>0</v>
      </c>
      <c r="H191" s="99">
        <v>0</v>
      </c>
      <c r="I191" s="99">
        <v>0</v>
      </c>
      <c r="J191"/>
      <c r="K191"/>
      <c r="L191"/>
      <c r="M191" s="80" t="s">
        <v>196</v>
      </c>
      <c r="N191" s="80" t="s">
        <v>197</v>
      </c>
      <c r="O191" s="80" t="s">
        <v>1292</v>
      </c>
      <c r="P191" s="80" t="s">
        <v>197</v>
      </c>
      <c r="Q191" s="80" t="s">
        <v>595</v>
      </c>
      <c r="R191" s="80">
        <v>0</v>
      </c>
      <c r="S191" s="80" t="s">
        <v>1178</v>
      </c>
      <c r="T191" s="100">
        <v>1</v>
      </c>
      <c r="U191" s="100">
        <v>0</v>
      </c>
      <c r="V191" s="100">
        <v>0</v>
      </c>
      <c r="W191" s="100">
        <v>0</v>
      </c>
      <c r="X191"/>
      <c r="Y191"/>
      <c r="Z191"/>
      <c r="AA191"/>
      <c r="AB191"/>
      <c r="AC191"/>
      <c r="AD191"/>
      <c r="AE191"/>
      <c r="AF191"/>
      <c r="AG191"/>
      <c r="AH191"/>
      <c r="AI191"/>
      <c r="AJ191"/>
      <c r="AK191"/>
      <c r="AL191"/>
      <c r="AM191"/>
      <c r="AN191"/>
      <c r="AO191"/>
      <c r="AP191"/>
      <c r="AQ191"/>
      <c r="AR191"/>
      <c r="AS191"/>
      <c r="AT191"/>
      <c r="AU191"/>
      <c r="AV191"/>
      <c r="AW191"/>
      <c r="AX191"/>
      <c r="AY191"/>
      <c r="AZ191"/>
    </row>
    <row r="192" ht="15.6" spans="2:52">
      <c r="F192" s="80" t="s">
        <v>599</v>
      </c>
      <c r="G192" s="99">
        <v>0</v>
      </c>
      <c r="H192" s="99">
        <v>0</v>
      </c>
      <c r="I192" s="99">
        <v>0</v>
      </c>
      <c r="J192"/>
      <c r="K192"/>
      <c r="L192"/>
      <c r="O192" s="80" t="s">
        <v>1293</v>
      </c>
      <c r="P192" s="80" t="s">
        <v>3422</v>
      </c>
      <c r="Q192" s="80" t="s">
        <v>599</v>
      </c>
      <c r="R192" s="80">
        <v>0</v>
      </c>
      <c r="S192" s="80" t="s">
        <v>1178</v>
      </c>
      <c r="T192" s="100">
        <v>0.5</v>
      </c>
      <c r="U192" s="100">
        <v>0</v>
      </c>
      <c r="V192" s="100">
        <v>0</v>
      </c>
      <c r="W192" s="100">
        <v>0</v>
      </c>
      <c r="X192"/>
      <c r="Y192"/>
      <c r="Z192"/>
      <c r="AA192"/>
      <c r="AB192"/>
      <c r="AC192"/>
      <c r="AD192"/>
      <c r="AE192"/>
      <c r="AF192"/>
      <c r="AG192"/>
      <c r="AH192"/>
      <c r="AI192"/>
      <c r="AJ192"/>
      <c r="AK192"/>
      <c r="AL192"/>
      <c r="AM192"/>
      <c r="AN192"/>
      <c r="AO192"/>
      <c r="AP192"/>
      <c r="AQ192"/>
      <c r="AR192"/>
      <c r="AS192"/>
      <c r="AT192"/>
      <c r="AU192"/>
      <c r="AV192"/>
      <c r="AW192"/>
      <c r="AX192"/>
      <c r="AY192"/>
      <c r="AZ192"/>
    </row>
    <row r="193" ht="15.6" spans="2:52">
      <c r="B193" s="80" t="s">
        <v>4508</v>
      </c>
      <c r="G193" s="99">
        <v>0</v>
      </c>
      <c r="H193" s="99">
        <v>0</v>
      </c>
      <c r="I193" s="99">
        <v>0</v>
      </c>
      <c r="J193"/>
      <c r="K193"/>
      <c r="L193"/>
      <c r="M193" s="80" t="s">
        <v>198</v>
      </c>
      <c r="N193" s="80" t="s">
        <v>199</v>
      </c>
      <c r="O193" s="80" t="s">
        <v>3424</v>
      </c>
      <c r="P193" s="80" t="s">
        <v>3425</v>
      </c>
      <c r="Q193" s="80" t="s">
        <v>595</v>
      </c>
      <c r="R193" s="80">
        <v>0</v>
      </c>
      <c r="S193" s="80" t="s">
        <v>1295</v>
      </c>
      <c r="T193" s="100">
        <v>16</v>
      </c>
      <c r="U193" s="100">
        <v>0</v>
      </c>
      <c r="V193" s="100">
        <v>0</v>
      </c>
      <c r="W193" s="100">
        <v>0</v>
      </c>
      <c r="X193"/>
      <c r="Y193"/>
      <c r="Z193"/>
      <c r="AA193"/>
      <c r="AB193"/>
      <c r="AC193"/>
      <c r="AD193"/>
      <c r="AE193"/>
      <c r="AF193"/>
      <c r="AG193"/>
      <c r="AH193"/>
      <c r="AI193"/>
      <c r="AJ193"/>
      <c r="AK193"/>
      <c r="AL193"/>
      <c r="AM193"/>
      <c r="AN193"/>
      <c r="AO193"/>
      <c r="AP193"/>
      <c r="AQ193"/>
      <c r="AR193"/>
      <c r="AS193"/>
      <c r="AT193"/>
      <c r="AU193"/>
      <c r="AV193"/>
      <c r="AW193"/>
      <c r="AX193"/>
      <c r="AY193"/>
      <c r="AZ193"/>
    </row>
    <row r="194" ht="15.6" spans="2:52">
      <c r="B194" s="80" t="s">
        <v>196</v>
      </c>
      <c r="C194" s="80" t="s">
        <v>197</v>
      </c>
      <c r="D194" s="80">
        <v>0</v>
      </c>
      <c r="E194" s="80" t="s">
        <v>1178</v>
      </c>
      <c r="F194" s="80" t="s">
        <v>595</v>
      </c>
      <c r="G194" s="99">
        <v>0</v>
      </c>
      <c r="H194" s="99">
        <v>0</v>
      </c>
      <c r="I194" s="99">
        <v>0</v>
      </c>
      <c r="J194"/>
      <c r="K194"/>
      <c r="L194"/>
      <c r="O194" s="80" t="s">
        <v>3427</v>
      </c>
      <c r="P194" s="80" t="s">
        <v>3428</v>
      </c>
      <c r="Q194" s="80" t="s">
        <v>595</v>
      </c>
      <c r="R194" s="80">
        <v>0</v>
      </c>
      <c r="S194" s="80" t="s">
        <v>1295</v>
      </c>
      <c r="T194" s="100">
        <v>6</v>
      </c>
      <c r="U194" s="100">
        <v>0</v>
      </c>
      <c r="V194" s="100">
        <v>0</v>
      </c>
      <c r="W194" s="100">
        <v>0</v>
      </c>
      <c r="X194"/>
      <c r="Y194"/>
      <c r="Z194"/>
      <c r="AA194"/>
      <c r="AB194"/>
      <c r="AC194"/>
      <c r="AD194"/>
      <c r="AE194"/>
      <c r="AF194"/>
      <c r="AG194"/>
      <c r="AH194"/>
      <c r="AI194"/>
      <c r="AJ194"/>
      <c r="AK194"/>
      <c r="AL194"/>
      <c r="AM194"/>
      <c r="AN194"/>
      <c r="AO194"/>
      <c r="AP194"/>
      <c r="AQ194"/>
      <c r="AR194"/>
      <c r="AS194"/>
      <c r="AT194"/>
      <c r="AU194"/>
      <c r="AV194"/>
      <c r="AW194"/>
      <c r="AX194"/>
      <c r="AY194"/>
      <c r="AZ194"/>
    </row>
    <row r="195" ht="15.6" spans="2:52">
      <c r="F195" s="80" t="s">
        <v>599</v>
      </c>
      <c r="G195" s="99">
        <v>0</v>
      </c>
      <c r="H195" s="99">
        <v>0</v>
      </c>
      <c r="I195" s="99">
        <v>0</v>
      </c>
      <c r="J195"/>
      <c r="K195"/>
      <c r="L195"/>
      <c r="O195" s="80" t="s">
        <v>3430</v>
      </c>
      <c r="P195" s="80" t="s">
        <v>3431</v>
      </c>
      <c r="Q195" s="80" t="s">
        <v>595</v>
      </c>
      <c r="R195" s="80">
        <v>0</v>
      </c>
      <c r="S195" s="80" t="s">
        <v>1295</v>
      </c>
      <c r="T195" s="100">
        <v>4</v>
      </c>
      <c r="U195" s="100">
        <v>0</v>
      </c>
      <c r="V195" s="100">
        <v>0</v>
      </c>
      <c r="W195" s="100">
        <v>0</v>
      </c>
      <c r="X195"/>
      <c r="Y195"/>
      <c r="Z195"/>
      <c r="AA195"/>
      <c r="AB195"/>
      <c r="AC195"/>
      <c r="AD195"/>
      <c r="AE195"/>
      <c r="AF195"/>
      <c r="AG195"/>
      <c r="AH195"/>
      <c r="AI195"/>
      <c r="AJ195"/>
      <c r="AK195"/>
      <c r="AL195"/>
      <c r="AM195"/>
      <c r="AN195"/>
      <c r="AO195"/>
      <c r="AP195"/>
      <c r="AQ195"/>
      <c r="AR195"/>
      <c r="AS195"/>
      <c r="AT195"/>
      <c r="AU195"/>
      <c r="AV195"/>
      <c r="AW195"/>
      <c r="AX195"/>
      <c r="AY195"/>
      <c r="AZ195"/>
    </row>
    <row r="196" ht="15.6" spans="2:52">
      <c r="B196" s="80" t="s">
        <v>4509</v>
      </c>
      <c r="G196" s="99">
        <v>0</v>
      </c>
      <c r="H196" s="99">
        <v>0</v>
      </c>
      <c r="I196" s="99">
        <v>0</v>
      </c>
      <c r="J196"/>
      <c r="K196"/>
      <c r="L196"/>
      <c r="O196" s="80" t="s">
        <v>3433</v>
      </c>
      <c r="P196" s="80" t="s">
        <v>3434</v>
      </c>
      <c r="Q196" s="80" t="s">
        <v>595</v>
      </c>
      <c r="R196" s="80">
        <v>0</v>
      </c>
      <c r="S196" s="80" t="s">
        <v>1295</v>
      </c>
      <c r="T196" s="100">
        <v>0</v>
      </c>
      <c r="U196" s="100">
        <v>0</v>
      </c>
      <c r="V196" s="100">
        <v>0</v>
      </c>
      <c r="W196" s="100">
        <v>0</v>
      </c>
      <c r="X196"/>
      <c r="Y196"/>
      <c r="Z196"/>
      <c r="AA196"/>
      <c r="AB196"/>
      <c r="AC196"/>
      <c r="AD196"/>
      <c r="AE196"/>
      <c r="AF196"/>
      <c r="AG196"/>
      <c r="AH196"/>
      <c r="AI196"/>
      <c r="AJ196"/>
      <c r="AK196"/>
      <c r="AL196"/>
      <c r="AM196"/>
      <c r="AN196"/>
      <c r="AO196"/>
      <c r="AP196"/>
      <c r="AQ196"/>
      <c r="AR196"/>
      <c r="AS196"/>
      <c r="AT196"/>
      <c r="AU196"/>
      <c r="AV196"/>
      <c r="AW196"/>
      <c r="AX196"/>
      <c r="AY196"/>
      <c r="AZ196"/>
    </row>
    <row r="197" ht="15.6" spans="2:52">
      <c r="B197" s="80" t="s">
        <v>198</v>
      </c>
      <c r="C197" s="80" t="s">
        <v>199</v>
      </c>
      <c r="D197" s="80">
        <v>0</v>
      </c>
      <c r="E197" s="80" t="s">
        <v>1295</v>
      </c>
      <c r="F197" s="80" t="s">
        <v>595</v>
      </c>
      <c r="G197" s="99">
        <v>0</v>
      </c>
      <c r="H197" s="99">
        <v>0</v>
      </c>
      <c r="I197" s="99">
        <v>0</v>
      </c>
      <c r="J197"/>
      <c r="K197"/>
      <c r="L197"/>
      <c r="O197" s="80" t="s">
        <v>3435</v>
      </c>
      <c r="P197" s="80" t="s">
        <v>3436</v>
      </c>
      <c r="Q197" s="80" t="s">
        <v>595</v>
      </c>
      <c r="R197" s="80">
        <v>0</v>
      </c>
      <c r="S197" s="80" t="s">
        <v>1295</v>
      </c>
      <c r="T197" s="100">
        <v>4</v>
      </c>
      <c r="U197" s="100">
        <v>0</v>
      </c>
      <c r="V197" s="100">
        <v>0</v>
      </c>
      <c r="W197" s="100">
        <v>0</v>
      </c>
      <c r="X197"/>
      <c r="Y197"/>
      <c r="Z197"/>
      <c r="AA197"/>
      <c r="AB197"/>
      <c r="AC197"/>
      <c r="AD197"/>
      <c r="AE197"/>
      <c r="AF197"/>
      <c r="AG197"/>
      <c r="AH197"/>
      <c r="AI197"/>
      <c r="AJ197"/>
      <c r="AK197"/>
      <c r="AL197"/>
      <c r="AM197"/>
      <c r="AN197"/>
      <c r="AO197"/>
      <c r="AP197"/>
      <c r="AQ197"/>
      <c r="AR197"/>
      <c r="AS197"/>
      <c r="AT197"/>
      <c r="AU197"/>
      <c r="AV197"/>
      <c r="AW197"/>
      <c r="AX197"/>
      <c r="AY197"/>
      <c r="AZ197"/>
    </row>
    <row r="198" ht="15.6" spans="2:52">
      <c r="F198" s="80" t="s">
        <v>599</v>
      </c>
      <c r="G198" s="99">
        <v>0</v>
      </c>
      <c r="H198" s="99">
        <v>0</v>
      </c>
      <c r="I198" s="99">
        <v>0</v>
      </c>
      <c r="J198"/>
      <c r="K198"/>
      <c r="L198"/>
      <c r="O198" s="80" t="s">
        <v>1294</v>
      </c>
      <c r="P198" s="80" t="s">
        <v>3438</v>
      </c>
      <c r="Q198" s="80" t="s">
        <v>599</v>
      </c>
      <c r="R198" s="80">
        <v>0</v>
      </c>
      <c r="S198" s="80" t="s">
        <v>1220</v>
      </c>
      <c r="T198" s="100">
        <v>8</v>
      </c>
      <c r="U198" s="100">
        <v>0</v>
      </c>
      <c r="V198" s="100">
        <v>0</v>
      </c>
      <c r="W198" s="100">
        <v>0</v>
      </c>
      <c r="X198"/>
      <c r="Y198"/>
      <c r="Z198"/>
      <c r="AA198"/>
      <c r="AB198"/>
      <c r="AC198"/>
      <c r="AD198"/>
      <c r="AE198"/>
      <c r="AF198"/>
      <c r="AG198"/>
      <c r="AH198"/>
      <c r="AI198"/>
      <c r="AJ198"/>
      <c r="AK198"/>
      <c r="AL198"/>
      <c r="AM198"/>
      <c r="AN198"/>
      <c r="AO198"/>
      <c r="AP198"/>
      <c r="AQ198"/>
      <c r="AR198"/>
      <c r="AS198"/>
      <c r="AT198"/>
      <c r="AU198"/>
      <c r="AV198"/>
      <c r="AW198"/>
      <c r="AX198"/>
      <c r="AY198"/>
      <c r="AZ198"/>
    </row>
    <row r="199" ht="15.6" spans="2:52">
      <c r="B199" s="80" t="s">
        <v>4510</v>
      </c>
      <c r="G199" s="99">
        <v>0</v>
      </c>
      <c r="H199" s="99">
        <v>0</v>
      </c>
      <c r="I199" s="99">
        <v>0</v>
      </c>
      <c r="J199"/>
      <c r="K199"/>
      <c r="L199"/>
      <c r="M199" s="80" t="s">
        <v>200</v>
      </c>
      <c r="N199" s="80" t="s">
        <v>2286</v>
      </c>
      <c r="O199" s="80" t="s">
        <v>1296</v>
      </c>
      <c r="P199" s="80" t="s">
        <v>3440</v>
      </c>
      <c r="Q199" s="80" t="s">
        <v>595</v>
      </c>
      <c r="R199" s="80">
        <v>0</v>
      </c>
      <c r="S199" s="80" t="s">
        <v>1178</v>
      </c>
      <c r="T199" s="100">
        <v>3</v>
      </c>
      <c r="U199" s="100">
        <v>0</v>
      </c>
      <c r="V199" s="100">
        <v>0</v>
      </c>
      <c r="W199" s="100">
        <v>0</v>
      </c>
      <c r="X199"/>
      <c r="Y199"/>
      <c r="Z199"/>
      <c r="AA199"/>
      <c r="AB199"/>
      <c r="AC199"/>
      <c r="AD199"/>
      <c r="AE199"/>
      <c r="AF199"/>
      <c r="AG199"/>
      <c r="AH199"/>
      <c r="AI199"/>
      <c r="AJ199"/>
      <c r="AK199"/>
      <c r="AL199"/>
      <c r="AM199"/>
      <c r="AN199"/>
      <c r="AO199"/>
      <c r="AP199"/>
      <c r="AQ199"/>
      <c r="AR199"/>
      <c r="AS199"/>
      <c r="AT199"/>
      <c r="AU199"/>
      <c r="AV199"/>
      <c r="AW199"/>
      <c r="AX199"/>
      <c r="AY199"/>
      <c r="AZ199"/>
    </row>
    <row r="200" ht="15.6" spans="2:52">
      <c r="B200" s="80" t="s">
        <v>200</v>
      </c>
      <c r="C200" s="80" t="s">
        <v>2286</v>
      </c>
      <c r="D200" s="80">
        <v>0</v>
      </c>
      <c r="E200" s="80" t="s">
        <v>1178</v>
      </c>
      <c r="F200" s="80" t="s">
        <v>595</v>
      </c>
      <c r="G200" s="99">
        <v>0</v>
      </c>
      <c r="H200" s="99">
        <v>0</v>
      </c>
      <c r="I200" s="99">
        <v>0</v>
      </c>
      <c r="J200"/>
      <c r="K200"/>
      <c r="L200"/>
      <c r="O200" s="80" t="s">
        <v>1297</v>
      </c>
      <c r="P200" s="80" t="s">
        <v>3442</v>
      </c>
      <c r="Q200" s="80" t="s">
        <v>595</v>
      </c>
      <c r="R200" s="80">
        <v>0</v>
      </c>
      <c r="S200" s="80" t="s">
        <v>1178</v>
      </c>
      <c r="T200" s="100">
        <v>21</v>
      </c>
      <c r="U200" s="100">
        <v>0</v>
      </c>
      <c r="V200" s="100">
        <v>0</v>
      </c>
      <c r="W200" s="100">
        <v>0</v>
      </c>
      <c r="X200"/>
      <c r="Y200"/>
      <c r="Z200"/>
      <c r="AA200"/>
      <c r="AB200"/>
      <c r="AC200"/>
      <c r="AD200"/>
      <c r="AE200"/>
      <c r="AF200"/>
      <c r="AG200"/>
      <c r="AH200"/>
      <c r="AI200"/>
      <c r="AJ200"/>
      <c r="AK200"/>
      <c r="AL200"/>
      <c r="AM200"/>
      <c r="AN200"/>
      <c r="AO200"/>
      <c r="AP200"/>
      <c r="AQ200"/>
      <c r="AR200"/>
      <c r="AS200"/>
      <c r="AT200"/>
      <c r="AU200"/>
      <c r="AV200"/>
      <c r="AW200"/>
      <c r="AX200"/>
      <c r="AY200"/>
      <c r="AZ200"/>
    </row>
    <row r="201" ht="15.6" spans="2:52">
      <c r="F201" s="80" t="s">
        <v>599</v>
      </c>
      <c r="G201" s="99">
        <v>0</v>
      </c>
      <c r="H201" s="99">
        <v>0</v>
      </c>
      <c r="I201" s="99">
        <v>0</v>
      </c>
      <c r="J201"/>
      <c r="K201"/>
      <c r="L201"/>
      <c r="O201" s="80" t="s">
        <v>1298</v>
      </c>
      <c r="P201" s="80" t="s">
        <v>3445</v>
      </c>
      <c r="Q201" s="80" t="s">
        <v>599</v>
      </c>
      <c r="R201" s="80">
        <v>0</v>
      </c>
      <c r="S201" s="80" t="s">
        <v>1178</v>
      </c>
      <c r="T201" s="100">
        <v>2</v>
      </c>
      <c r="U201" s="100">
        <v>0</v>
      </c>
      <c r="V201" s="100">
        <v>0</v>
      </c>
      <c r="W201" s="100">
        <v>0</v>
      </c>
      <c r="X201"/>
      <c r="Y201"/>
      <c r="Z201"/>
      <c r="AA201"/>
      <c r="AB201"/>
      <c r="AC201"/>
      <c r="AD201"/>
      <c r="AE201"/>
      <c r="AF201"/>
      <c r="AG201"/>
      <c r="AH201"/>
      <c r="AI201"/>
      <c r="AJ201"/>
      <c r="AK201"/>
      <c r="AL201"/>
      <c r="AM201"/>
      <c r="AN201"/>
      <c r="AO201"/>
      <c r="AP201"/>
      <c r="AQ201"/>
      <c r="AR201"/>
      <c r="AS201"/>
      <c r="AT201"/>
      <c r="AU201"/>
      <c r="AV201"/>
      <c r="AW201"/>
      <c r="AX201"/>
      <c r="AY201"/>
      <c r="AZ201"/>
    </row>
    <row r="202" ht="15.6" spans="2:52">
      <c r="B202" s="80" t="s">
        <v>4511</v>
      </c>
      <c r="G202" s="99">
        <v>0</v>
      </c>
      <c r="H202" s="99">
        <v>0</v>
      </c>
      <c r="I202" s="99">
        <v>0</v>
      </c>
      <c r="J202"/>
      <c r="K202"/>
      <c r="L202"/>
      <c r="M202" s="80" t="s">
        <v>203</v>
      </c>
      <c r="N202" s="80" t="s">
        <v>204</v>
      </c>
      <c r="O202" s="80" t="s">
        <v>1299</v>
      </c>
      <c r="P202" s="80" t="s">
        <v>3447</v>
      </c>
      <c r="Q202" s="80" t="s">
        <v>595</v>
      </c>
      <c r="R202" s="80">
        <v>0</v>
      </c>
      <c r="S202" s="80" t="s">
        <v>1178</v>
      </c>
      <c r="T202" s="100">
        <v>3</v>
      </c>
      <c r="U202" s="100">
        <v>0</v>
      </c>
      <c r="V202" s="100">
        <v>0</v>
      </c>
      <c r="W202" s="100">
        <v>0</v>
      </c>
      <c r="X202"/>
      <c r="Y202"/>
      <c r="Z202"/>
      <c r="AA202"/>
      <c r="AB202"/>
      <c r="AC202"/>
      <c r="AD202"/>
      <c r="AE202"/>
      <c r="AF202"/>
      <c r="AG202"/>
      <c r="AH202"/>
      <c r="AI202"/>
      <c r="AJ202"/>
      <c r="AK202"/>
      <c r="AL202"/>
      <c r="AM202"/>
      <c r="AN202"/>
      <c r="AO202"/>
      <c r="AP202"/>
      <c r="AQ202"/>
      <c r="AR202"/>
      <c r="AS202"/>
      <c r="AT202"/>
      <c r="AU202"/>
      <c r="AV202"/>
      <c r="AW202"/>
      <c r="AX202"/>
      <c r="AY202"/>
      <c r="AZ202"/>
    </row>
    <row r="203" ht="15.6" spans="2:52">
      <c r="B203" s="80" t="s">
        <v>203</v>
      </c>
      <c r="C203" s="80" t="s">
        <v>204</v>
      </c>
      <c r="D203" s="80">
        <v>0</v>
      </c>
      <c r="E203" s="80" t="s">
        <v>1178</v>
      </c>
      <c r="F203" s="80" t="s">
        <v>595</v>
      </c>
      <c r="G203" s="99">
        <v>0</v>
      </c>
      <c r="H203" s="99">
        <v>0</v>
      </c>
      <c r="I203" s="99">
        <v>0</v>
      </c>
      <c r="J203"/>
      <c r="K203"/>
      <c r="L203"/>
      <c r="O203" s="80" t="s">
        <v>1300</v>
      </c>
      <c r="P203" s="80" t="s">
        <v>3449</v>
      </c>
      <c r="Q203" s="80" t="s">
        <v>595</v>
      </c>
      <c r="R203" s="80">
        <v>0</v>
      </c>
      <c r="S203" s="80" t="s">
        <v>1178</v>
      </c>
      <c r="T203" s="100">
        <v>17</v>
      </c>
      <c r="U203" s="100">
        <v>0</v>
      </c>
      <c r="V203" s="100">
        <v>0</v>
      </c>
      <c r="W203" s="100">
        <v>0</v>
      </c>
      <c r="X203"/>
      <c r="Y203"/>
      <c r="Z203"/>
      <c r="AA203"/>
      <c r="AB203"/>
      <c r="AC203"/>
      <c r="AD203"/>
      <c r="AE203"/>
      <c r="AF203"/>
      <c r="AG203"/>
      <c r="AH203"/>
      <c r="AI203"/>
      <c r="AJ203"/>
      <c r="AK203"/>
      <c r="AL203"/>
      <c r="AM203"/>
      <c r="AN203"/>
      <c r="AO203"/>
      <c r="AP203"/>
      <c r="AQ203"/>
      <c r="AR203"/>
      <c r="AS203"/>
      <c r="AT203"/>
      <c r="AU203"/>
      <c r="AV203"/>
      <c r="AW203"/>
      <c r="AX203"/>
      <c r="AY203"/>
      <c r="AZ203"/>
    </row>
    <row r="204" ht="15.6" spans="2:52">
      <c r="F204" s="80" t="s">
        <v>599</v>
      </c>
      <c r="G204" s="99">
        <v>0</v>
      </c>
      <c r="H204" s="99">
        <v>0</v>
      </c>
      <c r="I204" s="99">
        <v>0</v>
      </c>
      <c r="J204"/>
      <c r="K204"/>
      <c r="L204"/>
      <c r="O204" s="80" t="s">
        <v>1301</v>
      </c>
      <c r="P204" s="80" t="s">
        <v>3451</v>
      </c>
      <c r="Q204" s="80" t="s">
        <v>599</v>
      </c>
      <c r="R204" s="80">
        <v>0</v>
      </c>
      <c r="S204" s="80" t="s">
        <v>1178</v>
      </c>
      <c r="T204" s="100">
        <v>2</v>
      </c>
      <c r="U204" s="100">
        <v>0</v>
      </c>
      <c r="V204" s="100">
        <v>0</v>
      </c>
      <c r="W204" s="100">
        <v>0</v>
      </c>
      <c r="X204"/>
      <c r="Y204"/>
      <c r="Z204"/>
      <c r="AA204"/>
      <c r="AB204"/>
      <c r="AC204"/>
      <c r="AD204"/>
      <c r="AE204"/>
      <c r="AF204"/>
      <c r="AG204"/>
      <c r="AH204"/>
      <c r="AI204"/>
      <c r="AJ204"/>
      <c r="AK204"/>
      <c r="AL204"/>
      <c r="AM204"/>
      <c r="AN204"/>
      <c r="AO204"/>
      <c r="AP204"/>
      <c r="AQ204"/>
      <c r="AR204"/>
      <c r="AS204"/>
      <c r="AT204"/>
      <c r="AU204"/>
      <c r="AV204"/>
      <c r="AW204"/>
      <c r="AX204"/>
      <c r="AY204"/>
      <c r="AZ204"/>
    </row>
    <row r="205" ht="15.6" spans="2:52">
      <c r="B205" s="80" t="s">
        <v>4512</v>
      </c>
      <c r="G205" s="99">
        <v>0</v>
      </c>
      <c r="H205" s="99">
        <v>0</v>
      </c>
      <c r="I205" s="99">
        <v>0</v>
      </c>
      <c r="J205"/>
      <c r="K205"/>
      <c r="L205"/>
      <c r="M205" s="80" t="s">
        <v>205</v>
      </c>
      <c r="N205" s="80" t="s">
        <v>206</v>
      </c>
      <c r="O205" s="80" t="s">
        <v>1302</v>
      </c>
      <c r="P205" s="80" t="s">
        <v>3453</v>
      </c>
      <c r="Q205" s="80" t="s">
        <v>595</v>
      </c>
      <c r="R205" s="80">
        <v>0</v>
      </c>
      <c r="S205" s="80" t="s">
        <v>1178</v>
      </c>
      <c r="T205" s="100">
        <v>8</v>
      </c>
      <c r="U205" s="100">
        <v>0</v>
      </c>
      <c r="V205" s="100">
        <v>0</v>
      </c>
      <c r="W205" s="100">
        <v>0</v>
      </c>
      <c r="X205"/>
      <c r="Y205"/>
      <c r="Z205"/>
      <c r="AA205"/>
      <c r="AB205"/>
      <c r="AC205"/>
      <c r="AD205"/>
      <c r="AE205"/>
      <c r="AF205"/>
      <c r="AG205"/>
      <c r="AH205"/>
      <c r="AI205"/>
      <c r="AJ205"/>
      <c r="AK205"/>
      <c r="AL205"/>
      <c r="AM205"/>
      <c r="AN205"/>
      <c r="AO205"/>
      <c r="AP205"/>
      <c r="AQ205"/>
      <c r="AR205"/>
      <c r="AS205"/>
      <c r="AT205"/>
      <c r="AU205"/>
      <c r="AV205"/>
      <c r="AW205"/>
      <c r="AX205"/>
      <c r="AY205"/>
      <c r="AZ205"/>
    </row>
    <row r="206" ht="15.6" spans="2:52">
      <c r="B206" s="80" t="s">
        <v>205</v>
      </c>
      <c r="C206" s="80" t="s">
        <v>206</v>
      </c>
      <c r="D206" s="80">
        <v>0</v>
      </c>
      <c r="E206" s="80" t="s">
        <v>1176</v>
      </c>
      <c r="F206" s="80" t="s">
        <v>595</v>
      </c>
      <c r="G206" s="99">
        <v>0</v>
      </c>
      <c r="H206" s="99">
        <v>0</v>
      </c>
      <c r="I206" s="99">
        <v>0</v>
      </c>
      <c r="J206"/>
      <c r="K206"/>
      <c r="L206"/>
      <c r="M206" s="80" t="s">
        <v>207</v>
      </c>
      <c r="N206" s="80" t="s">
        <v>208</v>
      </c>
      <c r="O206" s="80" t="s">
        <v>1303</v>
      </c>
      <c r="P206" s="80" t="s">
        <v>3454</v>
      </c>
      <c r="Q206" s="80" t="s">
        <v>595</v>
      </c>
      <c r="R206" s="80">
        <v>0</v>
      </c>
      <c r="S206" s="80" t="s">
        <v>1178</v>
      </c>
      <c r="T206" s="100">
        <v>4</v>
      </c>
      <c r="U206" s="100">
        <v>0</v>
      </c>
      <c r="V206" s="100">
        <v>0</v>
      </c>
      <c r="W206" s="100">
        <v>0</v>
      </c>
      <c r="X206"/>
      <c r="Y206"/>
      <c r="Z206"/>
      <c r="AA206"/>
      <c r="AB206"/>
      <c r="AC206"/>
      <c r="AD206"/>
      <c r="AE206"/>
      <c r="AF206"/>
      <c r="AG206"/>
      <c r="AH206"/>
      <c r="AI206"/>
      <c r="AJ206"/>
      <c r="AK206"/>
      <c r="AL206"/>
      <c r="AM206"/>
      <c r="AN206"/>
      <c r="AO206"/>
      <c r="AP206"/>
      <c r="AQ206"/>
      <c r="AR206"/>
      <c r="AS206"/>
      <c r="AT206"/>
      <c r="AU206"/>
      <c r="AV206"/>
      <c r="AW206"/>
      <c r="AX206"/>
      <c r="AY206"/>
      <c r="AZ206"/>
    </row>
    <row r="207" ht="15.6" spans="2:52">
      <c r="B207" s="80" t="s">
        <v>4513</v>
      </c>
      <c r="G207" s="99">
        <v>0</v>
      </c>
      <c r="H207" s="99">
        <v>0</v>
      </c>
      <c r="I207" s="99">
        <v>0</v>
      </c>
      <c r="J207"/>
      <c r="K207"/>
      <c r="L207"/>
      <c r="O207" s="80" t="s">
        <v>1304</v>
      </c>
      <c r="P207" s="80" t="s">
        <v>3456</v>
      </c>
      <c r="Q207" s="80" t="s">
        <v>595</v>
      </c>
      <c r="R207" s="80">
        <v>0</v>
      </c>
      <c r="S207" s="80" t="s">
        <v>1178</v>
      </c>
      <c r="T207" s="100">
        <v>21</v>
      </c>
      <c r="U207" s="100">
        <v>0</v>
      </c>
      <c r="V207" s="100">
        <v>0</v>
      </c>
      <c r="W207" s="100">
        <v>0</v>
      </c>
      <c r="X207"/>
      <c r="Y207"/>
      <c r="Z207"/>
      <c r="AA207"/>
      <c r="AB207"/>
      <c r="AC207"/>
      <c r="AD207"/>
      <c r="AE207"/>
      <c r="AF207"/>
      <c r="AG207"/>
      <c r="AH207"/>
      <c r="AI207"/>
      <c r="AJ207"/>
      <c r="AK207"/>
      <c r="AL207"/>
      <c r="AM207"/>
      <c r="AN207"/>
      <c r="AO207"/>
      <c r="AP207"/>
      <c r="AQ207"/>
      <c r="AR207"/>
      <c r="AS207"/>
      <c r="AT207"/>
      <c r="AU207"/>
      <c r="AV207"/>
      <c r="AW207"/>
      <c r="AX207"/>
      <c r="AY207"/>
      <c r="AZ207"/>
    </row>
    <row r="208" ht="15.6" spans="2:52">
      <c r="B208" s="80" t="s">
        <v>207</v>
      </c>
      <c r="C208" s="80" t="s">
        <v>208</v>
      </c>
      <c r="D208" s="80">
        <v>0</v>
      </c>
      <c r="E208" s="80" t="s">
        <v>1178</v>
      </c>
      <c r="F208" s="80" t="s">
        <v>595</v>
      </c>
      <c r="G208" s="99">
        <v>0</v>
      </c>
      <c r="H208" s="99">
        <v>0</v>
      </c>
      <c r="I208" s="99">
        <v>0</v>
      </c>
      <c r="J208"/>
      <c r="K208"/>
      <c r="L208"/>
      <c r="O208" s="80" t="s">
        <v>1305</v>
      </c>
      <c r="P208" s="80" t="s">
        <v>3458</v>
      </c>
      <c r="Q208" s="80" t="s">
        <v>599</v>
      </c>
      <c r="R208" s="80">
        <v>0</v>
      </c>
      <c r="S208" s="80" t="s">
        <v>1178</v>
      </c>
      <c r="T208" s="100">
        <v>2</v>
      </c>
      <c r="U208" s="100">
        <v>0</v>
      </c>
      <c r="V208" s="100">
        <v>0</v>
      </c>
      <c r="W208" s="100">
        <v>0</v>
      </c>
      <c r="X208"/>
      <c r="Y208"/>
      <c r="Z208"/>
      <c r="AA208"/>
      <c r="AB208"/>
      <c r="AC208"/>
      <c r="AD208"/>
      <c r="AE208"/>
      <c r="AF208"/>
      <c r="AG208"/>
      <c r="AH208"/>
      <c r="AI208"/>
      <c r="AJ208"/>
      <c r="AK208"/>
      <c r="AL208"/>
      <c r="AM208"/>
      <c r="AN208"/>
      <c r="AO208"/>
      <c r="AP208"/>
      <c r="AQ208"/>
      <c r="AR208"/>
      <c r="AS208"/>
      <c r="AT208"/>
      <c r="AU208"/>
      <c r="AV208"/>
      <c r="AW208"/>
      <c r="AX208"/>
      <c r="AY208"/>
      <c r="AZ208"/>
    </row>
    <row r="209" ht="15.6" spans="2:52">
      <c r="F209" s="80" t="s">
        <v>599</v>
      </c>
      <c r="G209" s="99">
        <v>0</v>
      </c>
      <c r="H209" s="99">
        <v>0</v>
      </c>
      <c r="I209" s="99">
        <v>0</v>
      </c>
      <c r="J209"/>
      <c r="K209"/>
      <c r="L209"/>
      <c r="M209" s="80" t="s">
        <v>209</v>
      </c>
      <c r="N209" s="80" t="s">
        <v>210</v>
      </c>
      <c r="O209" s="80" t="s">
        <v>1306</v>
      </c>
      <c r="P209" s="80" t="s">
        <v>3460</v>
      </c>
      <c r="Q209" s="80" t="s">
        <v>599</v>
      </c>
      <c r="R209" s="80">
        <v>0</v>
      </c>
      <c r="S209" s="80" t="s">
        <v>1176</v>
      </c>
      <c r="T209" s="100">
        <v>8</v>
      </c>
      <c r="U209" s="100">
        <v>0</v>
      </c>
      <c r="V209" s="100">
        <v>0</v>
      </c>
      <c r="W209" s="100">
        <v>0</v>
      </c>
      <c r="X209"/>
      <c r="Y209"/>
      <c r="Z209"/>
      <c r="AA209"/>
      <c r="AB209"/>
      <c r="AC209"/>
      <c r="AD209"/>
      <c r="AE209"/>
      <c r="AF209"/>
      <c r="AG209"/>
      <c r="AH209"/>
      <c r="AI209"/>
      <c r="AJ209"/>
      <c r="AK209"/>
      <c r="AL209"/>
      <c r="AM209"/>
      <c r="AN209"/>
      <c r="AO209"/>
      <c r="AP209"/>
      <c r="AQ209"/>
      <c r="AR209"/>
      <c r="AS209"/>
      <c r="AT209"/>
      <c r="AU209"/>
      <c r="AV209"/>
      <c r="AW209"/>
      <c r="AX209"/>
      <c r="AY209"/>
      <c r="AZ209"/>
    </row>
    <row r="210" ht="15.6" spans="2:52">
      <c r="B210" s="80" t="s">
        <v>4514</v>
      </c>
      <c r="G210" s="99">
        <v>0</v>
      </c>
      <c r="H210" s="99">
        <v>0</v>
      </c>
      <c r="I210" s="99">
        <v>0</v>
      </c>
      <c r="J210"/>
      <c r="K210"/>
      <c r="L210"/>
      <c r="Q210" s="80" t="s">
        <v>601</v>
      </c>
      <c r="R210" s="80">
        <v>0</v>
      </c>
      <c r="S210" s="80" t="s">
        <v>1176</v>
      </c>
      <c r="T210" s="100">
        <v>1</v>
      </c>
      <c r="U210" s="100">
        <v>0</v>
      </c>
      <c r="V210" s="100">
        <v>0</v>
      </c>
      <c r="W210" s="100">
        <v>0</v>
      </c>
      <c r="X210"/>
      <c r="Y210"/>
      <c r="Z210"/>
      <c r="AA210"/>
      <c r="AB210"/>
      <c r="AC210"/>
      <c r="AD210"/>
      <c r="AE210"/>
      <c r="AF210"/>
      <c r="AG210"/>
      <c r="AH210"/>
      <c r="AI210"/>
      <c r="AJ210"/>
      <c r="AK210"/>
      <c r="AL210"/>
      <c r="AM210"/>
      <c r="AN210"/>
      <c r="AO210"/>
      <c r="AP210"/>
      <c r="AQ210"/>
      <c r="AR210"/>
      <c r="AS210"/>
      <c r="AT210"/>
      <c r="AU210"/>
      <c r="AV210"/>
      <c r="AW210"/>
      <c r="AX210"/>
      <c r="AY210"/>
      <c r="AZ210"/>
    </row>
    <row r="211" ht="15.6" spans="2:52">
      <c r="B211" s="80" t="s">
        <v>209</v>
      </c>
      <c r="C211" s="80" t="s">
        <v>210</v>
      </c>
      <c r="D211" s="80">
        <v>0</v>
      </c>
      <c r="E211" s="80" t="s">
        <v>1176</v>
      </c>
      <c r="F211" s="80" t="s">
        <v>599</v>
      </c>
      <c r="G211" s="99">
        <v>0</v>
      </c>
      <c r="H211" s="99">
        <v>0</v>
      </c>
      <c r="I211" s="99">
        <v>0</v>
      </c>
      <c r="J211"/>
      <c r="K211"/>
      <c r="L211"/>
      <c r="O211" s="80" t="s">
        <v>1307</v>
      </c>
      <c r="P211" s="80" t="s">
        <v>3464</v>
      </c>
      <c r="Q211" s="80" t="s">
        <v>599</v>
      </c>
      <c r="R211" s="80">
        <v>0</v>
      </c>
      <c r="S211" s="80" t="s">
        <v>1176</v>
      </c>
      <c r="T211" s="100">
        <v>8</v>
      </c>
      <c r="U211" s="100">
        <v>0</v>
      </c>
      <c r="V211" s="100">
        <v>0</v>
      </c>
      <c r="W211" s="100">
        <v>0</v>
      </c>
      <c r="X211"/>
      <c r="Y211"/>
      <c r="Z211"/>
      <c r="AA211"/>
      <c r="AB211"/>
      <c r="AC211"/>
      <c r="AD211"/>
      <c r="AE211"/>
      <c r="AF211"/>
      <c r="AG211"/>
      <c r="AH211"/>
      <c r="AI211"/>
      <c r="AJ211"/>
      <c r="AK211"/>
      <c r="AL211"/>
      <c r="AM211"/>
      <c r="AN211"/>
      <c r="AO211"/>
      <c r="AP211"/>
      <c r="AQ211"/>
      <c r="AR211"/>
      <c r="AS211"/>
      <c r="AT211"/>
      <c r="AU211"/>
      <c r="AV211"/>
      <c r="AW211"/>
      <c r="AX211"/>
      <c r="AY211"/>
      <c r="AZ211"/>
    </row>
    <row r="212" ht="15.6" spans="2:52">
      <c r="F212" s="80" t="s">
        <v>601</v>
      </c>
      <c r="G212" s="99">
        <v>0</v>
      </c>
      <c r="H212" s="99">
        <v>0</v>
      </c>
      <c r="I212" s="99">
        <v>0</v>
      </c>
      <c r="J212"/>
      <c r="K212"/>
      <c r="L212"/>
      <c r="Q212" s="80" t="s">
        <v>601</v>
      </c>
      <c r="R212" s="80">
        <v>0</v>
      </c>
      <c r="S212" s="80" t="s">
        <v>1176</v>
      </c>
      <c r="T212" s="100">
        <v>1</v>
      </c>
      <c r="U212" s="100">
        <v>0</v>
      </c>
      <c r="V212" s="100">
        <v>0</v>
      </c>
      <c r="W212" s="100">
        <v>0</v>
      </c>
      <c r="X212"/>
      <c r="Y212"/>
      <c r="Z212"/>
      <c r="AA212"/>
      <c r="AB212"/>
      <c r="AC212"/>
      <c r="AD212"/>
      <c r="AE212"/>
      <c r="AF212"/>
      <c r="AG212"/>
      <c r="AH212"/>
      <c r="AI212"/>
      <c r="AJ212"/>
      <c r="AK212"/>
      <c r="AL212"/>
      <c r="AM212"/>
      <c r="AN212"/>
      <c r="AO212"/>
      <c r="AP212"/>
      <c r="AQ212"/>
      <c r="AR212"/>
      <c r="AS212"/>
      <c r="AT212"/>
      <c r="AU212"/>
      <c r="AV212"/>
      <c r="AW212"/>
      <c r="AX212"/>
      <c r="AY212"/>
      <c r="AZ212"/>
    </row>
    <row r="213" ht="15.6" spans="2:52">
      <c r="B213" s="80" t="s">
        <v>4515</v>
      </c>
      <c r="G213" s="99">
        <v>0</v>
      </c>
      <c r="H213" s="99">
        <v>0</v>
      </c>
      <c r="I213" s="99">
        <v>0</v>
      </c>
      <c r="J213"/>
      <c r="K213"/>
      <c r="L213"/>
      <c r="O213" s="80" t="s">
        <v>1308</v>
      </c>
      <c r="P213" s="80" t="s">
        <v>3466</v>
      </c>
      <c r="Q213" s="80" t="s">
        <v>599</v>
      </c>
      <c r="R213" s="80">
        <v>0</v>
      </c>
      <c r="S213" s="80" t="s">
        <v>1176</v>
      </c>
      <c r="T213" s="100">
        <v>4</v>
      </c>
      <c r="U213" s="100">
        <v>0</v>
      </c>
      <c r="V213" s="100">
        <v>0</v>
      </c>
      <c r="W213" s="100">
        <v>0</v>
      </c>
      <c r="X213"/>
      <c r="Y213"/>
      <c r="Z213"/>
      <c r="AA213"/>
      <c r="AB213"/>
      <c r="AC213"/>
      <c r="AD213"/>
      <c r="AE213"/>
      <c r="AF213"/>
      <c r="AG213"/>
      <c r="AH213"/>
      <c r="AI213"/>
      <c r="AJ213"/>
      <c r="AK213"/>
      <c r="AL213"/>
      <c r="AM213"/>
      <c r="AN213"/>
      <c r="AO213"/>
      <c r="AP213"/>
      <c r="AQ213"/>
      <c r="AR213"/>
      <c r="AS213"/>
      <c r="AT213"/>
      <c r="AU213"/>
      <c r="AV213"/>
      <c r="AW213"/>
      <c r="AX213"/>
      <c r="AY213"/>
      <c r="AZ213"/>
    </row>
    <row r="214" ht="15.6" spans="2:52">
      <c r="B214" s="80" t="s">
        <v>211</v>
      </c>
      <c r="C214" s="80" t="s">
        <v>212</v>
      </c>
      <c r="D214" s="80">
        <v>0</v>
      </c>
      <c r="E214" s="80" t="s">
        <v>1176</v>
      </c>
      <c r="F214" s="80" t="s">
        <v>599</v>
      </c>
      <c r="G214" s="99">
        <v>0</v>
      </c>
      <c r="H214" s="99">
        <v>0</v>
      </c>
      <c r="I214" s="99">
        <v>0</v>
      </c>
      <c r="J214"/>
      <c r="K214"/>
      <c r="L214"/>
      <c r="Q214" s="80" t="s">
        <v>601</v>
      </c>
      <c r="R214" s="80">
        <v>0</v>
      </c>
      <c r="S214" s="80" t="s">
        <v>1176</v>
      </c>
      <c r="T214" s="100">
        <v>1</v>
      </c>
      <c r="U214" s="100">
        <v>0</v>
      </c>
      <c r="V214" s="100">
        <v>0</v>
      </c>
      <c r="W214" s="100">
        <v>0</v>
      </c>
      <c r="X214"/>
      <c r="Y214"/>
      <c r="Z214"/>
      <c r="AA214"/>
      <c r="AB214"/>
      <c r="AC214"/>
      <c r="AD214"/>
      <c r="AE214"/>
      <c r="AF214"/>
      <c r="AG214"/>
      <c r="AH214"/>
      <c r="AI214"/>
      <c r="AJ214"/>
      <c r="AK214"/>
      <c r="AL214"/>
      <c r="AM214"/>
      <c r="AN214"/>
      <c r="AO214"/>
      <c r="AP214"/>
      <c r="AQ214"/>
      <c r="AR214"/>
      <c r="AS214"/>
      <c r="AT214"/>
      <c r="AU214"/>
      <c r="AV214"/>
      <c r="AW214"/>
      <c r="AX214"/>
      <c r="AY214"/>
      <c r="AZ214"/>
    </row>
    <row r="215" ht="15.6" spans="2:52">
      <c r="F215" s="80" t="s">
        <v>601</v>
      </c>
      <c r="G215" s="99">
        <v>0</v>
      </c>
      <c r="H215" s="99">
        <v>0</v>
      </c>
      <c r="I215" s="99">
        <v>0</v>
      </c>
      <c r="J215"/>
      <c r="K215"/>
      <c r="L215"/>
      <c r="O215" s="80" t="s">
        <v>1309</v>
      </c>
      <c r="P215" s="80" t="s">
        <v>3469</v>
      </c>
      <c r="Q215" s="80" t="s">
        <v>599</v>
      </c>
      <c r="R215" s="80">
        <v>0</v>
      </c>
      <c r="S215" s="80" t="s">
        <v>1176</v>
      </c>
      <c r="T215" s="100">
        <v>8</v>
      </c>
      <c r="U215" s="100">
        <v>0</v>
      </c>
      <c r="V215" s="100">
        <v>0</v>
      </c>
      <c r="W215" s="100">
        <v>0</v>
      </c>
      <c r="X215"/>
      <c r="Y215"/>
      <c r="Z215"/>
      <c r="AA215"/>
      <c r="AB215"/>
      <c r="AC215"/>
      <c r="AD215"/>
      <c r="AE215"/>
      <c r="AF215"/>
      <c r="AG215"/>
      <c r="AH215"/>
      <c r="AI215"/>
      <c r="AJ215"/>
      <c r="AK215"/>
      <c r="AL215"/>
      <c r="AM215"/>
      <c r="AN215"/>
      <c r="AO215"/>
      <c r="AP215"/>
      <c r="AQ215"/>
      <c r="AR215"/>
      <c r="AS215"/>
      <c r="AT215"/>
      <c r="AU215"/>
      <c r="AV215"/>
      <c r="AW215"/>
      <c r="AX215"/>
      <c r="AY215"/>
      <c r="AZ215"/>
    </row>
    <row r="216" ht="15.6" spans="2:52">
      <c r="B216" s="80" t="s">
        <v>4516</v>
      </c>
      <c r="G216" s="99">
        <v>0</v>
      </c>
      <c r="H216" s="99">
        <v>0</v>
      </c>
      <c r="I216" s="99">
        <v>0</v>
      </c>
      <c r="J216"/>
      <c r="K216"/>
      <c r="L216"/>
      <c r="Q216" s="80" t="s">
        <v>601</v>
      </c>
      <c r="R216" s="80">
        <v>0</v>
      </c>
      <c r="S216" s="80" t="s">
        <v>1176</v>
      </c>
      <c r="T216" s="100">
        <v>1</v>
      </c>
      <c r="U216" s="100">
        <v>0</v>
      </c>
      <c r="V216" s="100">
        <v>0</v>
      </c>
      <c r="W216" s="100">
        <v>0</v>
      </c>
      <c r="X216"/>
      <c r="Y216"/>
      <c r="Z216"/>
      <c r="AA216"/>
      <c r="AB216"/>
      <c r="AC216"/>
      <c r="AD216"/>
      <c r="AE216"/>
      <c r="AF216"/>
      <c r="AG216"/>
      <c r="AH216"/>
      <c r="AI216"/>
      <c r="AJ216"/>
      <c r="AK216"/>
      <c r="AL216"/>
      <c r="AM216"/>
      <c r="AN216"/>
      <c r="AO216"/>
      <c r="AP216"/>
      <c r="AQ216"/>
      <c r="AR216"/>
      <c r="AS216"/>
      <c r="AT216"/>
      <c r="AU216"/>
      <c r="AV216"/>
      <c r="AW216"/>
      <c r="AX216"/>
      <c r="AY216"/>
      <c r="AZ216"/>
    </row>
    <row r="217" ht="15.6" spans="2:52">
      <c r="B217" s="80" t="s">
        <v>213</v>
      </c>
      <c r="C217" s="80" t="s">
        <v>214</v>
      </c>
      <c r="D217" s="80">
        <v>0</v>
      </c>
      <c r="E217" s="80" t="s">
        <v>1178</v>
      </c>
      <c r="F217" s="80" t="s">
        <v>599</v>
      </c>
      <c r="G217" s="99">
        <v>0</v>
      </c>
      <c r="H217" s="99">
        <v>0</v>
      </c>
      <c r="I217" s="99">
        <v>0</v>
      </c>
      <c r="J217"/>
      <c r="K217"/>
      <c r="L217"/>
      <c r="O217" s="80" t="s">
        <v>1310</v>
      </c>
      <c r="P217" s="80" t="s">
        <v>3472</v>
      </c>
      <c r="Q217" s="80" t="s">
        <v>599</v>
      </c>
      <c r="R217" s="80">
        <v>0</v>
      </c>
      <c r="S217" s="80" t="s">
        <v>1176</v>
      </c>
      <c r="T217" s="100">
        <v>8</v>
      </c>
      <c r="U217" s="100">
        <v>0</v>
      </c>
      <c r="V217" s="100">
        <v>0</v>
      </c>
      <c r="W217" s="100">
        <v>0</v>
      </c>
      <c r="X217"/>
      <c r="Y217"/>
      <c r="Z217"/>
      <c r="AA217"/>
      <c r="AB217"/>
      <c r="AC217"/>
      <c r="AD217"/>
      <c r="AE217"/>
      <c r="AF217"/>
      <c r="AG217"/>
      <c r="AH217"/>
      <c r="AI217"/>
      <c r="AJ217"/>
      <c r="AK217"/>
      <c r="AL217"/>
      <c r="AM217"/>
      <c r="AN217"/>
      <c r="AO217"/>
      <c r="AP217"/>
      <c r="AQ217"/>
      <c r="AR217"/>
      <c r="AS217"/>
      <c r="AT217"/>
      <c r="AU217"/>
      <c r="AV217"/>
      <c r="AW217"/>
      <c r="AX217"/>
      <c r="AY217"/>
      <c r="AZ217"/>
    </row>
    <row r="218" ht="15.6" spans="2:52">
      <c r="B218" s="80" t="s">
        <v>4517</v>
      </c>
      <c r="G218" s="99">
        <v>0</v>
      </c>
      <c r="H218" s="99">
        <v>0</v>
      </c>
      <c r="I218" s="99">
        <v>0</v>
      </c>
      <c r="J218"/>
      <c r="K218"/>
      <c r="L218"/>
      <c r="Q218" s="80" t="s">
        <v>601</v>
      </c>
      <c r="R218" s="80">
        <v>0</v>
      </c>
      <c r="S218" s="80" t="s">
        <v>1176</v>
      </c>
      <c r="T218" s="100">
        <v>1</v>
      </c>
      <c r="U218" s="100">
        <v>0</v>
      </c>
      <c r="V218" s="100">
        <v>0</v>
      </c>
      <c r="W218" s="100">
        <v>0</v>
      </c>
      <c r="X218"/>
      <c r="Y218"/>
      <c r="Z218"/>
      <c r="AA218"/>
      <c r="AB218"/>
      <c r="AC218"/>
      <c r="AD218"/>
      <c r="AE218"/>
      <c r="AF218"/>
      <c r="AG218"/>
      <c r="AH218"/>
      <c r="AI218"/>
      <c r="AJ218"/>
      <c r="AK218"/>
      <c r="AL218"/>
      <c r="AM218"/>
      <c r="AN218"/>
      <c r="AO218"/>
      <c r="AP218"/>
      <c r="AQ218"/>
      <c r="AR218"/>
      <c r="AS218"/>
      <c r="AT218"/>
      <c r="AU218"/>
      <c r="AV218"/>
      <c r="AW218"/>
      <c r="AX218"/>
      <c r="AY218"/>
      <c r="AZ218"/>
    </row>
    <row r="219" ht="15.6" spans="2:52">
      <c r="B219" s="80" t="s">
        <v>215</v>
      </c>
      <c r="C219" s="80" t="s">
        <v>216</v>
      </c>
      <c r="D219" s="80">
        <v>0</v>
      </c>
      <c r="E219" s="80" t="s">
        <v>1178</v>
      </c>
      <c r="F219" s="80" t="s">
        <v>599</v>
      </c>
      <c r="G219" s="99">
        <v>0</v>
      </c>
      <c r="H219" s="99">
        <v>0</v>
      </c>
      <c r="I219" s="99">
        <v>0</v>
      </c>
      <c r="J219"/>
      <c r="K219"/>
      <c r="L219"/>
      <c r="M219" s="80" t="s">
        <v>211</v>
      </c>
      <c r="N219" s="80" t="s">
        <v>212</v>
      </c>
      <c r="O219" s="80" t="s">
        <v>1311</v>
      </c>
      <c r="P219" s="80" t="s">
        <v>3475</v>
      </c>
      <c r="Q219" s="80" t="s">
        <v>599</v>
      </c>
      <c r="R219" s="80">
        <v>0</v>
      </c>
      <c r="S219" s="80" t="s">
        <v>1176</v>
      </c>
      <c r="T219" s="100">
        <v>8</v>
      </c>
      <c r="U219" s="100">
        <v>0</v>
      </c>
      <c r="V219" s="100">
        <v>0</v>
      </c>
      <c r="W219" s="100">
        <v>0</v>
      </c>
      <c r="X219"/>
      <c r="Y219"/>
      <c r="Z219"/>
      <c r="AA219"/>
      <c r="AB219"/>
      <c r="AC219"/>
      <c r="AD219"/>
      <c r="AE219"/>
      <c r="AF219"/>
      <c r="AG219"/>
      <c r="AH219"/>
      <c r="AI219"/>
      <c r="AJ219"/>
      <c r="AK219"/>
      <c r="AL219"/>
      <c r="AM219"/>
      <c r="AN219"/>
      <c r="AO219"/>
      <c r="AP219"/>
      <c r="AQ219"/>
      <c r="AR219"/>
      <c r="AS219"/>
      <c r="AT219"/>
      <c r="AU219"/>
      <c r="AV219"/>
      <c r="AW219"/>
      <c r="AX219"/>
      <c r="AY219"/>
      <c r="AZ219"/>
    </row>
    <row r="220" ht="15.6" spans="2:52">
      <c r="B220" s="80" t="s">
        <v>4518</v>
      </c>
      <c r="G220" s="99">
        <v>0</v>
      </c>
      <c r="H220" s="99">
        <v>0</v>
      </c>
      <c r="I220" s="99">
        <v>0</v>
      </c>
      <c r="J220"/>
      <c r="K220"/>
      <c r="L220"/>
      <c r="O220" s="80" t="s">
        <v>1312</v>
      </c>
      <c r="P220" s="80" t="s">
        <v>3477</v>
      </c>
      <c r="Q220" s="80" t="s">
        <v>601</v>
      </c>
      <c r="R220" s="80">
        <v>0</v>
      </c>
      <c r="S220" s="80" t="s">
        <v>1176</v>
      </c>
      <c r="T220" s="100">
        <v>1</v>
      </c>
      <c r="U220" s="100">
        <v>0</v>
      </c>
      <c r="V220" s="100">
        <v>0</v>
      </c>
      <c r="W220" s="100">
        <v>0</v>
      </c>
      <c r="X220"/>
      <c r="Y220"/>
      <c r="Z220"/>
      <c r="AA220"/>
      <c r="AB220"/>
      <c r="AC220"/>
      <c r="AD220"/>
      <c r="AE220"/>
      <c r="AF220"/>
      <c r="AG220"/>
      <c r="AH220"/>
      <c r="AI220"/>
      <c r="AJ220"/>
      <c r="AK220"/>
      <c r="AL220"/>
      <c r="AM220"/>
      <c r="AN220"/>
      <c r="AO220"/>
      <c r="AP220"/>
      <c r="AQ220"/>
      <c r="AR220"/>
      <c r="AS220"/>
      <c r="AT220"/>
      <c r="AU220"/>
      <c r="AV220"/>
      <c r="AW220"/>
      <c r="AX220"/>
      <c r="AY220"/>
      <c r="AZ220"/>
    </row>
    <row r="221" ht="15.6" spans="2:52">
      <c r="B221" s="80" t="s">
        <v>217</v>
      </c>
      <c r="C221" s="80" t="s">
        <v>218</v>
      </c>
      <c r="D221" s="80">
        <v>0</v>
      </c>
      <c r="E221" s="80" t="s">
        <v>1220</v>
      </c>
      <c r="F221" s="80" t="s">
        <v>595</v>
      </c>
      <c r="G221" s="99">
        <v>0</v>
      </c>
      <c r="H221" s="99">
        <v>0</v>
      </c>
      <c r="I221" s="99">
        <v>0</v>
      </c>
      <c r="J221"/>
      <c r="K221"/>
      <c r="L221"/>
      <c r="M221" s="80" t="s">
        <v>213</v>
      </c>
      <c r="N221" s="80" t="s">
        <v>214</v>
      </c>
      <c r="O221" s="80" t="s">
        <v>1313</v>
      </c>
      <c r="P221" s="80" t="s">
        <v>214</v>
      </c>
      <c r="Q221" s="80" t="s">
        <v>599</v>
      </c>
      <c r="R221" s="80">
        <v>0</v>
      </c>
      <c r="S221" s="80" t="s">
        <v>1178</v>
      </c>
      <c r="T221" s="100">
        <v>4</v>
      </c>
      <c r="U221" s="100">
        <v>0</v>
      </c>
      <c r="V221" s="100">
        <v>0</v>
      </c>
      <c r="W221" s="100">
        <v>0</v>
      </c>
      <c r="X221"/>
      <c r="Y221"/>
      <c r="Z221"/>
      <c r="AA221"/>
      <c r="AB221"/>
      <c r="AC221"/>
      <c r="AD221"/>
      <c r="AE221"/>
      <c r="AF221"/>
      <c r="AG221"/>
      <c r="AH221"/>
      <c r="AI221"/>
      <c r="AJ221"/>
      <c r="AK221"/>
      <c r="AL221"/>
      <c r="AM221"/>
      <c r="AN221"/>
      <c r="AO221"/>
      <c r="AP221"/>
      <c r="AQ221"/>
      <c r="AR221"/>
      <c r="AS221"/>
      <c r="AT221"/>
      <c r="AU221"/>
      <c r="AV221"/>
      <c r="AW221"/>
      <c r="AX221"/>
      <c r="AY221"/>
      <c r="AZ221"/>
    </row>
    <row r="222" ht="15.6" spans="2:52">
      <c r="F222" s="80" t="s">
        <v>597</v>
      </c>
      <c r="G222" s="99">
        <v>0</v>
      </c>
      <c r="H222" s="99">
        <v>0</v>
      </c>
      <c r="I222" s="99">
        <v>0</v>
      </c>
      <c r="J222"/>
      <c r="K222"/>
      <c r="L222"/>
      <c r="M222" s="80" t="s">
        <v>215</v>
      </c>
      <c r="N222" s="80" t="s">
        <v>216</v>
      </c>
      <c r="O222" s="80" t="s">
        <v>1314</v>
      </c>
      <c r="P222" s="80" t="s">
        <v>216</v>
      </c>
      <c r="Q222" s="80" t="s">
        <v>599</v>
      </c>
      <c r="R222" s="80">
        <v>0</v>
      </c>
      <c r="S222" s="80" t="s">
        <v>1178</v>
      </c>
      <c r="T222" s="100">
        <v>4</v>
      </c>
      <c r="U222" s="100">
        <v>0</v>
      </c>
      <c r="V222" s="100">
        <v>0</v>
      </c>
      <c r="W222" s="100">
        <v>0</v>
      </c>
      <c r="X222"/>
      <c r="Y222"/>
      <c r="Z222"/>
      <c r="AA222"/>
      <c r="AB222"/>
      <c r="AC222"/>
      <c r="AD222"/>
      <c r="AE222"/>
      <c r="AF222"/>
      <c r="AG222"/>
      <c r="AH222"/>
      <c r="AI222"/>
      <c r="AJ222"/>
      <c r="AK222"/>
      <c r="AL222"/>
      <c r="AM222"/>
      <c r="AN222"/>
      <c r="AO222"/>
      <c r="AP222"/>
      <c r="AQ222"/>
      <c r="AR222"/>
      <c r="AS222"/>
      <c r="AT222"/>
      <c r="AU222"/>
      <c r="AV222"/>
      <c r="AW222"/>
      <c r="AX222"/>
      <c r="AY222"/>
      <c r="AZ222"/>
    </row>
    <row r="223" ht="15.6" spans="2:52">
      <c r="F223" s="80" t="s">
        <v>599</v>
      </c>
      <c r="G223" s="99">
        <v>0</v>
      </c>
      <c r="H223" s="99">
        <v>0</v>
      </c>
      <c r="I223" s="99">
        <v>0</v>
      </c>
      <c r="J223"/>
      <c r="K223"/>
      <c r="L223"/>
      <c r="M223" s="80" t="s">
        <v>217</v>
      </c>
      <c r="N223" s="80" t="s">
        <v>218</v>
      </c>
      <c r="O223" s="80" t="s">
        <v>3484</v>
      </c>
      <c r="P223" s="80" t="s">
        <v>3485</v>
      </c>
      <c r="Q223" s="80" t="s">
        <v>595</v>
      </c>
      <c r="R223" s="80">
        <v>0</v>
      </c>
      <c r="S223" s="80" t="s">
        <v>1220</v>
      </c>
      <c r="T223" s="100">
        <v>0</v>
      </c>
      <c r="U223" s="100">
        <v>0</v>
      </c>
      <c r="V223" s="100">
        <v>0</v>
      </c>
      <c r="W223" s="100">
        <v>0</v>
      </c>
      <c r="X223"/>
      <c r="Y223"/>
      <c r="Z223"/>
      <c r="AA223"/>
      <c r="AB223"/>
      <c r="AC223"/>
      <c r="AD223"/>
      <c r="AE223"/>
      <c r="AF223"/>
      <c r="AG223"/>
      <c r="AH223"/>
      <c r="AI223"/>
      <c r="AJ223"/>
      <c r="AK223"/>
      <c r="AL223"/>
      <c r="AM223"/>
      <c r="AN223"/>
      <c r="AO223"/>
      <c r="AP223"/>
      <c r="AQ223"/>
      <c r="AR223"/>
      <c r="AS223"/>
      <c r="AT223"/>
      <c r="AU223"/>
      <c r="AV223"/>
      <c r="AW223"/>
      <c r="AX223"/>
      <c r="AY223"/>
      <c r="AZ223"/>
    </row>
    <row r="224" ht="15.6" spans="2:52">
      <c r="F224" s="80" t="s">
        <v>603</v>
      </c>
      <c r="G224" s="99">
        <v>0</v>
      </c>
      <c r="H224" s="99">
        <v>0</v>
      </c>
      <c r="I224" s="99">
        <v>0</v>
      </c>
      <c r="J224"/>
      <c r="K224"/>
      <c r="L224"/>
      <c r="Q224" s="80" t="s">
        <v>597</v>
      </c>
      <c r="R224" s="80">
        <v>0</v>
      </c>
      <c r="S224" s="80" t="s">
        <v>1220</v>
      </c>
      <c r="T224" s="100">
        <v>0</v>
      </c>
      <c r="U224" s="100">
        <v>0</v>
      </c>
      <c r="V224" s="100">
        <v>0</v>
      </c>
      <c r="W224" s="100">
        <v>0</v>
      </c>
      <c r="X224"/>
      <c r="Y224"/>
      <c r="Z224"/>
      <c r="AA224"/>
      <c r="AB224"/>
      <c r="AC224"/>
      <c r="AD224"/>
      <c r="AE224"/>
      <c r="AF224"/>
      <c r="AG224"/>
      <c r="AH224"/>
      <c r="AI224"/>
      <c r="AJ224"/>
      <c r="AK224"/>
      <c r="AL224"/>
      <c r="AM224"/>
      <c r="AN224"/>
      <c r="AO224"/>
      <c r="AP224"/>
      <c r="AQ224"/>
      <c r="AR224"/>
      <c r="AS224"/>
      <c r="AT224"/>
      <c r="AU224"/>
      <c r="AV224"/>
      <c r="AW224"/>
      <c r="AX224"/>
      <c r="AY224"/>
      <c r="AZ224"/>
    </row>
    <row r="225" ht="15.6" spans="2:52">
      <c r="B225" s="80" t="s">
        <v>4519</v>
      </c>
      <c r="G225" s="99">
        <v>0</v>
      </c>
      <c r="H225" s="99">
        <v>0</v>
      </c>
      <c r="I225" s="99">
        <v>0</v>
      </c>
      <c r="J225"/>
      <c r="K225"/>
      <c r="L225"/>
      <c r="Q225" s="80" t="s">
        <v>599</v>
      </c>
      <c r="R225" s="80">
        <v>0</v>
      </c>
      <c r="S225" s="80" t="s">
        <v>1220</v>
      </c>
      <c r="T225" s="100">
        <v>20</v>
      </c>
      <c r="U225" s="100">
        <v>0</v>
      </c>
      <c r="V225" s="100">
        <v>0</v>
      </c>
      <c r="W225" s="100">
        <v>0</v>
      </c>
      <c r="X225"/>
      <c r="Y225"/>
      <c r="Z225"/>
      <c r="AA225"/>
      <c r="AB225"/>
      <c r="AC225"/>
      <c r="AD225"/>
      <c r="AE225"/>
      <c r="AF225"/>
      <c r="AG225"/>
      <c r="AH225"/>
      <c r="AI225"/>
      <c r="AJ225"/>
      <c r="AK225"/>
      <c r="AL225"/>
      <c r="AM225"/>
      <c r="AN225"/>
      <c r="AO225"/>
      <c r="AP225"/>
      <c r="AQ225"/>
      <c r="AR225"/>
      <c r="AS225"/>
      <c r="AT225"/>
      <c r="AU225"/>
      <c r="AV225"/>
      <c r="AW225"/>
      <c r="AX225"/>
      <c r="AY225"/>
      <c r="AZ225"/>
    </row>
    <row r="226" ht="15.6" spans="2:52">
      <c r="B226" s="80" t="s">
        <v>219</v>
      </c>
      <c r="C226" s="80" t="s">
        <v>220</v>
      </c>
      <c r="D226" s="80">
        <v>0</v>
      </c>
      <c r="E226" s="80" t="s">
        <v>1281</v>
      </c>
      <c r="F226" s="80" t="s">
        <v>599</v>
      </c>
      <c r="G226" s="99">
        <v>0</v>
      </c>
      <c r="H226" s="99">
        <v>0</v>
      </c>
      <c r="I226" s="99">
        <v>0</v>
      </c>
      <c r="J226"/>
      <c r="K226"/>
      <c r="L226"/>
      <c r="O226" s="80" t="s">
        <v>3487</v>
      </c>
      <c r="P226" s="80" t="s">
        <v>3488</v>
      </c>
      <c r="Q226" s="80" t="s">
        <v>595</v>
      </c>
      <c r="R226" s="80">
        <v>0</v>
      </c>
      <c r="S226" s="80" t="s">
        <v>1220</v>
      </c>
      <c r="T226" s="100">
        <v>0</v>
      </c>
      <c r="U226" s="100">
        <v>0</v>
      </c>
      <c r="V226" s="100">
        <v>0</v>
      </c>
      <c r="W226" s="100">
        <v>0</v>
      </c>
      <c r="X226"/>
      <c r="Y226"/>
      <c r="Z226"/>
      <c r="AA226"/>
      <c r="AB226"/>
      <c r="AC226"/>
      <c r="AD226"/>
      <c r="AE226"/>
      <c r="AF226"/>
      <c r="AG226"/>
      <c r="AH226"/>
      <c r="AI226"/>
      <c r="AJ226"/>
      <c r="AK226"/>
      <c r="AL226"/>
      <c r="AM226"/>
      <c r="AN226"/>
      <c r="AO226"/>
      <c r="AP226"/>
      <c r="AQ226"/>
      <c r="AR226"/>
      <c r="AS226"/>
      <c r="AT226"/>
      <c r="AU226"/>
      <c r="AV226"/>
      <c r="AW226"/>
      <c r="AX226"/>
      <c r="AY226"/>
      <c r="AZ226"/>
    </row>
    <row r="227" ht="15.6" spans="2:52">
      <c r="B227" s="80" t="s">
        <v>4520</v>
      </c>
      <c r="G227" s="99">
        <v>0</v>
      </c>
      <c r="H227" s="99">
        <v>0</v>
      </c>
      <c r="I227" s="99">
        <v>0</v>
      </c>
      <c r="J227"/>
      <c r="K227"/>
      <c r="L227"/>
      <c r="Q227" s="80" t="s">
        <v>597</v>
      </c>
      <c r="R227" s="80">
        <v>0</v>
      </c>
      <c r="S227" s="80" t="s">
        <v>1220</v>
      </c>
      <c r="T227" s="100">
        <v>0</v>
      </c>
      <c r="U227" s="100">
        <v>0</v>
      </c>
      <c r="V227" s="100">
        <v>0</v>
      </c>
      <c r="W227" s="100">
        <v>0</v>
      </c>
      <c r="X227"/>
      <c r="Y227"/>
      <c r="Z227"/>
      <c r="AA227"/>
      <c r="AB227"/>
      <c r="AC227"/>
      <c r="AD227"/>
      <c r="AE227"/>
      <c r="AF227"/>
      <c r="AG227"/>
      <c r="AH227"/>
      <c r="AI227"/>
      <c r="AJ227"/>
      <c r="AK227"/>
      <c r="AL227"/>
      <c r="AM227"/>
      <c r="AN227"/>
      <c r="AO227"/>
      <c r="AP227"/>
      <c r="AQ227"/>
      <c r="AR227"/>
      <c r="AS227"/>
      <c r="AT227"/>
      <c r="AU227"/>
      <c r="AV227"/>
      <c r="AW227"/>
      <c r="AX227"/>
      <c r="AY227"/>
      <c r="AZ227"/>
    </row>
    <row r="228" ht="15.6" spans="2:52">
      <c r="B228" s="80" t="s">
        <v>221</v>
      </c>
      <c r="C228" s="80" t="s">
        <v>222</v>
      </c>
      <c r="D228" s="80">
        <v>0</v>
      </c>
      <c r="E228" s="80" t="s">
        <v>1220</v>
      </c>
      <c r="F228" s="80" t="s">
        <v>599</v>
      </c>
      <c r="G228" s="99">
        <v>0</v>
      </c>
      <c r="H228" s="99">
        <v>0</v>
      </c>
      <c r="I228" s="99">
        <v>0</v>
      </c>
      <c r="J228"/>
      <c r="K228"/>
      <c r="L228"/>
      <c r="Q228" s="80" t="s">
        <v>599</v>
      </c>
      <c r="R228" s="80">
        <v>0</v>
      </c>
      <c r="S228" s="80" t="s">
        <v>1220</v>
      </c>
      <c r="T228" s="100">
        <v>5</v>
      </c>
      <c r="U228" s="100">
        <v>0</v>
      </c>
      <c r="V228" s="100">
        <v>0</v>
      </c>
      <c r="W228" s="100">
        <v>0</v>
      </c>
      <c r="X228"/>
      <c r="Y228"/>
      <c r="Z228"/>
      <c r="AA228"/>
      <c r="AB228"/>
      <c r="AC228"/>
      <c r="AD228"/>
      <c r="AE228"/>
      <c r="AF228"/>
      <c r="AG228"/>
      <c r="AH228"/>
      <c r="AI228"/>
      <c r="AJ228"/>
      <c r="AK228"/>
      <c r="AL228"/>
      <c r="AM228"/>
      <c r="AN228"/>
      <c r="AO228"/>
      <c r="AP228"/>
      <c r="AQ228"/>
      <c r="AR228"/>
      <c r="AS228"/>
      <c r="AT228"/>
      <c r="AU228"/>
      <c r="AV228"/>
      <c r="AW228"/>
      <c r="AX228"/>
      <c r="AY228"/>
      <c r="AZ228"/>
    </row>
    <row r="229" ht="15.6" spans="2:52">
      <c r="B229" s="80" t="s">
        <v>4521</v>
      </c>
      <c r="G229" s="99">
        <v>0</v>
      </c>
      <c r="H229" s="99">
        <v>0</v>
      </c>
      <c r="I229" s="99">
        <v>0</v>
      </c>
      <c r="J229"/>
      <c r="K229"/>
      <c r="L229"/>
      <c r="O229" s="80" t="s">
        <v>3492</v>
      </c>
      <c r="P229" s="80" t="s">
        <v>3493</v>
      </c>
      <c r="Q229" s="80" t="s">
        <v>595</v>
      </c>
      <c r="R229" s="80">
        <v>0</v>
      </c>
      <c r="S229" s="80" t="s">
        <v>1220</v>
      </c>
      <c r="T229" s="100">
        <v>0</v>
      </c>
      <c r="U229" s="100">
        <v>0</v>
      </c>
      <c r="V229" s="100">
        <v>0</v>
      </c>
      <c r="W229" s="100">
        <v>0</v>
      </c>
      <c r="X229"/>
      <c r="Y229"/>
      <c r="Z229"/>
      <c r="AA229"/>
      <c r="AB229"/>
      <c r="AC229"/>
      <c r="AD229"/>
      <c r="AE229"/>
      <c r="AF229"/>
      <c r="AG229"/>
      <c r="AH229"/>
      <c r="AI229"/>
      <c r="AJ229"/>
      <c r="AK229"/>
      <c r="AL229"/>
      <c r="AM229"/>
      <c r="AN229"/>
      <c r="AO229"/>
      <c r="AP229"/>
      <c r="AQ229"/>
      <c r="AR229"/>
      <c r="AS229"/>
      <c r="AT229"/>
      <c r="AU229"/>
      <c r="AV229"/>
      <c r="AW229"/>
      <c r="AX229"/>
      <c r="AY229"/>
      <c r="AZ229"/>
    </row>
    <row r="230" ht="15.6" spans="2:52">
      <c r="B230" s="80" t="s">
        <v>223</v>
      </c>
      <c r="C230" s="80" t="s">
        <v>224</v>
      </c>
      <c r="D230" s="80">
        <v>0</v>
      </c>
      <c r="E230" s="80" t="s">
        <v>1220</v>
      </c>
      <c r="F230" s="80" t="s">
        <v>599</v>
      </c>
      <c r="G230" s="99">
        <v>0</v>
      </c>
      <c r="H230" s="99">
        <v>0</v>
      </c>
      <c r="I230" s="99">
        <v>0</v>
      </c>
      <c r="J230"/>
      <c r="K230"/>
      <c r="L230"/>
      <c r="Q230" s="80" t="s">
        <v>597</v>
      </c>
      <c r="R230" s="80">
        <v>0</v>
      </c>
      <c r="S230" s="80" t="s">
        <v>1220</v>
      </c>
      <c r="T230" s="100">
        <v>0</v>
      </c>
      <c r="U230" s="100">
        <v>0</v>
      </c>
      <c r="V230" s="100">
        <v>0</v>
      </c>
      <c r="W230" s="100">
        <v>0</v>
      </c>
      <c r="X230"/>
      <c r="Y230"/>
      <c r="Z230"/>
      <c r="AA230"/>
      <c r="AB230"/>
      <c r="AC230"/>
      <c r="AD230"/>
      <c r="AE230"/>
      <c r="AF230"/>
      <c r="AG230"/>
      <c r="AH230"/>
      <c r="AI230"/>
      <c r="AJ230"/>
      <c r="AK230"/>
      <c r="AL230"/>
      <c r="AM230"/>
      <c r="AN230"/>
      <c r="AO230"/>
      <c r="AP230"/>
      <c r="AQ230"/>
      <c r="AR230"/>
      <c r="AS230"/>
      <c r="AT230"/>
      <c r="AU230"/>
      <c r="AV230"/>
      <c r="AW230"/>
      <c r="AX230"/>
      <c r="AY230"/>
      <c r="AZ230"/>
    </row>
    <row r="231" ht="15.6" spans="2:52">
      <c r="B231" s="80" t="s">
        <v>4522</v>
      </c>
      <c r="G231" s="99">
        <v>0</v>
      </c>
      <c r="H231" s="99">
        <v>0</v>
      </c>
      <c r="I231" s="99">
        <v>0</v>
      </c>
      <c r="J231"/>
      <c r="K231"/>
      <c r="L231"/>
      <c r="Q231" s="80" t="s">
        <v>599</v>
      </c>
      <c r="R231" s="80">
        <v>0</v>
      </c>
      <c r="S231" s="80" t="s">
        <v>1220</v>
      </c>
      <c r="T231" s="100">
        <v>4</v>
      </c>
      <c r="U231" s="100">
        <v>0</v>
      </c>
      <c r="V231" s="100">
        <v>0</v>
      </c>
      <c r="W231" s="100">
        <v>0</v>
      </c>
      <c r="X231"/>
      <c r="Y231"/>
      <c r="Z231"/>
      <c r="AA231"/>
      <c r="AB231"/>
      <c r="AC231"/>
      <c r="AD231"/>
      <c r="AE231"/>
      <c r="AF231"/>
      <c r="AG231"/>
      <c r="AH231"/>
      <c r="AI231"/>
      <c r="AJ231"/>
      <c r="AK231"/>
      <c r="AL231"/>
      <c r="AM231"/>
      <c r="AN231"/>
      <c r="AO231"/>
      <c r="AP231"/>
      <c r="AQ231"/>
      <c r="AR231"/>
      <c r="AS231"/>
      <c r="AT231"/>
      <c r="AU231"/>
      <c r="AV231"/>
      <c r="AW231"/>
      <c r="AX231"/>
      <c r="AY231"/>
      <c r="AZ231"/>
    </row>
    <row r="232" ht="15.6" spans="2:52">
      <c r="B232" s="80" t="s">
        <v>225</v>
      </c>
      <c r="C232" s="80" t="s">
        <v>226</v>
      </c>
      <c r="D232" s="80">
        <v>0</v>
      </c>
      <c r="E232" s="80" t="s">
        <v>1220</v>
      </c>
      <c r="F232" s="80" t="s">
        <v>599</v>
      </c>
      <c r="G232" s="99">
        <v>0</v>
      </c>
      <c r="H232" s="99">
        <v>0</v>
      </c>
      <c r="I232" s="99">
        <v>0</v>
      </c>
      <c r="J232"/>
      <c r="K232"/>
      <c r="L232"/>
      <c r="O232" s="80" t="s">
        <v>3496</v>
      </c>
      <c r="P232" s="80" t="s">
        <v>3497</v>
      </c>
      <c r="Q232" s="80" t="s">
        <v>595</v>
      </c>
      <c r="R232" s="80">
        <v>0</v>
      </c>
      <c r="S232" s="80" t="s">
        <v>1220</v>
      </c>
      <c r="T232" s="100">
        <v>0</v>
      </c>
      <c r="U232" s="100">
        <v>0</v>
      </c>
      <c r="V232" s="100">
        <v>0</v>
      </c>
      <c r="W232" s="100">
        <v>0</v>
      </c>
      <c r="X232"/>
      <c r="Y232"/>
      <c r="Z232"/>
      <c r="AA232"/>
      <c r="AB232"/>
      <c r="AC232"/>
      <c r="AD232"/>
      <c r="AE232"/>
      <c r="AF232"/>
      <c r="AG232"/>
      <c r="AH232"/>
      <c r="AI232"/>
      <c r="AJ232"/>
      <c r="AK232"/>
      <c r="AL232"/>
      <c r="AM232"/>
      <c r="AN232"/>
      <c r="AO232"/>
      <c r="AP232"/>
      <c r="AQ232"/>
      <c r="AR232"/>
      <c r="AS232"/>
      <c r="AT232"/>
      <c r="AU232"/>
      <c r="AV232"/>
      <c r="AW232"/>
      <c r="AX232"/>
      <c r="AY232"/>
      <c r="AZ232"/>
    </row>
    <row r="233" ht="15.6" spans="2:52">
      <c r="B233" s="80" t="s">
        <v>4523</v>
      </c>
      <c r="G233" s="99">
        <v>0</v>
      </c>
      <c r="H233" s="99">
        <v>0</v>
      </c>
      <c r="I233" s="99">
        <v>0</v>
      </c>
      <c r="J233"/>
      <c r="K233"/>
      <c r="L233"/>
      <c r="Q233" s="80" t="s">
        <v>597</v>
      </c>
      <c r="R233" s="80">
        <v>0</v>
      </c>
      <c r="S233" s="80" t="s">
        <v>1220</v>
      </c>
      <c r="T233" s="100">
        <v>0</v>
      </c>
      <c r="U233" s="100">
        <v>0</v>
      </c>
      <c r="V233" s="100">
        <v>0</v>
      </c>
      <c r="W233" s="100">
        <v>0</v>
      </c>
      <c r="X233"/>
      <c r="Y233"/>
      <c r="Z233"/>
      <c r="AA233"/>
      <c r="AB233"/>
      <c r="AC233"/>
      <c r="AD233"/>
      <c r="AE233"/>
      <c r="AF233"/>
      <c r="AG233"/>
      <c r="AH233"/>
      <c r="AI233"/>
      <c r="AJ233"/>
      <c r="AK233"/>
      <c r="AL233"/>
      <c r="AM233"/>
      <c r="AN233"/>
      <c r="AO233"/>
      <c r="AP233"/>
      <c r="AQ233"/>
      <c r="AR233"/>
      <c r="AS233"/>
      <c r="AT233"/>
      <c r="AU233"/>
      <c r="AV233"/>
      <c r="AW233"/>
      <c r="AX233"/>
      <c r="AY233"/>
      <c r="AZ233"/>
    </row>
    <row r="234" ht="15.6" spans="2:52">
      <c r="B234" s="80" t="s">
        <v>227</v>
      </c>
      <c r="C234" s="80" t="s">
        <v>228</v>
      </c>
      <c r="D234" s="80">
        <v>0</v>
      </c>
      <c r="E234" s="80" t="s">
        <v>1220</v>
      </c>
      <c r="F234" s="80" t="s">
        <v>599</v>
      </c>
      <c r="G234" s="99">
        <v>0</v>
      </c>
      <c r="H234" s="99">
        <v>0</v>
      </c>
      <c r="I234" s="99">
        <v>0</v>
      </c>
      <c r="J234"/>
      <c r="K234"/>
      <c r="L234"/>
      <c r="Q234" s="80" t="s">
        <v>599</v>
      </c>
      <c r="R234" s="80">
        <v>0</v>
      </c>
      <c r="S234" s="80" t="s">
        <v>1220</v>
      </c>
      <c r="T234" s="100">
        <v>1</v>
      </c>
      <c r="U234" s="100">
        <v>0</v>
      </c>
      <c r="V234" s="100">
        <v>0</v>
      </c>
      <c r="W234" s="100">
        <v>0</v>
      </c>
      <c r="X234"/>
      <c r="Y234"/>
      <c r="Z234"/>
      <c r="AA234"/>
      <c r="AB234"/>
      <c r="AC234"/>
      <c r="AD234"/>
      <c r="AE234"/>
      <c r="AF234"/>
      <c r="AG234"/>
      <c r="AH234"/>
      <c r="AI234"/>
      <c r="AJ234"/>
      <c r="AK234"/>
      <c r="AL234"/>
      <c r="AM234"/>
      <c r="AN234"/>
      <c r="AO234"/>
      <c r="AP234"/>
      <c r="AQ234"/>
      <c r="AR234"/>
      <c r="AS234"/>
      <c r="AT234"/>
      <c r="AU234"/>
      <c r="AV234"/>
      <c r="AW234"/>
      <c r="AX234"/>
      <c r="AY234"/>
      <c r="AZ234"/>
    </row>
    <row r="235" ht="15.6" spans="2:52">
      <c r="B235" s="80" t="s">
        <v>4524</v>
      </c>
      <c r="G235" s="99">
        <v>0</v>
      </c>
      <c r="H235" s="99">
        <v>0</v>
      </c>
      <c r="I235" s="99">
        <v>0</v>
      </c>
      <c r="J235"/>
      <c r="K235"/>
      <c r="L235"/>
      <c r="O235" s="80" t="s">
        <v>3499</v>
      </c>
      <c r="P235" s="80" t="s">
        <v>3500</v>
      </c>
      <c r="Q235" s="80" t="s">
        <v>595</v>
      </c>
      <c r="R235" s="80">
        <v>0</v>
      </c>
      <c r="S235" s="80" t="s">
        <v>1220</v>
      </c>
      <c r="T235" s="100">
        <v>0</v>
      </c>
      <c r="U235" s="100">
        <v>0</v>
      </c>
      <c r="V235" s="100">
        <v>0</v>
      </c>
      <c r="W235" s="100">
        <v>0</v>
      </c>
      <c r="X235"/>
      <c r="Y235"/>
      <c r="Z235"/>
      <c r="AA235"/>
      <c r="AB235"/>
      <c r="AC235"/>
      <c r="AD235"/>
      <c r="AE235"/>
      <c r="AF235"/>
      <c r="AG235"/>
      <c r="AH235"/>
      <c r="AI235"/>
      <c r="AJ235"/>
      <c r="AK235"/>
      <c r="AL235"/>
      <c r="AM235"/>
      <c r="AN235"/>
      <c r="AO235"/>
      <c r="AP235"/>
      <c r="AQ235"/>
      <c r="AR235"/>
      <c r="AS235"/>
      <c r="AT235"/>
      <c r="AU235"/>
      <c r="AV235"/>
      <c r="AW235"/>
      <c r="AX235"/>
      <c r="AY235"/>
      <c r="AZ235"/>
    </row>
    <row r="236" ht="15.6" spans="2:52">
      <c r="B236" s="80" t="s">
        <v>229</v>
      </c>
      <c r="C236" s="80" t="s">
        <v>230</v>
      </c>
      <c r="D236" s="80">
        <v>0</v>
      </c>
      <c r="E236" s="80" t="s">
        <v>1220</v>
      </c>
      <c r="F236" s="80" t="s">
        <v>599</v>
      </c>
      <c r="G236" s="99">
        <v>0</v>
      </c>
      <c r="H236" s="99">
        <v>0</v>
      </c>
      <c r="I236" s="99">
        <v>0</v>
      </c>
      <c r="J236"/>
      <c r="K236"/>
      <c r="L236"/>
      <c r="Q236" s="80" t="s">
        <v>597</v>
      </c>
      <c r="R236" s="80">
        <v>0</v>
      </c>
      <c r="S236" s="80" t="s">
        <v>1220</v>
      </c>
      <c r="T236" s="100">
        <v>0</v>
      </c>
      <c r="U236" s="100">
        <v>0</v>
      </c>
      <c r="V236" s="100">
        <v>0</v>
      </c>
      <c r="W236" s="100">
        <v>0</v>
      </c>
      <c r="X236"/>
      <c r="Y236"/>
      <c r="Z236"/>
      <c r="AA236"/>
      <c r="AB236"/>
      <c r="AC236"/>
      <c r="AD236"/>
      <c r="AE236"/>
      <c r="AF236"/>
      <c r="AG236"/>
      <c r="AH236"/>
      <c r="AI236"/>
      <c r="AJ236"/>
      <c r="AK236"/>
      <c r="AL236"/>
      <c r="AM236"/>
      <c r="AN236"/>
      <c r="AO236"/>
      <c r="AP236"/>
      <c r="AQ236"/>
      <c r="AR236"/>
      <c r="AS236"/>
      <c r="AT236"/>
      <c r="AU236"/>
      <c r="AV236"/>
      <c r="AW236"/>
      <c r="AX236"/>
      <c r="AY236"/>
      <c r="AZ236"/>
    </row>
    <row r="237" ht="15.6" spans="2:52">
      <c r="B237" s="80" t="s">
        <v>4525</v>
      </c>
      <c r="G237" s="99">
        <v>0</v>
      </c>
      <c r="H237" s="99">
        <v>0</v>
      </c>
      <c r="I237" s="99">
        <v>0</v>
      </c>
      <c r="J237"/>
      <c r="K237"/>
      <c r="L237"/>
      <c r="Q237" s="80" t="s">
        <v>599</v>
      </c>
      <c r="R237" s="80">
        <v>0</v>
      </c>
      <c r="S237" s="80" t="s">
        <v>1220</v>
      </c>
      <c r="T237" s="100">
        <v>5</v>
      </c>
      <c r="U237" s="100">
        <v>0</v>
      </c>
      <c r="V237" s="100">
        <v>0</v>
      </c>
      <c r="W237" s="100">
        <v>0</v>
      </c>
      <c r="X237"/>
      <c r="Y237"/>
      <c r="Z237"/>
      <c r="AA237"/>
      <c r="AB237"/>
      <c r="AC237"/>
      <c r="AD237"/>
      <c r="AE237"/>
      <c r="AF237"/>
      <c r="AG237"/>
      <c r="AH237"/>
      <c r="AI237"/>
      <c r="AJ237"/>
      <c r="AK237"/>
      <c r="AL237"/>
      <c r="AM237"/>
      <c r="AN237"/>
      <c r="AO237"/>
      <c r="AP237"/>
      <c r="AQ237"/>
      <c r="AR237"/>
      <c r="AS237"/>
      <c r="AT237"/>
      <c r="AU237"/>
      <c r="AV237"/>
      <c r="AW237"/>
      <c r="AX237"/>
      <c r="AY237"/>
      <c r="AZ237"/>
    </row>
    <row r="238" ht="15.6" spans="2:52">
      <c r="B238" s="80" t="s">
        <v>231</v>
      </c>
      <c r="C238" s="80" t="s">
        <v>232</v>
      </c>
      <c r="D238" s="80">
        <v>0</v>
      </c>
      <c r="E238" s="80" t="s">
        <v>1178</v>
      </c>
      <c r="F238" s="80" t="s">
        <v>599</v>
      </c>
      <c r="G238" s="99">
        <v>0</v>
      </c>
      <c r="H238" s="99">
        <v>0</v>
      </c>
      <c r="I238" s="99">
        <v>0</v>
      </c>
      <c r="J238"/>
      <c r="K238"/>
      <c r="L238"/>
      <c r="O238" s="80" t="s">
        <v>1317</v>
      </c>
      <c r="P238" s="80" t="s">
        <v>3502</v>
      </c>
      <c r="Q238" s="80" t="s">
        <v>603</v>
      </c>
      <c r="R238" s="80">
        <v>0</v>
      </c>
      <c r="S238" s="80" t="s">
        <v>1178</v>
      </c>
      <c r="T238" s="100">
        <v>24</v>
      </c>
      <c r="U238" s="100">
        <v>0</v>
      </c>
      <c r="V238" s="100">
        <v>0</v>
      </c>
      <c r="W238" s="100">
        <v>0</v>
      </c>
      <c r="X238"/>
      <c r="Y238"/>
      <c r="Z238"/>
      <c r="AA238"/>
      <c r="AB238"/>
      <c r="AC238"/>
      <c r="AD238"/>
      <c r="AE238"/>
      <c r="AF238"/>
      <c r="AG238"/>
      <c r="AH238"/>
      <c r="AI238"/>
      <c r="AJ238"/>
      <c r="AK238"/>
      <c r="AL238"/>
      <c r="AM238"/>
      <c r="AN238"/>
      <c r="AO238"/>
      <c r="AP238"/>
      <c r="AQ238"/>
      <c r="AR238"/>
      <c r="AS238"/>
      <c r="AT238"/>
      <c r="AU238"/>
      <c r="AV238"/>
      <c r="AW238"/>
      <c r="AX238"/>
      <c r="AY238"/>
      <c r="AZ238"/>
    </row>
    <row r="239" ht="15.6" spans="2:52">
      <c r="B239" s="80" t="s">
        <v>4526</v>
      </c>
      <c r="G239" s="99">
        <v>0</v>
      </c>
      <c r="H239" s="99">
        <v>0</v>
      </c>
      <c r="I239" s="99">
        <v>0</v>
      </c>
      <c r="J239"/>
      <c r="K239"/>
      <c r="L239"/>
      <c r="M239" s="80" t="s">
        <v>219</v>
      </c>
      <c r="N239" s="80" t="s">
        <v>220</v>
      </c>
      <c r="O239" s="80" t="s">
        <v>1318</v>
      </c>
      <c r="P239" s="80" t="s">
        <v>220</v>
      </c>
      <c r="Q239" s="80" t="s">
        <v>599</v>
      </c>
      <c r="R239" s="80">
        <v>0</v>
      </c>
      <c r="S239" s="80" t="s">
        <v>1281</v>
      </c>
      <c r="T239" s="100">
        <v>8</v>
      </c>
      <c r="U239" s="100">
        <v>0</v>
      </c>
      <c r="V239" s="100">
        <v>0</v>
      </c>
      <c r="W239" s="100">
        <v>0</v>
      </c>
      <c r="X239"/>
      <c r="Y239"/>
      <c r="Z239"/>
      <c r="AA239"/>
      <c r="AB239"/>
      <c r="AC239"/>
      <c r="AD239"/>
      <c r="AE239"/>
      <c r="AF239"/>
      <c r="AG239"/>
      <c r="AH239"/>
      <c r="AI239"/>
      <c r="AJ239"/>
      <c r="AK239"/>
      <c r="AL239"/>
      <c r="AM239"/>
      <c r="AN239"/>
      <c r="AO239"/>
      <c r="AP239"/>
      <c r="AQ239"/>
      <c r="AR239"/>
      <c r="AS239"/>
      <c r="AT239"/>
      <c r="AU239"/>
      <c r="AV239"/>
      <c r="AW239"/>
      <c r="AX239"/>
      <c r="AY239"/>
      <c r="AZ239"/>
    </row>
    <row r="240" ht="15.6" spans="2:52">
      <c r="B240" s="80" t="s">
        <v>233</v>
      </c>
      <c r="C240" s="80" t="s">
        <v>234</v>
      </c>
      <c r="D240" s="80">
        <v>0</v>
      </c>
      <c r="E240" s="80" t="s">
        <v>1220</v>
      </c>
      <c r="F240" s="80" t="s">
        <v>599</v>
      </c>
      <c r="G240" s="99">
        <v>0</v>
      </c>
      <c r="H240" s="99">
        <v>0</v>
      </c>
      <c r="I240" s="99">
        <v>0</v>
      </c>
      <c r="J240"/>
      <c r="K240"/>
      <c r="L240"/>
      <c r="M240" s="80" t="s">
        <v>221</v>
      </c>
      <c r="N240" s="80" t="s">
        <v>222</v>
      </c>
      <c r="O240" s="80" t="s">
        <v>1319</v>
      </c>
      <c r="P240" s="80" t="s">
        <v>222</v>
      </c>
      <c r="Q240" s="80" t="s">
        <v>599</v>
      </c>
      <c r="R240" s="80">
        <v>0</v>
      </c>
      <c r="S240" s="80" t="s">
        <v>1220</v>
      </c>
      <c r="T240" s="100">
        <v>6</v>
      </c>
      <c r="U240" s="100">
        <v>0</v>
      </c>
      <c r="V240" s="100">
        <v>0</v>
      </c>
      <c r="W240" s="100">
        <v>0</v>
      </c>
      <c r="X240"/>
      <c r="Y240"/>
      <c r="Z240"/>
      <c r="AA240"/>
      <c r="AB240"/>
      <c r="AC240"/>
      <c r="AD240"/>
      <c r="AE240"/>
      <c r="AF240"/>
      <c r="AG240"/>
      <c r="AH240"/>
      <c r="AI240"/>
      <c r="AJ240"/>
      <c r="AK240"/>
      <c r="AL240"/>
      <c r="AM240"/>
      <c r="AN240"/>
      <c r="AO240"/>
      <c r="AP240"/>
      <c r="AQ240"/>
      <c r="AR240"/>
      <c r="AS240"/>
      <c r="AT240"/>
      <c r="AU240"/>
      <c r="AV240"/>
      <c r="AW240"/>
      <c r="AX240"/>
      <c r="AY240"/>
      <c r="AZ240"/>
    </row>
    <row r="241" ht="15.6" spans="2:52">
      <c r="B241" s="80" t="s">
        <v>4527</v>
      </c>
      <c r="G241" s="99">
        <v>0</v>
      </c>
      <c r="H241" s="99">
        <v>0</v>
      </c>
      <c r="I241" s="99">
        <v>0</v>
      </c>
      <c r="J241"/>
      <c r="K241"/>
      <c r="L241"/>
      <c r="M241" s="80" t="s">
        <v>223</v>
      </c>
      <c r="N241" s="80" t="s">
        <v>224</v>
      </c>
      <c r="O241" s="80" t="s">
        <v>1320</v>
      </c>
      <c r="P241" s="80" t="s">
        <v>224</v>
      </c>
      <c r="Q241" s="80" t="s">
        <v>599</v>
      </c>
      <c r="R241" s="80">
        <v>0</v>
      </c>
      <c r="S241" s="80" t="s">
        <v>1220</v>
      </c>
      <c r="T241" s="100">
        <v>4</v>
      </c>
      <c r="U241" s="100">
        <v>0</v>
      </c>
      <c r="V241" s="100">
        <v>0</v>
      </c>
      <c r="W241" s="100">
        <v>0</v>
      </c>
      <c r="X241"/>
      <c r="Y241"/>
      <c r="Z241"/>
      <c r="AA241"/>
      <c r="AB241"/>
      <c r="AC241"/>
      <c r="AD241"/>
      <c r="AE241"/>
      <c r="AF241"/>
      <c r="AG241"/>
      <c r="AH241"/>
      <c r="AI241"/>
      <c r="AJ241"/>
      <c r="AK241"/>
      <c r="AL241"/>
      <c r="AM241"/>
      <c r="AN241"/>
      <c r="AO241"/>
      <c r="AP241"/>
      <c r="AQ241"/>
      <c r="AR241"/>
      <c r="AS241"/>
      <c r="AT241"/>
      <c r="AU241"/>
      <c r="AV241"/>
      <c r="AW241"/>
      <c r="AX241"/>
      <c r="AY241"/>
      <c r="AZ241"/>
    </row>
    <row r="242" ht="15.6" spans="2:52">
      <c r="B242" s="80" t="s">
        <v>235</v>
      </c>
      <c r="C242" s="80" t="s">
        <v>236</v>
      </c>
      <c r="D242" s="80">
        <v>0</v>
      </c>
      <c r="E242" s="80" t="s">
        <v>1220</v>
      </c>
      <c r="F242" s="80" t="s">
        <v>599</v>
      </c>
      <c r="G242" s="99">
        <v>0</v>
      </c>
      <c r="H242" s="99">
        <v>0</v>
      </c>
      <c r="I242" s="99">
        <v>0</v>
      </c>
      <c r="J242"/>
      <c r="K242"/>
      <c r="L242"/>
      <c r="M242" s="80" t="s">
        <v>225</v>
      </c>
      <c r="N242" s="80" t="s">
        <v>226</v>
      </c>
      <c r="O242" s="80" t="s">
        <v>1321</v>
      </c>
      <c r="P242" s="80" t="s">
        <v>226</v>
      </c>
      <c r="Q242" s="80" t="s">
        <v>599</v>
      </c>
      <c r="R242" s="80">
        <v>0</v>
      </c>
      <c r="S242" s="80" t="s">
        <v>1220</v>
      </c>
      <c r="T242" s="100">
        <v>6</v>
      </c>
      <c r="U242" s="100">
        <v>0</v>
      </c>
      <c r="V242" s="100">
        <v>0</v>
      </c>
      <c r="W242" s="100">
        <v>0</v>
      </c>
      <c r="X242"/>
      <c r="Y242"/>
      <c r="Z242"/>
      <c r="AA242"/>
      <c r="AB242"/>
      <c r="AC242"/>
      <c r="AD242"/>
      <c r="AE242"/>
      <c r="AF242"/>
      <c r="AG242"/>
      <c r="AH242"/>
      <c r="AI242"/>
      <c r="AJ242"/>
      <c r="AK242"/>
      <c r="AL242"/>
      <c r="AM242"/>
      <c r="AN242"/>
      <c r="AO242"/>
      <c r="AP242"/>
      <c r="AQ242"/>
      <c r="AR242"/>
      <c r="AS242"/>
      <c r="AT242"/>
      <c r="AU242"/>
      <c r="AV242"/>
      <c r="AW242"/>
      <c r="AX242"/>
      <c r="AY242"/>
      <c r="AZ242"/>
    </row>
    <row r="243" ht="15.6" spans="2:52">
      <c r="B243" s="80" t="s">
        <v>4528</v>
      </c>
      <c r="G243" s="99">
        <v>0</v>
      </c>
      <c r="H243" s="99">
        <v>0</v>
      </c>
      <c r="I243" s="99">
        <v>0</v>
      </c>
      <c r="J243"/>
      <c r="K243"/>
      <c r="L243"/>
      <c r="M243" s="80" t="s">
        <v>227</v>
      </c>
      <c r="N243" s="80" t="s">
        <v>228</v>
      </c>
      <c r="O243" s="80" t="s">
        <v>1322</v>
      </c>
      <c r="P243" s="80" t="s">
        <v>228</v>
      </c>
      <c r="Q243" s="80" t="s">
        <v>599</v>
      </c>
      <c r="R243" s="80">
        <v>0</v>
      </c>
      <c r="S243" s="80" t="s">
        <v>1220</v>
      </c>
      <c r="T243" s="100">
        <v>4</v>
      </c>
      <c r="U243" s="100">
        <v>0</v>
      </c>
      <c r="V243" s="100">
        <v>0</v>
      </c>
      <c r="W243" s="100">
        <v>0</v>
      </c>
      <c r="X243"/>
      <c r="Y243"/>
      <c r="Z243"/>
      <c r="AA243"/>
      <c r="AB243"/>
      <c r="AC243"/>
      <c r="AD243"/>
      <c r="AE243"/>
      <c r="AF243"/>
      <c r="AG243"/>
      <c r="AH243"/>
      <c r="AI243"/>
      <c r="AJ243"/>
      <c r="AK243"/>
      <c r="AL243"/>
      <c r="AM243"/>
      <c r="AN243"/>
      <c r="AO243"/>
      <c r="AP243"/>
      <c r="AQ243"/>
      <c r="AR243"/>
      <c r="AS243"/>
      <c r="AT243"/>
      <c r="AU243"/>
      <c r="AV243"/>
      <c r="AW243"/>
      <c r="AX243"/>
      <c r="AY243"/>
      <c r="AZ243"/>
    </row>
    <row r="244" ht="15.6" spans="2:52">
      <c r="B244" s="80" t="s">
        <v>237</v>
      </c>
      <c r="C244" s="80" t="s">
        <v>238</v>
      </c>
      <c r="D244" s="80">
        <v>0</v>
      </c>
      <c r="E244" s="80" t="s">
        <v>1178</v>
      </c>
      <c r="F244" s="80" t="s">
        <v>654</v>
      </c>
      <c r="G244" s="99">
        <v>0</v>
      </c>
      <c r="H244" s="99">
        <v>0</v>
      </c>
      <c r="I244" s="99">
        <v>0</v>
      </c>
      <c r="J244"/>
      <c r="K244"/>
      <c r="L244"/>
      <c r="M244" s="80" t="s">
        <v>229</v>
      </c>
      <c r="N244" s="80" t="s">
        <v>230</v>
      </c>
      <c r="O244" s="80" t="s">
        <v>1323</v>
      </c>
      <c r="P244" s="80" t="s">
        <v>230</v>
      </c>
      <c r="Q244" s="80" t="s">
        <v>599</v>
      </c>
      <c r="R244" s="80">
        <v>0</v>
      </c>
      <c r="S244" s="80" t="s">
        <v>1220</v>
      </c>
      <c r="T244" s="100">
        <v>0</v>
      </c>
      <c r="U244" s="100">
        <v>0</v>
      </c>
      <c r="V244" s="100">
        <v>0</v>
      </c>
      <c r="W244" s="100">
        <v>0</v>
      </c>
      <c r="X244"/>
      <c r="Y244"/>
      <c r="Z244"/>
      <c r="AA244"/>
      <c r="AB244"/>
      <c r="AC244"/>
      <c r="AD244"/>
      <c r="AE244"/>
      <c r="AF244"/>
      <c r="AG244"/>
      <c r="AH244"/>
      <c r="AI244"/>
      <c r="AJ244"/>
      <c r="AK244"/>
      <c r="AL244"/>
      <c r="AM244"/>
      <c r="AN244"/>
      <c r="AO244"/>
      <c r="AP244"/>
      <c r="AQ244"/>
      <c r="AR244"/>
      <c r="AS244"/>
      <c r="AT244"/>
      <c r="AU244"/>
      <c r="AV244"/>
      <c r="AW244"/>
      <c r="AX244"/>
      <c r="AY244"/>
      <c r="AZ244"/>
    </row>
    <row r="245" ht="15.6" spans="2:52">
      <c r="F245" s="80" t="s">
        <v>597</v>
      </c>
      <c r="G245" s="99">
        <v>0</v>
      </c>
      <c r="H245" s="99">
        <v>0</v>
      </c>
      <c r="I245" s="99">
        <v>0</v>
      </c>
      <c r="J245"/>
      <c r="K245"/>
      <c r="L245"/>
      <c r="M245" s="80" t="s">
        <v>231</v>
      </c>
      <c r="N245" s="80" t="s">
        <v>232</v>
      </c>
      <c r="O245" s="80" t="s">
        <v>1324</v>
      </c>
      <c r="P245" s="80" t="s">
        <v>232</v>
      </c>
      <c r="Q245" s="80" t="s">
        <v>599</v>
      </c>
      <c r="R245" s="80">
        <v>0</v>
      </c>
      <c r="S245" s="80" t="s">
        <v>1178</v>
      </c>
      <c r="T245" s="100">
        <v>0.5</v>
      </c>
      <c r="U245" s="100">
        <v>0</v>
      </c>
      <c r="V245" s="100">
        <v>0</v>
      </c>
      <c r="W245" s="100">
        <v>0</v>
      </c>
      <c r="X245"/>
      <c r="Y245"/>
      <c r="Z245"/>
      <c r="AA245"/>
      <c r="AB245"/>
      <c r="AC245"/>
      <c r="AD245"/>
      <c r="AE245"/>
      <c r="AF245"/>
      <c r="AG245"/>
      <c r="AH245"/>
      <c r="AI245"/>
      <c r="AJ245"/>
      <c r="AK245"/>
      <c r="AL245"/>
      <c r="AM245"/>
      <c r="AN245"/>
      <c r="AO245"/>
      <c r="AP245"/>
      <c r="AQ245"/>
      <c r="AR245"/>
      <c r="AS245"/>
      <c r="AT245"/>
      <c r="AU245"/>
      <c r="AV245"/>
      <c r="AW245"/>
      <c r="AX245"/>
      <c r="AY245"/>
      <c r="AZ245"/>
    </row>
    <row r="246" ht="15.6" spans="2:52">
      <c r="F246" s="80" t="s">
        <v>633</v>
      </c>
      <c r="G246" s="99">
        <v>0</v>
      </c>
      <c r="H246" s="99">
        <v>0</v>
      </c>
      <c r="I246" s="99">
        <v>0</v>
      </c>
      <c r="J246"/>
      <c r="K246"/>
      <c r="L246"/>
      <c r="M246" s="80" t="s">
        <v>233</v>
      </c>
      <c r="N246" s="80" t="s">
        <v>234</v>
      </c>
      <c r="O246" s="80" t="s">
        <v>1325</v>
      </c>
      <c r="P246" s="80" t="s">
        <v>234</v>
      </c>
      <c r="Q246" s="80" t="s">
        <v>599</v>
      </c>
      <c r="R246" s="80">
        <v>0</v>
      </c>
      <c r="S246" s="80" t="s">
        <v>1220</v>
      </c>
      <c r="T246" s="100">
        <v>8</v>
      </c>
      <c r="U246" s="100">
        <v>0</v>
      </c>
      <c r="V246" s="100">
        <v>0</v>
      </c>
      <c r="W246" s="100">
        <v>0</v>
      </c>
      <c r="X246"/>
      <c r="Y246"/>
      <c r="Z246"/>
      <c r="AA246"/>
      <c r="AB246"/>
      <c r="AC246"/>
      <c r="AD246"/>
      <c r="AE246"/>
      <c r="AF246"/>
      <c r="AG246"/>
      <c r="AH246"/>
      <c r="AI246"/>
      <c r="AJ246"/>
      <c r="AK246"/>
      <c r="AL246"/>
      <c r="AM246"/>
      <c r="AN246"/>
      <c r="AO246"/>
      <c r="AP246"/>
      <c r="AQ246"/>
      <c r="AR246"/>
      <c r="AS246"/>
      <c r="AT246"/>
      <c r="AU246"/>
      <c r="AV246"/>
      <c r="AW246"/>
      <c r="AX246"/>
      <c r="AY246"/>
      <c r="AZ246"/>
    </row>
    <row r="247" ht="15.6" spans="2:52">
      <c r="F247" s="80" t="s">
        <v>615</v>
      </c>
      <c r="G247" s="99">
        <v>0</v>
      </c>
      <c r="H247" s="99">
        <v>0</v>
      </c>
      <c r="I247" s="99">
        <v>0</v>
      </c>
      <c r="J247"/>
      <c r="K247"/>
      <c r="L247"/>
      <c r="M247" s="80" t="s">
        <v>235</v>
      </c>
      <c r="N247" s="80" t="s">
        <v>236</v>
      </c>
      <c r="O247" s="80" t="s">
        <v>1326</v>
      </c>
      <c r="P247" s="80" t="s">
        <v>236</v>
      </c>
      <c r="Q247" s="80" t="s">
        <v>599</v>
      </c>
      <c r="R247" s="80">
        <v>0</v>
      </c>
      <c r="S247" s="80" t="s">
        <v>1220</v>
      </c>
      <c r="T247" s="100">
        <v>2</v>
      </c>
      <c r="U247" s="100">
        <v>0</v>
      </c>
      <c r="V247" s="100">
        <v>0</v>
      </c>
      <c r="W247" s="100">
        <v>0</v>
      </c>
      <c r="X247"/>
      <c r="Y247"/>
      <c r="Z247"/>
      <c r="AA247"/>
      <c r="AB247"/>
      <c r="AC247"/>
      <c r="AD247"/>
      <c r="AE247"/>
      <c r="AF247"/>
      <c r="AG247"/>
      <c r="AH247"/>
      <c r="AI247"/>
      <c r="AJ247"/>
      <c r="AK247"/>
      <c r="AL247"/>
      <c r="AM247"/>
      <c r="AN247"/>
      <c r="AO247"/>
      <c r="AP247"/>
      <c r="AQ247"/>
      <c r="AR247"/>
      <c r="AS247"/>
      <c r="AT247"/>
      <c r="AU247"/>
      <c r="AV247"/>
      <c r="AW247"/>
      <c r="AX247"/>
      <c r="AY247"/>
      <c r="AZ247"/>
    </row>
    <row r="248" ht="15.6" spans="2:52">
      <c r="F248" s="80" t="s">
        <v>599</v>
      </c>
      <c r="G248" s="99">
        <v>0</v>
      </c>
      <c r="H248" s="99">
        <v>0</v>
      </c>
      <c r="I248" s="99">
        <v>0</v>
      </c>
      <c r="J248"/>
      <c r="K248"/>
      <c r="L248"/>
      <c r="M248" s="80" t="s">
        <v>237</v>
      </c>
      <c r="N248" s="80" t="s">
        <v>238</v>
      </c>
      <c r="O248" s="80" t="s">
        <v>1329</v>
      </c>
      <c r="P248" s="80" t="s">
        <v>3514</v>
      </c>
      <c r="Q248" s="80" t="s">
        <v>599</v>
      </c>
      <c r="R248" s="80">
        <v>0</v>
      </c>
      <c r="S248" s="80" t="s">
        <v>1178</v>
      </c>
      <c r="T248" s="100">
        <v>1</v>
      </c>
      <c r="U248" s="100">
        <v>0</v>
      </c>
      <c r="V248" s="100">
        <v>0</v>
      </c>
      <c r="W248" s="100">
        <v>0</v>
      </c>
      <c r="X248"/>
      <c r="Y248"/>
      <c r="Z248"/>
      <c r="AA248"/>
      <c r="AB248"/>
      <c r="AC248"/>
      <c r="AD248"/>
      <c r="AE248"/>
      <c r="AF248"/>
      <c r="AG248"/>
      <c r="AH248"/>
      <c r="AI248"/>
      <c r="AJ248"/>
      <c r="AK248"/>
      <c r="AL248"/>
      <c r="AM248"/>
      <c r="AN248"/>
      <c r="AO248"/>
      <c r="AP248"/>
      <c r="AQ248"/>
      <c r="AR248"/>
      <c r="AS248"/>
      <c r="AT248"/>
      <c r="AU248"/>
      <c r="AV248"/>
      <c r="AW248"/>
      <c r="AX248"/>
      <c r="AY248"/>
      <c r="AZ248"/>
    </row>
    <row r="249" ht="15.6" spans="2:52">
      <c r="F249" s="80" t="s">
        <v>601</v>
      </c>
      <c r="G249" s="99">
        <v>0</v>
      </c>
      <c r="H249" s="99">
        <v>0</v>
      </c>
      <c r="I249" s="99">
        <v>0</v>
      </c>
      <c r="J249"/>
      <c r="K249"/>
      <c r="L249"/>
      <c r="O249" s="80" t="s">
        <v>1330</v>
      </c>
      <c r="P249" s="80" t="s">
        <v>3516</v>
      </c>
      <c r="Q249" s="80" t="s">
        <v>654</v>
      </c>
      <c r="R249" s="80">
        <v>0</v>
      </c>
      <c r="S249" s="80" t="s">
        <v>1178</v>
      </c>
      <c r="T249" s="100">
        <v>0</v>
      </c>
      <c r="U249" s="100">
        <v>0</v>
      </c>
      <c r="V249" s="100">
        <v>0</v>
      </c>
      <c r="W249" s="100">
        <v>0</v>
      </c>
      <c r="X249"/>
      <c r="Y249"/>
      <c r="Z249"/>
      <c r="AA249"/>
      <c r="AB249"/>
      <c r="AC249"/>
      <c r="AD249"/>
      <c r="AE249"/>
      <c r="AF249"/>
      <c r="AG249"/>
      <c r="AH249"/>
      <c r="AI249"/>
      <c r="AJ249"/>
      <c r="AK249"/>
      <c r="AL249"/>
      <c r="AM249"/>
      <c r="AN249"/>
      <c r="AO249"/>
      <c r="AP249"/>
      <c r="AQ249"/>
      <c r="AR249"/>
      <c r="AS249"/>
      <c r="AT249"/>
      <c r="AU249"/>
      <c r="AV249"/>
      <c r="AW249"/>
      <c r="AX249"/>
      <c r="AY249"/>
      <c r="AZ249"/>
    </row>
    <row r="250" ht="15.6" spans="2:52">
      <c r="F250" s="80" t="s">
        <v>620</v>
      </c>
      <c r="G250" s="99">
        <v>0</v>
      </c>
      <c r="H250" s="99">
        <v>0</v>
      </c>
      <c r="I250" s="99">
        <v>0</v>
      </c>
      <c r="J250"/>
      <c r="K250"/>
      <c r="L250"/>
      <c r="Q250" s="80" t="s">
        <v>597</v>
      </c>
      <c r="R250" s="80">
        <v>0</v>
      </c>
      <c r="S250" s="80" t="s">
        <v>1178</v>
      </c>
      <c r="T250" s="100">
        <v>1</v>
      </c>
      <c r="U250" s="100">
        <v>0</v>
      </c>
      <c r="V250" s="100">
        <v>0</v>
      </c>
      <c r="W250" s="100">
        <v>0</v>
      </c>
      <c r="X250"/>
      <c r="Y250"/>
      <c r="Z250"/>
      <c r="AA250"/>
      <c r="AB250"/>
      <c r="AC250"/>
      <c r="AD250"/>
      <c r="AE250"/>
      <c r="AF250"/>
      <c r="AG250"/>
      <c r="AH250"/>
      <c r="AI250"/>
      <c r="AJ250"/>
      <c r="AK250"/>
      <c r="AL250"/>
      <c r="AM250"/>
      <c r="AN250"/>
      <c r="AO250"/>
      <c r="AP250"/>
      <c r="AQ250"/>
      <c r="AR250"/>
      <c r="AS250"/>
      <c r="AT250"/>
      <c r="AU250"/>
      <c r="AV250"/>
      <c r="AW250"/>
      <c r="AX250"/>
      <c r="AY250"/>
      <c r="AZ250"/>
    </row>
    <row r="251" ht="15.6" spans="2:52">
      <c r="F251" s="80" t="s">
        <v>639</v>
      </c>
      <c r="G251" s="99">
        <v>0</v>
      </c>
      <c r="H251" s="99">
        <v>0</v>
      </c>
      <c r="I251" s="99">
        <v>0</v>
      </c>
      <c r="J251"/>
      <c r="K251"/>
      <c r="L251"/>
      <c r="Q251" s="80" t="s">
        <v>633</v>
      </c>
      <c r="R251" s="80">
        <v>0</v>
      </c>
      <c r="S251" s="80" t="s">
        <v>1178</v>
      </c>
      <c r="T251" s="100">
        <v>1</v>
      </c>
      <c r="U251" s="100">
        <v>0</v>
      </c>
      <c r="V251" s="100">
        <v>0</v>
      </c>
      <c r="W251" s="100">
        <v>0</v>
      </c>
      <c r="X251"/>
      <c r="Y251"/>
      <c r="Z251"/>
      <c r="AA251"/>
      <c r="AB251"/>
      <c r="AC251"/>
      <c r="AD251"/>
      <c r="AE251"/>
      <c r="AF251"/>
      <c r="AG251"/>
      <c r="AH251"/>
      <c r="AI251"/>
      <c r="AJ251"/>
      <c r="AK251"/>
      <c r="AL251"/>
      <c r="AM251"/>
      <c r="AN251"/>
      <c r="AO251"/>
      <c r="AP251"/>
      <c r="AQ251"/>
      <c r="AR251"/>
      <c r="AS251"/>
      <c r="AT251"/>
      <c r="AU251"/>
      <c r="AV251"/>
      <c r="AW251"/>
      <c r="AX251"/>
      <c r="AY251"/>
      <c r="AZ251"/>
    </row>
    <row r="252" ht="15.6" spans="2:52">
      <c r="B252" s="80" t="s">
        <v>4529</v>
      </c>
      <c r="G252" s="99">
        <v>0</v>
      </c>
      <c r="H252" s="99">
        <v>0</v>
      </c>
      <c r="I252" s="99">
        <v>0</v>
      </c>
      <c r="J252"/>
      <c r="K252"/>
      <c r="L252"/>
      <c r="Q252" s="80" t="s">
        <v>615</v>
      </c>
      <c r="R252" s="80">
        <v>0</v>
      </c>
      <c r="S252" s="80" t="s">
        <v>1178</v>
      </c>
      <c r="T252" s="100">
        <v>0</v>
      </c>
      <c r="U252" s="100">
        <v>0</v>
      </c>
      <c r="V252" s="100">
        <v>0</v>
      </c>
      <c r="W252" s="100">
        <v>0</v>
      </c>
      <c r="X252"/>
      <c r="Y252"/>
      <c r="Z252"/>
      <c r="AA252"/>
      <c r="AB252"/>
      <c r="AC252"/>
      <c r="AD252"/>
      <c r="AE252"/>
      <c r="AF252"/>
      <c r="AG252"/>
      <c r="AH252"/>
      <c r="AI252"/>
      <c r="AJ252"/>
      <c r="AK252"/>
      <c r="AL252"/>
      <c r="AM252"/>
      <c r="AN252"/>
      <c r="AO252"/>
      <c r="AP252"/>
      <c r="AQ252"/>
      <c r="AR252"/>
      <c r="AS252"/>
      <c r="AT252"/>
      <c r="AU252"/>
      <c r="AV252"/>
      <c r="AW252"/>
      <c r="AX252"/>
      <c r="AY252"/>
      <c r="AZ252"/>
    </row>
    <row r="253" ht="15.6" spans="2:52">
      <c r="B253" s="80" t="s">
        <v>239</v>
      </c>
      <c r="C253" s="80" t="s">
        <v>240</v>
      </c>
      <c r="D253" s="80">
        <v>0</v>
      </c>
      <c r="E253" s="80" t="s">
        <v>1176</v>
      </c>
      <c r="F253" s="80" t="s">
        <v>599</v>
      </c>
      <c r="G253" s="99">
        <v>0</v>
      </c>
      <c r="H253" s="99">
        <v>0</v>
      </c>
      <c r="I253" s="99">
        <v>0</v>
      </c>
      <c r="J253"/>
      <c r="K253"/>
      <c r="L253"/>
      <c r="Q253" s="80" t="s">
        <v>599</v>
      </c>
      <c r="R253" s="80">
        <v>0</v>
      </c>
      <c r="S253" s="80" t="s">
        <v>1178</v>
      </c>
      <c r="T253" s="100">
        <v>1</v>
      </c>
      <c r="U253" s="100">
        <v>0</v>
      </c>
      <c r="V253" s="100">
        <v>0</v>
      </c>
      <c r="W253" s="100">
        <v>0</v>
      </c>
      <c r="X253"/>
      <c r="Y253"/>
      <c r="Z253"/>
      <c r="AA253"/>
      <c r="AB253"/>
      <c r="AC253"/>
      <c r="AD253"/>
      <c r="AE253"/>
      <c r="AF253"/>
      <c r="AG253"/>
      <c r="AH253"/>
      <c r="AI253"/>
      <c r="AJ253"/>
      <c r="AK253"/>
      <c r="AL253"/>
      <c r="AM253"/>
      <c r="AN253"/>
      <c r="AO253"/>
      <c r="AP253"/>
      <c r="AQ253"/>
      <c r="AR253"/>
      <c r="AS253"/>
      <c r="AT253"/>
      <c r="AU253"/>
      <c r="AV253"/>
      <c r="AW253"/>
      <c r="AX253"/>
      <c r="AY253"/>
      <c r="AZ253"/>
    </row>
    <row r="254" ht="15.6" spans="2:52">
      <c r="B254" s="80" t="s">
        <v>4530</v>
      </c>
      <c r="G254" s="99">
        <v>0</v>
      </c>
      <c r="H254" s="99">
        <v>0</v>
      </c>
      <c r="I254" s="99">
        <v>0</v>
      </c>
      <c r="J254"/>
      <c r="K254"/>
      <c r="L254"/>
      <c r="Q254" s="80" t="s">
        <v>601</v>
      </c>
      <c r="R254" s="80">
        <v>0</v>
      </c>
      <c r="S254" s="80" t="s">
        <v>1178</v>
      </c>
      <c r="T254" s="100">
        <v>1</v>
      </c>
      <c r="U254" s="100">
        <v>0</v>
      </c>
      <c r="V254" s="100">
        <v>0</v>
      </c>
      <c r="W254" s="100">
        <v>0</v>
      </c>
      <c r="X254"/>
      <c r="Y254"/>
      <c r="Z254"/>
      <c r="AA254"/>
      <c r="AB254"/>
      <c r="AC254"/>
      <c r="AD254"/>
      <c r="AE254"/>
      <c r="AF254"/>
      <c r="AG254"/>
      <c r="AH254"/>
      <c r="AI254"/>
      <c r="AJ254"/>
      <c r="AK254"/>
      <c r="AL254"/>
      <c r="AM254"/>
      <c r="AN254"/>
      <c r="AO254"/>
      <c r="AP254"/>
      <c r="AQ254"/>
      <c r="AR254"/>
      <c r="AS254"/>
      <c r="AT254"/>
      <c r="AU254"/>
      <c r="AV254"/>
      <c r="AW254"/>
      <c r="AX254"/>
      <c r="AY254"/>
      <c r="AZ254"/>
    </row>
    <row r="255" ht="15.6" spans="2:52">
      <c r="B255" s="80" t="s">
        <v>241</v>
      </c>
      <c r="C255" s="80" t="s">
        <v>242</v>
      </c>
      <c r="D255" s="80">
        <v>0</v>
      </c>
      <c r="E255" s="80" t="s">
        <v>1178</v>
      </c>
      <c r="F255" s="80" t="s">
        <v>613</v>
      </c>
      <c r="G255" s="99">
        <v>0</v>
      </c>
      <c r="H255" s="99">
        <v>0</v>
      </c>
      <c r="I255" s="99">
        <v>0</v>
      </c>
      <c r="J255"/>
      <c r="K255"/>
      <c r="L255"/>
      <c r="Q255" s="80" t="s">
        <v>620</v>
      </c>
      <c r="R255" s="80">
        <v>0</v>
      </c>
      <c r="S255" s="80" t="s">
        <v>1178</v>
      </c>
      <c r="T255" s="100">
        <v>0</v>
      </c>
      <c r="U255" s="100">
        <v>0</v>
      </c>
      <c r="V255" s="100">
        <v>0</v>
      </c>
      <c r="W255" s="100">
        <v>0</v>
      </c>
      <c r="X255"/>
      <c r="Y255"/>
      <c r="Z255"/>
      <c r="AA255"/>
      <c r="AB255"/>
      <c r="AC255"/>
      <c r="AD255"/>
      <c r="AE255"/>
      <c r="AF255"/>
      <c r="AG255"/>
      <c r="AH255"/>
      <c r="AI255"/>
      <c r="AJ255"/>
      <c r="AK255"/>
      <c r="AL255"/>
      <c r="AM255"/>
      <c r="AN255"/>
      <c r="AO255"/>
      <c r="AP255"/>
      <c r="AQ255"/>
      <c r="AR255"/>
      <c r="AS255"/>
      <c r="AT255"/>
      <c r="AU255"/>
      <c r="AV255"/>
      <c r="AW255"/>
      <c r="AX255"/>
      <c r="AY255"/>
      <c r="AZ255"/>
    </row>
    <row r="256" ht="15.6" spans="2:52">
      <c r="F256" s="80" t="s">
        <v>615</v>
      </c>
      <c r="G256" s="99">
        <v>0</v>
      </c>
      <c r="H256" s="99">
        <v>0</v>
      </c>
      <c r="I256" s="99">
        <v>0</v>
      </c>
      <c r="J256"/>
      <c r="K256"/>
      <c r="L256"/>
      <c r="Q256" s="80" t="s">
        <v>639</v>
      </c>
      <c r="R256" s="80">
        <v>0</v>
      </c>
      <c r="S256" s="80" t="s">
        <v>1178</v>
      </c>
      <c r="T256" s="100">
        <v>0</v>
      </c>
      <c r="U256" s="100">
        <v>0</v>
      </c>
      <c r="V256" s="100">
        <v>0</v>
      </c>
      <c r="W256" s="100">
        <v>0</v>
      </c>
      <c r="X256"/>
      <c r="Y256"/>
      <c r="Z256"/>
      <c r="AA256"/>
      <c r="AB256"/>
      <c r="AC256"/>
      <c r="AD256"/>
      <c r="AE256"/>
      <c r="AF256"/>
      <c r="AG256"/>
      <c r="AH256"/>
      <c r="AI256"/>
      <c r="AJ256"/>
      <c r="AK256"/>
      <c r="AL256"/>
      <c r="AM256"/>
      <c r="AN256"/>
      <c r="AO256"/>
      <c r="AP256"/>
      <c r="AQ256"/>
      <c r="AR256"/>
      <c r="AS256"/>
      <c r="AT256"/>
      <c r="AU256"/>
      <c r="AV256"/>
      <c r="AW256"/>
      <c r="AX256"/>
      <c r="AY256"/>
      <c r="AZ256"/>
    </row>
    <row r="257" ht="15.6" spans="2:52">
      <c r="F257" s="80" t="s">
        <v>599</v>
      </c>
      <c r="G257" s="99">
        <v>0</v>
      </c>
      <c r="H257" s="99">
        <v>0</v>
      </c>
      <c r="I257" s="99">
        <v>0</v>
      </c>
      <c r="J257"/>
      <c r="K257"/>
      <c r="L257"/>
      <c r="M257" s="80" t="s">
        <v>239</v>
      </c>
      <c r="N257" s="80" t="s">
        <v>240</v>
      </c>
      <c r="O257" s="80" t="s">
        <v>1331</v>
      </c>
      <c r="P257" s="80" t="s">
        <v>240</v>
      </c>
      <c r="Q257" s="80" t="s">
        <v>599</v>
      </c>
      <c r="R257" s="80">
        <v>0</v>
      </c>
      <c r="S257" s="80" t="s">
        <v>1178</v>
      </c>
      <c r="T257" s="100">
        <v>0</v>
      </c>
      <c r="U257" s="100">
        <v>0</v>
      </c>
      <c r="V257" s="100">
        <v>0</v>
      </c>
      <c r="W257" s="100">
        <v>0</v>
      </c>
      <c r="X257"/>
      <c r="Y257"/>
      <c r="Z257"/>
      <c r="AA257"/>
      <c r="AB257"/>
      <c r="AC257"/>
      <c r="AD257"/>
      <c r="AE257"/>
      <c r="AF257"/>
      <c r="AG257"/>
      <c r="AH257"/>
      <c r="AI257"/>
      <c r="AJ257"/>
      <c r="AK257"/>
      <c r="AL257"/>
      <c r="AM257"/>
      <c r="AN257"/>
      <c r="AO257"/>
      <c r="AP257"/>
      <c r="AQ257"/>
      <c r="AR257"/>
      <c r="AS257"/>
      <c r="AT257"/>
      <c r="AU257"/>
      <c r="AV257"/>
      <c r="AW257"/>
      <c r="AX257"/>
      <c r="AY257"/>
      <c r="AZ257"/>
    </row>
    <row r="258" ht="15.6" spans="2:52">
      <c r="F258" s="80" t="s">
        <v>601</v>
      </c>
      <c r="G258" s="99">
        <v>0</v>
      </c>
      <c r="H258" s="99">
        <v>0</v>
      </c>
      <c r="I258" s="99">
        <v>0</v>
      </c>
      <c r="J258"/>
      <c r="K258"/>
      <c r="L258"/>
      <c r="M258" s="80" t="s">
        <v>241</v>
      </c>
      <c r="N258" s="80" t="s">
        <v>242</v>
      </c>
      <c r="O258" s="80" t="s">
        <v>1332</v>
      </c>
      <c r="P258" s="80" t="s">
        <v>3519</v>
      </c>
      <c r="Q258" s="80" t="s">
        <v>613</v>
      </c>
      <c r="R258" s="80">
        <v>0</v>
      </c>
      <c r="S258" s="80" t="s">
        <v>1178</v>
      </c>
      <c r="T258" s="100">
        <v>0</v>
      </c>
      <c r="U258" s="100">
        <v>0</v>
      </c>
      <c r="V258" s="100">
        <v>0</v>
      </c>
      <c r="W258" s="100">
        <v>0</v>
      </c>
      <c r="X258"/>
      <c r="Y258"/>
      <c r="Z258"/>
      <c r="AA258"/>
      <c r="AB258"/>
      <c r="AC258"/>
      <c r="AD258"/>
      <c r="AE258"/>
      <c r="AF258"/>
      <c r="AG258"/>
      <c r="AH258"/>
      <c r="AI258"/>
      <c r="AJ258"/>
      <c r="AK258"/>
      <c r="AL258"/>
      <c r="AM258"/>
      <c r="AN258"/>
      <c r="AO258"/>
      <c r="AP258"/>
      <c r="AQ258"/>
      <c r="AR258"/>
      <c r="AS258"/>
      <c r="AT258"/>
      <c r="AU258"/>
      <c r="AV258"/>
      <c r="AW258"/>
      <c r="AX258"/>
      <c r="AY258"/>
      <c r="AZ258"/>
    </row>
    <row r="259" ht="15.6" spans="2:52">
      <c r="B259" s="80" t="s">
        <v>4531</v>
      </c>
      <c r="G259" s="99">
        <v>0</v>
      </c>
      <c r="H259" s="99">
        <v>0</v>
      </c>
      <c r="I259" s="99">
        <v>0</v>
      </c>
      <c r="J259"/>
      <c r="K259"/>
      <c r="L259"/>
      <c r="Q259" s="80" t="s">
        <v>615</v>
      </c>
      <c r="R259" s="80">
        <v>0</v>
      </c>
      <c r="S259" s="80" t="s">
        <v>1178</v>
      </c>
      <c r="T259" s="100">
        <v>4</v>
      </c>
      <c r="U259" s="100">
        <v>0</v>
      </c>
      <c r="V259" s="100">
        <v>0</v>
      </c>
      <c r="W259" s="100">
        <v>0</v>
      </c>
      <c r="X259"/>
      <c r="Y259"/>
      <c r="Z259"/>
      <c r="AA259"/>
      <c r="AB259"/>
      <c r="AC259"/>
      <c r="AD259"/>
      <c r="AE259"/>
      <c r="AF259"/>
      <c r="AG259"/>
      <c r="AH259"/>
      <c r="AI259"/>
      <c r="AJ259"/>
      <c r="AK259"/>
      <c r="AL259"/>
      <c r="AM259"/>
      <c r="AN259"/>
      <c r="AO259"/>
      <c r="AP259"/>
      <c r="AQ259"/>
      <c r="AR259"/>
      <c r="AS259"/>
      <c r="AT259"/>
      <c r="AU259"/>
      <c r="AV259"/>
      <c r="AW259"/>
      <c r="AX259"/>
      <c r="AY259"/>
      <c r="AZ259"/>
    </row>
    <row r="260" ht="15.6" spans="2:52">
      <c r="B260" s="80" t="s">
        <v>243</v>
      </c>
      <c r="C260" s="80" t="s">
        <v>244</v>
      </c>
      <c r="D260" s="80">
        <v>0</v>
      </c>
      <c r="E260" s="80" t="s">
        <v>1178</v>
      </c>
      <c r="F260" s="80" t="s">
        <v>654</v>
      </c>
      <c r="G260" s="99">
        <v>0</v>
      </c>
      <c r="H260" s="99">
        <v>0</v>
      </c>
      <c r="I260" s="99">
        <v>0</v>
      </c>
      <c r="J260"/>
      <c r="K260"/>
      <c r="L260"/>
      <c r="Q260" s="80" t="s">
        <v>599</v>
      </c>
      <c r="R260" s="80">
        <v>0</v>
      </c>
      <c r="S260" s="80" t="s">
        <v>1178</v>
      </c>
      <c r="T260" s="100">
        <v>4</v>
      </c>
      <c r="U260" s="100">
        <v>0</v>
      </c>
      <c r="V260" s="100">
        <v>0</v>
      </c>
      <c r="W260" s="100">
        <v>0</v>
      </c>
      <c r="X260"/>
      <c r="Y260"/>
      <c r="Z260"/>
      <c r="AA260"/>
      <c r="AB260"/>
      <c r="AC260"/>
      <c r="AD260"/>
      <c r="AE260"/>
      <c r="AF260"/>
      <c r="AG260"/>
      <c r="AH260"/>
      <c r="AI260"/>
      <c r="AJ260"/>
      <c r="AK260"/>
      <c r="AL260"/>
      <c r="AM260"/>
      <c r="AN260"/>
      <c r="AO260"/>
      <c r="AP260"/>
      <c r="AQ260"/>
      <c r="AR260"/>
      <c r="AS260"/>
      <c r="AT260"/>
      <c r="AU260"/>
      <c r="AV260"/>
      <c r="AW260"/>
      <c r="AX260"/>
      <c r="AY260"/>
      <c r="AZ260"/>
    </row>
    <row r="261" ht="15.6" spans="2:52">
      <c r="F261" s="80" t="s">
        <v>595</v>
      </c>
      <c r="G261" s="99">
        <v>0</v>
      </c>
      <c r="H261" s="99">
        <v>0</v>
      </c>
      <c r="I261" s="99">
        <v>0</v>
      </c>
      <c r="J261"/>
      <c r="K261"/>
      <c r="L261"/>
      <c r="Q261" s="80" t="s">
        <v>601</v>
      </c>
      <c r="R261" s="80">
        <v>0</v>
      </c>
      <c r="S261" s="80" t="s">
        <v>1178</v>
      </c>
      <c r="T261" s="100">
        <v>4</v>
      </c>
      <c r="U261" s="100">
        <v>0</v>
      </c>
      <c r="V261" s="100">
        <v>0</v>
      </c>
      <c r="W261" s="100">
        <v>0</v>
      </c>
      <c r="X261"/>
      <c r="Y261"/>
      <c r="Z261"/>
      <c r="AA261"/>
      <c r="AB261"/>
      <c r="AC261"/>
      <c r="AD261"/>
      <c r="AE261"/>
      <c r="AF261"/>
      <c r="AG261"/>
      <c r="AH261"/>
      <c r="AI261"/>
      <c r="AJ261"/>
      <c r="AK261"/>
      <c r="AL261"/>
      <c r="AM261"/>
      <c r="AN261"/>
      <c r="AO261"/>
      <c r="AP261"/>
      <c r="AQ261"/>
      <c r="AR261"/>
      <c r="AS261"/>
      <c r="AT261"/>
      <c r="AU261"/>
      <c r="AV261"/>
      <c r="AW261"/>
      <c r="AX261"/>
      <c r="AY261"/>
      <c r="AZ261"/>
    </row>
    <row r="262" ht="15.6" spans="2:52">
      <c r="F262" s="80" t="s">
        <v>597</v>
      </c>
      <c r="G262" s="99">
        <v>0</v>
      </c>
      <c r="H262" s="99">
        <v>0</v>
      </c>
      <c r="I262" s="99">
        <v>0</v>
      </c>
      <c r="J262"/>
      <c r="K262"/>
      <c r="L262"/>
      <c r="M262" s="80" t="s">
        <v>243</v>
      </c>
      <c r="N262" s="80" t="s">
        <v>244</v>
      </c>
      <c r="O262" s="80" t="s">
        <v>1333</v>
      </c>
      <c r="P262" s="80" t="s">
        <v>3521</v>
      </c>
      <c r="Q262" s="80" t="s">
        <v>615</v>
      </c>
      <c r="R262" s="80">
        <v>0</v>
      </c>
      <c r="S262" s="80" t="s">
        <v>1178</v>
      </c>
      <c r="T262" s="100">
        <v>0</v>
      </c>
      <c r="U262" s="100">
        <v>0</v>
      </c>
      <c r="V262" s="100">
        <v>0</v>
      </c>
      <c r="W262" s="100">
        <v>0</v>
      </c>
      <c r="X262"/>
      <c r="Y262"/>
      <c r="Z262"/>
      <c r="AA262"/>
      <c r="AB262"/>
      <c r="AC262"/>
      <c r="AD262"/>
      <c r="AE262"/>
      <c r="AF262"/>
      <c r="AG262"/>
      <c r="AH262"/>
      <c r="AI262"/>
      <c r="AJ262"/>
      <c r="AK262"/>
      <c r="AL262"/>
      <c r="AM262"/>
      <c r="AN262"/>
      <c r="AO262"/>
      <c r="AP262"/>
      <c r="AQ262"/>
      <c r="AR262"/>
      <c r="AS262"/>
      <c r="AT262"/>
      <c r="AU262"/>
      <c r="AV262"/>
      <c r="AW262"/>
      <c r="AX262"/>
      <c r="AY262"/>
      <c r="AZ262"/>
    </row>
    <row r="263" ht="15.6" spans="2:52">
      <c r="F263" s="80" t="s">
        <v>633</v>
      </c>
      <c r="G263" s="99">
        <v>0</v>
      </c>
      <c r="H263" s="99">
        <v>0</v>
      </c>
      <c r="I263" s="99">
        <v>0</v>
      </c>
      <c r="J263"/>
      <c r="K263"/>
      <c r="L263"/>
      <c r="Q263" s="80" t="s">
        <v>599</v>
      </c>
      <c r="R263" s="80">
        <v>0</v>
      </c>
      <c r="S263" s="80" t="s">
        <v>1178</v>
      </c>
      <c r="T263" s="100">
        <v>1</v>
      </c>
      <c r="U263" s="100">
        <v>0</v>
      </c>
      <c r="V263" s="100">
        <v>0</v>
      </c>
      <c r="W263" s="100">
        <v>0</v>
      </c>
      <c r="X263"/>
      <c r="Y263"/>
      <c r="Z263"/>
      <c r="AA263"/>
      <c r="AB263"/>
      <c r="AC263"/>
      <c r="AD263"/>
      <c r="AE263"/>
      <c r="AF263"/>
      <c r="AG263"/>
      <c r="AH263"/>
      <c r="AI263"/>
      <c r="AJ263"/>
      <c r="AK263"/>
      <c r="AL263"/>
      <c r="AM263"/>
      <c r="AN263"/>
      <c r="AO263"/>
      <c r="AP263"/>
      <c r="AQ263"/>
      <c r="AR263"/>
      <c r="AS263"/>
      <c r="AT263"/>
      <c r="AU263"/>
      <c r="AV263"/>
      <c r="AW263"/>
      <c r="AX263"/>
      <c r="AY263"/>
      <c r="AZ263"/>
    </row>
    <row r="264" ht="15.6" spans="2:52">
      <c r="F264" s="80" t="s">
        <v>615</v>
      </c>
      <c r="G264" s="99">
        <v>0</v>
      </c>
      <c r="H264" s="99">
        <v>0</v>
      </c>
      <c r="I264" s="99">
        <v>0</v>
      </c>
      <c r="J264"/>
      <c r="K264"/>
      <c r="L264"/>
      <c r="O264" s="80" t="s">
        <v>1334</v>
      </c>
      <c r="P264" s="80" t="s">
        <v>3522</v>
      </c>
      <c r="Q264" s="80" t="s">
        <v>654</v>
      </c>
      <c r="R264" s="80">
        <v>0</v>
      </c>
      <c r="S264" s="80" t="s">
        <v>1178</v>
      </c>
      <c r="T264" s="100">
        <v>0</v>
      </c>
      <c r="U264" s="100">
        <v>0</v>
      </c>
      <c r="V264" s="100">
        <v>0</v>
      </c>
      <c r="W264" s="100">
        <v>0</v>
      </c>
      <c r="X264"/>
      <c r="Y264"/>
      <c r="Z264"/>
      <c r="AA264"/>
      <c r="AB264"/>
      <c r="AC264"/>
      <c r="AD264"/>
      <c r="AE264"/>
      <c r="AF264"/>
      <c r="AG264"/>
      <c r="AH264"/>
      <c r="AI264"/>
      <c r="AJ264"/>
      <c r="AK264"/>
      <c r="AL264"/>
      <c r="AM264"/>
      <c r="AN264"/>
      <c r="AO264"/>
      <c r="AP264"/>
      <c r="AQ264"/>
      <c r="AR264"/>
      <c r="AS264"/>
      <c r="AT264"/>
      <c r="AU264"/>
      <c r="AV264"/>
      <c r="AW264"/>
      <c r="AX264"/>
      <c r="AY264"/>
      <c r="AZ264"/>
    </row>
    <row r="265" ht="15.6" spans="2:52">
      <c r="F265" s="80" t="s">
        <v>599</v>
      </c>
      <c r="G265" s="99">
        <v>0</v>
      </c>
      <c r="H265" s="99">
        <v>0</v>
      </c>
      <c r="I265" s="99">
        <v>0</v>
      </c>
      <c r="J265"/>
      <c r="K265"/>
      <c r="L265"/>
      <c r="Q265" s="80" t="s">
        <v>595</v>
      </c>
      <c r="R265" s="80">
        <v>0</v>
      </c>
      <c r="S265" s="80" t="s">
        <v>1178</v>
      </c>
      <c r="T265" s="100">
        <v>0</v>
      </c>
      <c r="U265" s="100">
        <v>0</v>
      </c>
      <c r="V265" s="100">
        <v>0</v>
      </c>
      <c r="W265" s="100">
        <v>0</v>
      </c>
      <c r="X265"/>
      <c r="Y265"/>
      <c r="Z265"/>
      <c r="AA265"/>
      <c r="AB265"/>
      <c r="AC265"/>
      <c r="AD265"/>
      <c r="AE265"/>
      <c r="AF265"/>
      <c r="AG265"/>
      <c r="AH265"/>
      <c r="AI265"/>
      <c r="AJ265"/>
      <c r="AK265"/>
      <c r="AL265"/>
      <c r="AM265"/>
      <c r="AN265"/>
      <c r="AO265"/>
      <c r="AP265"/>
      <c r="AQ265"/>
      <c r="AR265"/>
      <c r="AS265"/>
      <c r="AT265"/>
      <c r="AU265"/>
      <c r="AV265"/>
      <c r="AW265"/>
      <c r="AX265"/>
      <c r="AY265"/>
      <c r="AZ265"/>
    </row>
    <row r="266" ht="15.6" spans="2:52">
      <c r="F266" s="80" t="s">
        <v>601</v>
      </c>
      <c r="G266" s="99">
        <v>0</v>
      </c>
      <c r="H266" s="99">
        <v>0</v>
      </c>
      <c r="I266" s="99">
        <v>0</v>
      </c>
      <c r="J266"/>
      <c r="K266"/>
      <c r="L266"/>
      <c r="Q266" s="80" t="s">
        <v>597</v>
      </c>
      <c r="R266" s="80">
        <v>0</v>
      </c>
      <c r="S266" s="80" t="s">
        <v>1178</v>
      </c>
      <c r="T266" s="100">
        <v>1</v>
      </c>
      <c r="U266" s="100">
        <v>0</v>
      </c>
      <c r="V266" s="100">
        <v>0</v>
      </c>
      <c r="W266" s="100">
        <v>0</v>
      </c>
      <c r="X266"/>
      <c r="Y266"/>
      <c r="Z266"/>
      <c r="AA266"/>
      <c r="AB266"/>
      <c r="AC266"/>
      <c r="AD266"/>
      <c r="AE266"/>
      <c r="AF266"/>
      <c r="AG266"/>
      <c r="AH266"/>
      <c r="AI266"/>
      <c r="AJ266"/>
      <c r="AK266"/>
      <c r="AL266"/>
      <c r="AM266"/>
      <c r="AN266"/>
      <c r="AO266"/>
      <c r="AP266"/>
      <c r="AQ266"/>
      <c r="AR266"/>
      <c r="AS266"/>
      <c r="AT266"/>
      <c r="AU266"/>
      <c r="AV266"/>
      <c r="AW266"/>
      <c r="AX266"/>
      <c r="AY266"/>
      <c r="AZ266"/>
    </row>
    <row r="267" ht="15.6" spans="2:52">
      <c r="F267" s="80" t="s">
        <v>620</v>
      </c>
      <c r="G267" s="99">
        <v>0</v>
      </c>
      <c r="H267" s="99">
        <v>0</v>
      </c>
      <c r="I267" s="99">
        <v>0</v>
      </c>
      <c r="J267"/>
      <c r="K267"/>
      <c r="L267"/>
      <c r="Q267" s="80" t="s">
        <v>633</v>
      </c>
      <c r="R267" s="80">
        <v>0</v>
      </c>
      <c r="S267" s="80" t="s">
        <v>1178</v>
      </c>
      <c r="T267" s="100">
        <v>1</v>
      </c>
      <c r="U267" s="100">
        <v>0</v>
      </c>
      <c r="V267" s="100">
        <v>0</v>
      </c>
      <c r="W267" s="100">
        <v>0</v>
      </c>
      <c r="X267"/>
      <c r="Y267"/>
      <c r="Z267"/>
      <c r="AA267"/>
      <c r="AB267"/>
      <c r="AC267"/>
      <c r="AD267"/>
      <c r="AE267"/>
      <c r="AF267"/>
      <c r="AG267"/>
      <c r="AH267"/>
      <c r="AI267"/>
      <c r="AJ267"/>
      <c r="AK267"/>
      <c r="AL267"/>
      <c r="AM267"/>
      <c r="AN267"/>
      <c r="AO267"/>
      <c r="AP267"/>
      <c r="AQ267"/>
      <c r="AR267"/>
      <c r="AS267"/>
      <c r="AT267"/>
      <c r="AU267"/>
      <c r="AV267"/>
      <c r="AW267"/>
      <c r="AX267"/>
      <c r="AY267"/>
      <c r="AZ267"/>
    </row>
    <row r="268" ht="15.6" spans="2:52">
      <c r="F268" s="80" t="s">
        <v>639</v>
      </c>
      <c r="G268" s="99">
        <v>0</v>
      </c>
      <c r="H268" s="99">
        <v>0</v>
      </c>
      <c r="I268" s="99">
        <v>0</v>
      </c>
      <c r="J268"/>
      <c r="K268"/>
      <c r="L268"/>
      <c r="Q268" s="80" t="s">
        <v>615</v>
      </c>
      <c r="R268" s="80">
        <v>0</v>
      </c>
      <c r="S268" s="80" t="s">
        <v>1178</v>
      </c>
      <c r="T268" s="100">
        <v>0</v>
      </c>
      <c r="U268" s="100">
        <v>0</v>
      </c>
      <c r="V268" s="100">
        <v>0</v>
      </c>
      <c r="W268" s="100">
        <v>0</v>
      </c>
      <c r="X268"/>
      <c r="Y268"/>
      <c r="Z268"/>
      <c r="AA268"/>
      <c r="AB268"/>
      <c r="AC268"/>
      <c r="AD268"/>
      <c r="AE268"/>
      <c r="AF268"/>
      <c r="AG268"/>
      <c r="AH268"/>
      <c r="AI268"/>
      <c r="AJ268"/>
      <c r="AK268"/>
      <c r="AL268"/>
      <c r="AM268"/>
      <c r="AN268"/>
      <c r="AO268"/>
      <c r="AP268"/>
      <c r="AQ268"/>
      <c r="AR268"/>
      <c r="AS268"/>
      <c r="AT268"/>
      <c r="AU268"/>
      <c r="AV268"/>
      <c r="AW268"/>
      <c r="AX268"/>
      <c r="AY268"/>
      <c r="AZ268"/>
    </row>
    <row r="269" ht="15.6" spans="2:52">
      <c r="B269" s="80" t="s">
        <v>4532</v>
      </c>
      <c r="G269" s="99">
        <v>0</v>
      </c>
      <c r="H269" s="99">
        <v>0</v>
      </c>
      <c r="I269" s="99">
        <v>0</v>
      </c>
      <c r="J269"/>
      <c r="K269"/>
      <c r="L269"/>
      <c r="Q269" s="80" t="s">
        <v>599</v>
      </c>
      <c r="R269" s="80">
        <v>0</v>
      </c>
      <c r="S269" s="80" t="s">
        <v>1178</v>
      </c>
      <c r="T269" s="100">
        <v>1</v>
      </c>
      <c r="U269" s="100">
        <v>0</v>
      </c>
      <c r="V269" s="100">
        <v>0</v>
      </c>
      <c r="W269" s="100">
        <v>0</v>
      </c>
      <c r="X269"/>
      <c r="Y269"/>
      <c r="Z269"/>
      <c r="AA269"/>
      <c r="AB269"/>
      <c r="AC269"/>
      <c r="AD269"/>
      <c r="AE269"/>
      <c r="AF269"/>
      <c r="AG269"/>
      <c r="AH269"/>
      <c r="AI269"/>
      <c r="AJ269"/>
      <c r="AK269"/>
      <c r="AL269"/>
      <c r="AM269"/>
      <c r="AN269"/>
      <c r="AO269"/>
      <c r="AP269"/>
      <c r="AQ269"/>
      <c r="AR269"/>
      <c r="AS269"/>
      <c r="AT269"/>
      <c r="AU269"/>
      <c r="AV269"/>
      <c r="AW269"/>
      <c r="AX269"/>
      <c r="AY269"/>
      <c r="AZ269"/>
    </row>
    <row r="270" ht="15.6" spans="2:52">
      <c r="B270" s="80" t="s">
        <v>245</v>
      </c>
      <c r="C270" s="80" t="s">
        <v>246</v>
      </c>
      <c r="D270" s="80">
        <v>0</v>
      </c>
      <c r="E270" s="80" t="s">
        <v>1178</v>
      </c>
      <c r="F270" s="80" t="s">
        <v>595</v>
      </c>
      <c r="G270" s="99">
        <v>0</v>
      </c>
      <c r="H270" s="99">
        <v>0</v>
      </c>
      <c r="I270" s="99">
        <v>0</v>
      </c>
      <c r="J270"/>
      <c r="K270"/>
      <c r="L270"/>
      <c r="Q270" s="80" t="s">
        <v>601</v>
      </c>
      <c r="R270" s="80">
        <v>0</v>
      </c>
      <c r="S270" s="80" t="s">
        <v>1178</v>
      </c>
      <c r="T270" s="100">
        <v>1</v>
      </c>
      <c r="U270" s="100">
        <v>0</v>
      </c>
      <c r="V270" s="100">
        <v>0</v>
      </c>
      <c r="W270" s="100">
        <v>0</v>
      </c>
      <c r="X270"/>
      <c r="Y270"/>
      <c r="Z270"/>
      <c r="AA270"/>
      <c r="AB270"/>
      <c r="AC270"/>
      <c r="AD270"/>
      <c r="AE270"/>
      <c r="AF270"/>
      <c r="AG270"/>
      <c r="AH270"/>
      <c r="AI270"/>
      <c r="AJ270"/>
      <c r="AK270"/>
      <c r="AL270"/>
      <c r="AM270"/>
      <c r="AN270"/>
      <c r="AO270"/>
      <c r="AP270"/>
      <c r="AQ270"/>
      <c r="AR270"/>
      <c r="AS270"/>
      <c r="AT270"/>
      <c r="AU270"/>
      <c r="AV270"/>
      <c r="AW270"/>
      <c r="AX270"/>
      <c r="AY270"/>
      <c r="AZ270"/>
    </row>
    <row r="271" ht="15.6" spans="2:52">
      <c r="F271" s="80" t="s">
        <v>597</v>
      </c>
      <c r="G271" s="99">
        <v>0</v>
      </c>
      <c r="H271" s="99">
        <v>0</v>
      </c>
      <c r="I271" s="99">
        <v>0</v>
      </c>
      <c r="J271"/>
      <c r="K271"/>
      <c r="L271"/>
      <c r="Q271" s="80" t="s">
        <v>620</v>
      </c>
      <c r="R271" s="80">
        <v>0</v>
      </c>
      <c r="S271" s="80" t="s">
        <v>1178</v>
      </c>
      <c r="T271" s="100">
        <v>0</v>
      </c>
      <c r="U271" s="100">
        <v>0</v>
      </c>
      <c r="V271" s="100">
        <v>0</v>
      </c>
      <c r="W271" s="100">
        <v>0</v>
      </c>
      <c r="X271"/>
      <c r="Y271"/>
      <c r="Z271"/>
      <c r="AA271"/>
      <c r="AB271"/>
      <c r="AC271"/>
      <c r="AD271"/>
      <c r="AE271"/>
      <c r="AF271"/>
      <c r="AG271"/>
      <c r="AH271"/>
      <c r="AI271"/>
      <c r="AJ271"/>
      <c r="AK271"/>
      <c r="AL271"/>
      <c r="AM271"/>
      <c r="AN271"/>
      <c r="AO271"/>
      <c r="AP271"/>
      <c r="AQ271"/>
      <c r="AR271"/>
      <c r="AS271"/>
      <c r="AT271"/>
      <c r="AU271"/>
      <c r="AV271"/>
      <c r="AW271"/>
      <c r="AX271"/>
      <c r="AY271"/>
      <c r="AZ271"/>
    </row>
    <row r="272" ht="15.6" spans="2:52">
      <c r="F272" s="80" t="s">
        <v>599</v>
      </c>
      <c r="G272" s="99">
        <v>0</v>
      </c>
      <c r="H272" s="99">
        <v>0</v>
      </c>
      <c r="I272" s="99">
        <v>0</v>
      </c>
      <c r="J272"/>
      <c r="K272"/>
      <c r="L272"/>
      <c r="Q272" s="80" t="s">
        <v>639</v>
      </c>
      <c r="R272" s="80">
        <v>0</v>
      </c>
      <c r="S272" s="80" t="s">
        <v>1178</v>
      </c>
      <c r="T272" s="100">
        <v>0</v>
      </c>
      <c r="U272" s="100">
        <v>0</v>
      </c>
      <c r="V272" s="100">
        <v>0</v>
      </c>
      <c r="W272" s="100">
        <v>0</v>
      </c>
      <c r="X272"/>
      <c r="Y272"/>
      <c r="Z272"/>
      <c r="AA272"/>
      <c r="AB272"/>
      <c r="AC272"/>
      <c r="AD272"/>
      <c r="AE272"/>
      <c r="AF272"/>
      <c r="AG272"/>
      <c r="AH272"/>
      <c r="AI272"/>
      <c r="AJ272"/>
      <c r="AK272"/>
      <c r="AL272"/>
      <c r="AM272"/>
      <c r="AN272"/>
      <c r="AO272"/>
      <c r="AP272"/>
      <c r="AQ272"/>
      <c r="AR272"/>
      <c r="AS272"/>
      <c r="AT272"/>
      <c r="AU272"/>
      <c r="AV272"/>
      <c r="AW272"/>
      <c r="AX272"/>
      <c r="AY272"/>
      <c r="AZ272"/>
    </row>
    <row r="273" ht="15.6" spans="2:52">
      <c r="B273" s="80" t="s">
        <v>4533</v>
      </c>
      <c r="G273" s="99">
        <v>0</v>
      </c>
      <c r="H273" s="99">
        <v>0</v>
      </c>
      <c r="I273" s="99">
        <v>0</v>
      </c>
      <c r="J273"/>
      <c r="K273"/>
      <c r="L273"/>
      <c r="M273" s="80" t="s">
        <v>245</v>
      </c>
      <c r="N273" s="80" t="s">
        <v>246</v>
      </c>
      <c r="O273" s="80" t="s">
        <v>1337</v>
      </c>
      <c r="P273" s="80" t="s">
        <v>3524</v>
      </c>
      <c r="Q273" s="80" t="s">
        <v>595</v>
      </c>
      <c r="R273" s="80">
        <v>0</v>
      </c>
      <c r="S273" s="80" t="s">
        <v>1178</v>
      </c>
      <c r="T273" s="100">
        <v>0</v>
      </c>
      <c r="U273" s="100">
        <v>0</v>
      </c>
      <c r="V273" s="100">
        <v>0</v>
      </c>
      <c r="W273" s="100">
        <v>0</v>
      </c>
      <c r="X273"/>
      <c r="Y273"/>
      <c r="Z273"/>
      <c r="AA273"/>
      <c r="AB273"/>
      <c r="AC273"/>
      <c r="AD273"/>
      <c r="AE273"/>
      <c r="AF273"/>
      <c r="AG273"/>
      <c r="AH273"/>
      <c r="AI273"/>
      <c r="AJ273"/>
      <c r="AK273"/>
      <c r="AL273"/>
      <c r="AM273"/>
      <c r="AN273"/>
      <c r="AO273"/>
      <c r="AP273"/>
      <c r="AQ273"/>
      <c r="AR273"/>
      <c r="AS273"/>
      <c r="AT273"/>
      <c r="AU273"/>
      <c r="AV273"/>
      <c r="AW273"/>
      <c r="AX273"/>
      <c r="AY273"/>
      <c r="AZ273"/>
    </row>
    <row r="274" ht="15.6" spans="2:52">
      <c r="B274" s="80" t="s">
        <v>247</v>
      </c>
      <c r="C274" s="80" t="s">
        <v>248</v>
      </c>
      <c r="D274" s="80">
        <v>0</v>
      </c>
      <c r="E274" s="80" t="s">
        <v>1178</v>
      </c>
      <c r="F274" s="80" t="s">
        <v>595</v>
      </c>
      <c r="G274" s="99">
        <v>0</v>
      </c>
      <c r="H274" s="99">
        <v>0</v>
      </c>
      <c r="I274" s="99">
        <v>0</v>
      </c>
      <c r="J274"/>
      <c r="K274"/>
      <c r="L274"/>
      <c r="Q274" s="80" t="s">
        <v>597</v>
      </c>
      <c r="R274" s="80">
        <v>0</v>
      </c>
      <c r="S274" s="80" t="s">
        <v>1178</v>
      </c>
      <c r="T274" s="100">
        <v>1</v>
      </c>
      <c r="U274" s="100">
        <v>0</v>
      </c>
      <c r="V274" s="100">
        <v>0</v>
      </c>
      <c r="W274" s="100">
        <v>0</v>
      </c>
      <c r="X274"/>
      <c r="Y274"/>
      <c r="Z274"/>
      <c r="AA274"/>
      <c r="AB274"/>
      <c r="AC274"/>
      <c r="AD274"/>
      <c r="AE274"/>
      <c r="AF274"/>
      <c r="AG274"/>
      <c r="AH274"/>
      <c r="AI274"/>
      <c r="AJ274"/>
      <c r="AK274"/>
      <c r="AL274"/>
      <c r="AM274"/>
      <c r="AN274"/>
      <c r="AO274"/>
      <c r="AP274"/>
      <c r="AQ274"/>
      <c r="AR274"/>
      <c r="AS274"/>
      <c r="AT274"/>
      <c r="AU274"/>
      <c r="AV274"/>
      <c r="AW274"/>
      <c r="AX274"/>
      <c r="AY274"/>
      <c r="AZ274"/>
    </row>
    <row r="275" ht="15.6" spans="2:52">
      <c r="F275" s="80" t="s">
        <v>597</v>
      </c>
      <c r="G275" s="99">
        <v>0</v>
      </c>
      <c r="H275" s="99">
        <v>0</v>
      </c>
      <c r="I275" s="99">
        <v>0</v>
      </c>
      <c r="J275"/>
      <c r="K275"/>
      <c r="L275"/>
      <c r="Q275" s="80" t="s">
        <v>599</v>
      </c>
      <c r="R275" s="80">
        <v>0</v>
      </c>
      <c r="S275" s="80" t="s">
        <v>1178</v>
      </c>
      <c r="T275" s="100">
        <v>1</v>
      </c>
      <c r="U275" s="100">
        <v>0</v>
      </c>
      <c r="V275" s="100">
        <v>0</v>
      </c>
      <c r="W275" s="100">
        <v>0</v>
      </c>
      <c r="X275"/>
      <c r="Y275"/>
      <c r="Z275"/>
      <c r="AA275"/>
      <c r="AB275"/>
      <c r="AC275"/>
      <c r="AD275"/>
      <c r="AE275"/>
      <c r="AF275"/>
      <c r="AG275"/>
      <c r="AH275"/>
      <c r="AI275"/>
      <c r="AJ275"/>
      <c r="AK275"/>
      <c r="AL275"/>
      <c r="AM275"/>
      <c r="AN275"/>
      <c r="AO275"/>
      <c r="AP275"/>
      <c r="AQ275"/>
      <c r="AR275"/>
      <c r="AS275"/>
      <c r="AT275"/>
      <c r="AU275"/>
      <c r="AV275"/>
      <c r="AW275"/>
      <c r="AX275"/>
      <c r="AY275"/>
      <c r="AZ275"/>
    </row>
    <row r="276" ht="15.6" spans="2:52">
      <c r="F276" s="80" t="s">
        <v>599</v>
      </c>
      <c r="G276" s="99">
        <v>0</v>
      </c>
      <c r="H276" s="99">
        <v>0</v>
      </c>
      <c r="I276" s="99">
        <v>0</v>
      </c>
      <c r="J276"/>
      <c r="K276"/>
      <c r="L276"/>
      <c r="M276" s="80" t="s">
        <v>247</v>
      </c>
      <c r="N276" s="80" t="s">
        <v>248</v>
      </c>
      <c r="O276" s="80" t="s">
        <v>1341</v>
      </c>
      <c r="P276" s="80" t="s">
        <v>248</v>
      </c>
      <c r="Q276" s="80" t="s">
        <v>595</v>
      </c>
      <c r="R276" s="80">
        <v>0</v>
      </c>
      <c r="S276" s="80" t="s">
        <v>1178</v>
      </c>
      <c r="T276" s="100">
        <v>16</v>
      </c>
      <c r="U276" s="100">
        <v>0</v>
      </c>
      <c r="V276" s="100">
        <v>0</v>
      </c>
      <c r="W276" s="100">
        <v>0</v>
      </c>
      <c r="X276"/>
      <c r="Y276"/>
      <c r="Z276"/>
      <c r="AA276"/>
      <c r="AB276"/>
      <c r="AC276"/>
      <c r="AD276"/>
      <c r="AE276"/>
      <c r="AF276"/>
      <c r="AG276"/>
      <c r="AH276"/>
      <c r="AI276"/>
      <c r="AJ276"/>
      <c r="AK276"/>
      <c r="AL276"/>
      <c r="AM276"/>
      <c r="AN276"/>
      <c r="AO276"/>
      <c r="AP276"/>
      <c r="AQ276"/>
      <c r="AR276"/>
      <c r="AS276"/>
      <c r="AT276"/>
      <c r="AU276"/>
      <c r="AV276"/>
      <c r="AW276"/>
      <c r="AX276"/>
      <c r="AY276"/>
      <c r="AZ276"/>
    </row>
    <row r="277" ht="15.6" spans="2:52">
      <c r="B277" s="80" t="s">
        <v>4534</v>
      </c>
      <c r="G277" s="99">
        <v>0</v>
      </c>
      <c r="H277" s="99">
        <v>0</v>
      </c>
      <c r="I277" s="99">
        <v>0</v>
      </c>
      <c r="J277"/>
      <c r="K277"/>
      <c r="L277"/>
      <c r="Q277" s="80" t="s">
        <v>597</v>
      </c>
      <c r="R277" s="80">
        <v>0</v>
      </c>
      <c r="S277" s="80" t="s">
        <v>1178</v>
      </c>
      <c r="T277" s="100">
        <v>32</v>
      </c>
      <c r="U277" s="100">
        <v>0</v>
      </c>
      <c r="V277" s="100">
        <v>0</v>
      </c>
      <c r="W277" s="100">
        <v>0</v>
      </c>
      <c r="X277"/>
      <c r="Y277"/>
      <c r="Z277"/>
      <c r="AA277"/>
      <c r="AB277"/>
      <c r="AC277"/>
      <c r="AD277"/>
      <c r="AE277"/>
      <c r="AF277"/>
      <c r="AG277"/>
      <c r="AH277"/>
      <c r="AI277"/>
      <c r="AJ277"/>
      <c r="AK277"/>
      <c r="AL277"/>
      <c r="AM277"/>
      <c r="AN277"/>
      <c r="AO277"/>
      <c r="AP277"/>
      <c r="AQ277"/>
      <c r="AR277"/>
      <c r="AS277"/>
      <c r="AT277"/>
      <c r="AU277"/>
      <c r="AV277"/>
      <c r="AW277"/>
      <c r="AX277"/>
      <c r="AY277"/>
      <c r="AZ277"/>
    </row>
    <row r="278" ht="15.6" spans="2:52">
      <c r="B278" s="80" t="s">
        <v>249</v>
      </c>
      <c r="C278" s="80" t="s">
        <v>250</v>
      </c>
      <c r="D278" s="80">
        <v>0</v>
      </c>
      <c r="E278" s="80" t="s">
        <v>1176</v>
      </c>
      <c r="F278" s="80" t="s">
        <v>613</v>
      </c>
      <c r="G278" s="99">
        <v>0</v>
      </c>
      <c r="H278" s="99">
        <v>0</v>
      </c>
      <c r="I278" s="99">
        <v>0</v>
      </c>
      <c r="J278"/>
      <c r="K278"/>
      <c r="L278"/>
      <c r="Q278" s="80" t="s">
        <v>599</v>
      </c>
      <c r="R278" s="80">
        <v>0</v>
      </c>
      <c r="S278" s="80" t="s">
        <v>1178</v>
      </c>
      <c r="T278" s="100">
        <v>24</v>
      </c>
      <c r="U278" s="100">
        <v>0</v>
      </c>
      <c r="V278" s="100">
        <v>0</v>
      </c>
      <c r="W278" s="100">
        <v>0</v>
      </c>
      <c r="X278"/>
      <c r="Y278"/>
      <c r="Z278"/>
      <c r="AA278"/>
      <c r="AB278"/>
      <c r="AC278"/>
      <c r="AD278"/>
      <c r="AE278"/>
      <c r="AF278"/>
      <c r="AG278"/>
      <c r="AH278"/>
      <c r="AI278"/>
      <c r="AJ278"/>
      <c r="AK278"/>
      <c r="AL278"/>
      <c r="AM278"/>
      <c r="AN278"/>
      <c r="AO278"/>
      <c r="AP278"/>
      <c r="AQ278"/>
      <c r="AR278"/>
      <c r="AS278"/>
      <c r="AT278"/>
      <c r="AU278"/>
      <c r="AV278"/>
      <c r="AW278"/>
      <c r="AX278"/>
      <c r="AY278"/>
      <c r="AZ278"/>
    </row>
    <row r="279" ht="15.6" spans="2:52">
      <c r="F279" s="80" t="s">
        <v>615</v>
      </c>
      <c r="G279" s="99">
        <v>0</v>
      </c>
      <c r="H279" s="99">
        <v>0</v>
      </c>
      <c r="I279" s="99">
        <v>0</v>
      </c>
      <c r="J279"/>
      <c r="K279"/>
      <c r="L279"/>
      <c r="M279" s="80" t="s">
        <v>249</v>
      </c>
      <c r="N279" s="80" t="s">
        <v>250</v>
      </c>
      <c r="O279" s="80" t="s">
        <v>1342</v>
      </c>
      <c r="P279" s="80" t="s">
        <v>3526</v>
      </c>
      <c r="Q279" s="80" t="s">
        <v>615</v>
      </c>
      <c r="R279" s="80">
        <v>0</v>
      </c>
      <c r="S279" s="80" t="s">
        <v>1178</v>
      </c>
      <c r="T279" s="100">
        <v>8</v>
      </c>
      <c r="U279" s="100">
        <v>0</v>
      </c>
      <c r="V279" s="100">
        <v>0</v>
      </c>
      <c r="W279" s="100">
        <v>0</v>
      </c>
      <c r="X279"/>
      <c r="Y279"/>
      <c r="Z279"/>
      <c r="AA279"/>
      <c r="AB279"/>
      <c r="AC279"/>
      <c r="AD279"/>
      <c r="AE279"/>
      <c r="AF279"/>
      <c r="AG279"/>
      <c r="AH279"/>
      <c r="AI279"/>
      <c r="AJ279"/>
      <c r="AK279"/>
      <c r="AL279"/>
      <c r="AM279"/>
      <c r="AN279"/>
      <c r="AO279"/>
      <c r="AP279"/>
      <c r="AQ279"/>
      <c r="AR279"/>
      <c r="AS279"/>
      <c r="AT279"/>
      <c r="AU279"/>
      <c r="AV279"/>
      <c r="AW279"/>
      <c r="AX279"/>
      <c r="AY279"/>
      <c r="AZ279"/>
    </row>
    <row r="280" ht="15.6" spans="2:52">
      <c r="B280" s="80" t="s">
        <v>4535</v>
      </c>
      <c r="G280" s="99">
        <v>0</v>
      </c>
      <c r="H280" s="99">
        <v>0</v>
      </c>
      <c r="I280" s="99">
        <v>0</v>
      </c>
      <c r="J280"/>
      <c r="K280"/>
      <c r="L280"/>
      <c r="O280" s="80" t="s">
        <v>1343</v>
      </c>
      <c r="P280" s="80" t="s">
        <v>3528</v>
      </c>
      <c r="Q280" s="80" t="s">
        <v>615</v>
      </c>
      <c r="R280" s="80">
        <v>0</v>
      </c>
      <c r="S280" s="80" t="s">
        <v>1178</v>
      </c>
      <c r="T280" s="100">
        <v>4</v>
      </c>
      <c r="U280" s="100">
        <v>0</v>
      </c>
      <c r="V280" s="100">
        <v>0</v>
      </c>
      <c r="W280" s="100">
        <v>0</v>
      </c>
      <c r="X280"/>
      <c r="Y280"/>
      <c r="Z280"/>
      <c r="AA280"/>
      <c r="AB280"/>
      <c r="AC280"/>
      <c r="AD280"/>
      <c r="AE280"/>
      <c r="AF280"/>
      <c r="AG280"/>
      <c r="AH280"/>
      <c r="AI280"/>
      <c r="AJ280"/>
      <c r="AK280"/>
      <c r="AL280"/>
      <c r="AM280"/>
      <c r="AN280"/>
      <c r="AO280"/>
      <c r="AP280"/>
      <c r="AQ280"/>
      <c r="AR280"/>
      <c r="AS280"/>
      <c r="AT280"/>
      <c r="AU280"/>
      <c r="AV280"/>
      <c r="AW280"/>
      <c r="AX280"/>
      <c r="AY280"/>
      <c r="AZ280"/>
    </row>
    <row r="281" ht="15.6" spans="2:52">
      <c r="B281" s="80" t="s">
        <v>251</v>
      </c>
      <c r="C281" s="80" t="s">
        <v>252</v>
      </c>
      <c r="D281" s="80">
        <v>0</v>
      </c>
      <c r="E281" s="80" t="s">
        <v>1178</v>
      </c>
      <c r="F281" s="80" t="s">
        <v>615</v>
      </c>
      <c r="G281" s="99">
        <v>0</v>
      </c>
      <c r="H281" s="99">
        <v>0</v>
      </c>
      <c r="I281" s="99">
        <v>0</v>
      </c>
      <c r="J281"/>
      <c r="K281"/>
      <c r="L281"/>
      <c r="O281" s="80" t="s">
        <v>1344</v>
      </c>
      <c r="P281" s="80" t="s">
        <v>3530</v>
      </c>
      <c r="Q281" s="80" t="s">
        <v>613</v>
      </c>
      <c r="R281" s="80">
        <v>0</v>
      </c>
      <c r="S281" s="80" t="s">
        <v>1178</v>
      </c>
      <c r="T281" s="100">
        <v>2</v>
      </c>
      <c r="U281" s="100">
        <v>0</v>
      </c>
      <c r="V281" s="100">
        <v>0</v>
      </c>
      <c r="W281" s="100">
        <v>0</v>
      </c>
      <c r="X281"/>
      <c r="Y281"/>
      <c r="Z281"/>
      <c r="AA281"/>
      <c r="AB281"/>
      <c r="AC281"/>
      <c r="AD281"/>
      <c r="AE281"/>
      <c r="AF281"/>
      <c r="AG281"/>
      <c r="AH281"/>
      <c r="AI281"/>
      <c r="AJ281"/>
      <c r="AK281"/>
      <c r="AL281"/>
      <c r="AM281"/>
      <c r="AN281"/>
      <c r="AO281"/>
      <c r="AP281"/>
      <c r="AQ281"/>
      <c r="AR281"/>
      <c r="AS281"/>
      <c r="AT281"/>
      <c r="AU281"/>
      <c r="AV281"/>
      <c r="AW281"/>
      <c r="AX281"/>
      <c r="AY281"/>
      <c r="AZ281"/>
    </row>
    <row r="282" ht="15.6" spans="2:52">
      <c r="B282" s="80" t="s">
        <v>4536</v>
      </c>
      <c r="G282" s="99">
        <v>0</v>
      </c>
      <c r="H282" s="99">
        <v>0</v>
      </c>
      <c r="I282" s="99">
        <v>0</v>
      </c>
      <c r="J282"/>
      <c r="K282"/>
      <c r="L282"/>
      <c r="M282" s="80" t="s">
        <v>251</v>
      </c>
      <c r="N282" s="80" t="s">
        <v>252</v>
      </c>
      <c r="O282" s="80" t="s">
        <v>1345</v>
      </c>
      <c r="P282" s="80" t="s">
        <v>3534</v>
      </c>
      <c r="Q282" s="80" t="s">
        <v>615</v>
      </c>
      <c r="R282" s="80">
        <v>0</v>
      </c>
      <c r="S282" s="80" t="s">
        <v>1178</v>
      </c>
      <c r="T282" s="100">
        <v>2</v>
      </c>
      <c r="U282" s="100">
        <v>0</v>
      </c>
      <c r="V282" s="100">
        <v>0</v>
      </c>
      <c r="W282" s="100">
        <v>0</v>
      </c>
      <c r="X282"/>
      <c r="Y282"/>
      <c r="Z282"/>
      <c r="AA282"/>
      <c r="AB282"/>
      <c r="AC282"/>
      <c r="AD282"/>
      <c r="AE282"/>
      <c r="AF282"/>
      <c r="AG282"/>
      <c r="AH282"/>
      <c r="AI282"/>
      <c r="AJ282"/>
      <c r="AK282"/>
      <c r="AL282"/>
      <c r="AM282"/>
      <c r="AN282"/>
      <c r="AO282"/>
      <c r="AP282"/>
      <c r="AQ282"/>
      <c r="AR282"/>
      <c r="AS282"/>
      <c r="AT282"/>
      <c r="AU282"/>
      <c r="AV282"/>
      <c r="AW282"/>
      <c r="AX282"/>
      <c r="AY282"/>
      <c r="AZ282"/>
    </row>
    <row r="283" ht="15.6" spans="2:52">
      <c r="B283" s="80" t="s">
        <v>253</v>
      </c>
      <c r="C283" s="80" t="s">
        <v>254</v>
      </c>
      <c r="D283" s="80">
        <v>0</v>
      </c>
      <c r="E283" s="80" t="s">
        <v>1220</v>
      </c>
      <c r="F283" s="80" t="s">
        <v>613</v>
      </c>
      <c r="G283" s="99">
        <v>0</v>
      </c>
      <c r="H283" s="99">
        <v>0</v>
      </c>
      <c r="I283" s="99">
        <v>0</v>
      </c>
      <c r="J283"/>
      <c r="K283"/>
      <c r="L283"/>
      <c r="O283" s="80" t="s">
        <v>1346</v>
      </c>
      <c r="P283" s="80" t="s">
        <v>3536</v>
      </c>
      <c r="Q283" s="80" t="s">
        <v>615</v>
      </c>
      <c r="R283" s="80">
        <v>0</v>
      </c>
      <c r="S283" s="80" t="s">
        <v>1178</v>
      </c>
      <c r="T283" s="100">
        <v>1</v>
      </c>
      <c r="U283" s="100">
        <v>0</v>
      </c>
      <c r="V283" s="100">
        <v>0</v>
      </c>
      <c r="W283" s="100">
        <v>0</v>
      </c>
      <c r="X283"/>
      <c r="Y283"/>
      <c r="Z283"/>
      <c r="AA283"/>
      <c r="AB283"/>
      <c r="AC283"/>
      <c r="AD283"/>
      <c r="AE283"/>
      <c r="AF283"/>
      <c r="AG283"/>
      <c r="AH283"/>
      <c r="AI283"/>
      <c r="AJ283"/>
      <c r="AK283"/>
      <c r="AL283"/>
      <c r="AM283"/>
      <c r="AN283"/>
      <c r="AO283"/>
      <c r="AP283"/>
      <c r="AQ283"/>
      <c r="AR283"/>
      <c r="AS283"/>
      <c r="AT283"/>
      <c r="AU283"/>
      <c r="AV283"/>
      <c r="AW283"/>
      <c r="AX283"/>
      <c r="AY283"/>
      <c r="AZ283"/>
    </row>
    <row r="284" ht="15.6" spans="2:52">
      <c r="F284" s="80" t="s">
        <v>615</v>
      </c>
      <c r="G284" s="99">
        <v>0</v>
      </c>
      <c r="H284" s="99">
        <v>0</v>
      </c>
      <c r="I284" s="99">
        <v>0</v>
      </c>
      <c r="J284"/>
      <c r="K284"/>
      <c r="L284"/>
      <c r="M284" s="80" t="s">
        <v>253</v>
      </c>
      <c r="N284" s="80" t="s">
        <v>254</v>
      </c>
      <c r="O284" s="80" t="s">
        <v>1347</v>
      </c>
      <c r="P284" s="80" t="s">
        <v>254</v>
      </c>
      <c r="Q284" s="80" t="s">
        <v>613</v>
      </c>
      <c r="R284" s="80">
        <v>0</v>
      </c>
      <c r="S284" s="80" t="s">
        <v>1220</v>
      </c>
      <c r="T284" s="100">
        <v>1</v>
      </c>
      <c r="U284" s="100">
        <v>0</v>
      </c>
      <c r="V284" s="100">
        <v>0</v>
      </c>
      <c r="W284" s="100">
        <v>0</v>
      </c>
      <c r="X284"/>
      <c r="Y284"/>
      <c r="Z284"/>
      <c r="AA284"/>
      <c r="AB284"/>
      <c r="AC284"/>
      <c r="AD284"/>
      <c r="AE284"/>
      <c r="AF284"/>
      <c r="AG284"/>
      <c r="AH284"/>
      <c r="AI284"/>
      <c r="AJ284"/>
      <c r="AK284"/>
      <c r="AL284"/>
      <c r="AM284"/>
      <c r="AN284"/>
      <c r="AO284"/>
      <c r="AP284"/>
      <c r="AQ284"/>
      <c r="AR284"/>
      <c r="AS284"/>
      <c r="AT284"/>
      <c r="AU284"/>
      <c r="AV284"/>
      <c r="AW284"/>
      <c r="AX284"/>
      <c r="AY284"/>
      <c r="AZ284"/>
    </row>
    <row r="285" ht="15.6" spans="2:52">
      <c r="F285" s="80" t="s">
        <v>617</v>
      </c>
      <c r="G285" s="99">
        <v>0</v>
      </c>
      <c r="H285" s="99">
        <v>0</v>
      </c>
      <c r="I285" s="99">
        <v>0</v>
      </c>
      <c r="J285"/>
      <c r="K285"/>
      <c r="L285"/>
      <c r="Q285" s="80" t="s">
        <v>615</v>
      </c>
      <c r="R285" s="80">
        <v>0</v>
      </c>
      <c r="S285" s="80" t="s">
        <v>1220</v>
      </c>
      <c r="T285" s="100">
        <v>3</v>
      </c>
      <c r="U285" s="100">
        <v>0</v>
      </c>
      <c r="V285" s="100">
        <v>0</v>
      </c>
      <c r="W285" s="100">
        <v>0</v>
      </c>
      <c r="X285"/>
      <c r="Y285"/>
      <c r="Z285"/>
      <c r="AA285"/>
      <c r="AB285"/>
      <c r="AC285"/>
      <c r="AD285"/>
      <c r="AE285"/>
      <c r="AF285"/>
      <c r="AG285"/>
      <c r="AH285"/>
      <c r="AI285"/>
      <c r="AJ285"/>
      <c r="AK285"/>
      <c r="AL285"/>
      <c r="AM285"/>
      <c r="AN285"/>
      <c r="AO285"/>
      <c r="AP285"/>
      <c r="AQ285"/>
      <c r="AR285"/>
      <c r="AS285"/>
      <c r="AT285"/>
      <c r="AU285"/>
      <c r="AV285"/>
      <c r="AW285"/>
      <c r="AX285"/>
      <c r="AY285"/>
      <c r="AZ285"/>
    </row>
    <row r="286" ht="15.6" spans="2:52">
      <c r="B286" s="80" t="s">
        <v>4537</v>
      </c>
      <c r="G286" s="99">
        <v>0</v>
      </c>
      <c r="H286" s="99">
        <v>0</v>
      </c>
      <c r="I286" s="99">
        <v>0</v>
      </c>
      <c r="J286"/>
      <c r="K286"/>
      <c r="L286"/>
      <c r="Q286" s="80" t="s">
        <v>617</v>
      </c>
      <c r="R286" s="80">
        <v>0</v>
      </c>
      <c r="S286" s="80" t="s">
        <v>1220</v>
      </c>
      <c r="T286" s="100">
        <v>0</v>
      </c>
      <c r="U286" s="100">
        <v>0</v>
      </c>
      <c r="V286" s="100">
        <v>0</v>
      </c>
      <c r="W286" s="100">
        <v>0</v>
      </c>
      <c r="X286"/>
      <c r="Y286"/>
      <c r="Z286"/>
      <c r="AA286"/>
      <c r="AB286"/>
      <c r="AC286"/>
      <c r="AD286"/>
      <c r="AE286"/>
      <c r="AF286"/>
      <c r="AG286"/>
      <c r="AH286"/>
      <c r="AI286"/>
      <c r="AJ286"/>
      <c r="AK286"/>
      <c r="AL286"/>
      <c r="AM286"/>
      <c r="AN286"/>
      <c r="AO286"/>
      <c r="AP286"/>
      <c r="AQ286"/>
      <c r="AR286"/>
      <c r="AS286"/>
      <c r="AT286"/>
      <c r="AU286"/>
      <c r="AV286"/>
      <c r="AW286"/>
      <c r="AX286"/>
      <c r="AY286"/>
      <c r="AZ286"/>
    </row>
    <row r="287" ht="15.6" spans="2:52">
      <c r="B287" s="80" t="s">
        <v>255</v>
      </c>
      <c r="C287" s="80" t="s">
        <v>256</v>
      </c>
      <c r="D287" s="80">
        <v>0</v>
      </c>
      <c r="E287" s="80" t="s">
        <v>1262</v>
      </c>
      <c r="F287" s="80" t="s">
        <v>613</v>
      </c>
      <c r="G287" s="99">
        <v>0</v>
      </c>
      <c r="H287" s="99">
        <v>0</v>
      </c>
      <c r="I287" s="99">
        <v>0</v>
      </c>
      <c r="J287"/>
      <c r="K287"/>
      <c r="L287"/>
      <c r="M287" s="80" t="s">
        <v>255</v>
      </c>
      <c r="N287" s="80" t="s">
        <v>256</v>
      </c>
      <c r="O287" s="80" t="s">
        <v>1349</v>
      </c>
      <c r="P287" s="80" t="s">
        <v>256</v>
      </c>
      <c r="Q287" s="80" t="s">
        <v>615</v>
      </c>
      <c r="R287" s="80">
        <v>0</v>
      </c>
      <c r="S287" s="80" t="s">
        <v>1262</v>
      </c>
      <c r="T287" s="100">
        <v>0.5</v>
      </c>
      <c r="U287" s="100">
        <v>0</v>
      </c>
      <c r="V287" s="100">
        <v>0</v>
      </c>
      <c r="W287" s="100">
        <v>0</v>
      </c>
      <c r="X287"/>
      <c r="Y287"/>
      <c r="Z287"/>
      <c r="AA287"/>
      <c r="AB287"/>
      <c r="AC287"/>
      <c r="AD287"/>
      <c r="AE287"/>
      <c r="AF287"/>
      <c r="AG287"/>
      <c r="AH287"/>
      <c r="AI287"/>
      <c r="AJ287"/>
      <c r="AK287"/>
      <c r="AL287"/>
      <c r="AM287"/>
      <c r="AN287"/>
      <c r="AO287"/>
      <c r="AP287"/>
      <c r="AQ287"/>
      <c r="AR287"/>
      <c r="AS287"/>
      <c r="AT287"/>
      <c r="AU287"/>
      <c r="AV287"/>
      <c r="AW287"/>
      <c r="AX287"/>
      <c r="AY287"/>
      <c r="AZ287"/>
    </row>
    <row r="288" ht="15.6" spans="2:52">
      <c r="F288" s="80" t="s">
        <v>615</v>
      </c>
      <c r="G288" s="99">
        <v>0</v>
      </c>
      <c r="H288" s="99">
        <v>0</v>
      </c>
      <c r="I288" s="99">
        <v>0</v>
      </c>
      <c r="J288"/>
      <c r="K288"/>
      <c r="L288"/>
      <c r="O288" s="80" t="s">
        <v>3540</v>
      </c>
      <c r="P288" s="80" t="s">
        <v>4538</v>
      </c>
      <c r="Q288" s="80" t="s">
        <v>613</v>
      </c>
      <c r="R288" s="80">
        <v>0</v>
      </c>
      <c r="S288" s="80" t="s">
        <v>1262</v>
      </c>
      <c r="T288" s="100">
        <v>0</v>
      </c>
      <c r="U288" s="100">
        <v>0</v>
      </c>
      <c r="V288" s="100">
        <v>0</v>
      </c>
      <c r="W288" s="100">
        <v>0</v>
      </c>
      <c r="X288"/>
      <c r="Y288"/>
      <c r="Z288"/>
      <c r="AA288"/>
      <c r="AB288"/>
      <c r="AC288"/>
      <c r="AD288"/>
      <c r="AE288"/>
      <c r="AF288"/>
      <c r="AG288"/>
      <c r="AH288"/>
      <c r="AI288"/>
      <c r="AJ288"/>
      <c r="AK288"/>
      <c r="AL288"/>
      <c r="AM288"/>
      <c r="AN288"/>
      <c r="AO288"/>
      <c r="AP288"/>
      <c r="AQ288"/>
      <c r="AR288"/>
      <c r="AS288"/>
      <c r="AT288"/>
      <c r="AU288"/>
      <c r="AV288"/>
      <c r="AW288"/>
      <c r="AX288"/>
      <c r="AY288"/>
      <c r="AZ288"/>
    </row>
    <row r="289" ht="15.6" spans="2:52">
      <c r="B289" s="80" t="s">
        <v>4539</v>
      </c>
      <c r="G289" s="99">
        <v>0</v>
      </c>
      <c r="H289" s="99">
        <v>0</v>
      </c>
      <c r="I289" s="99">
        <v>0</v>
      </c>
      <c r="J289"/>
      <c r="K289"/>
      <c r="L289"/>
      <c r="M289" s="80" t="s">
        <v>257</v>
      </c>
      <c r="N289" s="80" t="s">
        <v>258</v>
      </c>
      <c r="O289" s="80" t="s">
        <v>1350</v>
      </c>
      <c r="P289" s="80" t="s">
        <v>258</v>
      </c>
      <c r="Q289" s="80" t="s">
        <v>615</v>
      </c>
      <c r="R289" s="80">
        <v>0</v>
      </c>
      <c r="S289" s="80" t="s">
        <v>1262</v>
      </c>
      <c r="T289" s="100">
        <v>1</v>
      </c>
      <c r="U289" s="100">
        <v>0</v>
      </c>
      <c r="V289" s="100">
        <v>0</v>
      </c>
      <c r="W289" s="100">
        <v>0</v>
      </c>
      <c r="X289"/>
      <c r="Y289"/>
      <c r="Z289"/>
      <c r="AA289"/>
      <c r="AB289"/>
      <c r="AC289"/>
      <c r="AD289"/>
      <c r="AE289"/>
      <c r="AF289"/>
      <c r="AG289"/>
      <c r="AH289"/>
      <c r="AI289"/>
      <c r="AJ289"/>
      <c r="AK289"/>
      <c r="AL289"/>
      <c r="AM289"/>
      <c r="AN289"/>
      <c r="AO289"/>
      <c r="AP289"/>
      <c r="AQ289"/>
      <c r="AR289"/>
      <c r="AS289"/>
      <c r="AT289"/>
      <c r="AU289"/>
      <c r="AV289"/>
      <c r="AW289"/>
      <c r="AX289"/>
      <c r="AY289"/>
      <c r="AZ289"/>
    </row>
    <row r="290" ht="15.6" spans="2:52">
      <c r="B290" s="80" t="s">
        <v>257</v>
      </c>
      <c r="C290" s="80" t="s">
        <v>258</v>
      </c>
      <c r="D290" s="80">
        <v>0</v>
      </c>
      <c r="E290" s="80" t="s">
        <v>1262</v>
      </c>
      <c r="F290" s="80" t="s">
        <v>613</v>
      </c>
      <c r="G290" s="99">
        <v>0</v>
      </c>
      <c r="H290" s="99">
        <v>0</v>
      </c>
      <c r="I290" s="99">
        <v>0</v>
      </c>
      <c r="J290"/>
      <c r="K290"/>
      <c r="L290"/>
      <c r="O290" s="80" t="s">
        <v>1351</v>
      </c>
      <c r="P290" s="80" t="s">
        <v>4540</v>
      </c>
      <c r="Q290" s="80" t="s">
        <v>613</v>
      </c>
      <c r="R290" s="80">
        <v>0</v>
      </c>
      <c r="S290" s="80" t="s">
        <v>1262</v>
      </c>
      <c r="T290" s="100">
        <v>0</v>
      </c>
      <c r="U290" s="100">
        <v>0</v>
      </c>
      <c r="V290" s="100">
        <v>0</v>
      </c>
      <c r="W290" s="100">
        <v>0</v>
      </c>
      <c r="X290"/>
      <c r="Y290"/>
      <c r="Z290"/>
      <c r="AA290"/>
      <c r="AB290"/>
      <c r="AC290"/>
      <c r="AD290"/>
      <c r="AE290"/>
      <c r="AF290"/>
      <c r="AG290"/>
      <c r="AH290"/>
      <c r="AI290"/>
      <c r="AJ290"/>
      <c r="AK290"/>
      <c r="AL290"/>
      <c r="AM290"/>
      <c r="AN290"/>
      <c r="AO290"/>
      <c r="AP290"/>
      <c r="AQ290"/>
      <c r="AR290"/>
      <c r="AS290"/>
      <c r="AT290"/>
      <c r="AU290"/>
      <c r="AV290"/>
      <c r="AW290"/>
      <c r="AX290"/>
      <c r="AY290"/>
      <c r="AZ290"/>
    </row>
    <row r="291" ht="15.6" spans="2:52">
      <c r="F291" s="80" t="s">
        <v>615</v>
      </c>
      <c r="G291" s="99">
        <v>0</v>
      </c>
      <c r="H291" s="99">
        <v>0</v>
      </c>
      <c r="I291" s="99">
        <v>0</v>
      </c>
      <c r="J291"/>
      <c r="K291"/>
      <c r="L291"/>
      <c r="M291" s="80" t="s">
        <v>259</v>
      </c>
      <c r="N291" s="80" t="s">
        <v>260</v>
      </c>
      <c r="O291" s="80" t="s">
        <v>1352</v>
      </c>
      <c r="P291" s="80" t="s">
        <v>3547</v>
      </c>
      <c r="Q291" s="80" t="s">
        <v>615</v>
      </c>
      <c r="R291" s="80">
        <v>0</v>
      </c>
      <c r="S291" s="80" t="s">
        <v>1220</v>
      </c>
      <c r="T291" s="100">
        <v>1.5</v>
      </c>
      <c r="U291" s="100">
        <v>0</v>
      </c>
      <c r="V291" s="100">
        <v>0</v>
      </c>
      <c r="W291" s="100">
        <v>0</v>
      </c>
      <c r="X291"/>
      <c r="Y291"/>
      <c r="Z291"/>
      <c r="AA291"/>
      <c r="AB291"/>
      <c r="AC291"/>
      <c r="AD291"/>
      <c r="AE291"/>
      <c r="AF291"/>
      <c r="AG291"/>
      <c r="AH291"/>
      <c r="AI291"/>
      <c r="AJ291"/>
      <c r="AK291"/>
      <c r="AL291"/>
      <c r="AM291"/>
      <c r="AN291"/>
      <c r="AO291"/>
      <c r="AP291"/>
      <c r="AQ291"/>
      <c r="AR291"/>
      <c r="AS291"/>
      <c r="AT291"/>
      <c r="AU291"/>
      <c r="AV291"/>
      <c r="AW291"/>
      <c r="AX291"/>
      <c r="AY291"/>
      <c r="AZ291"/>
    </row>
    <row r="292" ht="15.6" spans="2:52">
      <c r="B292" s="80" t="s">
        <v>4541</v>
      </c>
      <c r="G292" s="99">
        <v>0</v>
      </c>
      <c r="H292" s="99">
        <v>0</v>
      </c>
      <c r="I292" s="99">
        <v>0</v>
      </c>
      <c r="J292"/>
      <c r="K292"/>
      <c r="L292"/>
      <c r="O292" s="80" t="s">
        <v>1353</v>
      </c>
      <c r="P292" s="80" t="s">
        <v>3549</v>
      </c>
      <c r="Q292" s="80" t="s">
        <v>613</v>
      </c>
      <c r="R292" s="80">
        <v>0</v>
      </c>
      <c r="S292" s="80" t="s">
        <v>1220</v>
      </c>
      <c r="T292" s="100">
        <v>0.5</v>
      </c>
      <c r="U292" s="100">
        <v>0</v>
      </c>
      <c r="V292" s="100">
        <v>0</v>
      </c>
      <c r="W292" s="100">
        <v>0</v>
      </c>
      <c r="X292"/>
      <c r="Y292"/>
      <c r="Z292"/>
      <c r="AA292"/>
      <c r="AB292"/>
      <c r="AC292"/>
      <c r="AD292"/>
      <c r="AE292"/>
      <c r="AF292"/>
      <c r="AG292"/>
      <c r="AH292"/>
      <c r="AI292"/>
      <c r="AJ292"/>
      <c r="AK292"/>
      <c r="AL292"/>
      <c r="AM292"/>
      <c r="AN292"/>
      <c r="AO292"/>
      <c r="AP292"/>
      <c r="AQ292"/>
      <c r="AR292"/>
      <c r="AS292"/>
      <c r="AT292"/>
      <c r="AU292"/>
      <c r="AV292"/>
      <c r="AW292"/>
      <c r="AX292"/>
      <c r="AY292"/>
      <c r="AZ292"/>
    </row>
    <row r="293" ht="15.6" spans="2:52">
      <c r="B293" s="80" t="s">
        <v>259</v>
      </c>
      <c r="C293" s="80" t="s">
        <v>260</v>
      </c>
      <c r="D293" s="80">
        <v>0</v>
      </c>
      <c r="E293" s="80" t="s">
        <v>1220</v>
      </c>
      <c r="F293" s="80" t="s">
        <v>613</v>
      </c>
      <c r="G293" s="99">
        <v>0</v>
      </c>
      <c r="H293" s="99">
        <v>0</v>
      </c>
      <c r="I293" s="99">
        <v>0</v>
      </c>
      <c r="J293"/>
      <c r="K293"/>
      <c r="L293"/>
      <c r="M293" s="80" t="s">
        <v>261</v>
      </c>
      <c r="N293" s="80" t="s">
        <v>262</v>
      </c>
      <c r="O293" s="80" t="s">
        <v>1354</v>
      </c>
      <c r="P293" s="80" t="s">
        <v>3552</v>
      </c>
      <c r="Q293" s="80" t="s">
        <v>615</v>
      </c>
      <c r="R293" s="80">
        <v>0</v>
      </c>
      <c r="S293" s="80" t="s">
        <v>1262</v>
      </c>
      <c r="T293" s="100">
        <v>1</v>
      </c>
      <c r="U293" s="100">
        <v>0</v>
      </c>
      <c r="V293" s="100">
        <v>0</v>
      </c>
      <c r="W293" s="100">
        <v>0</v>
      </c>
      <c r="X293"/>
      <c r="Y293"/>
      <c r="Z293"/>
      <c r="AA293"/>
      <c r="AB293"/>
      <c r="AC293"/>
      <c r="AD293"/>
      <c r="AE293"/>
      <c r="AF293"/>
      <c r="AG293"/>
      <c r="AH293"/>
      <c r="AI293"/>
      <c r="AJ293"/>
      <c r="AK293"/>
      <c r="AL293"/>
      <c r="AM293"/>
      <c r="AN293"/>
      <c r="AO293"/>
      <c r="AP293"/>
      <c r="AQ293"/>
      <c r="AR293"/>
      <c r="AS293"/>
      <c r="AT293"/>
      <c r="AU293"/>
      <c r="AV293"/>
      <c r="AW293"/>
      <c r="AX293"/>
      <c r="AY293"/>
      <c r="AZ293"/>
    </row>
    <row r="294" ht="15.6" spans="2:52">
      <c r="F294" s="80" t="s">
        <v>615</v>
      </c>
      <c r="G294" s="99">
        <v>0</v>
      </c>
      <c r="H294" s="99">
        <v>0</v>
      </c>
      <c r="I294" s="99">
        <v>0</v>
      </c>
      <c r="J294"/>
      <c r="K294"/>
      <c r="L294"/>
      <c r="O294" s="80" t="s">
        <v>1355</v>
      </c>
      <c r="P294" s="80" t="s">
        <v>3554</v>
      </c>
      <c r="Q294" s="80" t="s">
        <v>613</v>
      </c>
      <c r="R294" s="80">
        <v>0</v>
      </c>
      <c r="S294" s="80" t="s">
        <v>1262</v>
      </c>
      <c r="T294" s="100">
        <v>0</v>
      </c>
      <c r="U294" s="100">
        <v>0</v>
      </c>
      <c r="V294" s="100">
        <v>0</v>
      </c>
      <c r="W294" s="100">
        <v>0</v>
      </c>
      <c r="X294"/>
      <c r="Y294"/>
      <c r="Z294"/>
      <c r="AA294"/>
      <c r="AB294"/>
      <c r="AC294"/>
      <c r="AD294"/>
      <c r="AE294"/>
      <c r="AF294"/>
      <c r="AG294"/>
      <c r="AH294"/>
      <c r="AI294"/>
      <c r="AJ294"/>
      <c r="AK294"/>
      <c r="AL294"/>
      <c r="AM294"/>
      <c r="AN294"/>
      <c r="AO294"/>
      <c r="AP294"/>
      <c r="AQ294"/>
      <c r="AR294"/>
      <c r="AS294"/>
      <c r="AT294"/>
      <c r="AU294"/>
      <c r="AV294"/>
      <c r="AW294"/>
      <c r="AX294"/>
      <c r="AY294"/>
      <c r="AZ294"/>
    </row>
    <row r="295" ht="15.6" spans="2:52">
      <c r="B295" s="80" t="s">
        <v>4542</v>
      </c>
      <c r="G295" s="99">
        <v>0</v>
      </c>
      <c r="H295" s="99">
        <v>0</v>
      </c>
      <c r="I295" s="99">
        <v>0</v>
      </c>
      <c r="J295"/>
      <c r="K295"/>
      <c r="L295"/>
      <c r="O295" s="80" t="s">
        <v>1356</v>
      </c>
      <c r="P295" s="80" t="s">
        <v>3556</v>
      </c>
      <c r="Q295" s="80" t="s">
        <v>615</v>
      </c>
      <c r="R295" s="80">
        <v>0</v>
      </c>
      <c r="S295" s="80" t="s">
        <v>1220</v>
      </c>
      <c r="T295" s="100">
        <v>0.25</v>
      </c>
      <c r="U295" s="100">
        <v>0</v>
      </c>
      <c r="V295" s="100">
        <v>0</v>
      </c>
      <c r="W295" s="100">
        <v>0</v>
      </c>
      <c r="X295"/>
      <c r="Y295"/>
      <c r="Z295"/>
      <c r="AA295"/>
      <c r="AB295"/>
      <c r="AC295"/>
      <c r="AD295"/>
      <c r="AE295"/>
      <c r="AF295"/>
      <c r="AG295"/>
      <c r="AH295"/>
      <c r="AI295"/>
      <c r="AJ295"/>
      <c r="AK295"/>
      <c r="AL295"/>
      <c r="AM295"/>
      <c r="AN295"/>
      <c r="AO295"/>
      <c r="AP295"/>
      <c r="AQ295"/>
      <c r="AR295"/>
      <c r="AS295"/>
      <c r="AT295"/>
      <c r="AU295"/>
      <c r="AV295"/>
      <c r="AW295"/>
      <c r="AX295"/>
      <c r="AY295"/>
      <c r="AZ295"/>
    </row>
    <row r="296" ht="15.6" spans="2:52">
      <c r="B296" s="80" t="s">
        <v>261</v>
      </c>
      <c r="C296" s="80" t="s">
        <v>262</v>
      </c>
      <c r="D296" s="80">
        <v>0</v>
      </c>
      <c r="E296" s="80" t="s">
        <v>1220</v>
      </c>
      <c r="F296" s="80" t="s">
        <v>613</v>
      </c>
      <c r="G296" s="99">
        <v>0</v>
      </c>
      <c r="H296" s="99">
        <v>0</v>
      </c>
      <c r="I296" s="99">
        <v>0</v>
      </c>
      <c r="J296"/>
      <c r="K296"/>
      <c r="L296"/>
      <c r="Q296" s="80" t="s">
        <v>617</v>
      </c>
      <c r="R296" s="80">
        <v>0</v>
      </c>
      <c r="S296" s="80" t="s">
        <v>1220</v>
      </c>
      <c r="T296" s="100">
        <v>0.25</v>
      </c>
      <c r="U296" s="100">
        <v>0</v>
      </c>
      <c r="V296" s="100">
        <v>0</v>
      </c>
      <c r="W296" s="100">
        <v>0</v>
      </c>
      <c r="X296"/>
      <c r="Y296"/>
      <c r="Z296"/>
      <c r="AA296"/>
      <c r="AB296"/>
      <c r="AC296"/>
      <c r="AD296"/>
      <c r="AE296"/>
      <c r="AF296"/>
      <c r="AG296"/>
      <c r="AH296"/>
      <c r="AI296"/>
      <c r="AJ296"/>
      <c r="AK296"/>
      <c r="AL296"/>
      <c r="AM296"/>
      <c r="AN296"/>
      <c r="AO296"/>
      <c r="AP296"/>
      <c r="AQ296"/>
      <c r="AR296"/>
      <c r="AS296"/>
      <c r="AT296"/>
      <c r="AU296"/>
      <c r="AV296"/>
      <c r="AW296"/>
      <c r="AX296"/>
      <c r="AY296"/>
      <c r="AZ296"/>
    </row>
    <row r="297" ht="15.6" spans="2:52">
      <c r="F297" s="80" t="s">
        <v>615</v>
      </c>
      <c r="G297" s="99">
        <v>0</v>
      </c>
      <c r="H297" s="99">
        <v>0</v>
      </c>
      <c r="I297" s="99">
        <v>0</v>
      </c>
      <c r="J297"/>
      <c r="K297"/>
      <c r="L297"/>
      <c r="O297" s="80" t="s">
        <v>3558</v>
      </c>
      <c r="P297" s="80" t="s">
        <v>3559</v>
      </c>
      <c r="Q297" s="80" t="s">
        <v>613</v>
      </c>
      <c r="R297" s="80">
        <v>0</v>
      </c>
      <c r="S297" s="80" t="s">
        <v>1220</v>
      </c>
      <c r="T297" s="100">
        <v>0.25</v>
      </c>
      <c r="U297" s="100">
        <v>0</v>
      </c>
      <c r="V297" s="100">
        <v>0</v>
      </c>
      <c r="W297" s="100">
        <v>0</v>
      </c>
      <c r="X297"/>
      <c r="Y297"/>
      <c r="Z297"/>
      <c r="AA297"/>
      <c r="AB297"/>
      <c r="AC297"/>
      <c r="AD297"/>
      <c r="AE297"/>
      <c r="AF297"/>
      <c r="AG297"/>
      <c r="AH297"/>
      <c r="AI297"/>
      <c r="AJ297"/>
      <c r="AK297"/>
      <c r="AL297"/>
      <c r="AM297"/>
      <c r="AN297"/>
      <c r="AO297"/>
      <c r="AP297"/>
      <c r="AQ297"/>
      <c r="AR297"/>
      <c r="AS297"/>
      <c r="AT297"/>
      <c r="AU297"/>
      <c r="AV297"/>
      <c r="AW297"/>
      <c r="AX297"/>
      <c r="AY297"/>
      <c r="AZ297"/>
    </row>
    <row r="298" ht="15.6" spans="2:52">
      <c r="F298" s="80" t="s">
        <v>617</v>
      </c>
      <c r="G298" s="99">
        <v>0</v>
      </c>
      <c r="H298" s="99">
        <v>0</v>
      </c>
      <c r="I298" s="99">
        <v>0</v>
      </c>
      <c r="J298"/>
      <c r="K298"/>
      <c r="L298"/>
      <c r="M298" s="80" t="s">
        <v>263</v>
      </c>
      <c r="N298" s="80" t="s">
        <v>264</v>
      </c>
      <c r="O298" s="80" t="s">
        <v>1357</v>
      </c>
      <c r="P298" s="80" t="s">
        <v>264</v>
      </c>
      <c r="Q298" s="80" t="s">
        <v>615</v>
      </c>
      <c r="R298" s="80">
        <v>0</v>
      </c>
      <c r="S298" s="80" t="s">
        <v>1220</v>
      </c>
      <c r="T298" s="100">
        <v>1</v>
      </c>
      <c r="U298" s="100">
        <v>0</v>
      </c>
      <c r="V298" s="100">
        <v>0</v>
      </c>
      <c r="W298" s="100">
        <v>0</v>
      </c>
      <c r="X298"/>
      <c r="Y298"/>
      <c r="Z298"/>
      <c r="AA298"/>
      <c r="AB298"/>
      <c r="AC298"/>
      <c r="AD298"/>
      <c r="AE298"/>
      <c r="AF298"/>
      <c r="AG298"/>
      <c r="AH298"/>
      <c r="AI298"/>
      <c r="AJ298"/>
      <c r="AK298"/>
      <c r="AL298"/>
      <c r="AM298"/>
      <c r="AN298"/>
      <c r="AO298"/>
      <c r="AP298"/>
      <c r="AQ298"/>
      <c r="AR298"/>
      <c r="AS298"/>
      <c r="AT298"/>
      <c r="AU298"/>
      <c r="AV298"/>
      <c r="AW298"/>
      <c r="AX298"/>
      <c r="AY298"/>
      <c r="AZ298"/>
    </row>
    <row r="299" ht="15.6" spans="2:52">
      <c r="B299" s="80" t="s">
        <v>4543</v>
      </c>
      <c r="G299" s="99">
        <v>0</v>
      </c>
      <c r="H299" s="99">
        <v>0</v>
      </c>
      <c r="I299" s="99">
        <v>0</v>
      </c>
      <c r="J299"/>
      <c r="K299"/>
      <c r="L299"/>
      <c r="O299" s="80" t="s">
        <v>1358</v>
      </c>
      <c r="P299" s="80" t="s">
        <v>3563</v>
      </c>
      <c r="Q299" s="80" t="s">
        <v>613</v>
      </c>
      <c r="R299" s="80">
        <v>0</v>
      </c>
      <c r="S299" s="80" t="s">
        <v>1220</v>
      </c>
      <c r="T299" s="100">
        <v>0.5</v>
      </c>
      <c r="U299" s="100">
        <v>0</v>
      </c>
      <c r="V299" s="100">
        <v>0</v>
      </c>
      <c r="W299" s="100">
        <v>0</v>
      </c>
      <c r="X299"/>
      <c r="Y299"/>
      <c r="Z299"/>
      <c r="AA299"/>
      <c r="AB299"/>
      <c r="AC299"/>
      <c r="AD299"/>
      <c r="AE299"/>
      <c r="AF299"/>
      <c r="AG299"/>
      <c r="AH299"/>
      <c r="AI299"/>
      <c r="AJ299"/>
      <c r="AK299"/>
      <c r="AL299"/>
      <c r="AM299"/>
      <c r="AN299"/>
      <c r="AO299"/>
      <c r="AP299"/>
      <c r="AQ299"/>
      <c r="AR299"/>
      <c r="AS299"/>
      <c r="AT299"/>
      <c r="AU299"/>
      <c r="AV299"/>
      <c r="AW299"/>
      <c r="AX299"/>
      <c r="AY299"/>
      <c r="AZ299"/>
    </row>
    <row r="300" ht="15.6" spans="2:52">
      <c r="B300" s="80" t="s">
        <v>263</v>
      </c>
      <c r="C300" s="80" t="s">
        <v>264</v>
      </c>
      <c r="D300" s="80">
        <v>0</v>
      </c>
      <c r="E300" s="80" t="s">
        <v>1220</v>
      </c>
      <c r="F300" s="80" t="s">
        <v>613</v>
      </c>
      <c r="G300" s="99">
        <v>0</v>
      </c>
      <c r="H300" s="99">
        <v>0</v>
      </c>
      <c r="I300" s="99">
        <v>0</v>
      </c>
      <c r="J300"/>
      <c r="K300"/>
      <c r="L300"/>
      <c r="M300" s="80" t="s">
        <v>265</v>
      </c>
      <c r="N300" s="80" t="s">
        <v>266</v>
      </c>
      <c r="O300" s="80" t="s">
        <v>1359</v>
      </c>
      <c r="P300" s="80" t="s">
        <v>266</v>
      </c>
      <c r="Q300" s="80" t="s">
        <v>615</v>
      </c>
      <c r="R300" s="80">
        <v>0</v>
      </c>
      <c r="S300" s="80" t="s">
        <v>1220</v>
      </c>
      <c r="T300" s="100">
        <v>1</v>
      </c>
      <c r="U300" s="100">
        <v>0</v>
      </c>
      <c r="V300" s="100">
        <v>0</v>
      </c>
      <c r="W300" s="100">
        <v>0</v>
      </c>
      <c r="X300"/>
      <c r="Y300"/>
      <c r="Z300"/>
      <c r="AA300"/>
      <c r="AB300"/>
      <c r="AC300"/>
      <c r="AD300"/>
      <c r="AE300"/>
      <c r="AF300"/>
      <c r="AG300"/>
      <c r="AH300"/>
      <c r="AI300"/>
      <c r="AJ300"/>
      <c r="AK300"/>
      <c r="AL300"/>
      <c r="AM300"/>
      <c r="AN300"/>
      <c r="AO300"/>
      <c r="AP300"/>
      <c r="AQ300"/>
      <c r="AR300"/>
      <c r="AS300"/>
      <c r="AT300"/>
      <c r="AU300"/>
      <c r="AV300"/>
      <c r="AW300"/>
      <c r="AX300"/>
      <c r="AY300"/>
      <c r="AZ300"/>
    </row>
    <row r="301" ht="15.6" spans="2:52">
      <c r="F301" s="80" t="s">
        <v>615</v>
      </c>
      <c r="G301" s="99">
        <v>0</v>
      </c>
      <c r="H301" s="99">
        <v>0</v>
      </c>
      <c r="I301" s="99">
        <v>0</v>
      </c>
      <c r="J301"/>
      <c r="K301"/>
      <c r="L301"/>
      <c r="O301" s="80" t="s">
        <v>1360</v>
      </c>
      <c r="P301" s="80" t="s">
        <v>3568</v>
      </c>
      <c r="Q301" s="80" t="s">
        <v>613</v>
      </c>
      <c r="R301" s="80">
        <v>0</v>
      </c>
      <c r="S301" s="80" t="s">
        <v>1220</v>
      </c>
      <c r="T301" s="100">
        <v>0.5</v>
      </c>
      <c r="U301" s="100">
        <v>0</v>
      </c>
      <c r="V301" s="100">
        <v>0</v>
      </c>
      <c r="W301" s="100">
        <v>0</v>
      </c>
      <c r="X301"/>
      <c r="Y301"/>
      <c r="Z301"/>
      <c r="AA301"/>
      <c r="AB301"/>
      <c r="AC301"/>
      <c r="AD301"/>
      <c r="AE301"/>
      <c r="AF301"/>
      <c r="AG301"/>
      <c r="AH301"/>
      <c r="AI301"/>
      <c r="AJ301"/>
      <c r="AK301"/>
      <c r="AL301"/>
      <c r="AM301"/>
      <c r="AN301"/>
      <c r="AO301"/>
      <c r="AP301"/>
      <c r="AQ301"/>
      <c r="AR301"/>
      <c r="AS301"/>
      <c r="AT301"/>
      <c r="AU301"/>
      <c r="AV301"/>
      <c r="AW301"/>
      <c r="AX301"/>
      <c r="AY301"/>
      <c r="AZ301"/>
    </row>
    <row r="302" ht="15.6" spans="2:52">
      <c r="B302" s="80" t="s">
        <v>4544</v>
      </c>
      <c r="G302" s="99">
        <v>0</v>
      </c>
      <c r="H302" s="99">
        <v>0</v>
      </c>
      <c r="I302" s="99">
        <v>0</v>
      </c>
      <c r="J302"/>
      <c r="K302"/>
      <c r="L302"/>
      <c r="M302" s="80" t="s">
        <v>267</v>
      </c>
      <c r="N302" s="80" t="s">
        <v>268</v>
      </c>
      <c r="O302" s="80" t="s">
        <v>2908</v>
      </c>
      <c r="P302" s="80" t="s">
        <v>4545</v>
      </c>
      <c r="Q302" s="80" t="s">
        <v>635</v>
      </c>
      <c r="R302" s="80">
        <v>0</v>
      </c>
      <c r="S302" s="80" t="s">
        <v>1281</v>
      </c>
      <c r="T302" s="100">
        <v>1.5</v>
      </c>
      <c r="U302" s="100">
        <v>0</v>
      </c>
      <c r="V302" s="100">
        <v>0</v>
      </c>
      <c r="W302" s="100">
        <v>0</v>
      </c>
      <c r="X302"/>
      <c r="Y302"/>
      <c r="Z302"/>
      <c r="AA302"/>
      <c r="AB302"/>
      <c r="AC302"/>
      <c r="AD302"/>
      <c r="AE302"/>
      <c r="AF302"/>
      <c r="AG302"/>
      <c r="AH302"/>
      <c r="AI302"/>
      <c r="AJ302"/>
      <c r="AK302"/>
      <c r="AL302"/>
      <c r="AM302"/>
      <c r="AN302"/>
      <c r="AO302"/>
      <c r="AP302"/>
      <c r="AQ302"/>
      <c r="AR302"/>
      <c r="AS302"/>
      <c r="AT302"/>
      <c r="AU302"/>
      <c r="AV302"/>
      <c r="AW302"/>
      <c r="AX302"/>
      <c r="AY302"/>
      <c r="AZ302"/>
    </row>
    <row r="303" ht="15.6" spans="2:52">
      <c r="B303" s="80" t="s">
        <v>265</v>
      </c>
      <c r="C303" s="80" t="s">
        <v>266</v>
      </c>
      <c r="D303" s="80">
        <v>0</v>
      </c>
      <c r="E303" s="80" t="s">
        <v>1220</v>
      </c>
      <c r="F303" s="80" t="s">
        <v>613</v>
      </c>
      <c r="G303" s="99">
        <v>0</v>
      </c>
      <c r="H303" s="99">
        <v>0</v>
      </c>
      <c r="I303" s="99">
        <v>0</v>
      </c>
      <c r="J303"/>
      <c r="K303"/>
      <c r="L303"/>
      <c r="O303" s="80" t="s">
        <v>2909</v>
      </c>
      <c r="P303" s="80" t="s">
        <v>4546</v>
      </c>
      <c r="Q303" s="80" t="s">
        <v>635</v>
      </c>
      <c r="R303" s="80">
        <v>0</v>
      </c>
      <c r="S303" s="80" t="s">
        <v>1281</v>
      </c>
      <c r="T303" s="100">
        <v>1.5</v>
      </c>
      <c r="U303" s="100">
        <v>0</v>
      </c>
      <c r="V303" s="100">
        <v>0</v>
      </c>
      <c r="W303" s="100">
        <v>0</v>
      </c>
      <c r="X303"/>
      <c r="Y303"/>
      <c r="Z303"/>
      <c r="AA303"/>
      <c r="AB303"/>
      <c r="AC303"/>
      <c r="AD303"/>
      <c r="AE303"/>
      <c r="AF303"/>
      <c r="AG303"/>
      <c r="AH303"/>
      <c r="AI303"/>
      <c r="AJ303"/>
      <c r="AK303"/>
      <c r="AL303"/>
      <c r="AM303"/>
      <c r="AN303"/>
      <c r="AO303"/>
      <c r="AP303"/>
      <c r="AQ303"/>
      <c r="AR303"/>
      <c r="AS303"/>
      <c r="AT303"/>
      <c r="AU303"/>
      <c r="AV303"/>
      <c r="AW303"/>
      <c r="AX303"/>
      <c r="AY303"/>
      <c r="AZ303"/>
    </row>
    <row r="304" ht="15.6" spans="2:52">
      <c r="F304" s="80" t="s">
        <v>615</v>
      </c>
      <c r="G304" s="99">
        <v>0</v>
      </c>
      <c r="H304" s="99">
        <v>0</v>
      </c>
      <c r="I304" s="99">
        <v>0</v>
      </c>
      <c r="J304"/>
      <c r="K304"/>
      <c r="L304"/>
      <c r="O304" s="80" t="s">
        <v>1361</v>
      </c>
      <c r="P304" s="80" t="s">
        <v>4547</v>
      </c>
      <c r="Q304" s="80" t="s">
        <v>638</v>
      </c>
      <c r="R304" s="80">
        <v>0</v>
      </c>
      <c r="S304" s="80" t="s">
        <v>1176</v>
      </c>
      <c r="T304" s="100">
        <v>6</v>
      </c>
      <c r="U304" s="100">
        <v>0</v>
      </c>
      <c r="V304" s="100">
        <v>0</v>
      </c>
      <c r="W304" s="100">
        <v>0</v>
      </c>
      <c r="X304"/>
      <c r="Y304"/>
      <c r="Z304"/>
      <c r="AA304"/>
      <c r="AB304"/>
      <c r="AC304"/>
      <c r="AD304"/>
      <c r="AE304"/>
      <c r="AF304"/>
      <c r="AG304"/>
      <c r="AH304"/>
      <c r="AI304"/>
      <c r="AJ304"/>
      <c r="AK304"/>
      <c r="AL304"/>
      <c r="AM304"/>
      <c r="AN304"/>
      <c r="AO304"/>
      <c r="AP304"/>
      <c r="AQ304"/>
      <c r="AR304"/>
      <c r="AS304"/>
      <c r="AT304"/>
      <c r="AU304"/>
      <c r="AV304"/>
      <c r="AW304"/>
      <c r="AX304"/>
      <c r="AY304"/>
      <c r="AZ304"/>
    </row>
    <row r="305" ht="15.6" spans="2:23">
      <c r="B305" s="80" t="s">
        <v>4548</v>
      </c>
      <c r="G305" s="99">
        <v>0</v>
      </c>
      <c r="H305" s="99">
        <v>0</v>
      </c>
      <c r="I305" s="99">
        <v>0</v>
      </c>
      <c r="J305"/>
      <c r="K305"/>
      <c r="L305"/>
      <c r="O305" s="80" t="s">
        <v>2910</v>
      </c>
      <c r="P305" s="80" t="s">
        <v>4549</v>
      </c>
      <c r="Q305" s="80" t="s">
        <v>639</v>
      </c>
      <c r="R305" s="80">
        <v>0</v>
      </c>
      <c r="S305" s="80" t="s">
        <v>1176</v>
      </c>
      <c r="T305" s="100">
        <v>0</v>
      </c>
      <c r="U305" s="100">
        <v>0</v>
      </c>
      <c r="V305" s="100">
        <v>0</v>
      </c>
      <c r="W305" s="100">
        <v>0</v>
      </c>
    </row>
    <row r="306" ht="15.6" spans="2:23">
      <c r="B306" s="80" t="s">
        <v>267</v>
      </c>
      <c r="C306" s="80" t="s">
        <v>268</v>
      </c>
      <c r="D306" s="80">
        <v>6</v>
      </c>
      <c r="E306" s="80" t="s">
        <v>1176</v>
      </c>
      <c r="F306" s="80" t="s">
        <v>613</v>
      </c>
      <c r="G306" s="99">
        <v>0</v>
      </c>
      <c r="H306" s="99">
        <v>0</v>
      </c>
      <c r="I306" s="99">
        <v>0</v>
      </c>
      <c r="J306"/>
      <c r="K306"/>
      <c r="L306"/>
      <c r="O306" s="80" t="s">
        <v>1362</v>
      </c>
      <c r="P306" s="80" t="s">
        <v>3579</v>
      </c>
      <c r="Q306" s="80" t="s">
        <v>615</v>
      </c>
      <c r="R306" s="80">
        <v>0</v>
      </c>
      <c r="S306" s="80" t="s">
        <v>1176</v>
      </c>
      <c r="T306" s="100">
        <v>6</v>
      </c>
      <c r="U306" s="100">
        <v>0</v>
      </c>
      <c r="V306" s="100">
        <v>0</v>
      </c>
      <c r="W306" s="100">
        <v>0</v>
      </c>
    </row>
    <row r="307" ht="15.6" spans="2:23">
      <c r="F307" s="80" t="s">
        <v>615</v>
      </c>
      <c r="G307" s="99">
        <v>0</v>
      </c>
      <c r="H307" s="99">
        <v>0</v>
      </c>
      <c r="I307" s="99">
        <v>0</v>
      </c>
      <c r="J307"/>
      <c r="K307"/>
      <c r="L307"/>
      <c r="O307" s="80" t="s">
        <v>1363</v>
      </c>
      <c r="P307" s="80" t="s">
        <v>3581</v>
      </c>
      <c r="Q307" s="80" t="s">
        <v>613</v>
      </c>
      <c r="R307" s="80">
        <v>0</v>
      </c>
      <c r="S307" s="80" t="s">
        <v>1176</v>
      </c>
      <c r="T307" s="100">
        <v>1</v>
      </c>
      <c r="U307" s="100">
        <v>0</v>
      </c>
      <c r="V307" s="100">
        <v>0</v>
      </c>
      <c r="W307" s="100">
        <v>0</v>
      </c>
    </row>
    <row r="308" ht="15.6" spans="2:23">
      <c r="F308" s="80" t="s">
        <v>638</v>
      </c>
      <c r="G308" s="99">
        <v>0</v>
      </c>
      <c r="H308" s="99">
        <v>0</v>
      </c>
      <c r="I308" s="99">
        <v>0</v>
      </c>
      <c r="J308"/>
      <c r="K308"/>
      <c r="L308"/>
      <c r="M308" s="80" t="s">
        <v>269</v>
      </c>
      <c r="N308" s="80" t="s">
        <v>270</v>
      </c>
      <c r="O308" s="80" t="s">
        <v>1364</v>
      </c>
      <c r="P308" s="80" t="s">
        <v>270</v>
      </c>
      <c r="Q308" s="80" t="s">
        <v>615</v>
      </c>
      <c r="R308" s="80">
        <v>0</v>
      </c>
      <c r="S308" s="80" t="s">
        <v>1281</v>
      </c>
      <c r="T308" s="100">
        <v>1</v>
      </c>
      <c r="U308" s="100">
        <v>0</v>
      </c>
      <c r="V308" s="100">
        <v>0</v>
      </c>
      <c r="W308" s="100">
        <v>0</v>
      </c>
    </row>
    <row r="309" ht="15.6" spans="2:23">
      <c r="F309" s="80" t="s">
        <v>635</v>
      </c>
      <c r="G309" s="99">
        <v>0</v>
      </c>
      <c r="H309" s="99">
        <v>0</v>
      </c>
      <c r="I309" s="99">
        <v>0</v>
      </c>
      <c r="J309"/>
      <c r="K309"/>
      <c r="L309"/>
      <c r="M309" s="80" t="s">
        <v>271</v>
      </c>
      <c r="N309" s="80" t="s">
        <v>272</v>
      </c>
      <c r="O309" s="80" t="s">
        <v>1365</v>
      </c>
      <c r="P309" s="80" t="s">
        <v>272</v>
      </c>
      <c r="Q309" s="80" t="s">
        <v>615</v>
      </c>
      <c r="R309" s="80">
        <v>0</v>
      </c>
      <c r="S309" s="80" t="s">
        <v>1178</v>
      </c>
      <c r="T309" s="100">
        <v>12</v>
      </c>
      <c r="U309" s="100">
        <v>0</v>
      </c>
      <c r="V309" s="100">
        <v>0</v>
      </c>
      <c r="W309" s="100">
        <v>0</v>
      </c>
    </row>
    <row r="310" ht="15.6" spans="2:23">
      <c r="F310" s="80" t="s">
        <v>639</v>
      </c>
      <c r="G310" s="99">
        <v>0</v>
      </c>
      <c r="H310" s="99">
        <v>0</v>
      </c>
      <c r="I310" s="99">
        <v>0</v>
      </c>
      <c r="J310"/>
      <c r="K310"/>
      <c r="L310"/>
      <c r="M310" s="80" t="s">
        <v>273</v>
      </c>
      <c r="N310" s="80" t="s">
        <v>274</v>
      </c>
      <c r="O310" s="80" t="s">
        <v>1367</v>
      </c>
      <c r="P310" s="80" t="s">
        <v>3585</v>
      </c>
      <c r="Q310" s="80" t="s">
        <v>615</v>
      </c>
      <c r="R310" s="80">
        <v>0</v>
      </c>
      <c r="S310" s="80" t="s">
        <v>1220</v>
      </c>
      <c r="T310" s="100">
        <v>1</v>
      </c>
      <c r="U310" s="100">
        <v>0</v>
      </c>
      <c r="V310" s="100">
        <v>0</v>
      </c>
      <c r="W310" s="100">
        <v>0</v>
      </c>
    </row>
    <row r="311" ht="15.6" spans="2:23">
      <c r="B311" s="80" t="s">
        <v>4550</v>
      </c>
      <c r="G311" s="99">
        <v>0</v>
      </c>
      <c r="H311" s="99">
        <v>0</v>
      </c>
      <c r="I311" s="99">
        <v>0</v>
      </c>
      <c r="J311"/>
      <c r="K311"/>
      <c r="L311"/>
      <c r="O311" s="80" t="s">
        <v>1368</v>
      </c>
      <c r="P311" s="80" t="s">
        <v>3587</v>
      </c>
      <c r="Q311" s="80" t="s">
        <v>615</v>
      </c>
      <c r="R311" s="80">
        <v>0</v>
      </c>
      <c r="S311" s="80" t="s">
        <v>1220</v>
      </c>
      <c r="T311" s="100">
        <v>0</v>
      </c>
      <c r="U311" s="100">
        <v>0</v>
      </c>
      <c r="V311" s="100">
        <v>0</v>
      </c>
      <c r="W311" s="100">
        <v>0</v>
      </c>
    </row>
    <row r="312" ht="15.6" spans="2:23">
      <c r="B312" s="80" t="s">
        <v>269</v>
      </c>
      <c r="C312" s="80" t="s">
        <v>270</v>
      </c>
      <c r="D312" s="80">
        <v>0</v>
      </c>
      <c r="E312" s="80" t="s">
        <v>1178</v>
      </c>
      <c r="F312" s="80" t="s">
        <v>615</v>
      </c>
      <c r="G312" s="99">
        <v>0</v>
      </c>
      <c r="H312" s="99">
        <v>0</v>
      </c>
      <c r="I312" s="99">
        <v>0</v>
      </c>
      <c r="J312"/>
      <c r="K312"/>
      <c r="L312"/>
      <c r="M312" s="80" t="s">
        <v>275</v>
      </c>
      <c r="N312" s="80" t="s">
        <v>276</v>
      </c>
      <c r="O312" s="80" t="s">
        <v>2911</v>
      </c>
      <c r="P312" s="80" t="s">
        <v>3589</v>
      </c>
      <c r="Q312" s="80" t="s">
        <v>631</v>
      </c>
      <c r="R312" s="80">
        <v>0</v>
      </c>
      <c r="S312" s="80" t="s">
        <v>1176</v>
      </c>
      <c r="T312" s="100">
        <v>12</v>
      </c>
      <c r="U312" s="100">
        <v>0</v>
      </c>
      <c r="V312" s="100">
        <v>0</v>
      </c>
      <c r="W312" s="100">
        <v>0</v>
      </c>
    </row>
    <row r="313" ht="15.6" spans="2:23">
      <c r="B313" s="80" t="s">
        <v>4551</v>
      </c>
      <c r="G313" s="99">
        <v>0</v>
      </c>
      <c r="H313" s="99">
        <v>0</v>
      </c>
      <c r="I313" s="99">
        <v>0</v>
      </c>
      <c r="J313"/>
      <c r="K313"/>
      <c r="L313"/>
      <c r="O313" s="80" t="s">
        <v>2912</v>
      </c>
      <c r="P313" s="80" t="s">
        <v>3591</v>
      </c>
      <c r="Q313" s="80" t="s">
        <v>629</v>
      </c>
      <c r="R313" s="80">
        <v>0</v>
      </c>
      <c r="S313" s="80" t="s">
        <v>1176</v>
      </c>
      <c r="T313" s="100">
        <v>1.5</v>
      </c>
      <c r="U313" s="100">
        <v>0</v>
      </c>
      <c r="V313" s="100">
        <v>0</v>
      </c>
      <c r="W313" s="100">
        <v>0</v>
      </c>
    </row>
    <row r="314" ht="15.6" spans="2:23">
      <c r="B314" s="80" t="s">
        <v>271</v>
      </c>
      <c r="C314" s="80" t="s">
        <v>272</v>
      </c>
      <c r="D314" s="80">
        <v>0</v>
      </c>
      <c r="E314" s="80" t="s">
        <v>1178</v>
      </c>
      <c r="F314" s="80" t="s">
        <v>615</v>
      </c>
      <c r="G314" s="99">
        <v>0</v>
      </c>
      <c r="H314" s="99">
        <v>0</v>
      </c>
      <c r="I314" s="99">
        <v>0</v>
      </c>
      <c r="J314"/>
      <c r="K314"/>
      <c r="L314"/>
      <c r="Q314" s="80" t="s">
        <v>633</v>
      </c>
      <c r="R314" s="80">
        <v>0</v>
      </c>
      <c r="S314" s="80" t="s">
        <v>1176</v>
      </c>
      <c r="T314" s="100">
        <v>3</v>
      </c>
      <c r="U314" s="100">
        <v>0</v>
      </c>
      <c r="V314" s="100">
        <v>0</v>
      </c>
      <c r="W314" s="100">
        <v>0</v>
      </c>
    </row>
    <row r="315" ht="15.6" spans="2:23">
      <c r="B315" s="80" t="s">
        <v>4552</v>
      </c>
      <c r="G315" s="99">
        <v>0</v>
      </c>
      <c r="H315" s="99">
        <v>0</v>
      </c>
      <c r="I315" s="99">
        <v>0</v>
      </c>
      <c r="J315"/>
      <c r="K315"/>
      <c r="L315"/>
      <c r="Q315" s="80" t="s">
        <v>615</v>
      </c>
      <c r="R315" s="80">
        <v>0</v>
      </c>
      <c r="S315" s="80" t="s">
        <v>1176</v>
      </c>
      <c r="T315" s="100">
        <v>1</v>
      </c>
      <c r="U315" s="100">
        <v>0</v>
      </c>
      <c r="V315" s="100">
        <v>0</v>
      </c>
      <c r="W315" s="100">
        <v>0</v>
      </c>
    </row>
    <row r="316" ht="15.6" spans="2:23">
      <c r="B316" s="80" t="s">
        <v>273</v>
      </c>
      <c r="C316" s="80" t="s">
        <v>274</v>
      </c>
      <c r="D316" s="80">
        <v>0</v>
      </c>
      <c r="E316" s="80" t="s">
        <v>1220</v>
      </c>
      <c r="F316" s="80" t="s">
        <v>615</v>
      </c>
      <c r="G316" s="99">
        <v>0</v>
      </c>
      <c r="H316" s="99">
        <v>0</v>
      </c>
      <c r="I316" s="99">
        <v>0</v>
      </c>
      <c r="J316"/>
      <c r="K316"/>
      <c r="L316"/>
      <c r="Q316" s="80" t="s">
        <v>599</v>
      </c>
      <c r="R316" s="80">
        <v>0</v>
      </c>
      <c r="S316" s="80" t="s">
        <v>1176</v>
      </c>
      <c r="T316" s="100">
        <v>1</v>
      </c>
      <c r="U316" s="100">
        <v>0</v>
      </c>
      <c r="V316" s="100">
        <v>0</v>
      </c>
      <c r="W316" s="100">
        <v>0</v>
      </c>
    </row>
    <row r="317" ht="15.6" spans="2:23">
      <c r="B317" s="80" t="s">
        <v>4553</v>
      </c>
      <c r="G317" s="99">
        <v>0</v>
      </c>
      <c r="H317" s="99">
        <v>0</v>
      </c>
      <c r="I317" s="99">
        <v>0</v>
      </c>
      <c r="J317"/>
      <c r="K317"/>
      <c r="L317"/>
      <c r="O317" s="80" t="s">
        <v>2914</v>
      </c>
      <c r="P317" s="80" t="s">
        <v>3593</v>
      </c>
      <c r="Q317" s="80" t="s">
        <v>631</v>
      </c>
      <c r="R317" s="80">
        <v>0</v>
      </c>
      <c r="S317" s="80" t="s">
        <v>1176</v>
      </c>
      <c r="T317" s="100">
        <v>15.75</v>
      </c>
      <c r="U317" s="100">
        <v>0</v>
      </c>
      <c r="V317" s="100">
        <v>0</v>
      </c>
      <c r="W317" s="100">
        <v>0</v>
      </c>
    </row>
    <row r="318" ht="15.6" spans="2:23">
      <c r="B318" s="80" t="s">
        <v>275</v>
      </c>
      <c r="C318" s="80" t="s">
        <v>276</v>
      </c>
      <c r="D318" s="80">
        <v>0</v>
      </c>
      <c r="E318" s="80" t="s">
        <v>1176</v>
      </c>
      <c r="F318" s="80" t="s">
        <v>627</v>
      </c>
      <c r="G318" s="99">
        <v>0</v>
      </c>
      <c r="H318" s="99">
        <v>0</v>
      </c>
      <c r="I318" s="99">
        <v>0</v>
      </c>
      <c r="J318"/>
      <c r="K318"/>
      <c r="L318"/>
      <c r="O318" s="80" t="s">
        <v>2915</v>
      </c>
      <c r="P318" s="80" t="s">
        <v>3596</v>
      </c>
      <c r="Q318" s="80" t="s">
        <v>633</v>
      </c>
      <c r="R318" s="80">
        <v>0</v>
      </c>
      <c r="S318" s="80" t="s">
        <v>1176</v>
      </c>
      <c r="T318" s="100">
        <v>3.75</v>
      </c>
      <c r="U318" s="100">
        <v>0</v>
      </c>
      <c r="V318" s="100">
        <v>0</v>
      </c>
      <c r="W318" s="100">
        <v>0</v>
      </c>
    </row>
    <row r="319" ht="15.6" spans="2:23">
      <c r="F319" s="80" t="s">
        <v>629</v>
      </c>
      <c r="G319" s="99">
        <v>0</v>
      </c>
      <c r="H319" s="99">
        <v>0</v>
      </c>
      <c r="I319" s="99">
        <v>0</v>
      </c>
      <c r="J319"/>
      <c r="K319"/>
      <c r="L319"/>
      <c r="Q319" s="80" t="s">
        <v>615</v>
      </c>
      <c r="R319" s="80">
        <v>0</v>
      </c>
      <c r="S319" s="80" t="s">
        <v>1176</v>
      </c>
      <c r="T319" s="100">
        <v>0</v>
      </c>
      <c r="U319" s="100">
        <v>0</v>
      </c>
      <c r="V319" s="100">
        <v>0</v>
      </c>
      <c r="W319" s="100">
        <v>0</v>
      </c>
    </row>
    <row r="320" ht="15.6" spans="2:23">
      <c r="F320" s="80" t="s">
        <v>631</v>
      </c>
      <c r="G320" s="99">
        <v>0</v>
      </c>
      <c r="H320" s="99">
        <v>0</v>
      </c>
      <c r="I320" s="99">
        <v>0</v>
      </c>
      <c r="J320"/>
      <c r="K320"/>
      <c r="L320"/>
      <c r="O320" s="80" t="s">
        <v>2916</v>
      </c>
      <c r="P320" s="80" t="s">
        <v>3598</v>
      </c>
      <c r="Q320" s="80" t="s">
        <v>631</v>
      </c>
      <c r="R320" s="80">
        <v>0</v>
      </c>
      <c r="S320" s="80" t="s">
        <v>1380</v>
      </c>
      <c r="T320" s="100">
        <v>0.1125</v>
      </c>
      <c r="U320" s="100">
        <v>0</v>
      </c>
      <c r="V320" s="100">
        <v>0</v>
      </c>
      <c r="W320" s="100">
        <v>0</v>
      </c>
    </row>
    <row r="321" ht="15.6" spans="2:23">
      <c r="F321" s="80" t="s">
        <v>633</v>
      </c>
      <c r="G321" s="99">
        <v>0</v>
      </c>
      <c r="H321" s="99">
        <v>0</v>
      </c>
      <c r="I321" s="99">
        <v>0</v>
      </c>
      <c r="J321"/>
      <c r="K321"/>
      <c r="L321"/>
      <c r="O321" s="80" t="s">
        <v>2917</v>
      </c>
      <c r="P321" s="80" t="s">
        <v>3600</v>
      </c>
      <c r="Q321" s="80" t="s">
        <v>629</v>
      </c>
      <c r="R321" s="80">
        <v>0</v>
      </c>
      <c r="S321" s="80" t="s">
        <v>1380</v>
      </c>
      <c r="T321" s="100">
        <v>0.0375</v>
      </c>
      <c r="U321" s="100">
        <v>0</v>
      </c>
      <c r="V321" s="100">
        <v>0</v>
      </c>
      <c r="W321" s="100">
        <v>0</v>
      </c>
    </row>
    <row r="322" ht="15.6" spans="2:23">
      <c r="F322" s="80" t="s">
        <v>615</v>
      </c>
      <c r="G322" s="99">
        <v>0</v>
      </c>
      <c r="H322" s="99">
        <v>0</v>
      </c>
      <c r="I322" s="99">
        <v>0</v>
      </c>
      <c r="J322"/>
      <c r="K322"/>
      <c r="L322"/>
      <c r="Q322" s="80" t="s">
        <v>633</v>
      </c>
      <c r="R322" s="80">
        <v>0</v>
      </c>
      <c r="S322" s="80" t="s">
        <v>1380</v>
      </c>
      <c r="T322" s="100">
        <v>0.0375</v>
      </c>
      <c r="U322" s="100">
        <v>0</v>
      </c>
      <c r="V322" s="100">
        <v>0</v>
      </c>
      <c r="W322" s="100">
        <v>0</v>
      </c>
    </row>
    <row r="323" ht="15.6" spans="2:23">
      <c r="F323" s="80" t="s">
        <v>599</v>
      </c>
      <c r="G323" s="99">
        <v>0</v>
      </c>
      <c r="H323" s="99">
        <v>0</v>
      </c>
      <c r="I323" s="99">
        <v>0</v>
      </c>
      <c r="J323"/>
      <c r="K323"/>
      <c r="L323"/>
      <c r="Q323" s="80" t="s">
        <v>615</v>
      </c>
      <c r="R323" s="80">
        <v>0</v>
      </c>
      <c r="S323" s="80" t="s">
        <v>1176</v>
      </c>
      <c r="T323" s="100">
        <v>1</v>
      </c>
      <c r="U323" s="100">
        <v>0</v>
      </c>
      <c r="V323" s="100">
        <v>0</v>
      </c>
      <c r="W323" s="100">
        <v>0</v>
      </c>
    </row>
    <row r="324" ht="15.6" spans="2:23">
      <c r="F324" s="80" t="s">
        <v>620</v>
      </c>
      <c r="G324" s="99">
        <v>0</v>
      </c>
      <c r="H324" s="99">
        <v>0</v>
      </c>
      <c r="I324" s="99">
        <v>0</v>
      </c>
      <c r="J324"/>
      <c r="K324"/>
      <c r="L324"/>
      <c r="Q324" s="80" t="s">
        <v>639</v>
      </c>
      <c r="R324" s="80">
        <v>0</v>
      </c>
      <c r="S324" s="80" t="s">
        <v>1176</v>
      </c>
      <c r="T324" s="100">
        <v>0</v>
      </c>
      <c r="U324" s="100">
        <v>0</v>
      </c>
      <c r="V324" s="100">
        <v>0</v>
      </c>
      <c r="W324" s="100">
        <v>0</v>
      </c>
    </row>
    <row r="325" ht="15.6" spans="2:23">
      <c r="F325" s="80" t="s">
        <v>639</v>
      </c>
      <c r="G325" s="99">
        <v>0</v>
      </c>
      <c r="H325" s="99">
        <v>0</v>
      </c>
      <c r="I325" s="99">
        <v>0</v>
      </c>
      <c r="J325"/>
      <c r="K325"/>
      <c r="L325"/>
      <c r="O325" s="80" t="s">
        <v>2918</v>
      </c>
      <c r="P325" s="80" t="s">
        <v>3603</v>
      </c>
      <c r="Q325" s="80" t="s">
        <v>633</v>
      </c>
      <c r="R325" s="80">
        <v>0</v>
      </c>
      <c r="S325" s="80" t="s">
        <v>1178</v>
      </c>
      <c r="T325" s="100">
        <v>2</v>
      </c>
      <c r="U325" s="100">
        <v>0</v>
      </c>
      <c r="V325" s="100">
        <v>0</v>
      </c>
      <c r="W325" s="100">
        <v>0</v>
      </c>
    </row>
    <row r="326" ht="15.6" spans="2:23">
      <c r="B326" s="80" t="s">
        <v>4554</v>
      </c>
      <c r="G326" s="99">
        <v>0</v>
      </c>
      <c r="H326" s="99">
        <v>0</v>
      </c>
      <c r="I326" s="99">
        <v>0</v>
      </c>
      <c r="J326"/>
      <c r="K326"/>
      <c r="L326"/>
      <c r="O326" s="80" t="s">
        <v>2923</v>
      </c>
      <c r="P326" s="80" t="s">
        <v>3605</v>
      </c>
      <c r="Q326" s="80" t="s">
        <v>633</v>
      </c>
      <c r="R326" s="80">
        <v>0</v>
      </c>
      <c r="S326" s="80" t="s">
        <v>1176</v>
      </c>
      <c r="T326" s="100">
        <v>3</v>
      </c>
      <c r="U326" s="100">
        <v>0</v>
      </c>
      <c r="V326" s="100">
        <v>0</v>
      </c>
      <c r="W326" s="100">
        <v>0</v>
      </c>
    </row>
    <row r="327" ht="15.6" spans="2:23">
      <c r="B327" s="80" t="s">
        <v>277</v>
      </c>
      <c r="C327" s="80" t="s">
        <v>278</v>
      </c>
      <c r="D327" s="80">
        <v>0</v>
      </c>
      <c r="E327" s="80" t="s">
        <v>1187</v>
      </c>
      <c r="F327" s="80" t="s">
        <v>629</v>
      </c>
      <c r="G327" s="99">
        <v>0</v>
      </c>
      <c r="H327" s="99">
        <v>0</v>
      </c>
      <c r="I327" s="99">
        <v>0</v>
      </c>
      <c r="J327"/>
      <c r="K327"/>
      <c r="L327"/>
      <c r="O327" s="80" t="s">
        <v>3607</v>
      </c>
      <c r="P327" s="80" t="s">
        <v>3608</v>
      </c>
      <c r="Q327" s="80" t="s">
        <v>620</v>
      </c>
      <c r="R327" s="80">
        <v>0</v>
      </c>
      <c r="S327" s="80" t="s">
        <v>1176</v>
      </c>
      <c r="T327" s="100">
        <v>2</v>
      </c>
      <c r="U327" s="100">
        <v>0</v>
      </c>
      <c r="V327" s="100">
        <v>0</v>
      </c>
      <c r="W327" s="100">
        <v>0</v>
      </c>
    </row>
    <row r="328" ht="15.6" spans="2:23">
      <c r="F328" s="80" t="s">
        <v>631</v>
      </c>
      <c r="G328" s="99">
        <v>0</v>
      </c>
      <c r="H328" s="99">
        <v>0</v>
      </c>
      <c r="I328" s="99">
        <v>0</v>
      </c>
      <c r="J328"/>
      <c r="K328"/>
      <c r="L328"/>
      <c r="O328" s="80" t="s">
        <v>2924</v>
      </c>
      <c r="P328" s="80" t="s">
        <v>3610</v>
      </c>
      <c r="Q328" s="80" t="s">
        <v>633</v>
      </c>
      <c r="R328" s="80">
        <v>0</v>
      </c>
      <c r="S328" s="80" t="s">
        <v>1176</v>
      </c>
      <c r="T328" s="100">
        <v>1.5</v>
      </c>
      <c r="U328" s="100">
        <v>0</v>
      </c>
      <c r="V328" s="100">
        <v>0</v>
      </c>
      <c r="W328" s="100">
        <v>0</v>
      </c>
    </row>
    <row r="329" ht="15.6" spans="2:23">
      <c r="F329" s="80" t="s">
        <v>633</v>
      </c>
      <c r="G329" s="99">
        <v>0</v>
      </c>
      <c r="H329" s="99">
        <v>0</v>
      </c>
      <c r="I329" s="99">
        <v>0</v>
      </c>
      <c r="J329"/>
      <c r="K329"/>
      <c r="L329"/>
      <c r="O329" s="80" t="s">
        <v>2925</v>
      </c>
      <c r="P329" s="80" t="s">
        <v>3612</v>
      </c>
      <c r="Q329" s="80" t="s">
        <v>627</v>
      </c>
      <c r="R329" s="80">
        <v>0</v>
      </c>
      <c r="S329" s="80" t="s">
        <v>1176</v>
      </c>
      <c r="T329" s="100">
        <v>0.75</v>
      </c>
      <c r="U329" s="100">
        <v>0</v>
      </c>
      <c r="V329" s="100">
        <v>0</v>
      </c>
      <c r="W329" s="100">
        <v>0</v>
      </c>
    </row>
    <row r="330" ht="15.6" spans="2:23">
      <c r="F330" s="80" t="s">
        <v>639</v>
      </c>
      <c r="G330" s="99">
        <v>0</v>
      </c>
      <c r="H330" s="99">
        <v>0</v>
      </c>
      <c r="I330" s="99">
        <v>0</v>
      </c>
      <c r="J330"/>
      <c r="K330"/>
      <c r="L330"/>
      <c r="O330" s="80" t="s">
        <v>2926</v>
      </c>
      <c r="P330" s="80" t="s">
        <v>3614</v>
      </c>
      <c r="Q330" s="80" t="s">
        <v>627</v>
      </c>
      <c r="R330" s="80">
        <v>0</v>
      </c>
      <c r="S330" s="80" t="s">
        <v>1176</v>
      </c>
      <c r="T330" s="100">
        <v>1.5</v>
      </c>
      <c r="U330" s="100">
        <v>0</v>
      </c>
      <c r="V330" s="100">
        <v>0</v>
      </c>
      <c r="W330" s="100">
        <v>0</v>
      </c>
    </row>
    <row r="331" ht="15.6" spans="2:23">
      <c r="B331" s="80" t="s">
        <v>4555</v>
      </c>
      <c r="G331" s="99">
        <v>0</v>
      </c>
      <c r="H331" s="99">
        <v>0</v>
      </c>
      <c r="I331" s="99">
        <v>0</v>
      </c>
      <c r="J331"/>
      <c r="K331"/>
      <c r="L331"/>
      <c r="O331" s="80" t="s">
        <v>2927</v>
      </c>
      <c r="P331" s="80" t="s">
        <v>3616</v>
      </c>
      <c r="Q331" s="80" t="s">
        <v>633</v>
      </c>
      <c r="R331" s="80">
        <v>0</v>
      </c>
      <c r="S331" s="80" t="s">
        <v>1176</v>
      </c>
      <c r="T331" s="100">
        <v>0.75</v>
      </c>
      <c r="U331" s="100">
        <v>0</v>
      </c>
      <c r="V331" s="100">
        <v>0</v>
      </c>
      <c r="W331" s="100">
        <v>0</v>
      </c>
    </row>
    <row r="332" ht="15.6" spans="2:23">
      <c r="B332" s="80" t="s">
        <v>279</v>
      </c>
      <c r="C332" s="80" t="s">
        <v>280</v>
      </c>
      <c r="D332" s="80">
        <v>0</v>
      </c>
      <c r="E332" s="80" t="s">
        <v>1380</v>
      </c>
      <c r="F332" s="80" t="s">
        <v>629</v>
      </c>
      <c r="G332" s="99">
        <v>0</v>
      </c>
      <c r="H332" s="99">
        <v>0</v>
      </c>
      <c r="I332" s="99">
        <v>0</v>
      </c>
      <c r="J332"/>
      <c r="K332"/>
      <c r="L332"/>
      <c r="M332" s="80" t="s">
        <v>277</v>
      </c>
      <c r="N332" s="80" t="s">
        <v>278</v>
      </c>
      <c r="O332" s="80" t="s">
        <v>1385</v>
      </c>
      <c r="P332" s="80" t="s">
        <v>4556</v>
      </c>
      <c r="Q332" s="80" t="s">
        <v>629</v>
      </c>
      <c r="R332" s="80">
        <v>0</v>
      </c>
      <c r="S332" s="80" t="s">
        <v>1281</v>
      </c>
      <c r="T332" s="100">
        <v>9</v>
      </c>
      <c r="U332" s="100">
        <v>0</v>
      </c>
      <c r="V332" s="100">
        <v>0</v>
      </c>
      <c r="W332" s="100">
        <v>0</v>
      </c>
    </row>
    <row r="333" ht="15.6" spans="2:23">
      <c r="F333" s="80" t="s">
        <v>631</v>
      </c>
      <c r="G333" s="99">
        <v>0</v>
      </c>
      <c r="H333" s="99">
        <v>0</v>
      </c>
      <c r="I333" s="99">
        <v>0</v>
      </c>
      <c r="J333"/>
      <c r="K333"/>
      <c r="L333"/>
      <c r="O333" s="80" t="s">
        <v>2928</v>
      </c>
      <c r="P333" s="80" t="s">
        <v>3620</v>
      </c>
      <c r="Q333" s="80" t="s">
        <v>629</v>
      </c>
      <c r="R333" s="80">
        <v>0</v>
      </c>
      <c r="S333" s="80" t="s">
        <v>1281</v>
      </c>
      <c r="T333" s="100">
        <v>3</v>
      </c>
      <c r="U333" s="100">
        <v>0</v>
      </c>
      <c r="V333" s="100">
        <v>0</v>
      </c>
      <c r="W333" s="100">
        <v>0</v>
      </c>
    </row>
    <row r="334" ht="15.6" spans="2:23">
      <c r="B334" s="80" t="s">
        <v>4557</v>
      </c>
      <c r="G334" s="99">
        <v>0</v>
      </c>
      <c r="H334" s="99">
        <v>0</v>
      </c>
      <c r="I334" s="99">
        <v>0</v>
      </c>
      <c r="J334"/>
      <c r="K334"/>
      <c r="L334"/>
      <c r="O334" s="80" t="s">
        <v>1389</v>
      </c>
      <c r="P334" s="80" t="s">
        <v>3624</v>
      </c>
      <c r="Q334" s="80" t="s">
        <v>629</v>
      </c>
      <c r="R334" s="80">
        <v>0</v>
      </c>
      <c r="S334" s="80" t="s">
        <v>1178</v>
      </c>
      <c r="T334" s="100">
        <v>9</v>
      </c>
      <c r="U334" s="100">
        <v>0</v>
      </c>
      <c r="V334" s="100">
        <v>0</v>
      </c>
      <c r="W334" s="100">
        <v>0</v>
      </c>
    </row>
    <row r="335" ht="15.6" spans="2:23">
      <c r="B335" s="80" t="s">
        <v>281</v>
      </c>
      <c r="C335" s="80" t="s">
        <v>282</v>
      </c>
      <c r="D335" s="80">
        <v>0</v>
      </c>
      <c r="E335" s="80" t="s">
        <v>1178</v>
      </c>
      <c r="F335" s="80" t="s">
        <v>629</v>
      </c>
      <c r="G335" s="99">
        <v>0</v>
      </c>
      <c r="H335" s="99">
        <v>0</v>
      </c>
      <c r="I335" s="99">
        <v>0</v>
      </c>
      <c r="J335"/>
      <c r="K335"/>
      <c r="L335"/>
      <c r="O335" s="80" t="s">
        <v>2929</v>
      </c>
      <c r="P335" s="80" t="s">
        <v>3627</v>
      </c>
      <c r="Q335" s="80" t="s">
        <v>629</v>
      </c>
      <c r="R335" s="80">
        <v>0</v>
      </c>
      <c r="S335" s="80" t="s">
        <v>1187</v>
      </c>
      <c r="T335" s="100">
        <v>0.75</v>
      </c>
      <c r="U335" s="100">
        <v>0</v>
      </c>
      <c r="V335" s="100">
        <v>0</v>
      </c>
      <c r="W335" s="100">
        <v>0</v>
      </c>
    </row>
    <row r="336" ht="15.6" spans="2:23">
      <c r="F336" s="80" t="s">
        <v>631</v>
      </c>
      <c r="G336" s="99">
        <v>0</v>
      </c>
      <c r="H336" s="99">
        <v>0</v>
      </c>
      <c r="I336" s="99">
        <v>0</v>
      </c>
      <c r="J336"/>
      <c r="K336"/>
      <c r="L336"/>
      <c r="O336" s="80" t="s">
        <v>2930</v>
      </c>
      <c r="P336" s="80" t="s">
        <v>3631</v>
      </c>
      <c r="Q336" s="80" t="s">
        <v>629</v>
      </c>
      <c r="R336" s="80">
        <v>0</v>
      </c>
      <c r="S336" s="80" t="s">
        <v>1187</v>
      </c>
      <c r="T336" s="100">
        <v>0.15</v>
      </c>
      <c r="U336" s="100">
        <v>0</v>
      </c>
      <c r="V336" s="100">
        <v>0</v>
      </c>
      <c r="W336" s="100">
        <v>0</v>
      </c>
    </row>
    <row r="337" ht="15.6" spans="2:23">
      <c r="F337" s="80" t="s">
        <v>633</v>
      </c>
      <c r="G337" s="99">
        <v>0</v>
      </c>
      <c r="H337" s="99">
        <v>0</v>
      </c>
      <c r="I337" s="99">
        <v>0</v>
      </c>
      <c r="J337"/>
      <c r="K337"/>
      <c r="L337"/>
      <c r="O337" s="80" t="s">
        <v>2931</v>
      </c>
      <c r="P337" s="80" t="s">
        <v>3632</v>
      </c>
      <c r="Q337" s="80" t="s">
        <v>629</v>
      </c>
      <c r="R337" s="80">
        <v>0</v>
      </c>
      <c r="S337" s="80" t="s">
        <v>1187</v>
      </c>
      <c r="T337" s="100">
        <v>0.15</v>
      </c>
      <c r="U337" s="100">
        <v>0</v>
      </c>
      <c r="V337" s="100">
        <v>0</v>
      </c>
      <c r="W337" s="100">
        <v>0</v>
      </c>
    </row>
    <row r="338" ht="15.6" spans="2:23">
      <c r="B338" s="80" t="s">
        <v>4558</v>
      </c>
      <c r="G338" s="99">
        <v>0</v>
      </c>
      <c r="H338" s="99">
        <v>0</v>
      </c>
      <c r="I338" s="99">
        <v>0</v>
      </c>
      <c r="J338"/>
      <c r="K338"/>
      <c r="L338"/>
      <c r="O338" s="80" t="s">
        <v>2932</v>
      </c>
      <c r="P338" s="80" t="s">
        <v>3633</v>
      </c>
      <c r="Q338" s="80" t="s">
        <v>629</v>
      </c>
      <c r="R338" s="80">
        <v>0</v>
      </c>
      <c r="S338" s="80" t="s">
        <v>1187</v>
      </c>
      <c r="T338" s="100">
        <v>0.075</v>
      </c>
      <c r="U338" s="100">
        <v>0</v>
      </c>
      <c r="V338" s="100">
        <v>0</v>
      </c>
      <c r="W338" s="100">
        <v>0</v>
      </c>
    </row>
    <row r="339" ht="15.6" spans="2:23">
      <c r="B339" s="80" t="s">
        <v>283</v>
      </c>
      <c r="C339" s="80" t="s">
        <v>284</v>
      </c>
      <c r="D339" s="80">
        <v>0</v>
      </c>
      <c r="E339" s="80" t="s">
        <v>1281</v>
      </c>
      <c r="F339" s="80" t="s">
        <v>629</v>
      </c>
      <c r="G339" s="99">
        <v>0</v>
      </c>
      <c r="H339" s="99">
        <v>0</v>
      </c>
      <c r="I339" s="99">
        <v>0</v>
      </c>
      <c r="J339"/>
      <c r="K339"/>
      <c r="L339"/>
      <c r="O339" s="80" t="s">
        <v>2933</v>
      </c>
      <c r="P339" s="80" t="s">
        <v>3636</v>
      </c>
      <c r="Q339" s="80" t="s">
        <v>631</v>
      </c>
      <c r="R339" s="80">
        <v>0</v>
      </c>
      <c r="S339" s="80" t="s">
        <v>1187</v>
      </c>
      <c r="T339" s="100">
        <v>0.225</v>
      </c>
      <c r="U339" s="100">
        <v>0</v>
      </c>
      <c r="V339" s="100">
        <v>0</v>
      </c>
      <c r="W339" s="100">
        <v>0</v>
      </c>
    </row>
    <row r="340" ht="15.6" spans="2:23">
      <c r="F340" s="80" t="s">
        <v>631</v>
      </c>
      <c r="G340" s="99">
        <v>0</v>
      </c>
      <c r="H340" s="99">
        <v>0</v>
      </c>
      <c r="I340" s="99">
        <v>0</v>
      </c>
      <c r="J340"/>
      <c r="K340"/>
      <c r="L340"/>
      <c r="O340" s="80" t="s">
        <v>2934</v>
      </c>
      <c r="P340" s="80" t="s">
        <v>3638</v>
      </c>
      <c r="Q340" s="80" t="s">
        <v>631</v>
      </c>
      <c r="R340" s="80">
        <v>0</v>
      </c>
      <c r="S340" s="80" t="s">
        <v>1187</v>
      </c>
      <c r="T340" s="100">
        <v>0.15</v>
      </c>
      <c r="U340" s="100">
        <v>0</v>
      </c>
      <c r="V340" s="100">
        <v>0</v>
      </c>
      <c r="W340" s="100">
        <v>0</v>
      </c>
    </row>
    <row r="341" ht="15.6" spans="2:23">
      <c r="F341" s="80" t="s">
        <v>633</v>
      </c>
      <c r="G341" s="99">
        <v>0</v>
      </c>
      <c r="H341" s="99">
        <v>0</v>
      </c>
      <c r="I341" s="99">
        <v>0</v>
      </c>
      <c r="J341"/>
      <c r="K341"/>
      <c r="L341"/>
      <c r="O341" s="80" t="s">
        <v>1390</v>
      </c>
      <c r="P341" s="80" t="s">
        <v>3640</v>
      </c>
      <c r="Q341" s="80" t="s">
        <v>629</v>
      </c>
      <c r="R341" s="80">
        <v>0</v>
      </c>
      <c r="S341" s="80" t="s">
        <v>1178</v>
      </c>
      <c r="T341" s="100">
        <v>4.5</v>
      </c>
      <c r="U341" s="100">
        <v>0</v>
      </c>
      <c r="V341" s="100">
        <v>0</v>
      </c>
      <c r="W341" s="100">
        <v>0</v>
      </c>
    </row>
    <row r="342" ht="15.6" spans="2:23">
      <c r="F342" s="80" t="s">
        <v>639</v>
      </c>
      <c r="G342" s="99">
        <v>0</v>
      </c>
      <c r="H342" s="99">
        <v>0</v>
      </c>
      <c r="I342" s="99">
        <v>0</v>
      </c>
      <c r="J342"/>
      <c r="K342"/>
      <c r="L342"/>
      <c r="O342" s="80" t="s">
        <v>1391</v>
      </c>
      <c r="P342" s="80" t="s">
        <v>3643</v>
      </c>
      <c r="Q342" s="80" t="s">
        <v>631</v>
      </c>
      <c r="R342" s="80">
        <v>0</v>
      </c>
      <c r="S342" s="80" t="s">
        <v>1178</v>
      </c>
      <c r="T342" s="100">
        <v>1.5</v>
      </c>
      <c r="U342" s="100">
        <v>0</v>
      </c>
      <c r="V342" s="100">
        <v>0</v>
      </c>
      <c r="W342" s="100">
        <v>0</v>
      </c>
    </row>
    <row r="343" ht="15.6" spans="2:23">
      <c r="B343" s="80" t="s">
        <v>4559</v>
      </c>
      <c r="G343" s="99">
        <v>0</v>
      </c>
      <c r="H343" s="99">
        <v>0</v>
      </c>
      <c r="I343" s="99">
        <v>0</v>
      </c>
      <c r="J343"/>
      <c r="K343"/>
      <c r="L343"/>
      <c r="O343" s="80" t="s">
        <v>2935</v>
      </c>
      <c r="P343" s="80" t="s">
        <v>3646</v>
      </c>
      <c r="Q343" s="80" t="s">
        <v>631</v>
      </c>
      <c r="R343" s="80">
        <v>0</v>
      </c>
      <c r="S343" s="80" t="s">
        <v>1281</v>
      </c>
      <c r="T343" s="100">
        <v>3</v>
      </c>
      <c r="U343" s="100">
        <v>0</v>
      </c>
      <c r="V343" s="100">
        <v>0</v>
      </c>
      <c r="W343" s="100">
        <v>0</v>
      </c>
    </row>
    <row r="344" ht="15.6" spans="2:23">
      <c r="B344" s="80" t="s">
        <v>285</v>
      </c>
      <c r="C344" s="80" t="s">
        <v>286</v>
      </c>
      <c r="D344" s="80">
        <v>0</v>
      </c>
      <c r="E344" s="80" t="s">
        <v>1380</v>
      </c>
      <c r="F344" s="80" t="s">
        <v>631</v>
      </c>
      <c r="G344" s="99">
        <v>0</v>
      </c>
      <c r="H344" s="99">
        <v>0</v>
      </c>
      <c r="I344" s="99">
        <v>0</v>
      </c>
      <c r="J344"/>
      <c r="K344"/>
      <c r="L344"/>
      <c r="O344" s="80" t="s">
        <v>2936</v>
      </c>
      <c r="P344" s="80" t="s">
        <v>3649</v>
      </c>
      <c r="Q344" s="80" t="s">
        <v>631</v>
      </c>
      <c r="R344" s="80">
        <v>0</v>
      </c>
      <c r="S344" s="80" t="s">
        <v>1281</v>
      </c>
      <c r="T344" s="100">
        <v>1.5</v>
      </c>
      <c r="U344" s="100">
        <v>0</v>
      </c>
      <c r="V344" s="100">
        <v>0</v>
      </c>
      <c r="W344" s="100">
        <v>0</v>
      </c>
    </row>
    <row r="345" ht="15.6" spans="2:23">
      <c r="B345" s="80" t="s">
        <v>4560</v>
      </c>
      <c r="G345" s="99">
        <v>0</v>
      </c>
      <c r="H345" s="99">
        <v>0</v>
      </c>
      <c r="I345" s="99">
        <v>0</v>
      </c>
      <c r="J345"/>
      <c r="K345"/>
      <c r="L345"/>
      <c r="O345" s="80" t="s">
        <v>1392</v>
      </c>
      <c r="P345" s="80" t="s">
        <v>3651</v>
      </c>
      <c r="Q345" s="80" t="s">
        <v>631</v>
      </c>
      <c r="R345" s="80">
        <v>0</v>
      </c>
      <c r="S345" s="80" t="s">
        <v>1178</v>
      </c>
      <c r="T345" s="100">
        <v>0.75</v>
      </c>
      <c r="U345" s="100">
        <v>0</v>
      </c>
      <c r="V345" s="100">
        <v>0</v>
      </c>
      <c r="W345" s="100">
        <v>0</v>
      </c>
    </row>
    <row r="346" ht="15.6" spans="2:23">
      <c r="B346" s="80" t="s">
        <v>287</v>
      </c>
      <c r="C346" s="80" t="s">
        <v>288</v>
      </c>
      <c r="D346" s="80">
        <v>0</v>
      </c>
      <c r="E346" s="80" t="s">
        <v>1380</v>
      </c>
      <c r="F346" s="80" t="s">
        <v>629</v>
      </c>
      <c r="G346" s="99">
        <v>0</v>
      </c>
      <c r="H346" s="99">
        <v>0</v>
      </c>
      <c r="I346" s="99">
        <v>0</v>
      </c>
      <c r="J346"/>
      <c r="K346"/>
      <c r="L346"/>
      <c r="O346" s="80" t="s">
        <v>1393</v>
      </c>
      <c r="P346" s="80" t="s">
        <v>3653</v>
      </c>
      <c r="Q346" s="80" t="s">
        <v>629</v>
      </c>
      <c r="R346" s="80">
        <v>0</v>
      </c>
      <c r="S346" s="80" t="s">
        <v>1178</v>
      </c>
      <c r="T346" s="100">
        <v>0.75</v>
      </c>
      <c r="U346" s="100">
        <v>0</v>
      </c>
      <c r="V346" s="100">
        <v>0</v>
      </c>
      <c r="W346" s="100">
        <v>0</v>
      </c>
    </row>
    <row r="347" ht="15.6" spans="2:23">
      <c r="F347" s="80" t="s">
        <v>631</v>
      </c>
      <c r="G347" s="99">
        <v>0</v>
      </c>
      <c r="H347" s="99">
        <v>0</v>
      </c>
      <c r="I347" s="99">
        <v>0</v>
      </c>
      <c r="J347"/>
      <c r="K347"/>
      <c r="L347"/>
      <c r="O347" s="80" t="s">
        <v>1394</v>
      </c>
      <c r="P347" s="80" t="s">
        <v>4561</v>
      </c>
      <c r="Q347" s="80" t="s">
        <v>633</v>
      </c>
      <c r="R347" s="80">
        <v>0</v>
      </c>
      <c r="S347" s="80" t="s">
        <v>1178</v>
      </c>
      <c r="T347" s="100">
        <v>2</v>
      </c>
      <c r="U347" s="100">
        <v>0</v>
      </c>
      <c r="V347" s="100">
        <v>0</v>
      </c>
      <c r="W347" s="100">
        <v>0</v>
      </c>
    </row>
    <row r="348" ht="15.6" spans="2:23">
      <c r="F348" s="80" t="s">
        <v>633</v>
      </c>
      <c r="G348" s="99">
        <v>0</v>
      </c>
      <c r="H348" s="99">
        <v>0</v>
      </c>
      <c r="I348" s="99">
        <v>0</v>
      </c>
      <c r="J348"/>
      <c r="K348"/>
      <c r="L348"/>
      <c r="Q348" s="80" t="s">
        <v>639</v>
      </c>
      <c r="R348" s="80">
        <v>0</v>
      </c>
      <c r="S348" s="80" t="s">
        <v>1178</v>
      </c>
      <c r="T348" s="100">
        <v>1</v>
      </c>
      <c r="U348" s="100">
        <v>0</v>
      </c>
      <c r="V348" s="100">
        <v>0</v>
      </c>
      <c r="W348" s="100">
        <v>0</v>
      </c>
    </row>
    <row r="349" ht="15.6" spans="2:23">
      <c r="B349" s="80" t="s">
        <v>4562</v>
      </c>
      <c r="G349" s="99">
        <v>0</v>
      </c>
      <c r="H349" s="99">
        <v>0</v>
      </c>
      <c r="I349" s="99">
        <v>0</v>
      </c>
      <c r="J349"/>
      <c r="K349"/>
      <c r="L349"/>
      <c r="M349" s="80" t="s">
        <v>279</v>
      </c>
      <c r="N349" s="80" t="s">
        <v>280</v>
      </c>
      <c r="O349" s="80" t="s">
        <v>1395</v>
      </c>
      <c r="P349" s="80" t="s">
        <v>3659</v>
      </c>
      <c r="Q349" s="80" t="s">
        <v>629</v>
      </c>
      <c r="R349" s="80">
        <v>0</v>
      </c>
      <c r="S349" s="80" t="s">
        <v>1380</v>
      </c>
      <c r="T349" s="100">
        <v>0.075</v>
      </c>
      <c r="U349" s="100">
        <v>0</v>
      </c>
      <c r="V349" s="100">
        <v>0</v>
      </c>
      <c r="W349" s="100">
        <v>0</v>
      </c>
    </row>
    <row r="350" ht="15.6" spans="2:23">
      <c r="B350" s="80" t="s">
        <v>289</v>
      </c>
      <c r="C350" s="80" t="s">
        <v>290</v>
      </c>
      <c r="D350" s="80">
        <v>0</v>
      </c>
      <c r="E350" s="80" t="s">
        <v>1178</v>
      </c>
      <c r="F350" s="80" t="s">
        <v>629</v>
      </c>
      <c r="G350" s="99">
        <v>0</v>
      </c>
      <c r="H350" s="99">
        <v>0</v>
      </c>
      <c r="I350" s="99">
        <v>0</v>
      </c>
      <c r="J350"/>
      <c r="K350"/>
      <c r="L350"/>
      <c r="O350" s="80" t="s">
        <v>1396</v>
      </c>
      <c r="P350" s="80" t="s">
        <v>3661</v>
      </c>
      <c r="Q350" s="80" t="s">
        <v>629</v>
      </c>
      <c r="R350" s="80">
        <v>0</v>
      </c>
      <c r="S350" s="80" t="s">
        <v>1380</v>
      </c>
      <c r="T350" s="100">
        <v>0.0375</v>
      </c>
      <c r="U350" s="100">
        <v>0</v>
      </c>
      <c r="V350" s="100">
        <v>0</v>
      </c>
      <c r="W350" s="100">
        <v>0</v>
      </c>
    </row>
    <row r="351" ht="15.6" spans="2:23">
      <c r="F351" s="80" t="s">
        <v>631</v>
      </c>
      <c r="G351" s="99">
        <v>0</v>
      </c>
      <c r="H351" s="99">
        <v>0</v>
      </c>
      <c r="I351" s="99">
        <v>0</v>
      </c>
      <c r="J351"/>
      <c r="K351"/>
      <c r="L351"/>
      <c r="O351" s="80" t="s">
        <v>1397</v>
      </c>
      <c r="P351" s="80" t="s">
        <v>3664</v>
      </c>
      <c r="Q351" s="80" t="s">
        <v>631</v>
      </c>
      <c r="R351" s="80">
        <v>0</v>
      </c>
      <c r="S351" s="80" t="s">
        <v>1380</v>
      </c>
      <c r="T351" s="100">
        <v>0.1125</v>
      </c>
      <c r="U351" s="100">
        <v>0</v>
      </c>
      <c r="V351" s="100">
        <v>0</v>
      </c>
      <c r="W351" s="100">
        <v>0</v>
      </c>
    </row>
    <row r="352" ht="15.6" spans="2:23">
      <c r="F352" s="80" t="s">
        <v>633</v>
      </c>
      <c r="G352" s="99">
        <v>0</v>
      </c>
      <c r="H352" s="99">
        <v>0</v>
      </c>
      <c r="I352" s="99">
        <v>0</v>
      </c>
      <c r="J352"/>
      <c r="K352"/>
      <c r="L352"/>
      <c r="O352" s="80" t="s">
        <v>2938</v>
      </c>
      <c r="P352" s="80" t="s">
        <v>3667</v>
      </c>
      <c r="Q352" s="80" t="s">
        <v>629</v>
      </c>
      <c r="R352" s="80">
        <v>0</v>
      </c>
      <c r="S352" s="80" t="s">
        <v>1380</v>
      </c>
      <c r="T352" s="100">
        <v>0.075</v>
      </c>
      <c r="U352" s="100">
        <v>0</v>
      </c>
      <c r="V352" s="100">
        <v>0</v>
      </c>
      <c r="W352" s="100">
        <v>0</v>
      </c>
    </row>
    <row r="353" ht="15.6" spans="2:23">
      <c r="F353" s="80" t="s">
        <v>639</v>
      </c>
      <c r="G353" s="99">
        <v>0</v>
      </c>
      <c r="H353" s="99">
        <v>0</v>
      </c>
      <c r="I353" s="99">
        <v>0</v>
      </c>
      <c r="J353"/>
      <c r="K353"/>
      <c r="L353"/>
      <c r="O353" s="80" t="s">
        <v>2939</v>
      </c>
      <c r="P353" s="80" t="s">
        <v>3671</v>
      </c>
      <c r="Q353" s="80" t="s">
        <v>629</v>
      </c>
      <c r="R353" s="80">
        <v>0</v>
      </c>
      <c r="S353" s="80" t="s">
        <v>1380</v>
      </c>
      <c r="T353" s="100">
        <v>0.375</v>
      </c>
      <c r="U353" s="100">
        <v>0</v>
      </c>
      <c r="V353" s="100">
        <v>0</v>
      </c>
      <c r="W353" s="100">
        <v>0</v>
      </c>
    </row>
    <row r="354" ht="15.6" spans="2:23">
      <c r="B354" s="80" t="s">
        <v>4563</v>
      </c>
      <c r="G354" s="99">
        <v>0</v>
      </c>
      <c r="H354" s="99">
        <v>0</v>
      </c>
      <c r="I354" s="99">
        <v>0</v>
      </c>
      <c r="J354"/>
      <c r="K354"/>
      <c r="L354"/>
      <c r="O354" s="80" t="s">
        <v>2940</v>
      </c>
      <c r="P354" s="80" t="s">
        <v>3674</v>
      </c>
      <c r="Q354" s="80" t="s">
        <v>631</v>
      </c>
      <c r="R354" s="80">
        <v>0</v>
      </c>
      <c r="S354" s="80" t="s">
        <v>1380</v>
      </c>
      <c r="T354" s="100">
        <v>0.15</v>
      </c>
      <c r="U354" s="100">
        <v>0</v>
      </c>
      <c r="V354" s="100">
        <v>0</v>
      </c>
      <c r="W354" s="100">
        <v>0</v>
      </c>
    </row>
    <row r="355" ht="15.6" spans="2:23">
      <c r="B355" s="80" t="s">
        <v>291</v>
      </c>
      <c r="C355" s="80" t="s">
        <v>292</v>
      </c>
      <c r="D355" s="80">
        <v>0</v>
      </c>
      <c r="E355" s="80" t="s">
        <v>1380</v>
      </c>
      <c r="F355" s="80" t="s">
        <v>627</v>
      </c>
      <c r="G355" s="99">
        <v>0</v>
      </c>
      <c r="H355" s="99">
        <v>0</v>
      </c>
      <c r="I355" s="99">
        <v>0</v>
      </c>
      <c r="J355"/>
      <c r="K355"/>
      <c r="L355"/>
      <c r="M355" s="80" t="s">
        <v>281</v>
      </c>
      <c r="N355" s="80" t="s">
        <v>282</v>
      </c>
      <c r="O355" s="80" t="s">
        <v>1398</v>
      </c>
      <c r="P355" s="80" t="s">
        <v>3677</v>
      </c>
      <c r="Q355" s="80" t="s">
        <v>629</v>
      </c>
      <c r="R355" s="80">
        <v>0</v>
      </c>
      <c r="S355" s="80" t="s">
        <v>1178</v>
      </c>
      <c r="T355" s="100">
        <v>2</v>
      </c>
      <c r="U355" s="100">
        <v>0</v>
      </c>
      <c r="V355" s="100">
        <v>0</v>
      </c>
      <c r="W355" s="100">
        <v>0</v>
      </c>
    </row>
    <row r="356" ht="15.6" spans="2:23">
      <c r="B356" s="80" t="s">
        <v>4564</v>
      </c>
      <c r="G356" s="99">
        <v>0</v>
      </c>
      <c r="H356" s="99">
        <v>0</v>
      </c>
      <c r="I356" s="99">
        <v>0</v>
      </c>
      <c r="J356"/>
      <c r="K356"/>
      <c r="L356"/>
      <c r="Q356" s="80" t="s">
        <v>633</v>
      </c>
      <c r="R356" s="80">
        <v>0</v>
      </c>
      <c r="S356" s="80" t="s">
        <v>1178</v>
      </c>
      <c r="T356" s="100">
        <v>2</v>
      </c>
      <c r="U356" s="100">
        <v>0</v>
      </c>
      <c r="V356" s="100">
        <v>0</v>
      </c>
      <c r="W356" s="100">
        <v>0</v>
      </c>
    </row>
    <row r="357" ht="15.6" spans="2:23">
      <c r="B357" s="80" t="s">
        <v>293</v>
      </c>
      <c r="C357" s="80" t="s">
        <v>294</v>
      </c>
      <c r="D357" s="80">
        <v>0</v>
      </c>
      <c r="E357" s="80" t="s">
        <v>1281</v>
      </c>
      <c r="F357" s="80" t="s">
        <v>629</v>
      </c>
      <c r="G357" s="99">
        <v>0</v>
      </c>
      <c r="H357" s="99">
        <v>0</v>
      </c>
      <c r="I357" s="99">
        <v>0</v>
      </c>
      <c r="J357"/>
      <c r="K357"/>
      <c r="L357"/>
      <c r="O357" s="80" t="s">
        <v>1399</v>
      </c>
      <c r="P357" s="80" t="s">
        <v>3680</v>
      </c>
      <c r="Q357" s="80" t="s">
        <v>629</v>
      </c>
      <c r="R357" s="80">
        <v>0</v>
      </c>
      <c r="S357" s="80" t="s">
        <v>1178</v>
      </c>
      <c r="T357" s="100">
        <v>2.25</v>
      </c>
      <c r="U357" s="100">
        <v>0</v>
      </c>
      <c r="V357" s="100">
        <v>0</v>
      </c>
      <c r="W357" s="100">
        <v>0</v>
      </c>
    </row>
    <row r="358" ht="15.6" spans="2:23">
      <c r="F358" s="80" t="s">
        <v>631</v>
      </c>
      <c r="G358" s="99">
        <v>0</v>
      </c>
      <c r="H358" s="99">
        <v>0</v>
      </c>
      <c r="I358" s="99">
        <v>0</v>
      </c>
      <c r="J358"/>
      <c r="K358"/>
      <c r="L358"/>
      <c r="O358" s="80" t="s">
        <v>1400</v>
      </c>
      <c r="P358" s="80" t="s">
        <v>3683</v>
      </c>
      <c r="Q358" s="80" t="s">
        <v>631</v>
      </c>
      <c r="R358" s="80">
        <v>0</v>
      </c>
      <c r="S358" s="80" t="s">
        <v>1176</v>
      </c>
      <c r="T358" s="100">
        <v>3</v>
      </c>
      <c r="U358" s="100">
        <v>0</v>
      </c>
      <c r="V358" s="100">
        <v>0</v>
      </c>
      <c r="W358" s="100">
        <v>0</v>
      </c>
    </row>
    <row r="359" ht="15.6" spans="2:23">
      <c r="F359" s="80" t="s">
        <v>620</v>
      </c>
      <c r="G359" s="99">
        <v>0</v>
      </c>
      <c r="H359" s="99">
        <v>0</v>
      </c>
      <c r="I359" s="99">
        <v>0</v>
      </c>
      <c r="J359"/>
      <c r="K359"/>
      <c r="L359"/>
      <c r="M359" s="80" t="s">
        <v>283</v>
      </c>
      <c r="N359" s="80" t="s">
        <v>284</v>
      </c>
      <c r="O359" s="80" t="s">
        <v>1401</v>
      </c>
      <c r="P359" s="80" t="s">
        <v>4565</v>
      </c>
      <c r="Q359" s="80" t="s">
        <v>629</v>
      </c>
      <c r="R359" s="80">
        <v>0</v>
      </c>
      <c r="S359" s="80" t="s">
        <v>1281</v>
      </c>
      <c r="T359" s="100">
        <v>18</v>
      </c>
      <c r="U359" s="100">
        <v>0</v>
      </c>
      <c r="V359" s="100">
        <v>0</v>
      </c>
      <c r="W359" s="100">
        <v>0</v>
      </c>
    </row>
    <row r="360" ht="15.6" spans="2:23">
      <c r="B360" s="80" t="s">
        <v>4566</v>
      </c>
      <c r="G360" s="99">
        <v>0</v>
      </c>
      <c r="H360" s="99">
        <v>0</v>
      </c>
      <c r="I360" s="99">
        <v>0</v>
      </c>
      <c r="J360"/>
      <c r="K360"/>
      <c r="L360"/>
      <c r="O360" s="80" t="s">
        <v>1402</v>
      </c>
      <c r="P360" s="80" t="s">
        <v>4567</v>
      </c>
      <c r="Q360" s="80" t="s">
        <v>629</v>
      </c>
      <c r="R360" s="80">
        <v>0</v>
      </c>
      <c r="S360" s="80" t="s">
        <v>1178</v>
      </c>
      <c r="T360" s="100">
        <v>6</v>
      </c>
      <c r="U360" s="100">
        <v>0</v>
      </c>
      <c r="V360" s="100">
        <v>0</v>
      </c>
      <c r="W360" s="100">
        <v>0</v>
      </c>
    </row>
    <row r="361" ht="15.6" spans="2:23">
      <c r="B361" s="80" t="s">
        <v>295</v>
      </c>
      <c r="C361" s="80" t="s">
        <v>296</v>
      </c>
      <c r="D361" s="80">
        <v>0</v>
      </c>
      <c r="E361" s="80" t="s">
        <v>1281</v>
      </c>
      <c r="F361" s="80" t="s">
        <v>631</v>
      </c>
      <c r="G361" s="99">
        <v>0</v>
      </c>
      <c r="H361" s="99">
        <v>0</v>
      </c>
      <c r="I361" s="99">
        <v>0</v>
      </c>
      <c r="J361"/>
      <c r="K361"/>
      <c r="L361"/>
      <c r="O361" s="80" t="s">
        <v>1403</v>
      </c>
      <c r="P361" s="80" t="s">
        <v>4568</v>
      </c>
      <c r="Q361" s="80" t="s">
        <v>629</v>
      </c>
      <c r="R361" s="80">
        <v>0</v>
      </c>
      <c r="S361" s="80" t="s">
        <v>1178</v>
      </c>
      <c r="T361" s="100">
        <v>2</v>
      </c>
      <c r="U361" s="100">
        <v>0</v>
      </c>
      <c r="V361" s="100">
        <v>0</v>
      </c>
      <c r="W361" s="100">
        <v>0</v>
      </c>
    </row>
    <row r="362" ht="15.6" spans="2:23">
      <c r="F362" s="80" t="s">
        <v>633</v>
      </c>
      <c r="G362" s="99">
        <v>0</v>
      </c>
      <c r="H362" s="99">
        <v>0</v>
      </c>
      <c r="I362" s="99">
        <v>0</v>
      </c>
      <c r="J362"/>
      <c r="K362"/>
      <c r="L362"/>
      <c r="Q362" s="80" t="s">
        <v>633</v>
      </c>
      <c r="R362" s="80">
        <v>0</v>
      </c>
      <c r="S362" s="80" t="s">
        <v>1178</v>
      </c>
      <c r="T362" s="100">
        <v>2</v>
      </c>
      <c r="U362" s="100">
        <v>0</v>
      </c>
      <c r="V362" s="100">
        <v>0</v>
      </c>
      <c r="W362" s="100">
        <v>0</v>
      </c>
    </row>
    <row r="363" ht="15.6" spans="2:23">
      <c r="B363" s="80" t="s">
        <v>4569</v>
      </c>
      <c r="G363" s="99">
        <v>0</v>
      </c>
      <c r="H363" s="99">
        <v>0</v>
      </c>
      <c r="I363" s="99">
        <v>0</v>
      </c>
      <c r="J363"/>
      <c r="K363"/>
      <c r="L363"/>
      <c r="Q363" s="80" t="s">
        <v>639</v>
      </c>
      <c r="R363" s="80">
        <v>0</v>
      </c>
      <c r="S363" s="80" t="s">
        <v>1178</v>
      </c>
      <c r="T363" s="100">
        <v>2</v>
      </c>
      <c r="U363" s="100">
        <v>0</v>
      </c>
      <c r="V363" s="100">
        <v>0</v>
      </c>
      <c r="W363" s="100">
        <v>0</v>
      </c>
    </row>
    <row r="364" ht="15.6" spans="2:23">
      <c r="B364" s="80" t="s">
        <v>297</v>
      </c>
      <c r="C364" s="80" t="s">
        <v>298</v>
      </c>
      <c r="D364" s="80">
        <v>0</v>
      </c>
      <c r="E364" s="80" t="s">
        <v>1281</v>
      </c>
      <c r="F364" s="80" t="s">
        <v>629</v>
      </c>
      <c r="G364" s="99">
        <v>0</v>
      </c>
      <c r="H364" s="99">
        <v>0</v>
      </c>
      <c r="I364" s="99">
        <v>0</v>
      </c>
      <c r="J364"/>
      <c r="K364"/>
      <c r="L364"/>
      <c r="O364" s="80" t="s">
        <v>1404</v>
      </c>
      <c r="P364" s="80" t="s">
        <v>4570</v>
      </c>
      <c r="Q364" s="80" t="s">
        <v>629</v>
      </c>
      <c r="R364" s="80">
        <v>0</v>
      </c>
      <c r="S364" s="80" t="s">
        <v>1281</v>
      </c>
      <c r="T364" s="100">
        <v>2.25</v>
      </c>
      <c r="U364" s="100">
        <v>0</v>
      </c>
      <c r="V364" s="100">
        <v>0</v>
      </c>
      <c r="W364" s="100">
        <v>0</v>
      </c>
    </row>
    <row r="365" ht="15.6" spans="2:23">
      <c r="F365" s="80" t="s">
        <v>631</v>
      </c>
      <c r="G365" s="99">
        <v>0</v>
      </c>
      <c r="H365" s="99">
        <v>0</v>
      </c>
      <c r="I365" s="99">
        <v>0</v>
      </c>
      <c r="J365"/>
      <c r="K365"/>
      <c r="L365"/>
      <c r="Q365" s="80" t="s">
        <v>633</v>
      </c>
      <c r="R365" s="80">
        <v>0</v>
      </c>
      <c r="S365" s="80" t="s">
        <v>1178</v>
      </c>
      <c r="T365" s="100">
        <v>2.25</v>
      </c>
      <c r="U365" s="100">
        <v>0</v>
      </c>
      <c r="V365" s="100">
        <v>0</v>
      </c>
      <c r="W365" s="100">
        <v>0</v>
      </c>
    </row>
    <row r="366" ht="15.6" spans="2:23">
      <c r="F366" s="80" t="s">
        <v>633</v>
      </c>
      <c r="G366" s="99">
        <v>0</v>
      </c>
      <c r="H366" s="99">
        <v>0</v>
      </c>
      <c r="I366" s="99">
        <v>0</v>
      </c>
      <c r="J366"/>
      <c r="K366"/>
      <c r="L366"/>
      <c r="O366" s="80" t="s">
        <v>1405</v>
      </c>
      <c r="P366" s="80" t="s">
        <v>4571</v>
      </c>
      <c r="Q366" s="80" t="s">
        <v>639</v>
      </c>
      <c r="R366" s="80">
        <v>0</v>
      </c>
      <c r="S366" s="80" t="s">
        <v>1178</v>
      </c>
      <c r="T366" s="100">
        <v>1.5</v>
      </c>
      <c r="U366" s="100">
        <v>0</v>
      </c>
      <c r="V366" s="100">
        <v>0</v>
      </c>
      <c r="W366" s="100">
        <v>0</v>
      </c>
    </row>
    <row r="367" ht="15.6" spans="2:23">
      <c r="B367" s="80" t="s">
        <v>4572</v>
      </c>
      <c r="G367" s="99">
        <v>0</v>
      </c>
      <c r="H367" s="99">
        <v>0</v>
      </c>
      <c r="I367" s="99">
        <v>0</v>
      </c>
      <c r="J367"/>
      <c r="K367"/>
      <c r="L367"/>
      <c r="O367" s="80" t="s">
        <v>2942</v>
      </c>
      <c r="P367" s="80" t="s">
        <v>4573</v>
      </c>
      <c r="Q367" s="80" t="s">
        <v>639</v>
      </c>
      <c r="R367" s="80">
        <v>0</v>
      </c>
      <c r="S367" s="80" t="s">
        <v>1178</v>
      </c>
      <c r="T367" s="100">
        <v>1.5</v>
      </c>
      <c r="U367" s="100">
        <v>0</v>
      </c>
      <c r="V367" s="100">
        <v>0</v>
      </c>
      <c r="W367" s="100">
        <v>0</v>
      </c>
    </row>
    <row r="368" ht="15.6" spans="2:23">
      <c r="B368" s="80" t="s">
        <v>299</v>
      </c>
      <c r="C368" s="80" t="s">
        <v>300</v>
      </c>
      <c r="D368" s="80">
        <v>0</v>
      </c>
      <c r="E368" s="80" t="s">
        <v>1380</v>
      </c>
      <c r="F368" s="80" t="s">
        <v>629</v>
      </c>
      <c r="G368" s="99">
        <v>0</v>
      </c>
      <c r="H368" s="99">
        <v>0</v>
      </c>
      <c r="I368" s="99">
        <v>0</v>
      </c>
      <c r="J368"/>
      <c r="K368"/>
      <c r="L368"/>
      <c r="O368" s="80" t="s">
        <v>2943</v>
      </c>
      <c r="P368" s="80" t="s">
        <v>3700</v>
      </c>
      <c r="Q368" s="80" t="s">
        <v>629</v>
      </c>
      <c r="R368" s="80">
        <v>0</v>
      </c>
      <c r="S368" s="80" t="s">
        <v>1178</v>
      </c>
      <c r="T368" s="100">
        <v>12</v>
      </c>
      <c r="U368" s="100">
        <v>0</v>
      </c>
      <c r="V368" s="100">
        <v>0</v>
      </c>
      <c r="W368" s="100">
        <v>0</v>
      </c>
    </row>
    <row r="369" ht="15.6" spans="2:23">
      <c r="F369" s="80" t="s">
        <v>631</v>
      </c>
      <c r="G369" s="99">
        <v>0</v>
      </c>
      <c r="H369" s="99">
        <v>0</v>
      </c>
      <c r="I369" s="99">
        <v>0</v>
      </c>
      <c r="J369"/>
      <c r="K369"/>
      <c r="L369"/>
      <c r="Q369" s="80" t="s">
        <v>639</v>
      </c>
      <c r="R369" s="80">
        <v>0</v>
      </c>
      <c r="S369" s="80" t="s">
        <v>1178</v>
      </c>
      <c r="T369" s="100">
        <v>9</v>
      </c>
      <c r="U369" s="100">
        <v>0</v>
      </c>
      <c r="V369" s="100">
        <v>0</v>
      </c>
      <c r="W369" s="100">
        <v>0</v>
      </c>
    </row>
    <row r="370" ht="15.6" spans="2:23">
      <c r="F370" s="80" t="s">
        <v>639</v>
      </c>
      <c r="G370" s="99">
        <v>0</v>
      </c>
      <c r="H370" s="99">
        <v>0</v>
      </c>
      <c r="I370" s="99">
        <v>0</v>
      </c>
      <c r="J370"/>
      <c r="K370"/>
      <c r="L370"/>
      <c r="O370" s="80" t="s">
        <v>2944</v>
      </c>
      <c r="P370" s="80" t="s">
        <v>3702</v>
      </c>
      <c r="Q370" s="80" t="s">
        <v>629</v>
      </c>
      <c r="R370" s="80">
        <v>0</v>
      </c>
      <c r="S370" s="80" t="s">
        <v>1178</v>
      </c>
      <c r="T370" s="100">
        <v>3</v>
      </c>
      <c r="U370" s="100">
        <v>0</v>
      </c>
      <c r="V370" s="100">
        <v>0</v>
      </c>
      <c r="W370" s="100">
        <v>0</v>
      </c>
    </row>
    <row r="371" ht="15.6" spans="2:23">
      <c r="B371" s="80" t="s">
        <v>4574</v>
      </c>
      <c r="G371" s="99">
        <v>0</v>
      </c>
      <c r="H371" s="99">
        <v>0</v>
      </c>
      <c r="I371" s="99">
        <v>0</v>
      </c>
      <c r="J371"/>
      <c r="K371"/>
      <c r="L371"/>
      <c r="O371" s="80" t="s">
        <v>2945</v>
      </c>
      <c r="P371" s="80" t="s">
        <v>3704</v>
      </c>
      <c r="Q371" s="80" t="s">
        <v>631</v>
      </c>
      <c r="R371" s="80">
        <v>0</v>
      </c>
      <c r="S371" s="80" t="s">
        <v>1178</v>
      </c>
      <c r="T371" s="100">
        <v>1.5</v>
      </c>
      <c r="U371" s="100">
        <v>0</v>
      </c>
      <c r="V371" s="100">
        <v>0</v>
      </c>
      <c r="W371" s="100">
        <v>0</v>
      </c>
    </row>
    <row r="372" ht="15.6" spans="2:23">
      <c r="B372" s="80" t="s">
        <v>301</v>
      </c>
      <c r="C372" s="80" t="s">
        <v>302</v>
      </c>
      <c r="D372" s="80">
        <v>0</v>
      </c>
      <c r="E372" s="80" t="s">
        <v>1220</v>
      </c>
      <c r="F372" s="80" t="s">
        <v>629</v>
      </c>
      <c r="G372" s="99">
        <v>0</v>
      </c>
      <c r="H372" s="99">
        <v>0</v>
      </c>
      <c r="I372" s="99">
        <v>0</v>
      </c>
      <c r="J372"/>
      <c r="K372"/>
      <c r="L372"/>
      <c r="Q372" s="80" t="s">
        <v>633</v>
      </c>
      <c r="R372" s="80">
        <v>0</v>
      </c>
      <c r="S372" s="80" t="s">
        <v>1178</v>
      </c>
      <c r="T372" s="100">
        <v>0.75</v>
      </c>
      <c r="U372" s="100">
        <v>0</v>
      </c>
      <c r="V372" s="100">
        <v>0</v>
      </c>
      <c r="W372" s="100">
        <v>0</v>
      </c>
    </row>
    <row r="373" ht="15.6" spans="2:23">
      <c r="F373" s="80" t="s">
        <v>631</v>
      </c>
      <c r="G373" s="99">
        <v>0</v>
      </c>
      <c r="H373" s="99">
        <v>0</v>
      </c>
      <c r="I373" s="99">
        <v>0</v>
      </c>
      <c r="J373"/>
      <c r="K373"/>
      <c r="L373"/>
      <c r="Q373" s="80" t="s">
        <v>639</v>
      </c>
      <c r="R373" s="80">
        <v>0</v>
      </c>
      <c r="S373" s="80" t="s">
        <v>1178</v>
      </c>
      <c r="T373" s="100">
        <v>0.75</v>
      </c>
      <c r="U373" s="100">
        <v>0</v>
      </c>
      <c r="V373" s="100">
        <v>0</v>
      </c>
      <c r="W373" s="100">
        <v>0</v>
      </c>
    </row>
    <row r="374" ht="15.6" spans="2:23">
      <c r="B374" s="80" t="s">
        <v>4575</v>
      </c>
      <c r="G374" s="99">
        <v>0</v>
      </c>
      <c r="H374" s="99">
        <v>0</v>
      </c>
      <c r="I374" s="99">
        <v>0</v>
      </c>
      <c r="J374"/>
      <c r="K374"/>
      <c r="L374"/>
      <c r="O374" s="80" t="s">
        <v>2946</v>
      </c>
      <c r="P374" s="80" t="s">
        <v>3706</v>
      </c>
      <c r="Q374" s="80" t="s">
        <v>629</v>
      </c>
      <c r="R374" s="80">
        <v>0</v>
      </c>
      <c r="S374" s="80" t="s">
        <v>1178</v>
      </c>
      <c r="T374" s="100">
        <v>2</v>
      </c>
      <c r="U374" s="100">
        <v>0</v>
      </c>
      <c r="V374" s="100">
        <v>0</v>
      </c>
      <c r="W374" s="100">
        <v>0</v>
      </c>
    </row>
    <row r="375" ht="15.6" spans="2:23">
      <c r="B375" s="80" t="s">
        <v>303</v>
      </c>
      <c r="C375" s="80" t="s">
        <v>304</v>
      </c>
      <c r="D375" s="80">
        <v>0</v>
      </c>
      <c r="E375" s="80" t="s">
        <v>1178</v>
      </c>
      <c r="F375" s="80" t="s">
        <v>633</v>
      </c>
      <c r="G375" s="99">
        <v>0</v>
      </c>
      <c r="H375" s="99">
        <v>0</v>
      </c>
      <c r="I375" s="99">
        <v>0</v>
      </c>
      <c r="J375"/>
      <c r="K375"/>
      <c r="L375"/>
      <c r="Q375" s="80" t="s">
        <v>633</v>
      </c>
      <c r="R375" s="80">
        <v>0</v>
      </c>
      <c r="S375" s="80" t="s">
        <v>1178</v>
      </c>
      <c r="T375" s="100">
        <v>2</v>
      </c>
      <c r="U375" s="100">
        <v>0</v>
      </c>
      <c r="V375" s="100">
        <v>0</v>
      </c>
      <c r="W375" s="100">
        <v>0</v>
      </c>
    </row>
    <row r="376" ht="15.6" spans="2:23">
      <c r="F376" s="80" t="s">
        <v>615</v>
      </c>
      <c r="G376" s="99">
        <v>0</v>
      </c>
      <c r="H376" s="99">
        <v>0</v>
      </c>
      <c r="I376" s="99">
        <v>0</v>
      </c>
      <c r="J376"/>
      <c r="K376"/>
      <c r="L376"/>
      <c r="Q376" s="80" t="s">
        <v>639</v>
      </c>
      <c r="R376" s="80">
        <v>0</v>
      </c>
      <c r="S376" s="80" t="s">
        <v>1178</v>
      </c>
      <c r="T376" s="100">
        <v>2</v>
      </c>
      <c r="U376" s="100">
        <v>0</v>
      </c>
      <c r="V376" s="100">
        <v>0</v>
      </c>
      <c r="W376" s="100">
        <v>0</v>
      </c>
    </row>
    <row r="377" ht="15.6" spans="2:23">
      <c r="F377" s="80" t="s">
        <v>599</v>
      </c>
      <c r="G377" s="99">
        <v>0</v>
      </c>
      <c r="H377" s="99">
        <v>0</v>
      </c>
      <c r="I377" s="99">
        <v>0</v>
      </c>
      <c r="J377"/>
      <c r="K377"/>
      <c r="L377"/>
      <c r="O377" s="80" t="s">
        <v>2947</v>
      </c>
      <c r="P377" s="80" t="s">
        <v>3708</v>
      </c>
      <c r="Q377" s="80" t="s">
        <v>629</v>
      </c>
      <c r="R377" s="80">
        <v>0</v>
      </c>
      <c r="S377" s="80" t="s">
        <v>1178</v>
      </c>
      <c r="T377" s="100">
        <v>3</v>
      </c>
      <c r="U377" s="100">
        <v>0</v>
      </c>
      <c r="V377" s="100">
        <v>0</v>
      </c>
      <c r="W377" s="100">
        <v>0</v>
      </c>
    </row>
    <row r="378" ht="15.6" spans="2:23">
      <c r="F378" s="80" t="s">
        <v>635</v>
      </c>
      <c r="G378" s="99">
        <v>0</v>
      </c>
      <c r="H378" s="99">
        <v>0</v>
      </c>
      <c r="I378" s="99">
        <v>0</v>
      </c>
      <c r="J378"/>
      <c r="K378"/>
      <c r="L378"/>
      <c r="Q378" s="80" t="s">
        <v>633</v>
      </c>
      <c r="R378" s="80">
        <v>0</v>
      </c>
      <c r="S378" s="80" t="s">
        <v>1178</v>
      </c>
      <c r="T378" s="100">
        <v>3</v>
      </c>
      <c r="U378" s="100">
        <v>0</v>
      </c>
      <c r="V378" s="100">
        <v>0</v>
      </c>
      <c r="W378" s="100">
        <v>0</v>
      </c>
    </row>
    <row r="379" ht="15.6" spans="2:23">
      <c r="F379" s="80" t="s">
        <v>639</v>
      </c>
      <c r="G379" s="99">
        <v>0</v>
      </c>
      <c r="H379" s="99">
        <v>0</v>
      </c>
      <c r="I379" s="99">
        <v>0</v>
      </c>
      <c r="J379"/>
      <c r="K379"/>
      <c r="L379"/>
      <c r="M379" s="80" t="s">
        <v>285</v>
      </c>
      <c r="N379" s="80" t="s">
        <v>286</v>
      </c>
      <c r="O379" s="80" t="s">
        <v>1407</v>
      </c>
      <c r="P379" s="80" t="s">
        <v>3711</v>
      </c>
      <c r="Q379" s="80" t="s">
        <v>631</v>
      </c>
      <c r="R379" s="80">
        <v>0</v>
      </c>
      <c r="S379" s="80" t="s">
        <v>1380</v>
      </c>
      <c r="T379" s="100">
        <v>0.0375</v>
      </c>
      <c r="U379" s="100">
        <v>0</v>
      </c>
      <c r="V379" s="100">
        <v>0</v>
      </c>
      <c r="W379" s="100">
        <v>0</v>
      </c>
    </row>
    <row r="380" ht="15.6" spans="2:23">
      <c r="B380" s="80" t="s">
        <v>4576</v>
      </c>
      <c r="G380" s="99">
        <v>0</v>
      </c>
      <c r="H380" s="99">
        <v>0</v>
      </c>
      <c r="I380" s="99">
        <v>0</v>
      </c>
      <c r="J380"/>
      <c r="K380"/>
      <c r="L380"/>
      <c r="O380" s="80" t="s">
        <v>2948</v>
      </c>
      <c r="P380" s="80" t="s">
        <v>3713</v>
      </c>
      <c r="Q380" s="80" t="s">
        <v>631</v>
      </c>
      <c r="R380" s="80">
        <v>0</v>
      </c>
      <c r="S380" s="80" t="s">
        <v>1178</v>
      </c>
      <c r="T380" s="100">
        <v>6</v>
      </c>
      <c r="U380" s="100">
        <v>0</v>
      </c>
      <c r="V380" s="100">
        <v>0</v>
      </c>
      <c r="W380" s="100">
        <v>0</v>
      </c>
    </row>
    <row r="381" ht="15.6" spans="2:23">
      <c r="B381" s="80" t="s">
        <v>305</v>
      </c>
      <c r="C381" s="80" t="s">
        <v>306</v>
      </c>
      <c r="D381" s="80">
        <v>0</v>
      </c>
      <c r="E381" s="80" t="s">
        <v>1281</v>
      </c>
      <c r="F381" s="80" t="s">
        <v>629</v>
      </c>
      <c r="G381" s="99">
        <v>0</v>
      </c>
      <c r="H381" s="99">
        <v>0</v>
      </c>
      <c r="I381" s="99">
        <v>0</v>
      </c>
      <c r="J381"/>
      <c r="K381"/>
      <c r="L381"/>
      <c r="M381" s="80" t="s">
        <v>287</v>
      </c>
      <c r="N381" s="80" t="s">
        <v>288</v>
      </c>
      <c r="O381" s="80" t="s">
        <v>2949</v>
      </c>
      <c r="P381" s="80" t="s">
        <v>3716</v>
      </c>
      <c r="Q381" s="80" t="s">
        <v>633</v>
      </c>
      <c r="R381" s="80">
        <v>0</v>
      </c>
      <c r="S381" s="80" t="s">
        <v>1178</v>
      </c>
      <c r="T381" s="100">
        <v>2</v>
      </c>
      <c r="U381" s="100">
        <v>0</v>
      </c>
      <c r="V381" s="100">
        <v>0</v>
      </c>
      <c r="W381" s="100">
        <v>0</v>
      </c>
    </row>
    <row r="382" ht="15.6" spans="2:23">
      <c r="F382" s="80" t="s">
        <v>631</v>
      </c>
      <c r="G382" s="99">
        <v>0</v>
      </c>
      <c r="H382" s="99">
        <v>0</v>
      </c>
      <c r="I382" s="99">
        <v>0</v>
      </c>
      <c r="J382"/>
      <c r="K382"/>
      <c r="L382"/>
      <c r="O382" s="80" t="s">
        <v>2950</v>
      </c>
      <c r="P382" s="80" t="s">
        <v>3718</v>
      </c>
      <c r="Q382" s="80" t="s">
        <v>629</v>
      </c>
      <c r="R382" s="80">
        <v>0</v>
      </c>
      <c r="S382" s="80" t="s">
        <v>1178</v>
      </c>
      <c r="T382" s="100">
        <v>0.15</v>
      </c>
      <c r="U382" s="100">
        <v>0</v>
      </c>
      <c r="V382" s="100">
        <v>0</v>
      </c>
      <c r="W382" s="100">
        <v>0</v>
      </c>
    </row>
    <row r="383" ht="15.6" spans="2:23">
      <c r="F383" s="80" t="s">
        <v>633</v>
      </c>
      <c r="G383" s="99">
        <v>0</v>
      </c>
      <c r="H383" s="99">
        <v>0</v>
      </c>
      <c r="I383" s="99">
        <v>0</v>
      </c>
      <c r="J383"/>
      <c r="K383"/>
      <c r="L383"/>
      <c r="O383" s="80" t="s">
        <v>2951</v>
      </c>
      <c r="P383" s="80" t="s">
        <v>3720</v>
      </c>
      <c r="Q383" s="80" t="s">
        <v>631</v>
      </c>
      <c r="R383" s="80">
        <v>0</v>
      </c>
      <c r="S383" s="80" t="s">
        <v>1178</v>
      </c>
      <c r="T383" s="100">
        <v>0.075</v>
      </c>
      <c r="U383" s="100">
        <v>0</v>
      </c>
      <c r="V383" s="100">
        <v>0</v>
      </c>
      <c r="W383" s="100">
        <v>0</v>
      </c>
    </row>
    <row r="384" ht="15.6" spans="2:23">
      <c r="F384" s="80" t="s">
        <v>639</v>
      </c>
      <c r="G384" s="99">
        <v>0</v>
      </c>
      <c r="H384" s="99">
        <v>0</v>
      </c>
      <c r="I384" s="99">
        <v>0</v>
      </c>
      <c r="J384"/>
      <c r="K384"/>
      <c r="L384"/>
      <c r="O384" s="80" t="s">
        <v>2952</v>
      </c>
      <c r="P384" s="80" t="s">
        <v>3725</v>
      </c>
      <c r="Q384" s="80" t="s">
        <v>631</v>
      </c>
      <c r="R384" s="80">
        <v>0</v>
      </c>
      <c r="S384" s="80" t="s">
        <v>1380</v>
      </c>
      <c r="T384" s="100">
        <v>2</v>
      </c>
      <c r="U384" s="100">
        <v>0</v>
      </c>
      <c r="V384" s="100">
        <v>0</v>
      </c>
      <c r="W384" s="100">
        <v>0</v>
      </c>
    </row>
    <row r="385" ht="15.6" spans="2:23">
      <c r="B385" s="80" t="s">
        <v>4577</v>
      </c>
      <c r="G385" s="99">
        <v>0</v>
      </c>
      <c r="H385" s="99">
        <v>0</v>
      </c>
      <c r="I385" s="99">
        <v>0</v>
      </c>
      <c r="J385"/>
      <c r="K385"/>
      <c r="L385"/>
      <c r="O385" s="80" t="s">
        <v>2954</v>
      </c>
      <c r="P385" s="80" t="s">
        <v>3729</v>
      </c>
      <c r="Q385" s="80" t="s">
        <v>631</v>
      </c>
      <c r="R385" s="80">
        <v>0</v>
      </c>
      <c r="S385" s="80" t="s">
        <v>1380</v>
      </c>
      <c r="T385" s="100">
        <v>0.075</v>
      </c>
      <c r="U385" s="100">
        <v>0</v>
      </c>
      <c r="V385" s="100">
        <v>0</v>
      </c>
      <c r="W385" s="100">
        <v>0</v>
      </c>
    </row>
    <row r="386" ht="15.6" spans="2:23">
      <c r="B386" s="80" t="s">
        <v>307</v>
      </c>
      <c r="C386" s="80" t="s">
        <v>308</v>
      </c>
      <c r="D386" s="80">
        <v>0</v>
      </c>
      <c r="E386" s="80" t="s">
        <v>1176</v>
      </c>
      <c r="F386" s="80" t="s">
        <v>631</v>
      </c>
      <c r="G386" s="99">
        <v>0</v>
      </c>
      <c r="H386" s="99">
        <v>0</v>
      </c>
      <c r="I386" s="99">
        <v>0</v>
      </c>
      <c r="J386"/>
      <c r="K386"/>
      <c r="L386"/>
      <c r="M386" s="80" t="s">
        <v>289</v>
      </c>
      <c r="N386" s="80" t="s">
        <v>290</v>
      </c>
      <c r="O386" s="80" t="s">
        <v>2956</v>
      </c>
      <c r="P386" s="80" t="s">
        <v>3732</v>
      </c>
      <c r="Q386" s="80" t="s">
        <v>633</v>
      </c>
      <c r="R386" s="80">
        <v>0</v>
      </c>
      <c r="S386" s="80" t="s">
        <v>1176</v>
      </c>
      <c r="T386" s="100">
        <v>4.5</v>
      </c>
      <c r="U386" s="100">
        <v>0</v>
      </c>
      <c r="V386" s="100">
        <v>0</v>
      </c>
      <c r="W386" s="100">
        <v>0</v>
      </c>
    </row>
    <row r="387" ht="15.6" spans="2:23">
      <c r="F387" s="80" t="s">
        <v>633</v>
      </c>
      <c r="G387" s="99">
        <v>0</v>
      </c>
      <c r="H387" s="99">
        <v>0</v>
      </c>
      <c r="I387" s="99">
        <v>0</v>
      </c>
      <c r="J387"/>
      <c r="K387"/>
      <c r="L387"/>
      <c r="O387" s="80" t="s">
        <v>2957</v>
      </c>
      <c r="P387" s="80" t="s">
        <v>4578</v>
      </c>
      <c r="Q387" s="80" t="s">
        <v>639</v>
      </c>
      <c r="R387" s="80">
        <v>0</v>
      </c>
      <c r="S387" s="80" t="s">
        <v>1178</v>
      </c>
      <c r="T387" s="100">
        <v>0</v>
      </c>
      <c r="U387" s="100">
        <v>0</v>
      </c>
      <c r="V387" s="100">
        <v>0</v>
      </c>
      <c r="W387" s="100">
        <v>0</v>
      </c>
    </row>
    <row r="388" ht="15.6" spans="2:23">
      <c r="B388" s="80" t="s">
        <v>4579</v>
      </c>
      <c r="G388" s="99">
        <v>0</v>
      </c>
      <c r="H388" s="99">
        <v>0</v>
      </c>
      <c r="I388" s="99">
        <v>0</v>
      </c>
      <c r="J388"/>
      <c r="K388"/>
      <c r="L388"/>
      <c r="O388" s="80" t="s">
        <v>2959</v>
      </c>
      <c r="P388" s="80" t="s">
        <v>3738</v>
      </c>
      <c r="Q388" s="80" t="s">
        <v>629</v>
      </c>
      <c r="R388" s="80">
        <v>0</v>
      </c>
      <c r="S388" s="80" t="s">
        <v>1178</v>
      </c>
      <c r="T388" s="100">
        <v>1.5</v>
      </c>
      <c r="U388" s="100">
        <v>0</v>
      </c>
      <c r="V388" s="100">
        <v>0</v>
      </c>
      <c r="W388" s="100">
        <v>0</v>
      </c>
    </row>
    <row r="389" ht="15.6" spans="2:23">
      <c r="B389" s="80" t="s">
        <v>309</v>
      </c>
      <c r="C389" s="80" t="s">
        <v>310</v>
      </c>
      <c r="D389" s="80">
        <v>0</v>
      </c>
      <c r="E389" s="80" t="s">
        <v>1220</v>
      </c>
      <c r="F389" s="80" t="s">
        <v>633</v>
      </c>
      <c r="G389" s="99">
        <v>0</v>
      </c>
      <c r="H389" s="99">
        <v>0</v>
      </c>
      <c r="I389" s="99">
        <v>0</v>
      </c>
      <c r="J389"/>
      <c r="K389"/>
      <c r="L389"/>
      <c r="O389" s="80" t="s">
        <v>2960</v>
      </c>
      <c r="P389" s="80" t="s">
        <v>4580</v>
      </c>
      <c r="Q389" s="80" t="s">
        <v>629</v>
      </c>
      <c r="R389" s="80">
        <v>0</v>
      </c>
      <c r="S389" s="80" t="s">
        <v>1380</v>
      </c>
      <c r="T389" s="100">
        <v>1.5</v>
      </c>
      <c r="U389" s="100">
        <v>0</v>
      </c>
      <c r="V389" s="100">
        <v>0</v>
      </c>
      <c r="W389" s="100">
        <v>0</v>
      </c>
    </row>
    <row r="390" ht="15.6" spans="2:23">
      <c r="B390" s="80" t="s">
        <v>4581</v>
      </c>
      <c r="G390" s="99">
        <v>0</v>
      </c>
      <c r="H390" s="99">
        <v>0</v>
      </c>
      <c r="I390" s="99">
        <v>0</v>
      </c>
      <c r="J390"/>
      <c r="K390"/>
      <c r="L390"/>
      <c r="O390" s="80" t="s">
        <v>2961</v>
      </c>
      <c r="P390" s="80" t="s">
        <v>3744</v>
      </c>
      <c r="Q390" s="80" t="s">
        <v>631</v>
      </c>
      <c r="R390" s="80">
        <v>0</v>
      </c>
      <c r="S390" s="80" t="s">
        <v>1380</v>
      </c>
      <c r="T390" s="100">
        <v>1.5</v>
      </c>
      <c r="U390" s="100">
        <v>0</v>
      </c>
      <c r="V390" s="100">
        <v>0</v>
      </c>
      <c r="W390" s="100">
        <v>0</v>
      </c>
    </row>
    <row r="391" ht="15.6" spans="2:23">
      <c r="B391" s="80" t="s">
        <v>311</v>
      </c>
      <c r="C391" s="80" t="s">
        <v>312</v>
      </c>
      <c r="D391" s="80">
        <v>0</v>
      </c>
      <c r="E391" s="80" t="s">
        <v>1178</v>
      </c>
      <c r="F391" s="80" t="s">
        <v>629</v>
      </c>
      <c r="G391" s="99">
        <v>0</v>
      </c>
      <c r="H391" s="99">
        <v>0</v>
      </c>
      <c r="I391" s="99">
        <v>0</v>
      </c>
      <c r="J391"/>
      <c r="K391"/>
      <c r="L391"/>
      <c r="O391" s="80" t="s">
        <v>2962</v>
      </c>
      <c r="P391" s="80" t="s">
        <v>3748</v>
      </c>
      <c r="Q391" s="80" t="s">
        <v>629</v>
      </c>
      <c r="R391" s="80">
        <v>0</v>
      </c>
      <c r="S391" s="80" t="s">
        <v>1380</v>
      </c>
      <c r="T391" s="100">
        <v>0.75</v>
      </c>
      <c r="U391" s="100">
        <v>0</v>
      </c>
      <c r="V391" s="100">
        <v>0</v>
      </c>
      <c r="W391" s="100">
        <v>0</v>
      </c>
    </row>
    <row r="392" ht="15.6" spans="2:23">
      <c r="F392" s="80" t="s">
        <v>631</v>
      </c>
      <c r="G392" s="99">
        <v>0</v>
      </c>
      <c r="H392" s="99">
        <v>0</v>
      </c>
      <c r="I392" s="99">
        <v>0</v>
      </c>
      <c r="J392"/>
      <c r="K392"/>
      <c r="L392"/>
      <c r="O392" s="80" t="s">
        <v>2963</v>
      </c>
      <c r="P392" s="80" t="s">
        <v>4582</v>
      </c>
      <c r="Q392" s="80" t="s">
        <v>631</v>
      </c>
      <c r="R392" s="80">
        <v>0</v>
      </c>
      <c r="S392" s="80" t="s">
        <v>1178</v>
      </c>
      <c r="T392" s="100">
        <v>2</v>
      </c>
      <c r="U392" s="100">
        <v>0</v>
      </c>
      <c r="V392" s="100">
        <v>0</v>
      </c>
      <c r="W392" s="100">
        <v>0</v>
      </c>
    </row>
    <row r="393" ht="15.6" spans="2:23">
      <c r="F393" s="80" t="s">
        <v>633</v>
      </c>
      <c r="G393" s="99">
        <v>0</v>
      </c>
      <c r="H393" s="99">
        <v>0</v>
      </c>
      <c r="I393" s="99">
        <v>0</v>
      </c>
      <c r="J393"/>
      <c r="K393"/>
      <c r="L393"/>
      <c r="M393" s="80" t="s">
        <v>291</v>
      </c>
      <c r="N393" s="80" t="s">
        <v>292</v>
      </c>
      <c r="O393" s="80" t="s">
        <v>2965</v>
      </c>
      <c r="P393" s="80" t="s">
        <v>868</v>
      </c>
      <c r="Q393" s="80" t="s">
        <v>627</v>
      </c>
      <c r="R393" s="80">
        <v>0</v>
      </c>
      <c r="S393" s="80" t="s">
        <v>1281</v>
      </c>
      <c r="T393" s="100">
        <v>0.06</v>
      </c>
      <c r="U393" s="100">
        <v>0</v>
      </c>
      <c r="V393" s="100">
        <v>0</v>
      </c>
      <c r="W393" s="100">
        <v>0</v>
      </c>
    </row>
    <row r="394" ht="15.6" spans="2:23">
      <c r="B394" s="80" t="s">
        <v>4583</v>
      </c>
      <c r="G394" s="99">
        <v>0</v>
      </c>
      <c r="H394" s="99">
        <v>0</v>
      </c>
      <c r="I394" s="99">
        <v>0</v>
      </c>
      <c r="J394"/>
      <c r="K394"/>
      <c r="L394"/>
      <c r="O394" s="80" t="s">
        <v>2966</v>
      </c>
      <c r="P394" s="80" t="s">
        <v>869</v>
      </c>
      <c r="Q394" s="80" t="s">
        <v>627</v>
      </c>
      <c r="R394" s="80">
        <v>0</v>
      </c>
      <c r="S394" s="80" t="s">
        <v>1281</v>
      </c>
      <c r="T394" s="100">
        <v>0.1125</v>
      </c>
      <c r="U394" s="100">
        <v>0</v>
      </c>
      <c r="V394" s="100">
        <v>0</v>
      </c>
      <c r="W394" s="100">
        <v>0</v>
      </c>
    </row>
    <row r="395" ht="15.6" spans="2:23">
      <c r="B395" s="80" t="s">
        <v>313</v>
      </c>
      <c r="C395" s="80" t="s">
        <v>314</v>
      </c>
      <c r="D395" s="80">
        <v>0</v>
      </c>
      <c r="E395" s="80" t="s">
        <v>1176</v>
      </c>
      <c r="F395" s="80" t="s">
        <v>652</v>
      </c>
      <c r="G395" s="99">
        <v>0</v>
      </c>
      <c r="H395" s="99">
        <v>0</v>
      </c>
      <c r="I395" s="99">
        <v>0</v>
      </c>
      <c r="J395"/>
      <c r="K395"/>
      <c r="L395"/>
      <c r="O395" s="80" t="s">
        <v>2967</v>
      </c>
      <c r="P395" s="80" t="s">
        <v>3756</v>
      </c>
      <c r="Q395" s="80" t="s">
        <v>627</v>
      </c>
      <c r="R395" s="80">
        <v>0</v>
      </c>
      <c r="S395" s="80" t="s">
        <v>1281</v>
      </c>
      <c r="T395" s="100">
        <v>0.015</v>
      </c>
      <c r="U395" s="100">
        <v>0</v>
      </c>
      <c r="V395" s="100">
        <v>0</v>
      </c>
      <c r="W395" s="100">
        <v>0</v>
      </c>
    </row>
    <row r="396" ht="15.6" spans="2:23">
      <c r="F396" s="80" t="s">
        <v>654</v>
      </c>
      <c r="G396" s="99">
        <v>0</v>
      </c>
      <c r="H396" s="99">
        <v>0</v>
      </c>
      <c r="I396" s="99">
        <v>0</v>
      </c>
      <c r="J396"/>
      <c r="K396"/>
      <c r="L396"/>
      <c r="O396" s="80" t="s">
        <v>2968</v>
      </c>
      <c r="P396" s="80" t="s">
        <v>3757</v>
      </c>
      <c r="Q396" s="80" t="s">
        <v>627</v>
      </c>
      <c r="R396" s="80">
        <v>0</v>
      </c>
      <c r="S396" s="80" t="s">
        <v>1178</v>
      </c>
      <c r="T396" s="100">
        <v>3</v>
      </c>
      <c r="U396" s="100">
        <v>0</v>
      </c>
      <c r="V396" s="100">
        <v>0</v>
      </c>
      <c r="W396" s="100">
        <v>0</v>
      </c>
    </row>
    <row r="397" ht="15.6" spans="2:23">
      <c r="F397" s="80" t="s">
        <v>615</v>
      </c>
      <c r="G397" s="99">
        <v>0</v>
      </c>
      <c r="H397" s="99">
        <v>0</v>
      </c>
      <c r="I397" s="99">
        <v>0</v>
      </c>
      <c r="J397"/>
      <c r="K397"/>
      <c r="L397"/>
      <c r="O397" s="80" t="s">
        <v>2969</v>
      </c>
      <c r="P397" s="80" t="s">
        <v>3760</v>
      </c>
      <c r="Q397" s="80" t="s">
        <v>627</v>
      </c>
      <c r="R397" s="80">
        <v>0</v>
      </c>
      <c r="S397" s="80" t="s">
        <v>1178</v>
      </c>
      <c r="T397" s="100">
        <v>0.75</v>
      </c>
      <c r="U397" s="100">
        <v>0</v>
      </c>
      <c r="V397" s="100">
        <v>0</v>
      </c>
      <c r="W397" s="100">
        <v>0</v>
      </c>
    </row>
    <row r="398" ht="15.6" spans="2:23">
      <c r="F398" s="80" t="s">
        <v>638</v>
      </c>
      <c r="G398" s="99">
        <v>0</v>
      </c>
      <c r="H398" s="99">
        <v>0</v>
      </c>
      <c r="I398" s="99">
        <v>0</v>
      </c>
      <c r="J398"/>
      <c r="K398"/>
      <c r="L398"/>
      <c r="M398" s="80" t="s">
        <v>293</v>
      </c>
      <c r="N398" s="80" t="s">
        <v>294</v>
      </c>
      <c r="O398" s="80" t="s">
        <v>1421</v>
      </c>
      <c r="P398" s="80" t="s">
        <v>4584</v>
      </c>
      <c r="Q398" s="80" t="s">
        <v>620</v>
      </c>
      <c r="R398" s="80">
        <v>0</v>
      </c>
      <c r="S398" s="80" t="s">
        <v>1281</v>
      </c>
      <c r="T398" s="100">
        <v>8</v>
      </c>
      <c r="U398" s="100">
        <v>0</v>
      </c>
      <c r="V398" s="100">
        <v>0</v>
      </c>
      <c r="W398" s="100">
        <v>0</v>
      </c>
    </row>
    <row r="399" ht="15.6" spans="2:23">
      <c r="F399" s="80" t="s">
        <v>642</v>
      </c>
      <c r="G399" s="99">
        <v>0</v>
      </c>
      <c r="H399" s="99">
        <v>0</v>
      </c>
      <c r="I399" s="99">
        <v>0</v>
      </c>
      <c r="J399"/>
      <c r="K399"/>
      <c r="L399"/>
      <c r="O399" s="80" t="s">
        <v>2970</v>
      </c>
      <c r="P399" s="80" t="s">
        <v>4585</v>
      </c>
      <c r="Q399" s="80" t="s">
        <v>629</v>
      </c>
      <c r="R399" s="80">
        <v>0</v>
      </c>
      <c r="S399" s="80" t="s">
        <v>1380</v>
      </c>
      <c r="T399" s="100">
        <v>1.5</v>
      </c>
      <c r="U399" s="100">
        <v>0</v>
      </c>
      <c r="V399" s="100">
        <v>0</v>
      </c>
      <c r="W399" s="100">
        <v>0</v>
      </c>
    </row>
    <row r="400" ht="15.6" spans="2:23">
      <c r="F400" s="80" t="s">
        <v>639</v>
      </c>
      <c r="G400" s="99">
        <v>0</v>
      </c>
      <c r="H400" s="99">
        <v>0</v>
      </c>
      <c r="I400" s="99">
        <v>0</v>
      </c>
      <c r="J400"/>
      <c r="K400"/>
      <c r="L400"/>
      <c r="O400" s="80" t="s">
        <v>2971</v>
      </c>
      <c r="P400" s="80" t="s">
        <v>3765</v>
      </c>
      <c r="Q400" s="80" t="s">
        <v>631</v>
      </c>
      <c r="R400" s="80">
        <v>0</v>
      </c>
      <c r="S400" s="80" t="s">
        <v>1380</v>
      </c>
      <c r="T400" s="100">
        <v>1.5</v>
      </c>
      <c r="U400" s="100">
        <v>0</v>
      </c>
      <c r="V400" s="100">
        <v>0</v>
      </c>
      <c r="W400" s="100">
        <v>0</v>
      </c>
    </row>
    <row r="401" ht="15.6" spans="2:23">
      <c r="B401" s="80" t="s">
        <v>4586</v>
      </c>
      <c r="G401" s="99">
        <v>0</v>
      </c>
      <c r="H401" s="99">
        <v>0</v>
      </c>
      <c r="I401" s="99">
        <v>0</v>
      </c>
      <c r="J401"/>
      <c r="K401"/>
      <c r="L401"/>
      <c r="O401" s="80" t="s">
        <v>2972</v>
      </c>
      <c r="P401" s="80" t="s">
        <v>3768</v>
      </c>
      <c r="Q401" s="80" t="s">
        <v>629</v>
      </c>
      <c r="R401" s="80">
        <v>0</v>
      </c>
      <c r="S401" s="80" t="s">
        <v>1380</v>
      </c>
      <c r="T401" s="100">
        <v>0.75</v>
      </c>
      <c r="U401" s="100">
        <v>0</v>
      </c>
      <c r="V401" s="100">
        <v>0</v>
      </c>
      <c r="W401" s="100">
        <v>0</v>
      </c>
    </row>
    <row r="402" ht="15.6" spans="2:23">
      <c r="B402" s="80" t="s">
        <v>315</v>
      </c>
      <c r="C402" s="80" t="s">
        <v>316</v>
      </c>
      <c r="D402" s="80">
        <v>0</v>
      </c>
      <c r="E402" s="80" t="s">
        <v>1176</v>
      </c>
      <c r="F402" s="80" t="s">
        <v>642</v>
      </c>
      <c r="G402" s="99">
        <v>0</v>
      </c>
      <c r="H402" s="99">
        <v>0</v>
      </c>
      <c r="I402" s="99">
        <v>0</v>
      </c>
      <c r="J402"/>
      <c r="K402"/>
      <c r="L402"/>
      <c r="O402" s="80" t="s">
        <v>2973</v>
      </c>
      <c r="P402" s="80" t="s">
        <v>4587</v>
      </c>
      <c r="Q402" s="80" t="s">
        <v>631</v>
      </c>
      <c r="R402" s="80">
        <v>0</v>
      </c>
      <c r="S402" s="80" t="s">
        <v>1380</v>
      </c>
      <c r="T402" s="100">
        <v>2</v>
      </c>
      <c r="U402" s="100">
        <v>0</v>
      </c>
      <c r="V402" s="100">
        <v>0</v>
      </c>
      <c r="W402" s="100">
        <v>0</v>
      </c>
    </row>
    <row r="403" ht="15.6" spans="2:23">
      <c r="F403" s="80" t="s">
        <v>639</v>
      </c>
      <c r="G403" s="99">
        <v>0</v>
      </c>
      <c r="H403" s="99">
        <v>0</v>
      </c>
      <c r="I403" s="99">
        <v>0</v>
      </c>
      <c r="J403"/>
      <c r="K403"/>
      <c r="L403"/>
      <c r="M403" s="80" t="s">
        <v>295</v>
      </c>
      <c r="N403" s="80" t="s">
        <v>296</v>
      </c>
      <c r="O403" s="80" t="s">
        <v>1423</v>
      </c>
      <c r="P403" s="80" t="s">
        <v>296</v>
      </c>
      <c r="Q403" s="80" t="s">
        <v>631</v>
      </c>
      <c r="R403" s="80">
        <v>0</v>
      </c>
      <c r="S403" s="80" t="s">
        <v>1281</v>
      </c>
      <c r="T403" s="100">
        <v>0.75</v>
      </c>
      <c r="U403" s="100">
        <v>0</v>
      </c>
      <c r="V403" s="100">
        <v>0</v>
      </c>
      <c r="W403" s="100">
        <v>0</v>
      </c>
    </row>
    <row r="404" ht="15.6" spans="2:23">
      <c r="B404" s="80" t="s">
        <v>4588</v>
      </c>
      <c r="G404" s="99">
        <v>0</v>
      </c>
      <c r="H404" s="99">
        <v>0</v>
      </c>
      <c r="I404" s="99">
        <v>0</v>
      </c>
      <c r="J404"/>
      <c r="K404"/>
      <c r="L404"/>
      <c r="Q404" s="80" t="s">
        <v>633</v>
      </c>
      <c r="R404" s="80">
        <v>0</v>
      </c>
      <c r="S404" s="80" t="s">
        <v>1281</v>
      </c>
      <c r="T404" s="100">
        <v>0.375</v>
      </c>
      <c r="U404" s="100">
        <v>0</v>
      </c>
      <c r="V404" s="100">
        <v>0</v>
      </c>
      <c r="W404" s="100">
        <v>0</v>
      </c>
    </row>
    <row r="405" ht="15.6" spans="2:23">
      <c r="B405" s="80" t="s">
        <v>317</v>
      </c>
      <c r="C405" s="80" t="s">
        <v>318</v>
      </c>
      <c r="D405" s="80">
        <v>0</v>
      </c>
      <c r="E405" s="80" t="s">
        <v>1178</v>
      </c>
      <c r="F405" s="80" t="s">
        <v>642</v>
      </c>
      <c r="G405" s="99">
        <v>0</v>
      </c>
      <c r="H405" s="99">
        <v>0</v>
      </c>
      <c r="I405" s="99">
        <v>0</v>
      </c>
      <c r="J405"/>
      <c r="K405"/>
      <c r="L405"/>
      <c r="M405" s="80" t="s">
        <v>297</v>
      </c>
      <c r="N405" s="80" t="s">
        <v>298</v>
      </c>
      <c r="O405" s="80" t="s">
        <v>2976</v>
      </c>
      <c r="P405" s="80" t="s">
        <v>4362</v>
      </c>
      <c r="Q405" s="80" t="s">
        <v>629</v>
      </c>
      <c r="R405" s="80">
        <v>0</v>
      </c>
      <c r="S405" s="80" t="s">
        <v>1281</v>
      </c>
      <c r="T405" s="100">
        <v>4</v>
      </c>
      <c r="U405" s="100">
        <v>0</v>
      </c>
      <c r="V405" s="100">
        <v>0</v>
      </c>
      <c r="W405" s="100">
        <v>0</v>
      </c>
    </row>
    <row r="406" ht="15.6" spans="2:23">
      <c r="F406" s="80" t="s">
        <v>639</v>
      </c>
      <c r="G406" s="99">
        <v>0</v>
      </c>
      <c r="H406" s="99">
        <v>0</v>
      </c>
      <c r="I406" s="99">
        <v>0</v>
      </c>
      <c r="J406"/>
      <c r="K406"/>
      <c r="L406"/>
      <c r="O406" s="80" t="s">
        <v>2977</v>
      </c>
      <c r="P406" s="80" t="s">
        <v>4363</v>
      </c>
      <c r="Q406" s="80" t="s">
        <v>631</v>
      </c>
      <c r="R406" s="80">
        <v>0</v>
      </c>
      <c r="S406" s="80" t="s">
        <v>1281</v>
      </c>
      <c r="T406" s="100">
        <v>2</v>
      </c>
      <c r="U406" s="100">
        <v>0</v>
      </c>
      <c r="V406" s="100">
        <v>0</v>
      </c>
      <c r="W406" s="100">
        <v>0</v>
      </c>
    </row>
    <row r="407" ht="15.6" spans="2:23">
      <c r="B407" s="80" t="s">
        <v>4589</v>
      </c>
      <c r="G407" s="99">
        <v>0</v>
      </c>
      <c r="H407" s="99">
        <v>0</v>
      </c>
      <c r="I407" s="99">
        <v>0</v>
      </c>
      <c r="J407"/>
      <c r="K407"/>
      <c r="L407"/>
      <c r="O407" s="80" t="s">
        <v>2978</v>
      </c>
      <c r="P407" s="80" t="s">
        <v>4364</v>
      </c>
      <c r="Q407" s="80" t="s">
        <v>633</v>
      </c>
      <c r="R407" s="80">
        <v>0</v>
      </c>
      <c r="S407" s="80" t="s">
        <v>1281</v>
      </c>
      <c r="T407" s="100">
        <v>1</v>
      </c>
      <c r="U407" s="100">
        <v>0</v>
      </c>
      <c r="V407" s="100">
        <v>0</v>
      </c>
      <c r="W407" s="100">
        <v>0</v>
      </c>
    </row>
    <row r="408" ht="15.6" spans="2:23">
      <c r="B408" s="80" t="s">
        <v>319</v>
      </c>
      <c r="C408" s="80" t="s">
        <v>320</v>
      </c>
      <c r="D408" s="80">
        <v>0</v>
      </c>
      <c r="E408" s="80" t="s">
        <v>1281</v>
      </c>
      <c r="F408" s="80" t="s">
        <v>615</v>
      </c>
      <c r="G408" s="99">
        <v>0</v>
      </c>
      <c r="H408" s="99">
        <v>0</v>
      </c>
      <c r="I408" s="99">
        <v>0</v>
      </c>
      <c r="J408"/>
      <c r="K408"/>
      <c r="L408"/>
      <c r="O408" s="80" t="s">
        <v>2979</v>
      </c>
      <c r="P408" s="80" t="s">
        <v>4365</v>
      </c>
      <c r="Q408" s="80" t="s">
        <v>629</v>
      </c>
      <c r="R408" s="80">
        <v>0</v>
      </c>
      <c r="S408" s="80" t="s">
        <v>1178</v>
      </c>
      <c r="T408" s="100">
        <v>0.5</v>
      </c>
      <c r="U408" s="100">
        <v>0</v>
      </c>
      <c r="V408" s="100">
        <v>0</v>
      </c>
      <c r="W408" s="100">
        <v>0</v>
      </c>
    </row>
    <row r="409" ht="15.6" spans="2:23">
      <c r="F409" s="80" t="s">
        <v>638</v>
      </c>
      <c r="G409" s="99">
        <v>0</v>
      </c>
      <c r="H409" s="99">
        <v>0</v>
      </c>
      <c r="I409" s="99">
        <v>0</v>
      </c>
      <c r="J409"/>
      <c r="K409"/>
      <c r="L409"/>
      <c r="M409" s="80" t="s">
        <v>299</v>
      </c>
      <c r="N409" s="80" t="s">
        <v>300</v>
      </c>
      <c r="O409" s="80" t="s">
        <v>2980</v>
      </c>
      <c r="P409" s="80" t="s">
        <v>3785</v>
      </c>
      <c r="Q409" s="80" t="s">
        <v>631</v>
      </c>
      <c r="R409" s="80">
        <v>0</v>
      </c>
      <c r="S409" s="80" t="s">
        <v>1380</v>
      </c>
      <c r="T409" s="100">
        <v>0.75</v>
      </c>
      <c r="U409" s="100">
        <v>0</v>
      </c>
      <c r="V409" s="100">
        <v>0</v>
      </c>
      <c r="W409" s="100">
        <v>0</v>
      </c>
    </row>
    <row r="410" ht="15.6" spans="2:23">
      <c r="F410" s="80" t="s">
        <v>642</v>
      </c>
      <c r="G410" s="99">
        <v>0</v>
      </c>
      <c r="H410" s="99">
        <v>0</v>
      </c>
      <c r="I410" s="99">
        <v>0</v>
      </c>
      <c r="J410"/>
      <c r="K410"/>
      <c r="L410"/>
      <c r="O410" s="80" t="s">
        <v>2981</v>
      </c>
      <c r="P410" s="80" t="s">
        <v>3788</v>
      </c>
      <c r="Q410" s="80" t="s">
        <v>629</v>
      </c>
      <c r="R410" s="80">
        <v>0</v>
      </c>
      <c r="S410" s="80" t="s">
        <v>1380</v>
      </c>
      <c r="T410" s="100">
        <v>1.5</v>
      </c>
      <c r="U410" s="100">
        <v>0</v>
      </c>
      <c r="V410" s="100">
        <v>0</v>
      </c>
      <c r="W410" s="100">
        <v>0</v>
      </c>
    </row>
    <row r="411" ht="15.6" spans="2:23">
      <c r="F411" s="80" t="s">
        <v>639</v>
      </c>
      <c r="G411" s="99">
        <v>0</v>
      </c>
      <c r="H411" s="99">
        <v>0</v>
      </c>
      <c r="I411" s="99">
        <v>0</v>
      </c>
      <c r="J411"/>
      <c r="K411"/>
      <c r="L411"/>
      <c r="O411" s="80" t="s">
        <v>2982</v>
      </c>
      <c r="P411" s="80" t="s">
        <v>4315</v>
      </c>
      <c r="Q411" s="80" t="s">
        <v>631</v>
      </c>
      <c r="R411" s="80">
        <v>0</v>
      </c>
      <c r="S411" s="80" t="s">
        <v>1380</v>
      </c>
      <c r="T411" s="100">
        <v>1.5</v>
      </c>
      <c r="U411" s="100">
        <v>0</v>
      </c>
      <c r="V411" s="100">
        <v>0</v>
      </c>
      <c r="W411" s="100">
        <v>0</v>
      </c>
    </row>
    <row r="412" ht="15.6" spans="2:23">
      <c r="B412" s="80" t="s">
        <v>4590</v>
      </c>
      <c r="G412" s="99">
        <v>0</v>
      </c>
      <c r="H412" s="99">
        <v>0</v>
      </c>
      <c r="I412" s="99">
        <v>0</v>
      </c>
      <c r="J412"/>
      <c r="K412"/>
      <c r="L412"/>
      <c r="O412" s="80" t="s">
        <v>2983</v>
      </c>
      <c r="P412" s="80" t="s">
        <v>3791</v>
      </c>
      <c r="Q412" s="80" t="s">
        <v>629</v>
      </c>
      <c r="R412" s="80">
        <v>0</v>
      </c>
      <c r="S412" s="80" t="s">
        <v>1178</v>
      </c>
      <c r="T412" s="100">
        <v>0.75</v>
      </c>
      <c r="U412" s="100">
        <v>0</v>
      </c>
      <c r="V412" s="100">
        <v>0</v>
      </c>
      <c r="W412" s="100">
        <v>0</v>
      </c>
    </row>
    <row r="413" ht="15.6" spans="2:23">
      <c r="B413" s="80" t="s">
        <v>321</v>
      </c>
      <c r="C413" s="80" t="s">
        <v>322</v>
      </c>
      <c r="D413" s="80">
        <v>0</v>
      </c>
      <c r="E413" s="80" t="s">
        <v>1281</v>
      </c>
      <c r="F413" s="80" t="s">
        <v>638</v>
      </c>
      <c r="G413" s="99">
        <v>0</v>
      </c>
      <c r="H413" s="99">
        <v>0</v>
      </c>
      <c r="I413" s="99">
        <v>0</v>
      </c>
      <c r="J413"/>
      <c r="K413"/>
      <c r="L413"/>
      <c r="O413" s="80" t="s">
        <v>2984</v>
      </c>
      <c r="P413" s="80" t="s">
        <v>3794</v>
      </c>
      <c r="Q413" s="80" t="s">
        <v>631</v>
      </c>
      <c r="R413" s="80">
        <v>0</v>
      </c>
      <c r="S413" s="80" t="s">
        <v>1380</v>
      </c>
      <c r="T413" s="100">
        <v>1.5</v>
      </c>
      <c r="U413" s="100">
        <v>0</v>
      </c>
      <c r="V413" s="100">
        <v>0</v>
      </c>
      <c r="W413" s="100">
        <v>0</v>
      </c>
    </row>
    <row r="414" ht="15.6" spans="2:23">
      <c r="F414" s="80" t="s">
        <v>635</v>
      </c>
      <c r="G414" s="99">
        <v>0</v>
      </c>
      <c r="H414" s="99">
        <v>0</v>
      </c>
      <c r="I414" s="99">
        <v>0</v>
      </c>
      <c r="J414"/>
      <c r="K414"/>
      <c r="L414"/>
      <c r="O414" s="80" t="s">
        <v>2985</v>
      </c>
      <c r="P414" s="80" t="s">
        <v>3797</v>
      </c>
      <c r="Q414" s="80" t="s">
        <v>629</v>
      </c>
      <c r="R414" s="80">
        <v>0</v>
      </c>
      <c r="S414" s="80" t="s">
        <v>1178</v>
      </c>
      <c r="T414" s="100">
        <v>1.5</v>
      </c>
      <c r="U414" s="100">
        <v>0</v>
      </c>
      <c r="V414" s="100">
        <v>0</v>
      </c>
      <c r="W414" s="100">
        <v>0</v>
      </c>
    </row>
    <row r="415" ht="15.6" spans="2:23">
      <c r="B415" s="80" t="s">
        <v>4591</v>
      </c>
      <c r="G415" s="99">
        <v>0</v>
      </c>
      <c r="H415" s="99">
        <v>0</v>
      </c>
      <c r="I415" s="99">
        <v>0</v>
      </c>
      <c r="J415"/>
      <c r="K415"/>
      <c r="L415"/>
      <c r="O415" s="80" t="s">
        <v>2986</v>
      </c>
      <c r="P415" s="80" t="s">
        <v>3800</v>
      </c>
      <c r="Q415" s="80" t="s">
        <v>631</v>
      </c>
      <c r="R415" s="80">
        <v>0</v>
      </c>
      <c r="S415" s="80" t="s">
        <v>1178</v>
      </c>
      <c r="T415" s="100">
        <v>6</v>
      </c>
      <c r="U415" s="100">
        <v>0</v>
      </c>
      <c r="V415" s="100">
        <v>0</v>
      </c>
      <c r="W415" s="100">
        <v>0</v>
      </c>
    </row>
    <row r="416" ht="15.6" spans="2:23">
      <c r="B416" s="80" t="s">
        <v>323</v>
      </c>
      <c r="C416" s="80" t="s">
        <v>324</v>
      </c>
      <c r="D416" s="80">
        <v>0</v>
      </c>
      <c r="E416" s="80" t="s">
        <v>1281</v>
      </c>
      <c r="F416" s="80" t="s">
        <v>638</v>
      </c>
      <c r="G416" s="99">
        <v>0</v>
      </c>
      <c r="H416" s="99">
        <v>0</v>
      </c>
      <c r="I416" s="99">
        <v>0</v>
      </c>
      <c r="J416"/>
      <c r="K416"/>
      <c r="L416"/>
      <c r="Q416" s="80" t="s">
        <v>639</v>
      </c>
      <c r="R416" s="80">
        <v>0</v>
      </c>
      <c r="S416" s="80" t="s">
        <v>1178</v>
      </c>
      <c r="T416" s="100">
        <v>3</v>
      </c>
      <c r="U416" s="100">
        <v>0</v>
      </c>
      <c r="V416" s="100">
        <v>0</v>
      </c>
      <c r="W416" s="100">
        <v>0</v>
      </c>
    </row>
    <row r="417" ht="15.6" spans="2:23">
      <c r="F417" s="80" t="s">
        <v>635</v>
      </c>
      <c r="G417" s="99">
        <v>0</v>
      </c>
      <c r="H417" s="99">
        <v>0</v>
      </c>
      <c r="I417" s="99">
        <v>0</v>
      </c>
      <c r="J417"/>
      <c r="K417"/>
      <c r="L417"/>
      <c r="M417" s="80" t="s">
        <v>301</v>
      </c>
      <c r="N417" s="80" t="s">
        <v>302</v>
      </c>
      <c r="O417" s="80" t="s">
        <v>2988</v>
      </c>
      <c r="P417" s="80" t="s">
        <v>2288</v>
      </c>
      <c r="Q417" s="80" t="s">
        <v>631</v>
      </c>
      <c r="R417" s="80">
        <v>0</v>
      </c>
      <c r="S417" s="80" t="s">
        <v>1281</v>
      </c>
      <c r="T417" s="100">
        <v>1</v>
      </c>
      <c r="U417" s="100">
        <v>0</v>
      </c>
      <c r="V417" s="100">
        <v>0</v>
      </c>
      <c r="W417" s="100">
        <v>0</v>
      </c>
    </row>
    <row r="418" ht="15.6" spans="2:23">
      <c r="F418" s="80" t="s">
        <v>639</v>
      </c>
      <c r="G418" s="99">
        <v>0</v>
      </c>
      <c r="H418" s="99">
        <v>0</v>
      </c>
      <c r="I418" s="99">
        <v>0</v>
      </c>
      <c r="J418"/>
      <c r="K418"/>
      <c r="L418"/>
      <c r="O418" s="80" t="s">
        <v>2989</v>
      </c>
      <c r="P418" s="80" t="s">
        <v>3803</v>
      </c>
      <c r="Q418" s="80" t="s">
        <v>629</v>
      </c>
      <c r="R418" s="80">
        <v>0</v>
      </c>
      <c r="S418" s="80" t="s">
        <v>1220</v>
      </c>
      <c r="T418" s="100">
        <v>0.1</v>
      </c>
      <c r="U418" s="100">
        <v>0</v>
      </c>
      <c r="V418" s="100">
        <v>0</v>
      </c>
      <c r="W418" s="100">
        <v>0</v>
      </c>
    </row>
    <row r="419" ht="15.6" spans="2:23">
      <c r="B419" s="80" t="s">
        <v>4592</v>
      </c>
      <c r="G419" s="99">
        <v>0</v>
      </c>
      <c r="H419" s="99">
        <v>0</v>
      </c>
      <c r="I419" s="99">
        <v>0</v>
      </c>
      <c r="J419"/>
      <c r="K419"/>
      <c r="L419"/>
      <c r="O419" s="80" t="s">
        <v>2990</v>
      </c>
      <c r="P419" s="80" t="s">
        <v>3804</v>
      </c>
      <c r="Q419" s="80" t="s">
        <v>629</v>
      </c>
      <c r="R419" s="80">
        <v>0</v>
      </c>
      <c r="S419" s="80" t="s">
        <v>1220</v>
      </c>
      <c r="T419" s="100">
        <v>0.1</v>
      </c>
      <c r="U419" s="100">
        <v>0</v>
      </c>
      <c r="V419" s="100">
        <v>0</v>
      </c>
      <c r="W419" s="100">
        <v>0</v>
      </c>
    </row>
    <row r="420" ht="15.6" spans="2:23">
      <c r="B420" s="80" t="s">
        <v>325</v>
      </c>
      <c r="C420" s="80" t="s">
        <v>326</v>
      </c>
      <c r="D420" s="80">
        <v>0</v>
      </c>
      <c r="E420" s="80" t="s">
        <v>1281</v>
      </c>
      <c r="F420" s="80" t="s">
        <v>638</v>
      </c>
      <c r="G420" s="99">
        <v>0</v>
      </c>
      <c r="H420" s="99">
        <v>0</v>
      </c>
      <c r="I420" s="99">
        <v>0</v>
      </c>
      <c r="J420"/>
      <c r="K420"/>
      <c r="L420"/>
      <c r="O420" s="80" t="s">
        <v>2991</v>
      </c>
      <c r="P420" s="80" t="s">
        <v>4593</v>
      </c>
      <c r="Q420" s="80" t="s">
        <v>629</v>
      </c>
      <c r="R420" s="80">
        <v>0</v>
      </c>
      <c r="S420" s="80" t="s">
        <v>1220</v>
      </c>
      <c r="T420" s="100">
        <v>0.1</v>
      </c>
      <c r="U420" s="100">
        <v>0</v>
      </c>
      <c r="V420" s="100">
        <v>0</v>
      </c>
      <c r="W420" s="100">
        <v>0</v>
      </c>
    </row>
    <row r="421" ht="15.6" spans="2:23">
      <c r="F421" s="80" t="s">
        <v>635</v>
      </c>
      <c r="G421" s="99">
        <v>0</v>
      </c>
      <c r="H421" s="99">
        <v>0</v>
      </c>
      <c r="I421" s="99">
        <v>0</v>
      </c>
      <c r="J421"/>
      <c r="K421"/>
      <c r="L421"/>
      <c r="M421" s="80" t="s">
        <v>303</v>
      </c>
      <c r="N421" s="80" t="s">
        <v>304</v>
      </c>
      <c r="O421" s="80" t="s">
        <v>1439</v>
      </c>
      <c r="P421" s="80" t="s">
        <v>3808</v>
      </c>
      <c r="Q421" s="80" t="s">
        <v>633</v>
      </c>
      <c r="R421" s="80">
        <v>0</v>
      </c>
      <c r="S421" s="80" t="s">
        <v>1178</v>
      </c>
      <c r="T421" s="100">
        <v>4.5</v>
      </c>
      <c r="U421" s="100">
        <v>0</v>
      </c>
      <c r="V421" s="100">
        <v>0</v>
      </c>
      <c r="W421" s="100">
        <v>0</v>
      </c>
    </row>
    <row r="422" ht="15.6" spans="2:23">
      <c r="F422" s="80" t="s">
        <v>639</v>
      </c>
      <c r="G422" s="99">
        <v>0</v>
      </c>
      <c r="H422" s="99">
        <v>0</v>
      </c>
      <c r="I422" s="99">
        <v>0</v>
      </c>
      <c r="J422"/>
      <c r="K422"/>
      <c r="L422"/>
      <c r="Q422" s="80" t="s">
        <v>615</v>
      </c>
      <c r="R422" s="80">
        <v>0</v>
      </c>
      <c r="S422" s="80" t="s">
        <v>1178</v>
      </c>
      <c r="T422" s="100">
        <v>2</v>
      </c>
      <c r="U422" s="100">
        <v>0</v>
      </c>
      <c r="V422" s="100">
        <v>0</v>
      </c>
      <c r="W422" s="100">
        <v>0</v>
      </c>
    </row>
    <row r="423" ht="15.6" spans="2:23">
      <c r="B423" s="80" t="s">
        <v>4594</v>
      </c>
      <c r="G423" s="99">
        <v>0</v>
      </c>
      <c r="H423" s="99">
        <v>0</v>
      </c>
      <c r="I423" s="99">
        <v>0</v>
      </c>
      <c r="J423"/>
      <c r="K423"/>
      <c r="L423"/>
      <c r="Q423" s="80" t="s">
        <v>639</v>
      </c>
      <c r="R423" s="80">
        <v>0</v>
      </c>
      <c r="S423" s="80" t="s">
        <v>1178</v>
      </c>
      <c r="T423" s="100">
        <v>3</v>
      </c>
      <c r="U423" s="100">
        <v>0</v>
      </c>
      <c r="V423" s="100">
        <v>0</v>
      </c>
      <c r="W423" s="100">
        <v>0</v>
      </c>
    </row>
    <row r="424" ht="15.6" spans="2:23">
      <c r="B424" s="80" t="s">
        <v>327</v>
      </c>
      <c r="C424" s="80" t="s">
        <v>328</v>
      </c>
      <c r="D424" s="80">
        <v>0</v>
      </c>
      <c r="E424" s="80" t="s">
        <v>1281</v>
      </c>
      <c r="F424" s="80" t="s">
        <v>638</v>
      </c>
      <c r="G424" s="99">
        <v>0</v>
      </c>
      <c r="H424" s="99">
        <v>0</v>
      </c>
      <c r="I424" s="99">
        <v>0</v>
      </c>
      <c r="J424"/>
      <c r="K424"/>
      <c r="L424"/>
      <c r="O424" s="80" t="s">
        <v>2992</v>
      </c>
      <c r="P424" s="80" t="s">
        <v>4595</v>
      </c>
      <c r="Q424" s="80" t="s">
        <v>635</v>
      </c>
      <c r="R424" s="80">
        <v>0</v>
      </c>
      <c r="S424" s="80" t="s">
        <v>1281</v>
      </c>
      <c r="T424" s="100">
        <v>1.5</v>
      </c>
      <c r="U424" s="100">
        <v>0</v>
      </c>
      <c r="V424" s="100">
        <v>0</v>
      </c>
      <c r="W424" s="100">
        <v>0</v>
      </c>
    </row>
    <row r="425" ht="15.6" spans="2:23">
      <c r="F425" s="80" t="s">
        <v>635</v>
      </c>
      <c r="G425" s="99">
        <v>0</v>
      </c>
      <c r="H425" s="99">
        <v>0</v>
      </c>
      <c r="I425" s="99">
        <v>0</v>
      </c>
      <c r="J425"/>
      <c r="K425"/>
      <c r="L425"/>
      <c r="O425" s="80" t="s">
        <v>2993</v>
      </c>
      <c r="P425" s="80" t="s">
        <v>4596</v>
      </c>
      <c r="Q425" s="80" t="s">
        <v>635</v>
      </c>
      <c r="R425" s="80">
        <v>0</v>
      </c>
      <c r="S425" s="80" t="s">
        <v>1281</v>
      </c>
      <c r="T425" s="100">
        <v>1.5</v>
      </c>
      <c r="U425" s="100">
        <v>0</v>
      </c>
      <c r="V425" s="100">
        <v>0</v>
      </c>
      <c r="W425" s="100">
        <v>0</v>
      </c>
    </row>
    <row r="426" ht="15.6" spans="2:23">
      <c r="F426" s="80" t="s">
        <v>639</v>
      </c>
      <c r="G426" s="99">
        <v>0</v>
      </c>
      <c r="H426" s="99">
        <v>0</v>
      </c>
      <c r="I426" s="99">
        <v>0</v>
      </c>
      <c r="J426"/>
      <c r="K426"/>
      <c r="L426"/>
      <c r="O426" s="80" t="s">
        <v>1441</v>
      </c>
      <c r="P426" s="80" t="s">
        <v>3814</v>
      </c>
      <c r="Q426" s="80" t="s">
        <v>633</v>
      </c>
      <c r="R426" s="80">
        <v>0</v>
      </c>
      <c r="S426" s="80" t="s">
        <v>1178</v>
      </c>
      <c r="T426" s="100">
        <v>2</v>
      </c>
      <c r="U426" s="100">
        <v>0</v>
      </c>
      <c r="V426" s="100">
        <v>0</v>
      </c>
      <c r="W426" s="100">
        <v>0</v>
      </c>
    </row>
    <row r="427" ht="15.6" spans="2:23">
      <c r="B427" s="80" t="s">
        <v>4597</v>
      </c>
      <c r="G427" s="99">
        <v>0</v>
      </c>
      <c r="H427" s="99">
        <v>0</v>
      </c>
      <c r="I427" s="99">
        <v>0</v>
      </c>
      <c r="J427"/>
      <c r="K427"/>
      <c r="L427"/>
      <c r="Q427" s="80" t="s">
        <v>615</v>
      </c>
      <c r="R427" s="80">
        <v>0</v>
      </c>
      <c r="S427" s="80" t="s">
        <v>1178</v>
      </c>
      <c r="T427" s="100">
        <v>2</v>
      </c>
      <c r="U427" s="100">
        <v>0</v>
      </c>
      <c r="V427" s="100">
        <v>0</v>
      </c>
      <c r="W427" s="100">
        <v>0</v>
      </c>
    </row>
    <row r="428" ht="15.6" spans="2:23">
      <c r="B428" s="80" t="s">
        <v>329</v>
      </c>
      <c r="C428" s="80" t="s">
        <v>330</v>
      </c>
      <c r="D428" s="80">
        <v>0</v>
      </c>
      <c r="E428" s="80" t="s">
        <v>1281</v>
      </c>
      <c r="F428" s="80" t="s">
        <v>638</v>
      </c>
      <c r="G428" s="99">
        <v>0</v>
      </c>
      <c r="H428" s="99">
        <v>0</v>
      </c>
      <c r="I428" s="99">
        <v>0</v>
      </c>
      <c r="J428"/>
      <c r="K428"/>
      <c r="L428"/>
      <c r="Q428" s="80" t="s">
        <v>599</v>
      </c>
      <c r="R428" s="80">
        <v>0</v>
      </c>
      <c r="S428" s="80" t="s">
        <v>1178</v>
      </c>
      <c r="T428" s="100">
        <v>2</v>
      </c>
      <c r="U428" s="100">
        <v>0</v>
      </c>
      <c r="V428" s="100">
        <v>0</v>
      </c>
      <c r="W428" s="100">
        <v>0</v>
      </c>
    </row>
    <row r="429" ht="15.6" spans="2:23">
      <c r="F429" s="80" t="s">
        <v>635</v>
      </c>
      <c r="G429" s="99">
        <v>0</v>
      </c>
      <c r="H429" s="99">
        <v>0</v>
      </c>
      <c r="I429" s="99">
        <v>0</v>
      </c>
      <c r="J429"/>
      <c r="K429"/>
      <c r="L429"/>
      <c r="Q429" s="80" t="s">
        <v>635</v>
      </c>
      <c r="R429" s="80">
        <v>0</v>
      </c>
      <c r="S429" s="80" t="s">
        <v>1178</v>
      </c>
      <c r="T429" s="100">
        <v>2</v>
      </c>
      <c r="U429" s="100">
        <v>0</v>
      </c>
      <c r="V429" s="100">
        <v>0</v>
      </c>
      <c r="W429" s="100">
        <v>0</v>
      </c>
    </row>
    <row r="430" ht="15.6" spans="2:23">
      <c r="F430" s="80" t="s">
        <v>639</v>
      </c>
      <c r="G430" s="99">
        <v>0</v>
      </c>
      <c r="H430" s="99">
        <v>0</v>
      </c>
      <c r="I430" s="99">
        <v>0</v>
      </c>
      <c r="J430"/>
      <c r="K430"/>
      <c r="L430"/>
      <c r="Q430" s="80" t="s">
        <v>639</v>
      </c>
      <c r="R430" s="80">
        <v>0</v>
      </c>
      <c r="S430" s="80" t="s">
        <v>1178</v>
      </c>
      <c r="T430" s="100">
        <v>2</v>
      </c>
      <c r="U430" s="100">
        <v>0</v>
      </c>
      <c r="V430" s="100">
        <v>0</v>
      </c>
      <c r="W430" s="100">
        <v>0</v>
      </c>
    </row>
    <row r="431" ht="15.6" spans="2:23">
      <c r="B431" s="80" t="s">
        <v>4598</v>
      </c>
      <c r="G431" s="99">
        <v>0</v>
      </c>
      <c r="H431" s="99">
        <v>0</v>
      </c>
      <c r="I431" s="99">
        <v>0</v>
      </c>
      <c r="J431"/>
      <c r="K431"/>
      <c r="L431"/>
      <c r="O431" s="80" t="s">
        <v>1442</v>
      </c>
      <c r="P431" s="80" t="s">
        <v>3817</v>
      </c>
      <c r="Q431" s="80" t="s">
        <v>633</v>
      </c>
      <c r="R431" s="80">
        <v>0</v>
      </c>
      <c r="S431" s="80" t="s">
        <v>1178</v>
      </c>
      <c r="T431" s="100">
        <v>6</v>
      </c>
      <c r="U431" s="100">
        <v>0</v>
      </c>
      <c r="V431" s="100">
        <v>0</v>
      </c>
      <c r="W431" s="100">
        <v>0</v>
      </c>
    </row>
    <row r="432" ht="15.6" spans="2:23">
      <c r="B432" s="80" t="s">
        <v>331</v>
      </c>
      <c r="C432" s="80" t="s">
        <v>332</v>
      </c>
      <c r="D432" s="80">
        <v>0</v>
      </c>
      <c r="E432" s="80" t="s">
        <v>1281</v>
      </c>
      <c r="F432" s="80" t="s">
        <v>652</v>
      </c>
      <c r="G432" s="99">
        <v>0</v>
      </c>
      <c r="H432" s="99">
        <v>0</v>
      </c>
      <c r="I432" s="99">
        <v>0</v>
      </c>
      <c r="J432"/>
      <c r="K432"/>
      <c r="L432"/>
      <c r="Q432" s="80" t="s">
        <v>639</v>
      </c>
      <c r="R432" s="80">
        <v>0</v>
      </c>
      <c r="S432" s="80" t="s">
        <v>1178</v>
      </c>
      <c r="T432" s="100">
        <v>1.5</v>
      </c>
      <c r="U432" s="100">
        <v>0</v>
      </c>
      <c r="V432" s="100">
        <v>0</v>
      </c>
      <c r="W432" s="100">
        <v>0</v>
      </c>
    </row>
    <row r="433" ht="15.6" spans="2:23">
      <c r="F433" s="80" t="s">
        <v>638</v>
      </c>
      <c r="G433" s="99">
        <v>0</v>
      </c>
      <c r="H433" s="99">
        <v>0</v>
      </c>
      <c r="I433" s="99">
        <v>0</v>
      </c>
      <c r="J433"/>
      <c r="K433"/>
      <c r="L433"/>
      <c r="M433" s="80" t="s">
        <v>305</v>
      </c>
      <c r="N433" s="80" t="s">
        <v>306</v>
      </c>
      <c r="O433" s="80" t="s">
        <v>2994</v>
      </c>
      <c r="P433" s="80" t="s">
        <v>3820</v>
      </c>
      <c r="Q433" s="80" t="s">
        <v>629</v>
      </c>
      <c r="R433" s="80">
        <v>0</v>
      </c>
      <c r="S433" s="80" t="s">
        <v>1178</v>
      </c>
      <c r="T433" s="100">
        <v>0.75</v>
      </c>
      <c r="U433" s="100">
        <v>0</v>
      </c>
      <c r="V433" s="100">
        <v>0</v>
      </c>
      <c r="W433" s="100">
        <v>0</v>
      </c>
    </row>
    <row r="434" ht="15.6" spans="2:23">
      <c r="F434" s="80" t="s">
        <v>635</v>
      </c>
      <c r="G434" s="99">
        <v>0</v>
      </c>
      <c r="H434" s="99">
        <v>0</v>
      </c>
      <c r="I434" s="99">
        <v>0</v>
      </c>
      <c r="J434"/>
      <c r="K434"/>
      <c r="L434"/>
      <c r="O434" s="80" t="s">
        <v>1444</v>
      </c>
      <c r="P434" s="80" t="s">
        <v>3822</v>
      </c>
      <c r="Q434" s="80" t="s">
        <v>631</v>
      </c>
      <c r="R434" s="80">
        <v>0</v>
      </c>
      <c r="S434" s="80" t="s">
        <v>1178</v>
      </c>
      <c r="T434" s="100">
        <v>3</v>
      </c>
      <c r="U434" s="100">
        <v>0</v>
      </c>
      <c r="V434" s="100">
        <v>0</v>
      </c>
      <c r="W434" s="100">
        <v>0</v>
      </c>
    </row>
    <row r="435" ht="15.6" spans="2:23">
      <c r="F435" s="80" t="s">
        <v>639</v>
      </c>
      <c r="G435" s="99">
        <v>0</v>
      </c>
      <c r="H435" s="99">
        <v>0</v>
      </c>
      <c r="I435" s="99">
        <v>0</v>
      </c>
      <c r="J435"/>
      <c r="K435"/>
      <c r="L435"/>
      <c r="O435" s="80" t="s">
        <v>1445</v>
      </c>
      <c r="P435" s="80" t="s">
        <v>3824</v>
      </c>
      <c r="Q435" s="80" t="s">
        <v>631</v>
      </c>
      <c r="R435" s="80">
        <v>0</v>
      </c>
      <c r="S435" s="80" t="s">
        <v>1176</v>
      </c>
      <c r="T435" s="100">
        <v>4.5</v>
      </c>
      <c r="U435" s="100">
        <v>0</v>
      </c>
      <c r="V435" s="100">
        <v>0</v>
      </c>
      <c r="W435" s="100">
        <v>0</v>
      </c>
    </row>
    <row r="436" ht="15.6" spans="2:23">
      <c r="B436" s="80" t="s">
        <v>4599</v>
      </c>
      <c r="G436" s="99">
        <v>0</v>
      </c>
      <c r="H436" s="99">
        <v>0</v>
      </c>
      <c r="I436" s="99">
        <v>0</v>
      </c>
      <c r="J436"/>
      <c r="K436"/>
      <c r="L436"/>
      <c r="O436" s="80" t="s">
        <v>1446</v>
      </c>
      <c r="P436" s="80" t="s">
        <v>3827</v>
      </c>
      <c r="Q436" s="80" t="s">
        <v>633</v>
      </c>
      <c r="R436" s="80">
        <v>0</v>
      </c>
      <c r="S436" s="80" t="s">
        <v>1178</v>
      </c>
      <c r="T436" s="100">
        <v>0.75</v>
      </c>
      <c r="U436" s="100">
        <v>0</v>
      </c>
      <c r="V436" s="100">
        <v>0</v>
      </c>
      <c r="W436" s="100">
        <v>0</v>
      </c>
    </row>
    <row r="437" ht="15.6" spans="2:23">
      <c r="B437" s="80" t="s">
        <v>333</v>
      </c>
      <c r="C437" s="80" t="s">
        <v>334</v>
      </c>
      <c r="D437" s="80">
        <v>0</v>
      </c>
      <c r="E437" s="80" t="s">
        <v>1281</v>
      </c>
      <c r="F437" s="80" t="s">
        <v>652</v>
      </c>
      <c r="G437" s="99">
        <v>0</v>
      </c>
      <c r="H437" s="99">
        <v>0</v>
      </c>
      <c r="I437" s="99">
        <v>0</v>
      </c>
      <c r="J437"/>
      <c r="K437"/>
      <c r="L437"/>
      <c r="O437" s="80" t="s">
        <v>1447</v>
      </c>
      <c r="P437" s="80" t="s">
        <v>3830</v>
      </c>
      <c r="Q437" s="80" t="s">
        <v>629</v>
      </c>
      <c r="R437" s="80">
        <v>0</v>
      </c>
      <c r="S437" s="80" t="s">
        <v>1178</v>
      </c>
      <c r="T437" s="100">
        <v>1</v>
      </c>
      <c r="U437" s="100">
        <v>0</v>
      </c>
      <c r="V437" s="100">
        <v>0</v>
      </c>
      <c r="W437" s="100">
        <v>0</v>
      </c>
    </row>
    <row r="438" ht="15.6" spans="2:23">
      <c r="F438" s="80" t="s">
        <v>638</v>
      </c>
      <c r="G438" s="99">
        <v>0</v>
      </c>
      <c r="H438" s="99">
        <v>0</v>
      </c>
      <c r="I438" s="99">
        <v>0</v>
      </c>
      <c r="J438"/>
      <c r="K438"/>
      <c r="L438"/>
      <c r="Q438" s="80" t="s">
        <v>633</v>
      </c>
      <c r="R438" s="80">
        <v>0</v>
      </c>
      <c r="S438" s="80" t="s">
        <v>1178</v>
      </c>
      <c r="T438" s="100">
        <v>1</v>
      </c>
      <c r="U438" s="100">
        <v>0</v>
      </c>
      <c r="V438" s="100">
        <v>0</v>
      </c>
      <c r="W438" s="100">
        <v>0</v>
      </c>
    </row>
    <row r="439" ht="15.6" spans="2:23">
      <c r="F439" s="80" t="s">
        <v>635</v>
      </c>
      <c r="G439" s="99">
        <v>0</v>
      </c>
      <c r="H439" s="99">
        <v>0</v>
      </c>
      <c r="I439" s="99">
        <v>0</v>
      </c>
      <c r="J439"/>
      <c r="K439"/>
      <c r="L439"/>
      <c r="O439" s="80" t="s">
        <v>1449</v>
      </c>
      <c r="P439" s="80" t="s">
        <v>3834</v>
      </c>
      <c r="Q439" s="80" t="s">
        <v>631</v>
      </c>
      <c r="R439" s="80">
        <v>0</v>
      </c>
      <c r="S439" s="80" t="s">
        <v>1178</v>
      </c>
      <c r="T439" s="100">
        <v>1.5</v>
      </c>
      <c r="U439" s="100">
        <v>0</v>
      </c>
      <c r="V439" s="100">
        <v>0</v>
      </c>
      <c r="W439" s="100">
        <v>0</v>
      </c>
    </row>
    <row r="440" ht="15.6" spans="2:23">
      <c r="F440" s="80" t="s">
        <v>639</v>
      </c>
      <c r="G440" s="99">
        <v>0</v>
      </c>
      <c r="H440" s="99">
        <v>0</v>
      </c>
      <c r="I440" s="99">
        <v>0</v>
      </c>
      <c r="J440"/>
      <c r="K440"/>
      <c r="L440"/>
      <c r="O440" s="80" t="s">
        <v>1450</v>
      </c>
      <c r="P440" s="80" t="s">
        <v>3836</v>
      </c>
      <c r="Q440" s="80" t="s">
        <v>631</v>
      </c>
      <c r="R440" s="80">
        <v>0</v>
      </c>
      <c r="S440" s="80" t="s">
        <v>1178</v>
      </c>
      <c r="T440" s="100">
        <v>0.75</v>
      </c>
      <c r="U440" s="100">
        <v>0</v>
      </c>
      <c r="V440" s="100">
        <v>0</v>
      </c>
      <c r="W440" s="100">
        <v>0</v>
      </c>
    </row>
    <row r="441" ht="15.6" spans="2:23">
      <c r="B441" s="80" t="s">
        <v>4600</v>
      </c>
      <c r="G441" s="99">
        <v>0</v>
      </c>
      <c r="H441" s="99">
        <v>0</v>
      </c>
      <c r="I441" s="99">
        <v>0</v>
      </c>
      <c r="J441"/>
      <c r="K441"/>
      <c r="L441"/>
      <c r="O441" s="80" t="s">
        <v>1451</v>
      </c>
      <c r="P441" s="80" t="s">
        <v>3839</v>
      </c>
      <c r="Q441" s="80" t="s">
        <v>631</v>
      </c>
      <c r="R441" s="80">
        <v>0</v>
      </c>
      <c r="S441" s="80" t="s">
        <v>1178</v>
      </c>
      <c r="T441" s="100">
        <v>0.75</v>
      </c>
      <c r="U441" s="100">
        <v>0</v>
      </c>
      <c r="V441" s="100">
        <v>0</v>
      </c>
      <c r="W441" s="100">
        <v>0</v>
      </c>
    </row>
    <row r="442" ht="15.6" spans="2:23">
      <c r="B442" s="80" t="s">
        <v>335</v>
      </c>
      <c r="C442" s="80" t="s">
        <v>336</v>
      </c>
      <c r="D442" s="80">
        <v>0</v>
      </c>
      <c r="E442" s="80" t="s">
        <v>1178</v>
      </c>
      <c r="F442" s="80" t="s">
        <v>654</v>
      </c>
      <c r="G442" s="99">
        <v>0</v>
      </c>
      <c r="H442" s="99">
        <v>0</v>
      </c>
      <c r="I442" s="99">
        <v>0</v>
      </c>
      <c r="J442"/>
      <c r="K442"/>
      <c r="L442"/>
      <c r="O442" s="80" t="s">
        <v>1452</v>
      </c>
      <c r="P442" s="80" t="s">
        <v>3842</v>
      </c>
      <c r="Q442" s="80" t="s">
        <v>629</v>
      </c>
      <c r="R442" s="80">
        <v>0</v>
      </c>
      <c r="S442" s="80" t="s">
        <v>1178</v>
      </c>
      <c r="T442" s="100">
        <v>0.75</v>
      </c>
      <c r="U442" s="100">
        <v>0</v>
      </c>
      <c r="V442" s="100">
        <v>0</v>
      </c>
      <c r="W442" s="100">
        <v>0</v>
      </c>
    </row>
    <row r="443" ht="15.6" spans="2:23">
      <c r="F443" s="80" t="s">
        <v>615</v>
      </c>
      <c r="G443" s="99">
        <v>0</v>
      </c>
      <c r="H443" s="99">
        <v>0</v>
      </c>
      <c r="I443" s="99">
        <v>0</v>
      </c>
      <c r="J443"/>
      <c r="K443"/>
      <c r="L443"/>
      <c r="O443" s="80" t="s">
        <v>1453</v>
      </c>
      <c r="P443" s="80" t="s">
        <v>3845</v>
      </c>
      <c r="Q443" s="80" t="s">
        <v>639</v>
      </c>
      <c r="R443" s="80">
        <v>0</v>
      </c>
      <c r="S443" s="80" t="s">
        <v>1178</v>
      </c>
      <c r="T443" s="100">
        <v>0.75</v>
      </c>
      <c r="U443" s="100">
        <v>0</v>
      </c>
      <c r="V443" s="100">
        <v>0</v>
      </c>
      <c r="W443" s="100">
        <v>0</v>
      </c>
    </row>
    <row r="444" ht="15.6" spans="2:23">
      <c r="F444" s="80" t="s">
        <v>638</v>
      </c>
      <c r="G444" s="99">
        <v>0</v>
      </c>
      <c r="H444" s="99">
        <v>0</v>
      </c>
      <c r="I444" s="99">
        <v>0</v>
      </c>
      <c r="J444"/>
      <c r="K444"/>
      <c r="L444"/>
      <c r="M444" s="80" t="s">
        <v>307</v>
      </c>
      <c r="N444" s="80" t="s">
        <v>308</v>
      </c>
      <c r="O444" s="80" t="s">
        <v>1454</v>
      </c>
      <c r="P444" s="80" t="s">
        <v>3848</v>
      </c>
      <c r="Q444" s="80" t="s">
        <v>631</v>
      </c>
      <c r="R444" s="80">
        <v>0</v>
      </c>
      <c r="S444" s="80" t="s">
        <v>1176</v>
      </c>
      <c r="T444" s="100">
        <v>12</v>
      </c>
      <c r="U444" s="100">
        <v>0</v>
      </c>
      <c r="V444" s="100">
        <v>0</v>
      </c>
      <c r="W444" s="100">
        <v>0</v>
      </c>
    </row>
    <row r="445" ht="15.6" spans="2:23">
      <c r="F445" s="80" t="s">
        <v>635</v>
      </c>
      <c r="G445" s="99">
        <v>0</v>
      </c>
      <c r="H445" s="99">
        <v>0</v>
      </c>
      <c r="I445" s="99">
        <v>0</v>
      </c>
      <c r="J445"/>
      <c r="K445"/>
      <c r="L445"/>
      <c r="O445" s="80" t="s">
        <v>1455</v>
      </c>
      <c r="P445" s="80" t="s">
        <v>3850</v>
      </c>
      <c r="Q445" s="80" t="s">
        <v>633</v>
      </c>
      <c r="R445" s="80">
        <v>0</v>
      </c>
      <c r="S445" s="80" t="s">
        <v>1176</v>
      </c>
      <c r="T445" s="100">
        <v>3</v>
      </c>
      <c r="U445" s="100">
        <v>0</v>
      </c>
      <c r="V445" s="100">
        <v>0</v>
      </c>
      <c r="W445" s="100">
        <v>0</v>
      </c>
    </row>
    <row r="446" ht="15.6" spans="2:23">
      <c r="F446" s="80" t="s">
        <v>639</v>
      </c>
      <c r="G446" s="99">
        <v>0</v>
      </c>
      <c r="H446" s="99">
        <v>0</v>
      </c>
      <c r="I446" s="99">
        <v>0</v>
      </c>
      <c r="J446"/>
      <c r="K446"/>
      <c r="L446"/>
      <c r="M446" s="80" t="s">
        <v>309</v>
      </c>
      <c r="N446" s="80" t="s">
        <v>310</v>
      </c>
      <c r="O446" s="80" t="s">
        <v>2995</v>
      </c>
      <c r="P446" s="80" t="s">
        <v>3852</v>
      </c>
      <c r="Q446" s="80" t="s">
        <v>633</v>
      </c>
      <c r="R446" s="80">
        <v>0</v>
      </c>
      <c r="S446" s="80" t="s">
        <v>1220</v>
      </c>
      <c r="T446" s="100">
        <v>16.8</v>
      </c>
      <c r="U446" s="100">
        <v>0</v>
      </c>
      <c r="V446" s="100">
        <v>0</v>
      </c>
      <c r="W446" s="100">
        <v>0</v>
      </c>
    </row>
    <row r="447" ht="15.6" spans="2:23">
      <c r="B447" s="80" t="s">
        <v>4601</v>
      </c>
      <c r="G447" s="99">
        <v>0</v>
      </c>
      <c r="H447" s="99">
        <v>0</v>
      </c>
      <c r="I447" s="99">
        <v>0</v>
      </c>
      <c r="J447"/>
      <c r="K447"/>
      <c r="L447"/>
      <c r="O447" s="80" t="s">
        <v>2996</v>
      </c>
      <c r="P447" s="80" t="s">
        <v>3854</v>
      </c>
      <c r="Q447" s="80" t="s">
        <v>633</v>
      </c>
      <c r="R447" s="80">
        <v>0</v>
      </c>
      <c r="S447" s="80" t="s">
        <v>1220</v>
      </c>
      <c r="T447" s="100">
        <v>4.2</v>
      </c>
      <c r="U447" s="100">
        <v>0</v>
      </c>
      <c r="V447" s="100">
        <v>0</v>
      </c>
      <c r="W447" s="100">
        <v>0</v>
      </c>
    </row>
    <row r="448" ht="15.6" spans="2:23">
      <c r="B448" s="80" t="s">
        <v>337</v>
      </c>
      <c r="C448" s="80" t="s">
        <v>338</v>
      </c>
      <c r="D448" s="80">
        <v>0</v>
      </c>
      <c r="E448" s="80" t="s">
        <v>1178</v>
      </c>
      <c r="F448" s="80" t="s">
        <v>654</v>
      </c>
      <c r="G448" s="99">
        <v>0</v>
      </c>
      <c r="H448" s="99">
        <v>0</v>
      </c>
      <c r="I448" s="99">
        <v>0</v>
      </c>
      <c r="J448"/>
      <c r="K448"/>
      <c r="L448"/>
      <c r="M448" s="80" t="s">
        <v>311</v>
      </c>
      <c r="N448" s="80" t="s">
        <v>312</v>
      </c>
      <c r="O448" s="80" t="s">
        <v>1457</v>
      </c>
      <c r="P448" s="80" t="s">
        <v>4602</v>
      </c>
      <c r="Q448" s="80" t="s">
        <v>631</v>
      </c>
      <c r="R448" s="80">
        <v>0</v>
      </c>
      <c r="S448" s="80" t="s">
        <v>1178</v>
      </c>
      <c r="T448" s="100">
        <v>0.75</v>
      </c>
      <c r="U448" s="100">
        <v>0</v>
      </c>
      <c r="V448" s="100">
        <v>0</v>
      </c>
      <c r="W448" s="100">
        <v>0</v>
      </c>
    </row>
    <row r="449" ht="15.6" spans="2:23">
      <c r="F449" s="80" t="s">
        <v>631</v>
      </c>
      <c r="G449" s="99">
        <v>0</v>
      </c>
      <c r="H449" s="99">
        <v>0</v>
      </c>
      <c r="I449" s="99">
        <v>0</v>
      </c>
      <c r="J449"/>
      <c r="K449"/>
      <c r="L449"/>
      <c r="O449" s="80" t="s">
        <v>1458</v>
      </c>
      <c r="P449" s="80" t="s">
        <v>4603</v>
      </c>
      <c r="Q449" s="80" t="s">
        <v>633</v>
      </c>
      <c r="R449" s="80">
        <v>0</v>
      </c>
      <c r="S449" s="80" t="s">
        <v>1187</v>
      </c>
      <c r="T449" s="100">
        <v>0.375</v>
      </c>
      <c r="U449" s="100">
        <v>0</v>
      </c>
      <c r="V449" s="100">
        <v>0</v>
      </c>
      <c r="W449" s="100">
        <v>0</v>
      </c>
    </row>
    <row r="450" ht="15.6" spans="2:23">
      <c r="F450" s="80" t="s">
        <v>633</v>
      </c>
      <c r="G450" s="99">
        <v>0</v>
      </c>
      <c r="H450" s="99">
        <v>0</v>
      </c>
      <c r="I450" s="99">
        <v>0</v>
      </c>
      <c r="J450"/>
      <c r="K450"/>
      <c r="L450"/>
      <c r="O450" s="80" t="s">
        <v>1459</v>
      </c>
      <c r="P450" s="80" t="s">
        <v>4604</v>
      </c>
      <c r="Q450" s="80" t="s">
        <v>631</v>
      </c>
      <c r="R450" s="80">
        <v>0</v>
      </c>
      <c r="S450" s="80" t="s">
        <v>1176</v>
      </c>
      <c r="T450" s="100">
        <v>3</v>
      </c>
      <c r="U450" s="100">
        <v>0</v>
      </c>
      <c r="V450" s="100">
        <v>0</v>
      </c>
      <c r="W450" s="100">
        <v>0</v>
      </c>
    </row>
    <row r="451" ht="15.6" spans="2:23">
      <c r="F451" s="80" t="s">
        <v>638</v>
      </c>
      <c r="G451" s="99">
        <v>0</v>
      </c>
      <c r="H451" s="99">
        <v>0</v>
      </c>
      <c r="I451" s="99">
        <v>0</v>
      </c>
      <c r="J451"/>
      <c r="K451"/>
      <c r="L451"/>
      <c r="O451" s="80" t="s">
        <v>1460</v>
      </c>
      <c r="P451" s="80" t="s">
        <v>4605</v>
      </c>
      <c r="Q451" s="80" t="s">
        <v>633</v>
      </c>
      <c r="R451" s="80">
        <v>0</v>
      </c>
      <c r="S451" s="80" t="s">
        <v>1176</v>
      </c>
      <c r="T451" s="100">
        <v>3</v>
      </c>
      <c r="U451" s="100">
        <v>0</v>
      </c>
      <c r="V451" s="100">
        <v>0</v>
      </c>
      <c r="W451" s="100">
        <v>0</v>
      </c>
    </row>
    <row r="452" ht="15.6" spans="2:23">
      <c r="F452" s="80" t="s">
        <v>635</v>
      </c>
      <c r="G452" s="99">
        <v>0</v>
      </c>
      <c r="H452" s="99">
        <v>0</v>
      </c>
      <c r="I452" s="99">
        <v>0</v>
      </c>
      <c r="J452"/>
      <c r="K452"/>
      <c r="L452"/>
      <c r="O452" s="80" t="s">
        <v>1461</v>
      </c>
      <c r="P452" s="80" t="s">
        <v>4606</v>
      </c>
      <c r="Q452" s="80" t="s">
        <v>631</v>
      </c>
      <c r="R452" s="80">
        <v>0</v>
      </c>
      <c r="S452" s="80" t="s">
        <v>1176</v>
      </c>
      <c r="T452" s="100">
        <v>3</v>
      </c>
      <c r="U452" s="100">
        <v>0</v>
      </c>
      <c r="V452" s="100">
        <v>0</v>
      </c>
      <c r="W452" s="100">
        <v>0</v>
      </c>
    </row>
    <row r="453" ht="15.6" spans="2:23">
      <c r="F453" s="80" t="s">
        <v>639</v>
      </c>
      <c r="G453" s="99">
        <v>0</v>
      </c>
      <c r="H453" s="99">
        <v>0</v>
      </c>
      <c r="I453" s="99">
        <v>0</v>
      </c>
      <c r="J453"/>
      <c r="K453"/>
      <c r="L453"/>
      <c r="O453" s="80" t="s">
        <v>1462</v>
      </c>
      <c r="P453" s="80" t="s">
        <v>4607</v>
      </c>
      <c r="Q453" s="80" t="s">
        <v>633</v>
      </c>
      <c r="R453" s="80">
        <v>0</v>
      </c>
      <c r="S453" s="80" t="s">
        <v>1176</v>
      </c>
      <c r="T453" s="100">
        <v>1.5</v>
      </c>
      <c r="U453" s="100">
        <v>0</v>
      </c>
      <c r="V453" s="100">
        <v>0</v>
      </c>
      <c r="W453" s="100">
        <v>0</v>
      </c>
    </row>
    <row r="454" ht="15.6" spans="2:23">
      <c r="B454" s="80" t="s">
        <v>4608</v>
      </c>
      <c r="G454" s="99">
        <v>0</v>
      </c>
      <c r="H454" s="99">
        <v>0</v>
      </c>
      <c r="I454" s="99">
        <v>0</v>
      </c>
      <c r="J454"/>
      <c r="K454"/>
      <c r="L454"/>
      <c r="O454" s="80" t="s">
        <v>1463</v>
      </c>
      <c r="P454" s="80" t="s">
        <v>4609</v>
      </c>
      <c r="Q454" s="80" t="s">
        <v>631</v>
      </c>
      <c r="R454" s="80">
        <v>0</v>
      </c>
      <c r="S454" s="80" t="s">
        <v>1380</v>
      </c>
      <c r="T454" s="100">
        <v>0.075</v>
      </c>
      <c r="U454" s="100">
        <v>0</v>
      </c>
      <c r="V454" s="100">
        <v>0</v>
      </c>
      <c r="W454" s="100">
        <v>0</v>
      </c>
    </row>
    <row r="455" ht="15.6" spans="2:23">
      <c r="B455" s="80" t="s">
        <v>339</v>
      </c>
      <c r="C455" s="80" t="s">
        <v>340</v>
      </c>
      <c r="D455" s="80">
        <v>0</v>
      </c>
      <c r="E455" s="80" t="s">
        <v>1178</v>
      </c>
      <c r="F455" s="80" t="s">
        <v>654</v>
      </c>
      <c r="G455" s="99">
        <v>0</v>
      </c>
      <c r="H455" s="99">
        <v>0</v>
      </c>
      <c r="I455" s="99">
        <v>0</v>
      </c>
      <c r="J455"/>
      <c r="K455"/>
      <c r="L455"/>
      <c r="O455" s="80" t="s">
        <v>1464</v>
      </c>
      <c r="P455" s="80" t="s">
        <v>4610</v>
      </c>
      <c r="Q455" s="80" t="s">
        <v>629</v>
      </c>
      <c r="R455" s="80">
        <v>0</v>
      </c>
      <c r="S455" s="80" t="s">
        <v>1380</v>
      </c>
      <c r="T455" s="100">
        <v>0.0375</v>
      </c>
      <c r="U455" s="100">
        <v>0</v>
      </c>
      <c r="V455" s="100">
        <v>0</v>
      </c>
      <c r="W455" s="100">
        <v>0</v>
      </c>
    </row>
    <row r="456" ht="15.6" spans="2:23">
      <c r="F456" s="80" t="s">
        <v>638</v>
      </c>
      <c r="G456" s="99">
        <v>0</v>
      </c>
      <c r="H456" s="99">
        <v>0</v>
      </c>
      <c r="I456" s="99">
        <v>0</v>
      </c>
      <c r="J456"/>
      <c r="K456"/>
      <c r="L456"/>
      <c r="Q456" s="80" t="s">
        <v>633</v>
      </c>
      <c r="R456" s="80">
        <v>0</v>
      </c>
      <c r="S456" s="80" t="s">
        <v>1380</v>
      </c>
      <c r="T456" s="100">
        <v>0.0375</v>
      </c>
      <c r="U456" s="100">
        <v>0</v>
      </c>
      <c r="V456" s="100">
        <v>0</v>
      </c>
      <c r="W456" s="100">
        <v>0</v>
      </c>
    </row>
    <row r="457" ht="15.6" spans="2:23">
      <c r="F457" s="80" t="s">
        <v>635</v>
      </c>
      <c r="G457" s="99">
        <v>0</v>
      </c>
      <c r="H457" s="99">
        <v>0</v>
      </c>
      <c r="I457" s="99">
        <v>0</v>
      </c>
      <c r="J457"/>
      <c r="K457"/>
      <c r="L457"/>
      <c r="O457" s="80" t="s">
        <v>1465</v>
      </c>
      <c r="P457" s="80" t="s">
        <v>4611</v>
      </c>
      <c r="Q457" s="80" t="s">
        <v>629</v>
      </c>
      <c r="R457" s="80">
        <v>0</v>
      </c>
      <c r="S457" s="80" t="s">
        <v>1187</v>
      </c>
      <c r="T457" s="100">
        <v>0.75</v>
      </c>
      <c r="U457" s="100">
        <v>0</v>
      </c>
      <c r="V457" s="100">
        <v>0</v>
      </c>
      <c r="W457" s="100">
        <v>0</v>
      </c>
    </row>
    <row r="458" ht="15.6" spans="2:23">
      <c r="F458" s="80" t="s">
        <v>639</v>
      </c>
      <c r="G458" s="99">
        <v>0</v>
      </c>
      <c r="H458" s="99">
        <v>0</v>
      </c>
      <c r="I458" s="99">
        <v>0</v>
      </c>
      <c r="J458"/>
      <c r="K458"/>
      <c r="L458"/>
      <c r="O458" s="80" t="s">
        <v>1466</v>
      </c>
      <c r="P458" s="80" t="s">
        <v>4612</v>
      </c>
      <c r="Q458" s="80" t="s">
        <v>629</v>
      </c>
      <c r="R458" s="80">
        <v>0</v>
      </c>
      <c r="S458" s="80" t="s">
        <v>1187</v>
      </c>
      <c r="T458" s="100">
        <v>0.15</v>
      </c>
      <c r="U458" s="100">
        <v>0</v>
      </c>
      <c r="V458" s="100">
        <v>0</v>
      </c>
      <c r="W458" s="100">
        <v>0</v>
      </c>
    </row>
    <row r="459" ht="15.6" spans="2:23">
      <c r="B459" s="80" t="s">
        <v>4613</v>
      </c>
      <c r="G459" s="99">
        <v>0</v>
      </c>
      <c r="H459" s="99">
        <v>0</v>
      </c>
      <c r="I459" s="99">
        <v>0</v>
      </c>
      <c r="J459"/>
      <c r="K459"/>
      <c r="L459"/>
      <c r="O459" s="80" t="s">
        <v>2997</v>
      </c>
      <c r="P459" s="80" t="s">
        <v>4614</v>
      </c>
      <c r="Q459" s="80" t="s">
        <v>629</v>
      </c>
      <c r="R459" s="80">
        <v>0</v>
      </c>
      <c r="S459" s="80" t="s">
        <v>1187</v>
      </c>
      <c r="T459" s="100">
        <v>0.225</v>
      </c>
      <c r="U459" s="100">
        <v>0</v>
      </c>
      <c r="V459" s="100">
        <v>0</v>
      </c>
      <c r="W459" s="100">
        <v>0</v>
      </c>
    </row>
    <row r="460" ht="15.6" spans="2:23">
      <c r="B460" s="80" t="s">
        <v>341</v>
      </c>
      <c r="C460" s="80" t="s">
        <v>342</v>
      </c>
      <c r="D460" s="80">
        <v>0</v>
      </c>
      <c r="E460" s="80" t="s">
        <v>1178</v>
      </c>
      <c r="F460" s="80" t="s">
        <v>638</v>
      </c>
      <c r="G460" s="99">
        <v>0</v>
      </c>
      <c r="H460" s="99">
        <v>0</v>
      </c>
      <c r="I460" s="99">
        <v>0</v>
      </c>
      <c r="J460"/>
      <c r="K460"/>
      <c r="L460"/>
      <c r="O460" s="80" t="s">
        <v>2998</v>
      </c>
      <c r="P460" s="80" t="s">
        <v>3878</v>
      </c>
      <c r="Q460" s="80" t="s">
        <v>629</v>
      </c>
      <c r="R460" s="80">
        <v>0</v>
      </c>
      <c r="S460" s="80" t="s">
        <v>1187</v>
      </c>
      <c r="T460" s="100">
        <v>0.075</v>
      </c>
      <c r="U460" s="100">
        <v>0</v>
      </c>
      <c r="V460" s="100">
        <v>0</v>
      </c>
      <c r="W460" s="100">
        <v>0</v>
      </c>
    </row>
    <row r="461" ht="15.6" spans="2:23">
      <c r="F461" s="80" t="s">
        <v>635</v>
      </c>
      <c r="G461" s="99">
        <v>0</v>
      </c>
      <c r="H461" s="99">
        <v>0</v>
      </c>
      <c r="I461" s="99">
        <v>0</v>
      </c>
      <c r="J461"/>
      <c r="K461"/>
      <c r="L461"/>
      <c r="O461" s="80" t="s">
        <v>2999</v>
      </c>
      <c r="P461" s="80" t="s">
        <v>3880</v>
      </c>
      <c r="Q461" s="80" t="s">
        <v>631</v>
      </c>
      <c r="R461" s="80">
        <v>0</v>
      </c>
      <c r="S461" s="80" t="s">
        <v>1187</v>
      </c>
      <c r="T461" s="100">
        <v>0.375</v>
      </c>
      <c r="U461" s="100">
        <v>0</v>
      </c>
      <c r="V461" s="100">
        <v>0</v>
      </c>
      <c r="W461" s="100">
        <v>0</v>
      </c>
    </row>
    <row r="462" ht="15.6" spans="2:23">
      <c r="F462" s="80" t="s">
        <v>639</v>
      </c>
      <c r="G462" s="99">
        <v>0</v>
      </c>
      <c r="H462" s="99">
        <v>0</v>
      </c>
      <c r="I462" s="99">
        <v>0</v>
      </c>
      <c r="J462"/>
      <c r="K462"/>
      <c r="L462"/>
      <c r="O462" s="80" t="s">
        <v>3000</v>
      </c>
      <c r="P462" s="80" t="s">
        <v>3882</v>
      </c>
      <c r="Q462" s="80" t="s">
        <v>631</v>
      </c>
      <c r="R462" s="80">
        <v>0</v>
      </c>
      <c r="S462" s="80" t="s">
        <v>1187</v>
      </c>
      <c r="T462" s="100">
        <v>0.15</v>
      </c>
      <c r="U462" s="100">
        <v>0</v>
      </c>
      <c r="V462" s="100">
        <v>0</v>
      </c>
      <c r="W462" s="100">
        <v>0</v>
      </c>
    </row>
    <row r="463" ht="15.6" spans="2:23">
      <c r="B463" s="80" t="s">
        <v>4615</v>
      </c>
      <c r="G463" s="99">
        <v>0</v>
      </c>
      <c r="H463" s="99">
        <v>0</v>
      </c>
      <c r="I463" s="99">
        <v>0</v>
      </c>
      <c r="J463"/>
      <c r="K463"/>
      <c r="L463"/>
      <c r="O463" s="80" t="s">
        <v>3001</v>
      </c>
      <c r="P463" s="80" t="s">
        <v>3884</v>
      </c>
      <c r="Q463" s="80" t="s">
        <v>629</v>
      </c>
      <c r="R463" s="80">
        <v>0</v>
      </c>
      <c r="S463" s="80" t="s">
        <v>1178</v>
      </c>
      <c r="T463" s="100">
        <v>6</v>
      </c>
      <c r="U463" s="100">
        <v>0</v>
      </c>
      <c r="V463" s="100">
        <v>0</v>
      </c>
      <c r="W463" s="100">
        <v>0</v>
      </c>
    </row>
    <row r="464" ht="15.6" spans="2:23">
      <c r="B464" s="80" t="s">
        <v>343</v>
      </c>
      <c r="C464" s="80" t="s">
        <v>344</v>
      </c>
      <c r="D464" s="80">
        <v>0</v>
      </c>
      <c r="E464" s="80" t="s">
        <v>1176</v>
      </c>
      <c r="F464" s="80" t="s">
        <v>652</v>
      </c>
      <c r="G464" s="99">
        <v>0</v>
      </c>
      <c r="H464" s="99">
        <v>0</v>
      </c>
      <c r="I464" s="99">
        <v>0</v>
      </c>
      <c r="J464"/>
      <c r="K464"/>
      <c r="L464"/>
      <c r="O464" s="80" t="s">
        <v>3002</v>
      </c>
      <c r="P464" s="80" t="s">
        <v>3886</v>
      </c>
      <c r="Q464" s="80" t="s">
        <v>629</v>
      </c>
      <c r="R464" s="80">
        <v>0</v>
      </c>
      <c r="S464" s="80" t="s">
        <v>1178</v>
      </c>
      <c r="T464" s="100">
        <v>3</v>
      </c>
      <c r="U464" s="100">
        <v>0</v>
      </c>
      <c r="V464" s="100">
        <v>0</v>
      </c>
      <c r="W464" s="100">
        <v>0</v>
      </c>
    </row>
    <row r="465" ht="15.6" spans="2:23">
      <c r="F465" s="80" t="s">
        <v>654</v>
      </c>
      <c r="G465" s="99">
        <v>0</v>
      </c>
      <c r="H465" s="99">
        <v>0</v>
      </c>
      <c r="I465" s="99">
        <v>0</v>
      </c>
      <c r="J465"/>
      <c r="K465"/>
      <c r="L465"/>
      <c r="O465" s="80" t="s">
        <v>3003</v>
      </c>
      <c r="P465" s="80" t="s">
        <v>3888</v>
      </c>
      <c r="Q465" s="80" t="s">
        <v>629</v>
      </c>
      <c r="R465" s="80">
        <v>0</v>
      </c>
      <c r="S465" s="80" t="s">
        <v>1178</v>
      </c>
      <c r="T465" s="100">
        <v>6</v>
      </c>
      <c r="U465" s="100">
        <v>0</v>
      </c>
      <c r="V465" s="100">
        <v>0</v>
      </c>
      <c r="W465" s="100">
        <v>0</v>
      </c>
    </row>
    <row r="466" ht="15.6" spans="2:23">
      <c r="F466" s="80" t="s">
        <v>642</v>
      </c>
      <c r="G466" s="99">
        <v>0</v>
      </c>
      <c r="H466" s="99">
        <v>0</v>
      </c>
      <c r="I466" s="99">
        <v>0</v>
      </c>
      <c r="J466"/>
      <c r="K466"/>
      <c r="L466"/>
      <c r="O466" s="80" t="s">
        <v>3004</v>
      </c>
      <c r="P466" s="80" t="s">
        <v>3890</v>
      </c>
      <c r="Q466" s="80" t="s">
        <v>629</v>
      </c>
      <c r="R466" s="80">
        <v>0</v>
      </c>
      <c r="S466" s="80" t="s">
        <v>1178</v>
      </c>
      <c r="T466" s="100">
        <v>3</v>
      </c>
      <c r="U466" s="100">
        <v>0</v>
      </c>
      <c r="V466" s="100">
        <v>0</v>
      </c>
      <c r="W466" s="100">
        <v>0</v>
      </c>
    </row>
    <row r="467" ht="15.6" spans="2:23">
      <c r="F467" s="80" t="s">
        <v>639</v>
      </c>
      <c r="G467" s="99">
        <v>0</v>
      </c>
      <c r="H467" s="99">
        <v>0</v>
      </c>
      <c r="I467" s="99">
        <v>0</v>
      </c>
      <c r="J467"/>
      <c r="K467"/>
      <c r="L467"/>
      <c r="O467" s="80" t="s">
        <v>1468</v>
      </c>
      <c r="P467" s="80" t="s">
        <v>3892</v>
      </c>
      <c r="Q467" s="80" t="s">
        <v>631</v>
      </c>
      <c r="R467" s="80">
        <v>0</v>
      </c>
      <c r="S467" s="80" t="s">
        <v>1178</v>
      </c>
      <c r="T467" s="100">
        <v>0.75</v>
      </c>
      <c r="U467" s="100">
        <v>0</v>
      </c>
      <c r="V467" s="100">
        <v>0</v>
      </c>
      <c r="W467" s="100">
        <v>0</v>
      </c>
    </row>
    <row r="468" ht="15.6" spans="2:23">
      <c r="B468" s="80" t="s">
        <v>4616</v>
      </c>
      <c r="G468" s="99">
        <v>0</v>
      </c>
      <c r="H468" s="99">
        <v>0</v>
      </c>
      <c r="I468" s="99">
        <v>0</v>
      </c>
      <c r="J468"/>
      <c r="K468"/>
      <c r="L468"/>
      <c r="O468" s="80" t="s">
        <v>3005</v>
      </c>
      <c r="P468" s="80" t="s">
        <v>3894</v>
      </c>
      <c r="Q468" s="80" t="s">
        <v>629</v>
      </c>
      <c r="R468" s="80">
        <v>0</v>
      </c>
      <c r="S468" s="80" t="s">
        <v>1178</v>
      </c>
      <c r="T468" s="100">
        <v>0.75</v>
      </c>
      <c r="U468" s="100">
        <v>0</v>
      </c>
      <c r="V468" s="100">
        <v>0</v>
      </c>
      <c r="W468" s="100">
        <v>0</v>
      </c>
    </row>
    <row r="469" ht="15.6" spans="2:23">
      <c r="B469" s="80" t="s">
        <v>345</v>
      </c>
      <c r="C469" s="80" t="s">
        <v>346</v>
      </c>
      <c r="D469" s="80">
        <v>0</v>
      </c>
      <c r="E469" s="80" t="s">
        <v>1220</v>
      </c>
      <c r="F469" s="80" t="s">
        <v>635</v>
      </c>
      <c r="G469" s="99">
        <v>0</v>
      </c>
      <c r="H469" s="99">
        <v>0</v>
      </c>
      <c r="I469" s="99">
        <v>0</v>
      </c>
      <c r="J469"/>
      <c r="K469"/>
      <c r="L469"/>
      <c r="O469" s="80" t="s">
        <v>3006</v>
      </c>
      <c r="P469" s="80" t="s">
        <v>3896</v>
      </c>
      <c r="Q469" s="80" t="s">
        <v>629</v>
      </c>
      <c r="R469" s="80">
        <v>0</v>
      </c>
      <c r="S469" s="80" t="s">
        <v>1380</v>
      </c>
      <c r="T469" s="100">
        <v>0.06</v>
      </c>
      <c r="U469" s="100">
        <v>0</v>
      </c>
      <c r="V469" s="100">
        <v>0</v>
      </c>
      <c r="W469" s="100">
        <v>0</v>
      </c>
    </row>
    <row r="470" ht="15.6" spans="2:23">
      <c r="F470" s="80" t="s">
        <v>639</v>
      </c>
      <c r="G470" s="99">
        <v>0</v>
      </c>
      <c r="H470" s="99">
        <v>0</v>
      </c>
      <c r="I470" s="99">
        <v>0</v>
      </c>
      <c r="J470"/>
      <c r="K470"/>
      <c r="L470"/>
      <c r="O470" s="80" t="s">
        <v>3007</v>
      </c>
      <c r="P470" s="80" t="s">
        <v>3898</v>
      </c>
      <c r="Q470" s="80" t="s">
        <v>629</v>
      </c>
      <c r="R470" s="80">
        <v>0</v>
      </c>
      <c r="S470" s="80" t="s">
        <v>1380</v>
      </c>
      <c r="T470" s="100">
        <v>0.0375</v>
      </c>
      <c r="U470" s="100">
        <v>0</v>
      </c>
      <c r="V470" s="100">
        <v>0</v>
      </c>
      <c r="W470" s="100">
        <v>0</v>
      </c>
    </row>
    <row r="471" ht="15.6" spans="2:23">
      <c r="B471" s="80" t="s">
        <v>4617</v>
      </c>
      <c r="G471" s="99">
        <v>0</v>
      </c>
      <c r="H471" s="99">
        <v>0</v>
      </c>
      <c r="I471" s="99">
        <v>0</v>
      </c>
      <c r="J471"/>
      <c r="K471"/>
      <c r="L471"/>
      <c r="O471" s="80" t="s">
        <v>3008</v>
      </c>
      <c r="P471" s="80" t="s">
        <v>3900</v>
      </c>
      <c r="Q471" s="80" t="s">
        <v>631</v>
      </c>
      <c r="R471" s="80">
        <v>0</v>
      </c>
      <c r="S471" s="80" t="s">
        <v>1380</v>
      </c>
      <c r="T471" s="100">
        <v>0.1125</v>
      </c>
      <c r="U471" s="100">
        <v>0</v>
      </c>
      <c r="V471" s="100">
        <v>0</v>
      </c>
      <c r="W471" s="100">
        <v>0</v>
      </c>
    </row>
    <row r="472" ht="15.6" spans="2:23">
      <c r="B472" s="80" t="s">
        <v>347</v>
      </c>
      <c r="C472" s="80" t="s">
        <v>348</v>
      </c>
      <c r="D472" s="80">
        <v>0</v>
      </c>
      <c r="E472" s="80" t="s">
        <v>1176</v>
      </c>
      <c r="F472" s="80" t="s">
        <v>639</v>
      </c>
      <c r="G472" s="99">
        <v>0</v>
      </c>
      <c r="H472" s="99">
        <v>0</v>
      </c>
      <c r="I472" s="99">
        <v>0</v>
      </c>
      <c r="J472"/>
      <c r="K472"/>
      <c r="L472"/>
      <c r="O472" s="80" t="s">
        <v>3009</v>
      </c>
      <c r="P472" s="80" t="s">
        <v>3902</v>
      </c>
      <c r="Q472" s="80" t="s">
        <v>629</v>
      </c>
      <c r="R472" s="80">
        <v>0</v>
      </c>
      <c r="S472" s="80" t="s">
        <v>1380</v>
      </c>
      <c r="T472" s="100">
        <v>0.06</v>
      </c>
      <c r="U472" s="100">
        <v>0</v>
      </c>
      <c r="V472" s="100">
        <v>0</v>
      </c>
      <c r="W472" s="100">
        <v>0</v>
      </c>
    </row>
    <row r="473" ht="15.6" spans="2:23">
      <c r="B473" s="80" t="s">
        <v>4618</v>
      </c>
      <c r="G473" s="99">
        <v>0</v>
      </c>
      <c r="H473" s="99">
        <v>0</v>
      </c>
      <c r="I473" s="99">
        <v>0</v>
      </c>
      <c r="J473"/>
      <c r="K473"/>
      <c r="L473"/>
      <c r="O473" s="80" t="s">
        <v>3010</v>
      </c>
      <c r="P473" s="80" t="s">
        <v>3904</v>
      </c>
      <c r="Q473" s="80" t="s">
        <v>629</v>
      </c>
      <c r="R473" s="80">
        <v>0</v>
      </c>
      <c r="S473" s="80" t="s">
        <v>1178</v>
      </c>
      <c r="T473" s="100">
        <v>2</v>
      </c>
      <c r="U473" s="100">
        <v>0</v>
      </c>
      <c r="V473" s="100">
        <v>0</v>
      </c>
      <c r="W473" s="100">
        <v>0</v>
      </c>
    </row>
    <row r="474" ht="15.6" spans="2:23">
      <c r="B474" s="80" t="s">
        <v>349</v>
      </c>
      <c r="C474" s="80" t="s">
        <v>350</v>
      </c>
      <c r="D474" s="80">
        <v>0</v>
      </c>
      <c r="E474" s="80" t="s">
        <v>1281</v>
      </c>
      <c r="F474" s="80" t="s">
        <v>635</v>
      </c>
      <c r="G474" s="99">
        <v>0</v>
      </c>
      <c r="H474" s="99">
        <v>0</v>
      </c>
      <c r="I474" s="99">
        <v>0</v>
      </c>
      <c r="J474"/>
      <c r="K474"/>
      <c r="L474"/>
      <c r="Q474" s="80" t="s">
        <v>633</v>
      </c>
      <c r="R474" s="80">
        <v>0</v>
      </c>
      <c r="S474" s="80" t="s">
        <v>1178</v>
      </c>
      <c r="T474" s="100">
        <v>2</v>
      </c>
      <c r="U474" s="100">
        <v>0</v>
      </c>
      <c r="V474" s="100">
        <v>0</v>
      </c>
      <c r="W474" s="100">
        <v>0</v>
      </c>
    </row>
    <row r="475" ht="15.6" spans="2:23">
      <c r="F475" s="80" t="s">
        <v>639</v>
      </c>
      <c r="G475" s="99">
        <v>0</v>
      </c>
      <c r="H475" s="99">
        <v>0</v>
      </c>
      <c r="I475" s="99">
        <v>0</v>
      </c>
      <c r="J475"/>
      <c r="K475"/>
      <c r="L475"/>
      <c r="O475" s="80" t="s">
        <v>3011</v>
      </c>
      <c r="P475" s="80" t="s">
        <v>3906</v>
      </c>
      <c r="Q475" s="80" t="s">
        <v>629</v>
      </c>
      <c r="R475" s="80">
        <v>0</v>
      </c>
      <c r="S475" s="80" t="s">
        <v>1178</v>
      </c>
      <c r="T475" s="100">
        <v>2.25</v>
      </c>
      <c r="U475" s="100">
        <v>0</v>
      </c>
      <c r="V475" s="100">
        <v>0</v>
      </c>
      <c r="W475" s="100">
        <v>0</v>
      </c>
    </row>
    <row r="476" ht="15.6" spans="2:23">
      <c r="B476" s="80" t="s">
        <v>4619</v>
      </c>
      <c r="G476" s="99">
        <v>0</v>
      </c>
      <c r="H476" s="99">
        <v>0</v>
      </c>
      <c r="I476" s="99">
        <v>0</v>
      </c>
      <c r="J476"/>
      <c r="K476"/>
      <c r="L476"/>
      <c r="O476" s="80" t="s">
        <v>3012</v>
      </c>
      <c r="P476" s="80" t="s">
        <v>3908</v>
      </c>
      <c r="Q476" s="80" t="s">
        <v>631</v>
      </c>
      <c r="R476" s="80">
        <v>0</v>
      </c>
      <c r="S476" s="80" t="s">
        <v>1176</v>
      </c>
      <c r="T476" s="100">
        <v>3</v>
      </c>
      <c r="U476" s="100">
        <v>0</v>
      </c>
      <c r="V476" s="100">
        <v>0</v>
      </c>
      <c r="W476" s="100">
        <v>0</v>
      </c>
    </row>
    <row r="477" ht="15.6" spans="2:23">
      <c r="B477" s="80" t="s">
        <v>351</v>
      </c>
      <c r="C477" s="80" t="s">
        <v>352</v>
      </c>
      <c r="D477" s="80">
        <v>0</v>
      </c>
      <c r="E477" s="80" t="s">
        <v>1281</v>
      </c>
      <c r="F477" s="80" t="s">
        <v>638</v>
      </c>
      <c r="G477" s="99">
        <v>0</v>
      </c>
      <c r="H477" s="99">
        <v>0</v>
      </c>
      <c r="I477" s="99">
        <v>0</v>
      </c>
      <c r="J477"/>
      <c r="K477"/>
      <c r="L477"/>
      <c r="M477" s="80" t="s">
        <v>313</v>
      </c>
      <c r="N477" s="80" t="s">
        <v>314</v>
      </c>
      <c r="O477" s="80" t="s">
        <v>1469</v>
      </c>
      <c r="P477" s="80" t="s">
        <v>3910</v>
      </c>
      <c r="Q477" s="80" t="s">
        <v>652</v>
      </c>
      <c r="R477" s="80">
        <v>0</v>
      </c>
      <c r="S477" s="80" t="s">
        <v>1176</v>
      </c>
      <c r="T477" s="100">
        <v>4</v>
      </c>
      <c r="U477" s="100">
        <v>0</v>
      </c>
      <c r="V477" s="100">
        <v>0</v>
      </c>
      <c r="W477" s="100">
        <v>0</v>
      </c>
    </row>
    <row r="478" ht="15.6" spans="2:23">
      <c r="F478" s="80" t="s">
        <v>642</v>
      </c>
      <c r="G478" s="99">
        <v>0</v>
      </c>
      <c r="H478" s="99">
        <v>0</v>
      </c>
      <c r="I478" s="99">
        <v>0</v>
      </c>
      <c r="J478"/>
      <c r="K478"/>
      <c r="L478"/>
      <c r="Q478" s="80" t="s">
        <v>639</v>
      </c>
      <c r="R478" s="80">
        <v>0</v>
      </c>
      <c r="S478" s="80" t="s">
        <v>1176</v>
      </c>
      <c r="T478" s="100">
        <v>24</v>
      </c>
      <c r="U478" s="100">
        <v>0</v>
      </c>
      <c r="V478" s="100">
        <v>0</v>
      </c>
      <c r="W478" s="100">
        <v>0</v>
      </c>
    </row>
    <row r="479" ht="15.6" spans="2:23">
      <c r="F479" s="80" t="s">
        <v>639</v>
      </c>
      <c r="G479" s="99">
        <v>0</v>
      </c>
      <c r="H479" s="99">
        <v>0</v>
      </c>
      <c r="I479" s="99">
        <v>0</v>
      </c>
      <c r="J479"/>
      <c r="K479"/>
      <c r="L479"/>
      <c r="O479" s="80" t="s">
        <v>1471</v>
      </c>
      <c r="P479" s="80" t="s">
        <v>3912</v>
      </c>
      <c r="Q479" s="80" t="s">
        <v>654</v>
      </c>
      <c r="R479" s="80">
        <v>0</v>
      </c>
      <c r="S479" s="80" t="s">
        <v>1178</v>
      </c>
      <c r="T479" s="100">
        <v>2</v>
      </c>
      <c r="U479" s="100">
        <v>0</v>
      </c>
      <c r="V479" s="100">
        <v>0</v>
      </c>
      <c r="W479" s="100">
        <v>0</v>
      </c>
    </row>
    <row r="480" ht="15.6" spans="2:23">
      <c r="B480" s="80" t="s">
        <v>4620</v>
      </c>
      <c r="G480" s="99">
        <v>0</v>
      </c>
      <c r="H480" s="99">
        <v>0</v>
      </c>
      <c r="I480" s="99">
        <v>0</v>
      </c>
      <c r="J480"/>
      <c r="K480"/>
      <c r="L480"/>
      <c r="Q480" s="80" t="s">
        <v>615</v>
      </c>
      <c r="R480" s="80">
        <v>0</v>
      </c>
      <c r="S480" s="80" t="s">
        <v>1178</v>
      </c>
      <c r="T480" s="100">
        <v>1</v>
      </c>
      <c r="U480" s="100">
        <v>0</v>
      </c>
      <c r="V480" s="100">
        <v>0</v>
      </c>
      <c r="W480" s="100">
        <v>0</v>
      </c>
    </row>
    <row r="481" ht="15.6" spans="2:23">
      <c r="B481" s="80" t="s">
        <v>353</v>
      </c>
      <c r="C481" s="80" t="s">
        <v>354</v>
      </c>
      <c r="D481" s="80">
        <v>0</v>
      </c>
      <c r="E481" s="80" t="s">
        <v>1178</v>
      </c>
      <c r="F481" s="80" t="s">
        <v>652</v>
      </c>
      <c r="G481" s="99">
        <v>0</v>
      </c>
      <c r="H481" s="99">
        <v>0</v>
      </c>
      <c r="I481" s="99">
        <v>0</v>
      </c>
      <c r="J481"/>
      <c r="K481"/>
      <c r="L481"/>
      <c r="Q481" s="80" t="s">
        <v>638</v>
      </c>
      <c r="R481" s="80">
        <v>0</v>
      </c>
      <c r="S481" s="80" t="s">
        <v>1178</v>
      </c>
      <c r="T481" s="100">
        <v>0.75</v>
      </c>
      <c r="U481" s="100">
        <v>0</v>
      </c>
      <c r="V481" s="100">
        <v>0</v>
      </c>
      <c r="W481" s="100">
        <v>0</v>
      </c>
    </row>
    <row r="482" ht="15.6" spans="2:23">
      <c r="F482" s="80" t="s">
        <v>654</v>
      </c>
      <c r="G482" s="99">
        <v>0</v>
      </c>
      <c r="H482" s="99">
        <v>0</v>
      </c>
      <c r="I482" s="99">
        <v>0</v>
      </c>
      <c r="J482"/>
      <c r="K482"/>
      <c r="L482"/>
      <c r="Q482" s="80" t="s">
        <v>642</v>
      </c>
      <c r="R482" s="80">
        <v>0</v>
      </c>
      <c r="S482" s="80" t="s">
        <v>1178</v>
      </c>
      <c r="T482" s="100">
        <v>3</v>
      </c>
      <c r="U482" s="100">
        <v>0</v>
      </c>
      <c r="V482" s="100">
        <v>0</v>
      </c>
      <c r="W482" s="100">
        <v>0</v>
      </c>
    </row>
    <row r="483" ht="15.6" spans="2:23">
      <c r="B483" s="80" t="s">
        <v>4621</v>
      </c>
      <c r="G483" s="99">
        <v>0</v>
      </c>
      <c r="H483" s="99">
        <v>0</v>
      </c>
      <c r="I483" s="99">
        <v>0</v>
      </c>
      <c r="J483"/>
      <c r="K483"/>
      <c r="L483"/>
      <c r="O483" s="80" t="s">
        <v>1473</v>
      </c>
      <c r="P483" s="80" t="s">
        <v>3914</v>
      </c>
      <c r="Q483" s="80" t="s">
        <v>639</v>
      </c>
      <c r="R483" s="80">
        <v>0</v>
      </c>
      <c r="S483" s="80" t="s">
        <v>1178</v>
      </c>
      <c r="T483" s="100">
        <v>6</v>
      </c>
      <c r="U483" s="100">
        <v>0</v>
      </c>
      <c r="V483" s="100">
        <v>0</v>
      </c>
      <c r="W483" s="100">
        <v>0</v>
      </c>
    </row>
    <row r="484" ht="15.6" spans="2:23">
      <c r="B484" s="80" t="s">
        <v>355</v>
      </c>
      <c r="C484" s="80" t="s">
        <v>356</v>
      </c>
      <c r="D484" s="80">
        <v>0</v>
      </c>
      <c r="E484" s="80" t="s">
        <v>1178</v>
      </c>
      <c r="F484" s="80" t="s">
        <v>652</v>
      </c>
      <c r="G484" s="99">
        <v>0</v>
      </c>
      <c r="H484" s="99">
        <v>0</v>
      </c>
      <c r="I484" s="99">
        <v>0</v>
      </c>
      <c r="J484"/>
      <c r="K484"/>
      <c r="L484"/>
      <c r="M484" s="80" t="s">
        <v>315</v>
      </c>
      <c r="N484" s="80" t="s">
        <v>316</v>
      </c>
      <c r="O484" s="80" t="s">
        <v>1474</v>
      </c>
      <c r="P484" s="80" t="s">
        <v>4622</v>
      </c>
      <c r="Q484" s="80" t="s">
        <v>639</v>
      </c>
      <c r="R484" s="80">
        <v>0</v>
      </c>
      <c r="S484" s="80" t="s">
        <v>1178</v>
      </c>
      <c r="T484" s="100">
        <v>12</v>
      </c>
      <c r="U484" s="100">
        <v>0</v>
      </c>
      <c r="V484" s="100">
        <v>0</v>
      </c>
      <c r="W484" s="100">
        <v>0</v>
      </c>
    </row>
    <row r="485" ht="15.6" spans="2:23">
      <c r="F485" s="80" t="s">
        <v>654</v>
      </c>
      <c r="G485" s="99">
        <v>0</v>
      </c>
      <c r="H485" s="99">
        <v>0</v>
      </c>
      <c r="I485" s="99">
        <v>0</v>
      </c>
      <c r="J485"/>
      <c r="K485"/>
      <c r="L485"/>
      <c r="O485" s="80" t="s">
        <v>1475</v>
      </c>
      <c r="P485" s="80" t="s">
        <v>3917</v>
      </c>
      <c r="Q485" s="80" t="s">
        <v>642</v>
      </c>
      <c r="R485" s="80">
        <v>0</v>
      </c>
      <c r="S485" s="80" t="s">
        <v>1178</v>
      </c>
      <c r="T485" s="100">
        <v>3</v>
      </c>
      <c r="U485" s="100">
        <v>0</v>
      </c>
      <c r="V485" s="100">
        <v>0</v>
      </c>
      <c r="W485" s="100">
        <v>0</v>
      </c>
    </row>
    <row r="486" ht="15.6" spans="2:23">
      <c r="B486" s="80" t="s">
        <v>4623</v>
      </c>
      <c r="G486" s="99">
        <v>0</v>
      </c>
      <c r="H486" s="99">
        <v>0</v>
      </c>
      <c r="I486" s="99">
        <v>0</v>
      </c>
      <c r="J486"/>
      <c r="K486"/>
      <c r="L486"/>
      <c r="O486" s="80" t="s">
        <v>1476</v>
      </c>
      <c r="P486" s="80" t="s">
        <v>3919</v>
      </c>
      <c r="Q486" s="80" t="s">
        <v>642</v>
      </c>
      <c r="R486" s="80">
        <v>0</v>
      </c>
      <c r="S486" s="80" t="s">
        <v>1178</v>
      </c>
      <c r="T486" s="100">
        <v>1.5</v>
      </c>
      <c r="U486" s="100">
        <v>0</v>
      </c>
      <c r="V486" s="100">
        <v>0</v>
      </c>
      <c r="W486" s="100">
        <v>0</v>
      </c>
    </row>
    <row r="487" ht="15.6" spans="2:23">
      <c r="B487" s="80" t="s">
        <v>357</v>
      </c>
      <c r="C487" s="80" t="s">
        <v>358</v>
      </c>
      <c r="D487" s="80">
        <v>0</v>
      </c>
      <c r="E487" s="80" t="s">
        <v>1178</v>
      </c>
      <c r="F487" s="80" t="s">
        <v>652</v>
      </c>
      <c r="G487" s="99">
        <v>0</v>
      </c>
      <c r="H487" s="99">
        <v>0</v>
      </c>
      <c r="I487" s="99">
        <v>0</v>
      </c>
      <c r="J487"/>
      <c r="K487"/>
      <c r="L487"/>
      <c r="O487" s="80" t="s">
        <v>1478</v>
      </c>
      <c r="P487" s="80" t="s">
        <v>3921</v>
      </c>
      <c r="Q487" s="80" t="s">
        <v>639</v>
      </c>
      <c r="R487" s="80">
        <v>0</v>
      </c>
      <c r="S487" s="80" t="s">
        <v>1178</v>
      </c>
      <c r="T487" s="100">
        <v>12</v>
      </c>
      <c r="U487" s="100">
        <v>0</v>
      </c>
      <c r="V487" s="100">
        <v>0</v>
      </c>
      <c r="W487" s="100">
        <v>0</v>
      </c>
    </row>
    <row r="488" ht="15.6" spans="2:23">
      <c r="F488" s="80" t="s">
        <v>654</v>
      </c>
      <c r="G488" s="99">
        <v>0</v>
      </c>
      <c r="H488" s="99">
        <v>0</v>
      </c>
      <c r="I488" s="99">
        <v>0</v>
      </c>
      <c r="J488"/>
      <c r="K488"/>
      <c r="L488"/>
      <c r="M488" s="80" t="s">
        <v>317</v>
      </c>
      <c r="N488" s="80" t="s">
        <v>318</v>
      </c>
      <c r="O488" s="80" t="s">
        <v>1479</v>
      </c>
      <c r="P488" s="80" t="s">
        <v>4624</v>
      </c>
      <c r="Q488" s="80" t="s">
        <v>639</v>
      </c>
      <c r="R488" s="80">
        <v>0</v>
      </c>
      <c r="S488" s="80" t="s">
        <v>1178</v>
      </c>
      <c r="T488" s="100">
        <v>18</v>
      </c>
      <c r="U488" s="100">
        <v>0</v>
      </c>
      <c r="V488" s="100">
        <v>0</v>
      </c>
      <c r="W488" s="100">
        <v>0</v>
      </c>
    </row>
    <row r="489" ht="15.6" spans="2:23">
      <c r="B489" s="80" t="s">
        <v>4625</v>
      </c>
      <c r="G489" s="99">
        <v>0</v>
      </c>
      <c r="H489" s="99">
        <v>0</v>
      </c>
      <c r="I489" s="99">
        <v>0</v>
      </c>
      <c r="J489"/>
      <c r="K489"/>
      <c r="L489"/>
      <c r="O489" s="80" t="s">
        <v>1480</v>
      </c>
      <c r="P489" s="80" t="s">
        <v>3925</v>
      </c>
      <c r="Q489" s="80" t="s">
        <v>642</v>
      </c>
      <c r="R489" s="80">
        <v>0</v>
      </c>
      <c r="S489" s="80" t="s">
        <v>1178</v>
      </c>
      <c r="T489" s="100">
        <v>6</v>
      </c>
      <c r="U489" s="100">
        <v>0</v>
      </c>
      <c r="V489" s="100">
        <v>0</v>
      </c>
      <c r="W489" s="100">
        <v>0</v>
      </c>
    </row>
    <row r="490" ht="15.6" spans="2:23">
      <c r="B490" s="80" t="s">
        <v>359</v>
      </c>
      <c r="C490" s="80" t="s">
        <v>360</v>
      </c>
      <c r="D490" s="80">
        <v>0</v>
      </c>
      <c r="E490" s="80" t="s">
        <v>1178</v>
      </c>
      <c r="F490" s="80" t="s">
        <v>652</v>
      </c>
      <c r="G490" s="99">
        <v>0</v>
      </c>
      <c r="H490" s="99">
        <v>0</v>
      </c>
      <c r="I490" s="99">
        <v>0</v>
      </c>
      <c r="J490"/>
      <c r="K490"/>
      <c r="L490"/>
      <c r="O490" s="80" t="s">
        <v>1482</v>
      </c>
      <c r="P490" s="80" t="s">
        <v>3927</v>
      </c>
      <c r="Q490" s="80" t="s">
        <v>639</v>
      </c>
      <c r="R490" s="80">
        <v>0</v>
      </c>
      <c r="S490" s="80" t="s">
        <v>1178</v>
      </c>
      <c r="T490" s="100">
        <v>12</v>
      </c>
      <c r="U490" s="100">
        <v>0</v>
      </c>
      <c r="V490" s="100">
        <v>0</v>
      </c>
      <c r="W490" s="100">
        <v>0</v>
      </c>
    </row>
    <row r="491" ht="15.6" spans="2:23">
      <c r="F491" s="80" t="s">
        <v>654</v>
      </c>
      <c r="G491" s="99">
        <v>0</v>
      </c>
      <c r="H491" s="99">
        <v>0</v>
      </c>
      <c r="I491" s="99">
        <v>0</v>
      </c>
      <c r="J491"/>
      <c r="K491"/>
      <c r="L491"/>
      <c r="M491" s="80" t="s">
        <v>319</v>
      </c>
      <c r="N491" s="80" t="s">
        <v>320</v>
      </c>
      <c r="O491" s="80" t="s">
        <v>3013</v>
      </c>
      <c r="P491" s="80" t="s">
        <v>4626</v>
      </c>
      <c r="Q491" s="80" t="s">
        <v>639</v>
      </c>
      <c r="R491" s="80">
        <v>0</v>
      </c>
      <c r="S491" s="80" t="s">
        <v>1281</v>
      </c>
      <c r="T491" s="100">
        <v>0.375</v>
      </c>
      <c r="U491" s="100">
        <v>0</v>
      </c>
      <c r="V491" s="100">
        <v>0</v>
      </c>
      <c r="W491" s="100">
        <v>0</v>
      </c>
    </row>
    <row r="492" ht="15.6" spans="2:23">
      <c r="B492" s="80" t="s">
        <v>4627</v>
      </c>
      <c r="G492" s="99">
        <v>0</v>
      </c>
      <c r="H492" s="99">
        <v>0</v>
      </c>
      <c r="I492" s="99">
        <v>0</v>
      </c>
      <c r="J492"/>
      <c r="K492"/>
      <c r="L492"/>
      <c r="O492" s="80" t="s">
        <v>3014</v>
      </c>
      <c r="P492" s="80" t="s">
        <v>3931</v>
      </c>
      <c r="Q492" s="80" t="s">
        <v>639</v>
      </c>
      <c r="R492" s="80">
        <v>0</v>
      </c>
      <c r="S492" s="80" t="s">
        <v>1281</v>
      </c>
      <c r="T492" s="100">
        <v>0</v>
      </c>
      <c r="U492" s="100">
        <v>0</v>
      </c>
      <c r="V492" s="100">
        <v>0</v>
      </c>
      <c r="W492" s="100">
        <v>0</v>
      </c>
    </row>
    <row r="493" ht="15.6" spans="2:23">
      <c r="B493" s="80" t="s">
        <v>361</v>
      </c>
      <c r="C493" s="80" t="s">
        <v>362</v>
      </c>
      <c r="D493" s="80">
        <v>0</v>
      </c>
      <c r="E493" s="80" t="s">
        <v>1178</v>
      </c>
      <c r="F493" s="80" t="s">
        <v>652</v>
      </c>
      <c r="G493" s="99">
        <v>0</v>
      </c>
      <c r="H493" s="99">
        <v>0</v>
      </c>
      <c r="I493" s="99">
        <v>0</v>
      </c>
      <c r="J493"/>
      <c r="K493"/>
      <c r="L493"/>
      <c r="O493" s="80" t="s">
        <v>3015</v>
      </c>
      <c r="P493" s="80" t="s">
        <v>4628</v>
      </c>
      <c r="Q493" s="80" t="s">
        <v>638</v>
      </c>
      <c r="R493" s="80">
        <v>0</v>
      </c>
      <c r="S493" s="80" t="s">
        <v>1281</v>
      </c>
      <c r="T493" s="100">
        <v>0.0375</v>
      </c>
      <c r="U493" s="100">
        <v>0</v>
      </c>
      <c r="V493" s="100">
        <v>0</v>
      </c>
      <c r="W493" s="100">
        <v>0</v>
      </c>
    </row>
    <row r="494" ht="15.6" spans="2:23">
      <c r="F494" s="80" t="s">
        <v>654</v>
      </c>
      <c r="G494" s="99">
        <v>0</v>
      </c>
      <c r="H494" s="99">
        <v>0</v>
      </c>
      <c r="I494" s="99">
        <v>0</v>
      </c>
      <c r="J494"/>
      <c r="K494"/>
      <c r="L494"/>
      <c r="Q494" s="80" t="s">
        <v>642</v>
      </c>
      <c r="R494" s="80">
        <v>0</v>
      </c>
      <c r="S494" s="80" t="s">
        <v>1281</v>
      </c>
      <c r="T494" s="100">
        <v>0.1125</v>
      </c>
      <c r="U494" s="100">
        <v>0</v>
      </c>
      <c r="V494" s="100">
        <v>0</v>
      </c>
      <c r="W494" s="100">
        <v>0</v>
      </c>
    </row>
    <row r="495" ht="15.6" spans="2:23">
      <c r="B495" s="80" t="s">
        <v>4629</v>
      </c>
      <c r="G495" s="99">
        <v>0</v>
      </c>
      <c r="H495" s="99">
        <v>0</v>
      </c>
      <c r="I495" s="99">
        <v>0</v>
      </c>
      <c r="J495"/>
      <c r="K495"/>
      <c r="L495"/>
      <c r="O495" s="80" t="s">
        <v>3016</v>
      </c>
      <c r="P495" s="80" t="s">
        <v>3935</v>
      </c>
      <c r="Q495" s="80" t="s">
        <v>638</v>
      </c>
      <c r="R495" s="80">
        <v>0</v>
      </c>
      <c r="S495" s="80" t="s">
        <v>1281</v>
      </c>
      <c r="T495" s="100">
        <v>0</v>
      </c>
      <c r="U495" s="100">
        <v>0</v>
      </c>
      <c r="V495" s="100">
        <v>0</v>
      </c>
      <c r="W495" s="100">
        <v>0</v>
      </c>
    </row>
    <row r="496" ht="15.6" spans="2:23">
      <c r="B496" s="80" t="s">
        <v>363</v>
      </c>
      <c r="C496" s="80" t="s">
        <v>364</v>
      </c>
      <c r="D496" s="80">
        <v>0</v>
      </c>
      <c r="E496" s="80" t="s">
        <v>1220</v>
      </c>
      <c r="F496" s="80" t="s">
        <v>654</v>
      </c>
      <c r="G496" s="99">
        <v>0</v>
      </c>
      <c r="H496" s="99">
        <v>0</v>
      </c>
      <c r="I496" s="99">
        <v>0</v>
      </c>
      <c r="J496"/>
      <c r="K496"/>
      <c r="L496"/>
      <c r="Q496" s="80" t="s">
        <v>642</v>
      </c>
      <c r="R496" s="80">
        <v>0</v>
      </c>
      <c r="S496" s="80" t="s">
        <v>1281</v>
      </c>
      <c r="T496" s="100">
        <v>0</v>
      </c>
      <c r="U496" s="100">
        <v>0</v>
      </c>
      <c r="V496" s="100">
        <v>0</v>
      </c>
      <c r="W496" s="100">
        <v>0</v>
      </c>
    </row>
    <row r="497" ht="15.6" spans="2:23">
      <c r="B497" s="80" t="s">
        <v>4630</v>
      </c>
      <c r="G497" s="99">
        <v>0</v>
      </c>
      <c r="H497" s="99">
        <v>0</v>
      </c>
      <c r="I497" s="99">
        <v>0</v>
      </c>
      <c r="J497"/>
      <c r="K497"/>
      <c r="L497"/>
      <c r="O497" s="80" t="s">
        <v>3017</v>
      </c>
      <c r="P497" s="80" t="s">
        <v>4631</v>
      </c>
      <c r="Q497" s="80" t="s">
        <v>639</v>
      </c>
      <c r="R497" s="80">
        <v>0</v>
      </c>
      <c r="S497" s="80" t="s">
        <v>1281</v>
      </c>
      <c r="T497" s="100">
        <v>0.1875</v>
      </c>
      <c r="U497" s="100">
        <v>0</v>
      </c>
      <c r="V497" s="100">
        <v>0</v>
      </c>
      <c r="W497" s="100">
        <v>0</v>
      </c>
    </row>
    <row r="498" ht="15.6" spans="2:23">
      <c r="B498" s="80" t="s">
        <v>365</v>
      </c>
      <c r="C498" s="80" t="s">
        <v>366</v>
      </c>
      <c r="D498" s="80">
        <v>0</v>
      </c>
      <c r="E498" s="80" t="s">
        <v>1176</v>
      </c>
      <c r="F498" s="80" t="s">
        <v>620</v>
      </c>
      <c r="G498" s="99">
        <v>0</v>
      </c>
      <c r="H498" s="99">
        <v>0</v>
      </c>
      <c r="I498" s="99">
        <v>0</v>
      </c>
      <c r="J498"/>
      <c r="K498"/>
      <c r="L498"/>
      <c r="O498" s="80" t="s">
        <v>3018</v>
      </c>
      <c r="P498" s="80" t="s">
        <v>3939</v>
      </c>
      <c r="Q498" s="80" t="s">
        <v>639</v>
      </c>
      <c r="R498" s="80">
        <v>0</v>
      </c>
      <c r="S498" s="80" t="s">
        <v>1281</v>
      </c>
      <c r="T498" s="100">
        <v>0</v>
      </c>
      <c r="U498" s="100">
        <v>0</v>
      </c>
      <c r="V498" s="100">
        <v>0</v>
      </c>
      <c r="W498" s="100">
        <v>0</v>
      </c>
    </row>
    <row r="499" ht="15.6" spans="2:23">
      <c r="F499" s="80" t="s">
        <v>622</v>
      </c>
      <c r="G499" s="99">
        <v>0</v>
      </c>
      <c r="H499" s="99">
        <v>0</v>
      </c>
      <c r="I499" s="99">
        <v>0</v>
      </c>
      <c r="J499"/>
      <c r="K499"/>
      <c r="L499"/>
      <c r="O499" s="80" t="s">
        <v>1486</v>
      </c>
      <c r="P499" s="80" t="s">
        <v>4632</v>
      </c>
      <c r="Q499" s="80" t="s">
        <v>615</v>
      </c>
      <c r="R499" s="80">
        <v>0</v>
      </c>
      <c r="S499" s="80" t="s">
        <v>1178</v>
      </c>
      <c r="T499" s="100">
        <v>8</v>
      </c>
      <c r="U499" s="100">
        <v>0</v>
      </c>
      <c r="V499" s="100">
        <v>0</v>
      </c>
      <c r="W499" s="100">
        <v>0</v>
      </c>
    </row>
    <row r="500" ht="15.6" spans="2:23">
      <c r="B500" s="80" t="s">
        <v>4633</v>
      </c>
      <c r="G500" s="99">
        <v>0</v>
      </c>
      <c r="H500" s="99">
        <v>0</v>
      </c>
      <c r="I500" s="99">
        <v>0</v>
      </c>
      <c r="J500"/>
      <c r="K500"/>
      <c r="L500"/>
      <c r="M500" s="80" t="s">
        <v>321</v>
      </c>
      <c r="N500" s="80" t="s">
        <v>322</v>
      </c>
      <c r="O500" s="80" t="s">
        <v>1487</v>
      </c>
      <c r="P500" s="80" t="s">
        <v>3400</v>
      </c>
      <c r="Q500" s="80" t="s">
        <v>635</v>
      </c>
      <c r="R500" s="80">
        <v>0</v>
      </c>
      <c r="S500" s="80" t="s">
        <v>1281</v>
      </c>
      <c r="T500" s="100">
        <v>0.375</v>
      </c>
      <c r="U500" s="100">
        <v>0</v>
      </c>
      <c r="V500" s="100">
        <v>0</v>
      </c>
      <c r="W500" s="100">
        <v>0</v>
      </c>
    </row>
    <row r="501" ht="15.6" spans="2:23">
      <c r="B501" s="80" t="s">
        <v>367</v>
      </c>
      <c r="C501" s="80" t="s">
        <v>368</v>
      </c>
      <c r="D501" s="80">
        <v>0</v>
      </c>
      <c r="E501" s="80" t="s">
        <v>1176</v>
      </c>
      <c r="F501" s="80" t="s">
        <v>620</v>
      </c>
      <c r="G501" s="99">
        <v>0</v>
      </c>
      <c r="H501" s="99">
        <v>0</v>
      </c>
      <c r="I501" s="99">
        <v>0</v>
      </c>
      <c r="J501"/>
      <c r="K501"/>
      <c r="L501"/>
      <c r="O501" s="80" t="s">
        <v>1488</v>
      </c>
      <c r="P501" s="80" t="s">
        <v>3946</v>
      </c>
      <c r="Q501" s="80" t="s">
        <v>638</v>
      </c>
      <c r="R501" s="80">
        <v>0</v>
      </c>
      <c r="S501" s="80" t="s">
        <v>1281</v>
      </c>
      <c r="T501" s="100">
        <v>0.375</v>
      </c>
      <c r="U501" s="100">
        <v>0</v>
      </c>
      <c r="V501" s="100">
        <v>0</v>
      </c>
      <c r="W501" s="100">
        <v>0</v>
      </c>
    </row>
    <row r="502" ht="15.6" spans="2:23">
      <c r="F502" s="80" t="s">
        <v>622</v>
      </c>
      <c r="G502" s="99">
        <v>0</v>
      </c>
      <c r="H502" s="99">
        <v>0</v>
      </c>
      <c r="I502" s="99">
        <v>0</v>
      </c>
      <c r="J502"/>
      <c r="K502"/>
      <c r="L502"/>
      <c r="O502" s="80" t="s">
        <v>1489</v>
      </c>
      <c r="P502" s="80" t="s">
        <v>3947</v>
      </c>
      <c r="Q502" s="80" t="s">
        <v>635</v>
      </c>
      <c r="R502" s="80">
        <v>0</v>
      </c>
      <c r="S502" s="80" t="s">
        <v>1281</v>
      </c>
      <c r="T502" s="100">
        <v>1.5</v>
      </c>
      <c r="U502" s="100">
        <v>0</v>
      </c>
      <c r="V502" s="100">
        <v>0</v>
      </c>
      <c r="W502" s="100">
        <v>0</v>
      </c>
    </row>
    <row r="503" ht="15.6" spans="2:23">
      <c r="B503" s="80" t="s">
        <v>4634</v>
      </c>
      <c r="G503" s="99">
        <v>0</v>
      </c>
      <c r="H503" s="99">
        <v>0</v>
      </c>
      <c r="I503" s="99">
        <v>0</v>
      </c>
      <c r="J503"/>
      <c r="K503"/>
      <c r="L503"/>
      <c r="O503" s="80" t="s">
        <v>1490</v>
      </c>
      <c r="P503" s="80" t="s">
        <v>3948</v>
      </c>
      <c r="Q503" s="80" t="s">
        <v>638</v>
      </c>
      <c r="R503" s="80">
        <v>0</v>
      </c>
      <c r="S503" s="80" t="s">
        <v>1281</v>
      </c>
      <c r="T503" s="100">
        <v>0.375</v>
      </c>
      <c r="U503" s="100">
        <v>0</v>
      </c>
      <c r="V503" s="100">
        <v>0</v>
      </c>
      <c r="W503" s="100">
        <v>0</v>
      </c>
    </row>
    <row r="504" ht="15.6" spans="2:23">
      <c r="B504" s="80" t="s">
        <v>369</v>
      </c>
      <c r="C504" s="80" t="s">
        <v>370</v>
      </c>
      <c r="D504" s="80">
        <v>0</v>
      </c>
      <c r="E504" s="80" t="s">
        <v>1176</v>
      </c>
      <c r="F504" s="80" t="s">
        <v>620</v>
      </c>
      <c r="G504" s="99">
        <v>0</v>
      </c>
      <c r="H504" s="99">
        <v>0</v>
      </c>
      <c r="I504" s="99">
        <v>0</v>
      </c>
      <c r="J504"/>
      <c r="K504"/>
      <c r="L504"/>
      <c r="Q504" s="80" t="s">
        <v>635</v>
      </c>
      <c r="R504" s="80">
        <v>0</v>
      </c>
      <c r="S504" s="80" t="s">
        <v>1281</v>
      </c>
      <c r="T504" s="100">
        <v>0.75</v>
      </c>
      <c r="U504" s="100">
        <v>0</v>
      </c>
      <c r="V504" s="100">
        <v>0</v>
      </c>
      <c r="W504" s="100">
        <v>0</v>
      </c>
    </row>
    <row r="505" ht="15.6" spans="2:23">
      <c r="B505" s="80" t="s">
        <v>4635</v>
      </c>
      <c r="G505" s="99">
        <v>0</v>
      </c>
      <c r="H505" s="99">
        <v>0</v>
      </c>
      <c r="I505" s="99">
        <v>0</v>
      </c>
      <c r="J505"/>
      <c r="K505"/>
      <c r="L505"/>
      <c r="M505" s="80" t="s">
        <v>323</v>
      </c>
      <c r="N505" s="80" t="s">
        <v>324</v>
      </c>
      <c r="O505" s="80" t="s">
        <v>1491</v>
      </c>
      <c r="P505" s="80" t="s">
        <v>3949</v>
      </c>
      <c r="Q505" s="80" t="s">
        <v>635</v>
      </c>
      <c r="R505" s="80">
        <v>0</v>
      </c>
      <c r="S505" s="80" t="s">
        <v>1281</v>
      </c>
      <c r="T505" s="100">
        <v>2.25</v>
      </c>
      <c r="U505" s="100">
        <v>0</v>
      </c>
      <c r="V505" s="100">
        <v>0</v>
      </c>
      <c r="W505" s="100">
        <v>0</v>
      </c>
    </row>
    <row r="506" ht="15.6" spans="2:23">
      <c r="B506" s="80" t="s">
        <v>371</v>
      </c>
      <c r="C506" s="80" t="s">
        <v>372</v>
      </c>
      <c r="D506" s="80">
        <v>0</v>
      </c>
      <c r="E506" s="80" t="s">
        <v>1281</v>
      </c>
      <c r="F506" s="80" t="s">
        <v>624</v>
      </c>
      <c r="G506" s="99">
        <v>0</v>
      </c>
      <c r="H506" s="99">
        <v>0</v>
      </c>
      <c r="I506" s="99">
        <v>0</v>
      </c>
      <c r="J506"/>
      <c r="K506"/>
      <c r="L506"/>
      <c r="O506" s="80" t="s">
        <v>1492</v>
      </c>
      <c r="P506" s="80" t="s">
        <v>3951</v>
      </c>
      <c r="Q506" s="80" t="s">
        <v>635</v>
      </c>
      <c r="R506" s="80">
        <v>0</v>
      </c>
      <c r="S506" s="80" t="s">
        <v>1281</v>
      </c>
      <c r="T506" s="100">
        <v>2.25</v>
      </c>
      <c r="U506" s="100">
        <v>0</v>
      </c>
      <c r="V506" s="100">
        <v>0</v>
      </c>
      <c r="W506" s="100">
        <v>0</v>
      </c>
    </row>
    <row r="507" ht="15.6" spans="2:23">
      <c r="B507" s="80" t="s">
        <v>4636</v>
      </c>
      <c r="G507" s="99">
        <v>0</v>
      </c>
      <c r="H507" s="99">
        <v>0</v>
      </c>
      <c r="I507" s="99">
        <v>0</v>
      </c>
      <c r="J507"/>
      <c r="K507"/>
      <c r="L507"/>
      <c r="O507" s="80" t="s">
        <v>3019</v>
      </c>
      <c r="P507" s="80" t="s">
        <v>3952</v>
      </c>
      <c r="Q507" s="80" t="s">
        <v>638</v>
      </c>
      <c r="R507" s="80">
        <v>0</v>
      </c>
      <c r="S507" s="80" t="s">
        <v>1281</v>
      </c>
      <c r="T507" s="100">
        <v>0.375</v>
      </c>
      <c r="U507" s="100">
        <v>0</v>
      </c>
      <c r="V507" s="100">
        <v>0</v>
      </c>
      <c r="W507" s="100">
        <v>0</v>
      </c>
    </row>
    <row r="508" ht="15.6" spans="2:23">
      <c r="B508" s="80" t="s">
        <v>373</v>
      </c>
      <c r="C508" s="80" t="s">
        <v>374</v>
      </c>
      <c r="D508" s="80">
        <v>0</v>
      </c>
      <c r="E508" s="80" t="s">
        <v>1178</v>
      </c>
      <c r="F508" s="80" t="s">
        <v>620</v>
      </c>
      <c r="G508" s="99">
        <v>0</v>
      </c>
      <c r="H508" s="99">
        <v>0</v>
      </c>
      <c r="I508" s="99">
        <v>0</v>
      </c>
      <c r="J508"/>
      <c r="K508"/>
      <c r="L508"/>
      <c r="Q508" s="80" t="s">
        <v>639</v>
      </c>
      <c r="R508" s="80">
        <v>0</v>
      </c>
      <c r="S508" s="80" t="s">
        <v>1178</v>
      </c>
      <c r="T508" s="100">
        <v>2.25</v>
      </c>
      <c r="U508" s="100">
        <v>0</v>
      </c>
      <c r="V508" s="100">
        <v>0</v>
      </c>
      <c r="W508" s="100">
        <v>0</v>
      </c>
    </row>
    <row r="509" ht="15.6" spans="2:23">
      <c r="F509" s="80" t="s">
        <v>622</v>
      </c>
      <c r="G509" s="99">
        <v>0</v>
      </c>
      <c r="H509" s="99">
        <v>0</v>
      </c>
      <c r="I509" s="99">
        <v>0</v>
      </c>
      <c r="J509"/>
      <c r="K509"/>
      <c r="L509"/>
      <c r="O509" s="80" t="s">
        <v>1493</v>
      </c>
      <c r="P509" s="80" t="s">
        <v>3953</v>
      </c>
      <c r="Q509" s="80" t="s">
        <v>635</v>
      </c>
      <c r="R509" s="80">
        <v>0</v>
      </c>
      <c r="S509" s="80" t="s">
        <v>1281</v>
      </c>
      <c r="T509" s="100">
        <v>0.15</v>
      </c>
      <c r="U509" s="100">
        <v>0</v>
      </c>
      <c r="V509" s="100">
        <v>0</v>
      </c>
      <c r="W509" s="100">
        <v>0</v>
      </c>
    </row>
    <row r="510" ht="15.6" spans="2:23">
      <c r="F510" s="80" t="s">
        <v>624</v>
      </c>
      <c r="G510" s="99">
        <v>0</v>
      </c>
      <c r="H510" s="99">
        <v>0</v>
      </c>
      <c r="I510" s="99">
        <v>0</v>
      </c>
      <c r="J510"/>
      <c r="K510"/>
      <c r="L510"/>
      <c r="O510" s="80" t="s">
        <v>3020</v>
      </c>
      <c r="P510" s="80" t="s">
        <v>3954</v>
      </c>
      <c r="Q510" s="80" t="s">
        <v>635</v>
      </c>
      <c r="R510" s="80">
        <v>0</v>
      </c>
      <c r="S510" s="80" t="s">
        <v>1281</v>
      </c>
      <c r="T510" s="100">
        <v>0.15</v>
      </c>
      <c r="U510" s="100">
        <v>0</v>
      </c>
      <c r="V510" s="100">
        <v>0</v>
      </c>
      <c r="W510" s="100">
        <v>0</v>
      </c>
    </row>
    <row r="511" ht="15.6" spans="2:23">
      <c r="B511" s="80" t="s">
        <v>4637</v>
      </c>
      <c r="G511" s="99">
        <v>0</v>
      </c>
      <c r="H511" s="99">
        <v>0</v>
      </c>
      <c r="I511" s="99">
        <v>0</v>
      </c>
      <c r="J511"/>
      <c r="K511"/>
      <c r="L511"/>
      <c r="O511" s="80" t="s">
        <v>1494</v>
      </c>
      <c r="P511" s="80" t="s">
        <v>3955</v>
      </c>
      <c r="Q511" s="80" t="s">
        <v>635</v>
      </c>
      <c r="R511" s="80">
        <v>0</v>
      </c>
      <c r="S511" s="80" t="s">
        <v>1281</v>
      </c>
      <c r="T511" s="100">
        <v>0.75</v>
      </c>
      <c r="U511" s="100">
        <v>0</v>
      </c>
      <c r="V511" s="100">
        <v>0</v>
      </c>
      <c r="W511" s="100">
        <v>0</v>
      </c>
    </row>
    <row r="512" ht="15.6" spans="2:23">
      <c r="B512" s="80" t="s">
        <v>375</v>
      </c>
      <c r="C512" s="80" t="s">
        <v>376</v>
      </c>
      <c r="D512" s="80">
        <v>0</v>
      </c>
      <c r="E512" s="80" t="s">
        <v>1178</v>
      </c>
      <c r="F512" s="80" t="s">
        <v>620</v>
      </c>
      <c r="G512" s="99">
        <v>0</v>
      </c>
      <c r="H512" s="99">
        <v>0</v>
      </c>
      <c r="I512" s="99">
        <v>0</v>
      </c>
      <c r="J512"/>
      <c r="K512"/>
      <c r="L512"/>
      <c r="M512" s="80" t="s">
        <v>325</v>
      </c>
      <c r="N512" s="80" t="s">
        <v>326</v>
      </c>
      <c r="O512" s="80" t="s">
        <v>1495</v>
      </c>
      <c r="P512" s="80" t="s">
        <v>3956</v>
      </c>
      <c r="Q512" s="80" t="s">
        <v>635</v>
      </c>
      <c r="R512" s="80">
        <v>0</v>
      </c>
      <c r="S512" s="80" t="s">
        <v>1281</v>
      </c>
      <c r="T512" s="100">
        <v>3</v>
      </c>
      <c r="U512" s="100">
        <v>0</v>
      </c>
      <c r="V512" s="100">
        <v>0</v>
      </c>
      <c r="W512" s="100">
        <v>0</v>
      </c>
    </row>
    <row r="513" ht="15.6" spans="2:23">
      <c r="B513" s="80" t="s">
        <v>4638</v>
      </c>
      <c r="G513" s="99">
        <v>0</v>
      </c>
      <c r="H513" s="99">
        <v>0</v>
      </c>
      <c r="I513" s="99">
        <v>0</v>
      </c>
      <c r="J513"/>
      <c r="K513"/>
      <c r="L513"/>
      <c r="O513" s="80" t="s">
        <v>1496</v>
      </c>
      <c r="P513" s="80" t="s">
        <v>3957</v>
      </c>
      <c r="Q513" s="80" t="s">
        <v>638</v>
      </c>
      <c r="R513" s="80">
        <v>0</v>
      </c>
      <c r="S513" s="80" t="s">
        <v>1281</v>
      </c>
      <c r="T513" s="100">
        <v>0.5</v>
      </c>
      <c r="U513" s="100">
        <v>0</v>
      </c>
      <c r="V513" s="100">
        <v>0</v>
      </c>
      <c r="W513" s="100">
        <v>0</v>
      </c>
    </row>
    <row r="514" ht="15.6" spans="2:23">
      <c r="B514" s="80" t="s">
        <v>377</v>
      </c>
      <c r="C514" s="80" t="s">
        <v>378</v>
      </c>
      <c r="D514" s="80">
        <v>0</v>
      </c>
      <c r="E514" s="80" t="s">
        <v>1671</v>
      </c>
      <c r="F514" s="80" t="s">
        <v>620</v>
      </c>
      <c r="G514" s="99">
        <v>0</v>
      </c>
      <c r="H514" s="99">
        <v>0</v>
      </c>
      <c r="I514" s="99">
        <v>0</v>
      </c>
      <c r="J514"/>
      <c r="K514"/>
      <c r="L514"/>
      <c r="Q514" s="80" t="s">
        <v>635</v>
      </c>
      <c r="R514" s="80">
        <v>0</v>
      </c>
      <c r="S514" s="80" t="s">
        <v>1281</v>
      </c>
      <c r="T514" s="100">
        <v>1.5</v>
      </c>
      <c r="U514" s="100">
        <v>0</v>
      </c>
      <c r="V514" s="100">
        <v>0</v>
      </c>
      <c r="W514" s="100">
        <v>0</v>
      </c>
    </row>
    <row r="515" ht="15.6" spans="2:23">
      <c r="F515" s="80" t="s">
        <v>622</v>
      </c>
      <c r="G515" s="99">
        <v>0</v>
      </c>
      <c r="H515" s="99">
        <v>0</v>
      </c>
      <c r="I515" s="99">
        <v>0</v>
      </c>
      <c r="J515"/>
      <c r="K515"/>
      <c r="L515"/>
      <c r="Q515" s="80" t="s">
        <v>639</v>
      </c>
      <c r="R515" s="80">
        <v>0</v>
      </c>
      <c r="S515" s="80" t="s">
        <v>1281</v>
      </c>
      <c r="T515" s="100">
        <v>0.75</v>
      </c>
      <c r="U515" s="100">
        <v>0</v>
      </c>
      <c r="V515" s="100">
        <v>0</v>
      </c>
      <c r="W515" s="100">
        <v>0</v>
      </c>
    </row>
    <row r="516" ht="15.6" spans="2:23">
      <c r="F516" s="80" t="s">
        <v>624</v>
      </c>
      <c r="G516" s="99">
        <v>0</v>
      </c>
      <c r="H516" s="99">
        <v>0</v>
      </c>
      <c r="I516" s="99">
        <v>0</v>
      </c>
      <c r="J516"/>
      <c r="K516"/>
      <c r="L516"/>
      <c r="M516" s="80" t="s">
        <v>327</v>
      </c>
      <c r="N516" s="80" t="s">
        <v>328</v>
      </c>
      <c r="O516" s="80" t="s">
        <v>1497</v>
      </c>
      <c r="P516" s="80" t="s">
        <v>3958</v>
      </c>
      <c r="Q516" s="80" t="s">
        <v>635</v>
      </c>
      <c r="R516" s="80">
        <v>0</v>
      </c>
      <c r="S516" s="80" t="s">
        <v>1281</v>
      </c>
      <c r="T516" s="100">
        <v>3</v>
      </c>
      <c r="U516" s="100">
        <v>0</v>
      </c>
      <c r="V516" s="100">
        <v>0</v>
      </c>
      <c r="W516" s="100">
        <v>0</v>
      </c>
    </row>
    <row r="517" ht="15.6" spans="2:23">
      <c r="B517" s="80" t="s">
        <v>4639</v>
      </c>
      <c r="G517" s="99">
        <v>0</v>
      </c>
      <c r="H517" s="99">
        <v>0</v>
      </c>
      <c r="I517" s="99">
        <v>0</v>
      </c>
      <c r="J517"/>
      <c r="K517"/>
      <c r="L517"/>
      <c r="O517" s="80" t="s">
        <v>1498</v>
      </c>
      <c r="P517" s="80" t="s">
        <v>3959</v>
      </c>
      <c r="Q517" s="80" t="s">
        <v>635</v>
      </c>
      <c r="R517" s="80">
        <v>0</v>
      </c>
      <c r="S517" s="80" t="s">
        <v>1281</v>
      </c>
      <c r="T517" s="100">
        <v>3</v>
      </c>
      <c r="U517" s="100">
        <v>0</v>
      </c>
      <c r="V517" s="100">
        <v>0</v>
      </c>
      <c r="W517" s="100">
        <v>0</v>
      </c>
    </row>
    <row r="518" ht="15.6" spans="2:23">
      <c r="B518" s="80" t="s">
        <v>379</v>
      </c>
      <c r="C518" s="80" t="s">
        <v>380</v>
      </c>
      <c r="D518" s="80">
        <v>0</v>
      </c>
      <c r="E518" s="80" t="s">
        <v>1178</v>
      </c>
      <c r="F518" s="80" t="s">
        <v>620</v>
      </c>
      <c r="G518" s="99">
        <v>0</v>
      </c>
      <c r="H518" s="99">
        <v>0</v>
      </c>
      <c r="I518" s="99">
        <v>0</v>
      </c>
      <c r="J518"/>
      <c r="K518"/>
      <c r="L518"/>
      <c r="O518" s="80" t="s">
        <v>1499</v>
      </c>
      <c r="P518" s="80" t="s">
        <v>3960</v>
      </c>
      <c r="Q518" s="80" t="s">
        <v>638</v>
      </c>
      <c r="R518" s="80">
        <v>0</v>
      </c>
      <c r="S518" s="80" t="s">
        <v>1281</v>
      </c>
      <c r="T518" s="100">
        <v>0.5</v>
      </c>
      <c r="U518" s="100">
        <v>0</v>
      </c>
      <c r="V518" s="100">
        <v>0</v>
      </c>
      <c r="W518" s="100">
        <v>0</v>
      </c>
    </row>
    <row r="519" ht="15.6" spans="2:23">
      <c r="B519" s="80" t="s">
        <v>4640</v>
      </c>
      <c r="G519" s="99">
        <v>0</v>
      </c>
      <c r="H519" s="99">
        <v>0</v>
      </c>
      <c r="I519" s="99">
        <v>0</v>
      </c>
      <c r="J519"/>
      <c r="K519"/>
      <c r="L519"/>
      <c r="Q519" s="80" t="s">
        <v>639</v>
      </c>
      <c r="R519" s="80">
        <v>0</v>
      </c>
      <c r="S519" s="80" t="s">
        <v>1281</v>
      </c>
      <c r="T519" s="100">
        <v>0.75</v>
      </c>
      <c r="U519" s="100">
        <v>0</v>
      </c>
      <c r="V519" s="100">
        <v>0</v>
      </c>
      <c r="W519" s="100">
        <v>0</v>
      </c>
    </row>
    <row r="520" ht="15.6" spans="2:23">
      <c r="B520" s="80" t="s">
        <v>381</v>
      </c>
      <c r="C520" s="80" t="s">
        <v>382</v>
      </c>
      <c r="D520" s="80">
        <v>0</v>
      </c>
      <c r="E520" s="80" t="s">
        <v>1671</v>
      </c>
      <c r="F520" s="80" t="s">
        <v>620</v>
      </c>
      <c r="G520" s="99">
        <v>0</v>
      </c>
      <c r="H520" s="99">
        <v>0</v>
      </c>
      <c r="I520" s="99">
        <v>0</v>
      </c>
      <c r="J520"/>
      <c r="K520"/>
      <c r="L520"/>
      <c r="O520" s="80" t="s">
        <v>1500</v>
      </c>
      <c r="P520" s="80" t="s">
        <v>3961</v>
      </c>
      <c r="Q520" s="80" t="s">
        <v>635</v>
      </c>
      <c r="R520" s="80">
        <v>0</v>
      </c>
      <c r="S520" s="80" t="s">
        <v>1281</v>
      </c>
      <c r="T520" s="100">
        <v>0.15</v>
      </c>
      <c r="U520" s="100">
        <v>0</v>
      </c>
      <c r="V520" s="100">
        <v>0</v>
      </c>
      <c r="W520" s="100">
        <v>0</v>
      </c>
    </row>
    <row r="521" ht="15.6" spans="2:23">
      <c r="B521" s="80" t="s">
        <v>4641</v>
      </c>
      <c r="G521" s="99">
        <v>0</v>
      </c>
      <c r="H521" s="99">
        <v>0</v>
      </c>
      <c r="I521" s="99">
        <v>0</v>
      </c>
      <c r="J521"/>
      <c r="K521"/>
      <c r="L521"/>
      <c r="O521" s="80" t="s">
        <v>3021</v>
      </c>
      <c r="P521" s="80" t="s">
        <v>3962</v>
      </c>
      <c r="Q521" s="80" t="s">
        <v>635</v>
      </c>
      <c r="R521" s="80">
        <v>0</v>
      </c>
      <c r="S521" s="80" t="s">
        <v>1281</v>
      </c>
      <c r="T521" s="100">
        <v>0.15</v>
      </c>
      <c r="U521" s="100">
        <v>0</v>
      </c>
      <c r="V521" s="100">
        <v>0</v>
      </c>
      <c r="W521" s="100">
        <v>0</v>
      </c>
    </row>
    <row r="522" ht="15.6" spans="2:23">
      <c r="B522" s="80" t="s">
        <v>383</v>
      </c>
      <c r="C522" s="80" t="s">
        <v>384</v>
      </c>
      <c r="D522" s="80">
        <v>0</v>
      </c>
      <c r="E522" s="80" t="s">
        <v>1671</v>
      </c>
      <c r="F522" s="80" t="s">
        <v>620</v>
      </c>
      <c r="G522" s="99">
        <v>0</v>
      </c>
      <c r="H522" s="99">
        <v>0</v>
      </c>
      <c r="I522" s="99">
        <v>0</v>
      </c>
      <c r="J522"/>
      <c r="K522"/>
      <c r="L522"/>
      <c r="O522" s="80" t="s">
        <v>1501</v>
      </c>
      <c r="P522" s="80" t="s">
        <v>3963</v>
      </c>
      <c r="Q522" s="80" t="s">
        <v>635</v>
      </c>
      <c r="R522" s="80">
        <v>0</v>
      </c>
      <c r="S522" s="80" t="s">
        <v>1281</v>
      </c>
      <c r="T522" s="100">
        <v>1.5</v>
      </c>
      <c r="U522" s="100">
        <v>0</v>
      </c>
      <c r="V522" s="100">
        <v>0</v>
      </c>
      <c r="W522" s="100">
        <v>0</v>
      </c>
    </row>
    <row r="523" ht="15.6" spans="2:23">
      <c r="B523" s="80" t="s">
        <v>4642</v>
      </c>
      <c r="G523" s="99">
        <v>0</v>
      </c>
      <c r="H523" s="99">
        <v>0</v>
      </c>
      <c r="I523" s="99">
        <v>0</v>
      </c>
      <c r="J523"/>
      <c r="K523"/>
      <c r="L523"/>
      <c r="M523" s="80" t="s">
        <v>329</v>
      </c>
      <c r="N523" s="80" t="s">
        <v>330</v>
      </c>
      <c r="O523" s="80" t="s">
        <v>3022</v>
      </c>
      <c r="P523" s="80" t="s">
        <v>4643</v>
      </c>
      <c r="Q523" s="80" t="s">
        <v>635</v>
      </c>
      <c r="R523" s="80">
        <v>0</v>
      </c>
      <c r="S523" s="80" t="s">
        <v>1281</v>
      </c>
      <c r="T523" s="100">
        <v>2.25</v>
      </c>
      <c r="U523" s="100">
        <v>0</v>
      </c>
      <c r="V523" s="100">
        <v>0</v>
      </c>
      <c r="W523" s="100">
        <v>0</v>
      </c>
    </row>
    <row r="524" ht="15.6" spans="2:23">
      <c r="B524" s="80" t="s">
        <v>385</v>
      </c>
      <c r="C524" s="80" t="s">
        <v>386</v>
      </c>
      <c r="D524" s="80">
        <v>0</v>
      </c>
      <c r="E524" s="80" t="s">
        <v>1281</v>
      </c>
      <c r="F524" s="80" t="s">
        <v>620</v>
      </c>
      <c r="G524" s="99">
        <v>0</v>
      </c>
      <c r="H524" s="99">
        <v>0</v>
      </c>
      <c r="I524" s="99">
        <v>0</v>
      </c>
      <c r="J524"/>
      <c r="K524"/>
      <c r="L524"/>
      <c r="O524" s="80" t="s">
        <v>3023</v>
      </c>
      <c r="P524" s="80" t="s">
        <v>4644</v>
      </c>
      <c r="Q524" s="80" t="s">
        <v>635</v>
      </c>
      <c r="R524" s="80">
        <v>0</v>
      </c>
      <c r="S524" s="80" t="s">
        <v>1281</v>
      </c>
      <c r="T524" s="100">
        <v>2.25</v>
      </c>
      <c r="U524" s="100">
        <v>0</v>
      </c>
      <c r="V524" s="100">
        <v>0</v>
      </c>
      <c r="W524" s="100">
        <v>0</v>
      </c>
    </row>
    <row r="525" ht="15.6" spans="2:23">
      <c r="B525" s="80" t="s">
        <v>4645</v>
      </c>
      <c r="G525" s="99">
        <v>0</v>
      </c>
      <c r="H525" s="99">
        <v>0</v>
      </c>
      <c r="I525" s="99">
        <v>0</v>
      </c>
      <c r="J525"/>
      <c r="K525"/>
      <c r="L525"/>
      <c r="O525" s="80" t="s">
        <v>3024</v>
      </c>
      <c r="P525" s="80" t="s">
        <v>4646</v>
      </c>
      <c r="Q525" s="80" t="s">
        <v>638</v>
      </c>
      <c r="R525" s="80">
        <v>0</v>
      </c>
      <c r="S525" s="80" t="s">
        <v>1281</v>
      </c>
      <c r="T525" s="100">
        <v>0.5</v>
      </c>
      <c r="U525" s="100">
        <v>0</v>
      </c>
      <c r="V525" s="100">
        <v>0</v>
      </c>
      <c r="W525" s="100">
        <v>0</v>
      </c>
    </row>
    <row r="526" ht="15.6" spans="2:23">
      <c r="B526" s="80" t="s">
        <v>387</v>
      </c>
      <c r="C526" s="80" t="s">
        <v>388</v>
      </c>
      <c r="D526" s="80">
        <v>0</v>
      </c>
      <c r="E526" s="80" t="s">
        <v>1178</v>
      </c>
      <c r="F526" s="80" t="s">
        <v>624</v>
      </c>
      <c r="G526" s="99">
        <v>0</v>
      </c>
      <c r="H526" s="99">
        <v>0</v>
      </c>
      <c r="I526" s="99">
        <v>0</v>
      </c>
      <c r="J526"/>
      <c r="K526"/>
      <c r="L526"/>
      <c r="Q526" s="80" t="s">
        <v>639</v>
      </c>
      <c r="R526" s="80">
        <v>0</v>
      </c>
      <c r="S526" s="80" t="s">
        <v>1281</v>
      </c>
      <c r="T526" s="100">
        <v>0.375</v>
      </c>
      <c r="U526" s="100">
        <v>0</v>
      </c>
      <c r="V526" s="100">
        <v>0</v>
      </c>
      <c r="W526" s="100">
        <v>0</v>
      </c>
    </row>
    <row r="527" ht="15.6" spans="2:23">
      <c r="B527" s="80" t="s">
        <v>4647</v>
      </c>
      <c r="G527" s="99">
        <v>0</v>
      </c>
      <c r="H527" s="99">
        <v>0</v>
      </c>
      <c r="I527" s="99">
        <v>0</v>
      </c>
      <c r="J527"/>
      <c r="K527"/>
      <c r="L527"/>
      <c r="O527" s="80" t="s">
        <v>3025</v>
      </c>
      <c r="P527" s="80" t="s">
        <v>4648</v>
      </c>
      <c r="Q527" s="80" t="s">
        <v>635</v>
      </c>
      <c r="R527" s="80">
        <v>0</v>
      </c>
      <c r="S527" s="80" t="s">
        <v>1281</v>
      </c>
      <c r="T527" s="100">
        <v>0.75</v>
      </c>
      <c r="U527" s="100">
        <v>0</v>
      </c>
      <c r="V527" s="100">
        <v>0</v>
      </c>
      <c r="W527" s="100">
        <v>0</v>
      </c>
    </row>
    <row r="528" ht="15.6" spans="2:23">
      <c r="B528" s="80" t="s">
        <v>389</v>
      </c>
      <c r="C528" s="80" t="s">
        <v>390</v>
      </c>
      <c r="D528" s="80">
        <v>0</v>
      </c>
      <c r="E528" s="80" t="s">
        <v>1176</v>
      </c>
      <c r="F528" s="80" t="s">
        <v>633</v>
      </c>
      <c r="G528" s="99">
        <v>0</v>
      </c>
      <c r="H528" s="99">
        <v>0</v>
      </c>
      <c r="I528" s="99">
        <v>0</v>
      </c>
      <c r="J528"/>
      <c r="K528"/>
      <c r="L528"/>
      <c r="O528" s="80" t="s">
        <v>3026</v>
      </c>
      <c r="P528" s="80" t="s">
        <v>4649</v>
      </c>
      <c r="Q528" s="80" t="s">
        <v>635</v>
      </c>
      <c r="R528" s="80">
        <v>0</v>
      </c>
      <c r="S528" s="80" t="s">
        <v>1281</v>
      </c>
      <c r="T528" s="100">
        <v>0.75</v>
      </c>
      <c r="U528" s="100">
        <v>0</v>
      </c>
      <c r="V528" s="100">
        <v>0</v>
      </c>
      <c r="W528" s="100">
        <v>0</v>
      </c>
    </row>
    <row r="529" ht="15.6" spans="2:23">
      <c r="F529" s="80" t="s">
        <v>620</v>
      </c>
      <c r="G529" s="99">
        <v>0</v>
      </c>
      <c r="H529" s="99">
        <v>0</v>
      </c>
      <c r="I529" s="99">
        <v>0</v>
      </c>
      <c r="J529"/>
      <c r="K529"/>
      <c r="L529"/>
      <c r="O529" s="80" t="s">
        <v>3027</v>
      </c>
      <c r="P529" s="80" t="s">
        <v>4650</v>
      </c>
      <c r="Q529" s="80" t="s">
        <v>638</v>
      </c>
      <c r="R529" s="80">
        <v>0</v>
      </c>
      <c r="S529" s="80" t="s">
        <v>1281</v>
      </c>
      <c r="T529" s="100">
        <v>0.2</v>
      </c>
      <c r="U529" s="100">
        <v>0</v>
      </c>
      <c r="V529" s="100">
        <v>0</v>
      </c>
      <c r="W529" s="100">
        <v>0</v>
      </c>
    </row>
    <row r="530" ht="15.6" spans="2:23">
      <c r="F530" s="80" t="s">
        <v>622</v>
      </c>
      <c r="G530" s="99">
        <v>0</v>
      </c>
      <c r="H530" s="99">
        <v>0</v>
      </c>
      <c r="I530" s="99">
        <v>0</v>
      </c>
      <c r="J530"/>
      <c r="K530"/>
      <c r="L530"/>
      <c r="Q530" s="80" t="s">
        <v>639</v>
      </c>
      <c r="R530" s="80">
        <v>0</v>
      </c>
      <c r="S530" s="80" t="s">
        <v>1281</v>
      </c>
      <c r="T530" s="100">
        <v>0.2</v>
      </c>
      <c r="U530" s="100">
        <v>0</v>
      </c>
      <c r="V530" s="100">
        <v>0</v>
      </c>
      <c r="W530" s="100">
        <v>0</v>
      </c>
    </row>
    <row r="531" ht="15.6" spans="2:23">
      <c r="F531" s="80" t="s">
        <v>635</v>
      </c>
      <c r="G531" s="99">
        <v>0</v>
      </c>
      <c r="H531" s="99">
        <v>0</v>
      </c>
      <c r="I531" s="99">
        <v>0</v>
      </c>
      <c r="J531"/>
      <c r="K531"/>
      <c r="L531"/>
      <c r="M531" s="80" t="s">
        <v>331</v>
      </c>
      <c r="N531" s="80" t="s">
        <v>332</v>
      </c>
      <c r="O531" s="80" t="s">
        <v>3031</v>
      </c>
      <c r="P531" s="80" t="s">
        <v>4651</v>
      </c>
      <c r="Q531" s="80" t="s">
        <v>635</v>
      </c>
      <c r="R531" s="80">
        <v>0</v>
      </c>
      <c r="S531" s="80" t="s">
        <v>1281</v>
      </c>
      <c r="T531" s="100">
        <v>2.25</v>
      </c>
      <c r="U531" s="100">
        <v>0</v>
      </c>
      <c r="V531" s="100">
        <v>0</v>
      </c>
      <c r="W531" s="100">
        <v>0</v>
      </c>
    </row>
    <row r="532" ht="15.6" spans="2:23">
      <c r="B532" s="80" t="s">
        <v>4652</v>
      </c>
      <c r="G532" s="99">
        <v>0</v>
      </c>
      <c r="H532" s="99">
        <v>0</v>
      </c>
      <c r="I532" s="99">
        <v>0</v>
      </c>
      <c r="J532"/>
      <c r="K532"/>
      <c r="L532"/>
      <c r="O532" s="80" t="s">
        <v>3032</v>
      </c>
      <c r="P532" s="80" t="s">
        <v>4653</v>
      </c>
      <c r="Q532" s="80" t="s">
        <v>635</v>
      </c>
      <c r="R532" s="80">
        <v>0</v>
      </c>
      <c r="S532" s="80" t="s">
        <v>1281</v>
      </c>
      <c r="T532" s="100">
        <v>2.25</v>
      </c>
      <c r="U532" s="100">
        <v>0</v>
      </c>
      <c r="V532" s="100">
        <v>0</v>
      </c>
      <c r="W532" s="100">
        <v>0</v>
      </c>
    </row>
    <row r="533" ht="15.6" spans="2:23">
      <c r="B533" s="80" t="s">
        <v>392</v>
      </c>
      <c r="C533" s="80" t="s">
        <v>393</v>
      </c>
      <c r="D533" s="80">
        <v>0</v>
      </c>
      <c r="E533" s="80" t="s">
        <v>1176</v>
      </c>
      <c r="F533" s="80" t="s">
        <v>620</v>
      </c>
      <c r="G533" s="99">
        <v>0</v>
      </c>
      <c r="H533" s="99">
        <v>0</v>
      </c>
      <c r="I533" s="99">
        <v>0</v>
      </c>
      <c r="J533"/>
      <c r="K533"/>
      <c r="L533"/>
      <c r="O533" s="80" t="s">
        <v>3033</v>
      </c>
      <c r="P533" s="80" t="s">
        <v>4654</v>
      </c>
      <c r="Q533" s="80" t="s">
        <v>652</v>
      </c>
      <c r="R533" s="80">
        <v>0</v>
      </c>
      <c r="S533" s="80" t="s">
        <v>1281</v>
      </c>
      <c r="T533" s="100">
        <v>0.25</v>
      </c>
      <c r="U533" s="100">
        <v>0</v>
      </c>
      <c r="V533" s="100">
        <v>0</v>
      </c>
      <c r="W533" s="100">
        <v>0</v>
      </c>
    </row>
    <row r="534" ht="15.6" spans="2:23">
      <c r="F534" s="80" t="s">
        <v>622</v>
      </c>
      <c r="G534" s="99">
        <v>0</v>
      </c>
      <c r="H534" s="99">
        <v>0</v>
      </c>
      <c r="I534" s="99">
        <v>0</v>
      </c>
      <c r="J534"/>
      <c r="K534"/>
      <c r="L534"/>
      <c r="Q534" s="80" t="s">
        <v>638</v>
      </c>
      <c r="R534" s="80">
        <v>0</v>
      </c>
      <c r="S534" s="80" t="s">
        <v>1281</v>
      </c>
      <c r="T534" s="100">
        <v>0.5</v>
      </c>
      <c r="U534" s="100">
        <v>0</v>
      </c>
      <c r="V534" s="100">
        <v>0</v>
      </c>
      <c r="W534" s="100">
        <v>0</v>
      </c>
    </row>
    <row r="535" ht="15.6" spans="2:23">
      <c r="B535" s="80" t="s">
        <v>4655</v>
      </c>
      <c r="G535" s="99">
        <v>0</v>
      </c>
      <c r="H535" s="99">
        <v>0</v>
      </c>
      <c r="I535" s="99">
        <v>0</v>
      </c>
      <c r="J535"/>
      <c r="K535"/>
      <c r="L535"/>
      <c r="Q535" s="80" t="s">
        <v>639</v>
      </c>
      <c r="R535" s="80">
        <v>0</v>
      </c>
      <c r="S535" s="80" t="s">
        <v>1281</v>
      </c>
      <c r="T535" s="100">
        <v>0.375</v>
      </c>
      <c r="U535" s="100">
        <v>0</v>
      </c>
      <c r="V535" s="100">
        <v>0</v>
      </c>
      <c r="W535" s="100">
        <v>0</v>
      </c>
    </row>
    <row r="536" ht="15.6" spans="2:23">
      <c r="B536" s="80" t="s">
        <v>394</v>
      </c>
      <c r="C536" s="80" t="s">
        <v>395</v>
      </c>
      <c r="D536" s="80">
        <v>0</v>
      </c>
      <c r="E536" s="80" t="s">
        <v>1176</v>
      </c>
      <c r="F536" s="80" t="s">
        <v>620</v>
      </c>
      <c r="G536" s="99">
        <v>0</v>
      </c>
      <c r="H536" s="99">
        <v>0</v>
      </c>
      <c r="I536" s="99">
        <v>0</v>
      </c>
      <c r="J536"/>
      <c r="K536"/>
      <c r="L536"/>
      <c r="O536" s="80" t="s">
        <v>3034</v>
      </c>
      <c r="P536" s="80" t="s">
        <v>4656</v>
      </c>
      <c r="Q536" s="80" t="s">
        <v>635</v>
      </c>
      <c r="R536" s="80">
        <v>0</v>
      </c>
      <c r="S536" s="80" t="s">
        <v>1281</v>
      </c>
      <c r="T536" s="100">
        <v>0.75</v>
      </c>
      <c r="U536" s="100">
        <v>0</v>
      </c>
      <c r="V536" s="100">
        <v>0</v>
      </c>
      <c r="W536" s="100">
        <v>0</v>
      </c>
    </row>
    <row r="537" ht="15.6" spans="2:23">
      <c r="B537" s="80" t="s">
        <v>4657</v>
      </c>
      <c r="G537" s="99">
        <v>0</v>
      </c>
      <c r="H537" s="99">
        <v>0</v>
      </c>
      <c r="I537" s="99">
        <v>0</v>
      </c>
      <c r="J537"/>
      <c r="K537"/>
      <c r="L537"/>
      <c r="O537" s="80" t="s">
        <v>3035</v>
      </c>
      <c r="P537" s="80" t="s">
        <v>4658</v>
      </c>
      <c r="Q537" s="80" t="s">
        <v>635</v>
      </c>
      <c r="R537" s="80">
        <v>0</v>
      </c>
      <c r="S537" s="80" t="s">
        <v>1281</v>
      </c>
      <c r="T537" s="100">
        <v>0.75</v>
      </c>
      <c r="U537" s="100">
        <v>0</v>
      </c>
      <c r="V537" s="100">
        <v>0</v>
      </c>
      <c r="W537" s="100">
        <v>0</v>
      </c>
    </row>
    <row r="538" ht="15.6" spans="2:23">
      <c r="B538" s="80" t="s">
        <v>396</v>
      </c>
      <c r="C538" s="80" t="s">
        <v>397</v>
      </c>
      <c r="D538" s="80">
        <v>0</v>
      </c>
      <c r="E538" s="80" t="s">
        <v>1178</v>
      </c>
      <c r="F538" s="80" t="s">
        <v>620</v>
      </c>
      <c r="G538" s="99">
        <v>0</v>
      </c>
      <c r="H538" s="99">
        <v>0</v>
      </c>
      <c r="I538" s="99">
        <v>0</v>
      </c>
      <c r="J538"/>
      <c r="K538"/>
      <c r="L538"/>
      <c r="O538" s="80" t="s">
        <v>3036</v>
      </c>
      <c r="P538" s="80" t="s">
        <v>4659</v>
      </c>
      <c r="Q538" s="80" t="s">
        <v>652</v>
      </c>
      <c r="R538" s="80">
        <v>0</v>
      </c>
      <c r="S538" s="80" t="s">
        <v>1281</v>
      </c>
      <c r="T538" s="100">
        <v>0.1</v>
      </c>
      <c r="U538" s="100">
        <v>0</v>
      </c>
      <c r="V538" s="100">
        <v>0</v>
      </c>
      <c r="W538" s="100">
        <v>0</v>
      </c>
    </row>
    <row r="539" ht="15.6" spans="2:23">
      <c r="B539" s="80" t="s">
        <v>4660</v>
      </c>
      <c r="G539" s="99">
        <v>0</v>
      </c>
      <c r="H539" s="99">
        <v>0</v>
      </c>
      <c r="I539" s="99">
        <v>0</v>
      </c>
      <c r="J539"/>
      <c r="K539"/>
      <c r="L539"/>
      <c r="Q539" s="80" t="s">
        <v>638</v>
      </c>
      <c r="R539" s="80">
        <v>0</v>
      </c>
      <c r="S539" s="80" t="s">
        <v>1281</v>
      </c>
      <c r="T539" s="100">
        <v>0.2</v>
      </c>
      <c r="U539" s="100">
        <v>0</v>
      </c>
      <c r="V539" s="100">
        <v>0</v>
      </c>
      <c r="W539" s="100">
        <v>0</v>
      </c>
    </row>
    <row r="540" ht="15.6" spans="2:23">
      <c r="B540" s="80" t="s">
        <v>398</v>
      </c>
      <c r="C540" s="80" t="s">
        <v>399</v>
      </c>
      <c r="D540" s="80">
        <v>0</v>
      </c>
      <c r="E540" s="80" t="s">
        <v>1178</v>
      </c>
      <c r="F540" s="80" t="s">
        <v>620</v>
      </c>
      <c r="G540" s="99">
        <v>0</v>
      </c>
      <c r="H540" s="99">
        <v>0</v>
      </c>
      <c r="I540" s="99">
        <v>0</v>
      </c>
      <c r="J540"/>
      <c r="K540"/>
      <c r="L540"/>
      <c r="Q540" s="80" t="s">
        <v>639</v>
      </c>
      <c r="R540" s="80">
        <v>0</v>
      </c>
      <c r="S540" s="80" t="s">
        <v>1281</v>
      </c>
      <c r="T540" s="100">
        <v>0.2</v>
      </c>
      <c r="U540" s="100">
        <v>0</v>
      </c>
      <c r="V540" s="100">
        <v>0</v>
      </c>
      <c r="W540" s="100">
        <v>0</v>
      </c>
    </row>
    <row r="541" ht="15.6" spans="2:23">
      <c r="B541" s="80" t="s">
        <v>4661</v>
      </c>
      <c r="G541" s="99">
        <v>0</v>
      </c>
      <c r="H541" s="99">
        <v>0</v>
      </c>
      <c r="I541" s="99">
        <v>0</v>
      </c>
      <c r="J541"/>
      <c r="K541"/>
      <c r="L541"/>
      <c r="M541" s="80" t="s">
        <v>333</v>
      </c>
      <c r="N541" s="80" t="s">
        <v>334</v>
      </c>
      <c r="O541" s="80" t="s">
        <v>3040</v>
      </c>
      <c r="P541" s="80" t="s">
        <v>3976</v>
      </c>
      <c r="Q541" s="80" t="s">
        <v>635</v>
      </c>
      <c r="R541" s="80">
        <v>0</v>
      </c>
      <c r="S541" s="80" t="s">
        <v>1281</v>
      </c>
      <c r="T541" s="100">
        <v>2.25</v>
      </c>
      <c r="U541" s="100">
        <v>0</v>
      </c>
      <c r="V541" s="100">
        <v>0</v>
      </c>
      <c r="W541" s="100">
        <v>0</v>
      </c>
    </row>
    <row r="542" ht="15.6" spans="2:23">
      <c r="B542" s="80" t="s">
        <v>400</v>
      </c>
      <c r="C542" s="80" t="s">
        <v>401</v>
      </c>
      <c r="D542" s="80">
        <v>0</v>
      </c>
      <c r="E542" s="80" t="s">
        <v>1178</v>
      </c>
      <c r="F542" s="80" t="s">
        <v>622</v>
      </c>
      <c r="G542" s="99">
        <v>0</v>
      </c>
      <c r="H542" s="99">
        <v>0</v>
      </c>
      <c r="I542" s="99">
        <v>0</v>
      </c>
      <c r="J542"/>
      <c r="K542"/>
      <c r="L542"/>
      <c r="O542" s="80" t="s">
        <v>3041</v>
      </c>
      <c r="P542" s="80" t="s">
        <v>3977</v>
      </c>
      <c r="Q542" s="80" t="s">
        <v>635</v>
      </c>
      <c r="R542" s="80">
        <v>0</v>
      </c>
      <c r="S542" s="80" t="s">
        <v>1281</v>
      </c>
      <c r="T542" s="100">
        <v>2.25</v>
      </c>
      <c r="U542" s="100">
        <v>0</v>
      </c>
      <c r="V542" s="100">
        <v>0</v>
      </c>
      <c r="W542" s="100">
        <v>0</v>
      </c>
    </row>
    <row r="543" ht="15.6" spans="2:23">
      <c r="B543" s="80" t="s">
        <v>4662</v>
      </c>
      <c r="G543" s="99">
        <v>0</v>
      </c>
      <c r="H543" s="99">
        <v>0</v>
      </c>
      <c r="I543" s="99">
        <v>0</v>
      </c>
      <c r="J543"/>
      <c r="K543"/>
      <c r="L543"/>
      <c r="O543" s="80" t="s">
        <v>3042</v>
      </c>
      <c r="P543" s="80" t="s">
        <v>3978</v>
      </c>
      <c r="Q543" s="80" t="s">
        <v>652</v>
      </c>
      <c r="R543" s="80">
        <v>0</v>
      </c>
      <c r="S543" s="80" t="s">
        <v>1281</v>
      </c>
      <c r="T543" s="100">
        <v>0.5</v>
      </c>
      <c r="U543" s="100">
        <v>0</v>
      </c>
      <c r="V543" s="100">
        <v>0</v>
      </c>
      <c r="W543" s="100">
        <v>0</v>
      </c>
    </row>
    <row r="544" ht="15.6" spans="2:23">
      <c r="B544" s="80" t="s">
        <v>402</v>
      </c>
      <c r="C544" s="80" t="s">
        <v>403</v>
      </c>
      <c r="D544" s="80">
        <v>0</v>
      </c>
      <c r="E544" s="80" t="s">
        <v>1220</v>
      </c>
      <c r="F544" s="80" t="s">
        <v>620</v>
      </c>
      <c r="G544" s="99">
        <v>0</v>
      </c>
      <c r="H544" s="99">
        <v>0</v>
      </c>
      <c r="I544" s="99">
        <v>0</v>
      </c>
      <c r="J544"/>
      <c r="K544"/>
      <c r="L544"/>
      <c r="Q544" s="80" t="s">
        <v>638</v>
      </c>
      <c r="R544" s="80">
        <v>0</v>
      </c>
      <c r="S544" s="80" t="s">
        <v>1281</v>
      </c>
      <c r="T544" s="100">
        <v>0.75</v>
      </c>
      <c r="U544" s="100">
        <v>0</v>
      </c>
      <c r="V544" s="100">
        <v>0</v>
      </c>
      <c r="W544" s="100">
        <v>0</v>
      </c>
    </row>
    <row r="545" ht="15.6" spans="2:23">
      <c r="B545" s="80" t="s">
        <v>4663</v>
      </c>
      <c r="G545" s="99">
        <v>0</v>
      </c>
      <c r="H545" s="99">
        <v>0</v>
      </c>
      <c r="I545" s="99">
        <v>0</v>
      </c>
      <c r="J545"/>
      <c r="K545"/>
      <c r="L545"/>
      <c r="Q545" s="80" t="s">
        <v>639</v>
      </c>
      <c r="R545" s="80">
        <v>0</v>
      </c>
      <c r="S545" s="80" t="s">
        <v>1281</v>
      </c>
      <c r="T545" s="100">
        <v>0.375</v>
      </c>
      <c r="U545" s="100">
        <v>0</v>
      </c>
      <c r="V545" s="100">
        <v>0</v>
      </c>
      <c r="W545" s="100">
        <v>0</v>
      </c>
    </row>
    <row r="546" ht="15.6" spans="2:23">
      <c r="B546" s="80" t="s">
        <v>405</v>
      </c>
      <c r="C546" s="80" t="s">
        <v>4664</v>
      </c>
      <c r="D546" s="80">
        <v>0</v>
      </c>
      <c r="E546" s="80" t="s">
        <v>1178</v>
      </c>
      <c r="F546" s="80" t="s">
        <v>613</v>
      </c>
      <c r="G546" s="99">
        <v>0</v>
      </c>
      <c r="H546" s="99">
        <v>0</v>
      </c>
      <c r="I546" s="99">
        <v>0</v>
      </c>
      <c r="J546"/>
      <c r="K546"/>
      <c r="L546"/>
      <c r="O546" s="80" t="s">
        <v>3043</v>
      </c>
      <c r="P546" s="80" t="s">
        <v>3979</v>
      </c>
      <c r="Q546" s="80" t="s">
        <v>635</v>
      </c>
      <c r="R546" s="80">
        <v>0</v>
      </c>
      <c r="S546" s="80" t="s">
        <v>1281</v>
      </c>
      <c r="T546" s="100">
        <v>0.75</v>
      </c>
      <c r="U546" s="100">
        <v>0</v>
      </c>
      <c r="V546" s="100">
        <v>0</v>
      </c>
      <c r="W546" s="100">
        <v>0</v>
      </c>
    </row>
    <row r="547" ht="15.6" spans="2:23">
      <c r="F547" s="80" t="s">
        <v>615</v>
      </c>
      <c r="G547" s="99">
        <v>0</v>
      </c>
      <c r="H547" s="99">
        <v>0</v>
      </c>
      <c r="I547" s="99">
        <v>0</v>
      </c>
      <c r="J547"/>
      <c r="K547"/>
      <c r="L547"/>
      <c r="O547" s="80" t="s">
        <v>3044</v>
      </c>
      <c r="P547" s="80" t="s">
        <v>3980</v>
      </c>
      <c r="Q547" s="80" t="s">
        <v>635</v>
      </c>
      <c r="R547" s="80">
        <v>0</v>
      </c>
      <c r="S547" s="80" t="s">
        <v>1281</v>
      </c>
      <c r="T547" s="100">
        <v>0.75</v>
      </c>
      <c r="U547" s="100">
        <v>0</v>
      </c>
      <c r="V547" s="100">
        <v>0</v>
      </c>
      <c r="W547" s="100">
        <v>0</v>
      </c>
    </row>
    <row r="548" ht="15.6" spans="2:23">
      <c r="F548" s="80" t="s">
        <v>617</v>
      </c>
      <c r="G548" s="99">
        <v>0</v>
      </c>
      <c r="H548" s="99">
        <v>0</v>
      </c>
      <c r="I548" s="99">
        <v>0</v>
      </c>
      <c r="J548"/>
      <c r="K548"/>
      <c r="L548"/>
      <c r="O548" s="80" t="s">
        <v>3045</v>
      </c>
      <c r="P548" s="80" t="s">
        <v>3981</v>
      </c>
      <c r="Q548" s="80" t="s">
        <v>652</v>
      </c>
      <c r="R548" s="80">
        <v>0</v>
      </c>
      <c r="S548" s="80" t="s">
        <v>1281</v>
      </c>
      <c r="T548" s="100">
        <v>0.3</v>
      </c>
      <c r="U548" s="100">
        <v>0</v>
      </c>
      <c r="V548" s="100">
        <v>0</v>
      </c>
      <c r="W548" s="100">
        <v>0</v>
      </c>
    </row>
    <row r="549" ht="15.6" spans="2:23">
      <c r="B549" s="80" t="s">
        <v>4665</v>
      </c>
      <c r="G549" s="99">
        <v>0</v>
      </c>
      <c r="H549" s="99">
        <v>0</v>
      </c>
      <c r="I549" s="99">
        <v>0</v>
      </c>
      <c r="J549"/>
      <c r="K549"/>
      <c r="L549"/>
      <c r="Q549" s="80" t="s">
        <v>638</v>
      </c>
      <c r="R549" s="80">
        <v>0</v>
      </c>
      <c r="S549" s="80" t="s">
        <v>1281</v>
      </c>
      <c r="T549" s="100">
        <v>0.375</v>
      </c>
      <c r="U549" s="100">
        <v>0</v>
      </c>
      <c r="V549" s="100">
        <v>0</v>
      </c>
      <c r="W549" s="100">
        <v>0</v>
      </c>
    </row>
    <row r="550" ht="15.6" spans="2:23">
      <c r="B550" s="80" t="s">
        <v>407</v>
      </c>
      <c r="C550" s="80" t="s">
        <v>408</v>
      </c>
      <c r="D550" s="80">
        <v>0</v>
      </c>
      <c r="E550" s="80" t="s">
        <v>1176</v>
      </c>
      <c r="F550" s="80" t="s">
        <v>652</v>
      </c>
      <c r="G550" s="99">
        <v>0</v>
      </c>
      <c r="H550" s="99">
        <v>0</v>
      </c>
      <c r="I550" s="99">
        <v>0</v>
      </c>
      <c r="J550"/>
      <c r="K550"/>
      <c r="L550"/>
      <c r="Q550" s="80" t="s">
        <v>639</v>
      </c>
      <c r="R550" s="80">
        <v>0</v>
      </c>
      <c r="S550" s="80" t="s">
        <v>1281</v>
      </c>
      <c r="T550" s="100">
        <v>0.225</v>
      </c>
      <c r="U550" s="100">
        <v>0</v>
      </c>
      <c r="V550" s="100">
        <v>0</v>
      </c>
      <c r="W550" s="100">
        <v>0</v>
      </c>
    </row>
    <row r="551" ht="15.6" spans="2:23">
      <c r="F551" s="80" t="s">
        <v>613</v>
      </c>
      <c r="G551" s="99">
        <v>0</v>
      </c>
      <c r="H551" s="99">
        <v>0</v>
      </c>
      <c r="I551" s="99">
        <v>0</v>
      </c>
      <c r="J551"/>
      <c r="K551"/>
      <c r="L551"/>
      <c r="M551" s="80" t="s">
        <v>335</v>
      </c>
      <c r="N551" s="80" t="s">
        <v>336</v>
      </c>
      <c r="O551" s="80" t="s">
        <v>3046</v>
      </c>
      <c r="P551" s="80" t="s">
        <v>3982</v>
      </c>
      <c r="Q551" s="80" t="s">
        <v>635</v>
      </c>
      <c r="R551" s="80">
        <v>0</v>
      </c>
      <c r="S551" s="80" t="s">
        <v>1178</v>
      </c>
      <c r="T551" s="100">
        <v>0</v>
      </c>
      <c r="U551" s="100">
        <v>0</v>
      </c>
      <c r="V551" s="100">
        <v>0</v>
      </c>
      <c r="W551" s="100">
        <v>0</v>
      </c>
    </row>
    <row r="552" ht="15.6" spans="2:23">
      <c r="F552" s="80" t="s">
        <v>615</v>
      </c>
      <c r="G552" s="99">
        <v>0</v>
      </c>
      <c r="H552" s="99">
        <v>0</v>
      </c>
      <c r="I552" s="99">
        <v>0</v>
      </c>
      <c r="J552"/>
      <c r="K552"/>
      <c r="L552"/>
      <c r="O552" s="80" t="s">
        <v>1520</v>
      </c>
      <c r="P552" s="80" t="s">
        <v>3983</v>
      </c>
      <c r="Q552" s="80" t="s">
        <v>635</v>
      </c>
      <c r="R552" s="80">
        <v>0</v>
      </c>
      <c r="S552" s="80" t="s">
        <v>1178</v>
      </c>
      <c r="T552" s="100">
        <v>12</v>
      </c>
      <c r="U552" s="100">
        <v>0</v>
      </c>
      <c r="V552" s="100">
        <v>0</v>
      </c>
      <c r="W552" s="100">
        <v>0</v>
      </c>
    </row>
    <row r="553" ht="15.6" spans="2:23">
      <c r="F553" s="80" t="s">
        <v>617</v>
      </c>
      <c r="G553" s="99">
        <v>0</v>
      </c>
      <c r="H553" s="99">
        <v>0</v>
      </c>
      <c r="I553" s="99">
        <v>0</v>
      </c>
      <c r="J553"/>
      <c r="K553"/>
      <c r="L553"/>
      <c r="O553" s="80" t="s">
        <v>1521</v>
      </c>
      <c r="P553" s="80" t="s">
        <v>3984</v>
      </c>
      <c r="Q553" s="80" t="s">
        <v>635</v>
      </c>
      <c r="R553" s="80">
        <v>0</v>
      </c>
      <c r="S553" s="80" t="s">
        <v>1178</v>
      </c>
      <c r="T553" s="100">
        <v>12</v>
      </c>
      <c r="U553" s="100">
        <v>0</v>
      </c>
      <c r="V553" s="100">
        <v>0</v>
      </c>
      <c r="W553" s="100">
        <v>0</v>
      </c>
    </row>
    <row r="554" ht="15.6" spans="2:23">
      <c r="F554" s="80" t="s">
        <v>639</v>
      </c>
      <c r="G554" s="99">
        <v>0</v>
      </c>
      <c r="H554" s="99">
        <v>0</v>
      </c>
      <c r="I554" s="99">
        <v>0</v>
      </c>
      <c r="J554"/>
      <c r="K554"/>
      <c r="L554"/>
      <c r="O554" s="80" t="s">
        <v>1522</v>
      </c>
      <c r="P554" s="80" t="s">
        <v>3985</v>
      </c>
      <c r="Q554" s="80" t="s">
        <v>635</v>
      </c>
      <c r="R554" s="80">
        <v>0</v>
      </c>
      <c r="S554" s="80" t="s">
        <v>1178</v>
      </c>
      <c r="T554" s="100">
        <v>3</v>
      </c>
      <c r="U554" s="100">
        <v>0</v>
      </c>
      <c r="V554" s="100">
        <v>0</v>
      </c>
      <c r="W554" s="100">
        <v>0</v>
      </c>
    </row>
    <row r="555" ht="15.6" spans="2:23">
      <c r="B555" s="80" t="s">
        <v>4666</v>
      </c>
      <c r="G555" s="99">
        <v>0</v>
      </c>
      <c r="H555" s="99">
        <v>0</v>
      </c>
      <c r="I555" s="99">
        <v>0</v>
      </c>
      <c r="J555"/>
      <c r="K555"/>
      <c r="L555"/>
      <c r="O555" s="80" t="s">
        <v>1523</v>
      </c>
      <c r="P555" s="80" t="s">
        <v>4667</v>
      </c>
      <c r="Q555" s="80" t="s">
        <v>635</v>
      </c>
      <c r="R555" s="80">
        <v>0</v>
      </c>
      <c r="S555" s="80" t="s">
        <v>1178</v>
      </c>
      <c r="T555" s="100">
        <v>3</v>
      </c>
      <c r="U555" s="100">
        <v>0</v>
      </c>
      <c r="V555" s="100">
        <v>0</v>
      </c>
      <c r="W555" s="100">
        <v>0</v>
      </c>
    </row>
    <row r="556" ht="15.6" spans="2:23">
      <c r="B556" s="80" t="s">
        <v>409</v>
      </c>
      <c r="C556" s="80" t="s">
        <v>410</v>
      </c>
      <c r="D556" s="80">
        <v>0</v>
      </c>
      <c r="E556" s="80" t="s">
        <v>1281</v>
      </c>
      <c r="F556" s="80" t="s">
        <v>615</v>
      </c>
      <c r="G556" s="99">
        <v>0</v>
      </c>
      <c r="H556" s="99">
        <v>0</v>
      </c>
      <c r="I556" s="99">
        <v>0</v>
      </c>
      <c r="J556"/>
      <c r="K556"/>
      <c r="L556"/>
      <c r="O556" s="80" t="s">
        <v>1524</v>
      </c>
      <c r="P556" s="80" t="s">
        <v>3987</v>
      </c>
      <c r="Q556" s="80" t="s">
        <v>654</v>
      </c>
      <c r="R556" s="80">
        <v>0</v>
      </c>
      <c r="S556" s="80" t="s">
        <v>1178</v>
      </c>
      <c r="T556" s="100">
        <v>1</v>
      </c>
      <c r="U556" s="100">
        <v>0</v>
      </c>
      <c r="V556" s="100">
        <v>0</v>
      </c>
      <c r="W556" s="100">
        <v>0</v>
      </c>
    </row>
    <row r="557" ht="15.6" spans="2:23">
      <c r="B557" s="80" t="s">
        <v>4668</v>
      </c>
      <c r="G557" s="99">
        <v>0</v>
      </c>
      <c r="H557" s="99">
        <v>0</v>
      </c>
      <c r="I557" s="99">
        <v>0</v>
      </c>
      <c r="J557"/>
      <c r="K557"/>
      <c r="L557"/>
      <c r="Q557" s="80" t="s">
        <v>615</v>
      </c>
      <c r="R557" s="80">
        <v>0</v>
      </c>
      <c r="S557" s="80" t="s">
        <v>1178</v>
      </c>
      <c r="T557" s="100">
        <v>4</v>
      </c>
      <c r="U557" s="100">
        <v>0</v>
      </c>
      <c r="V557" s="100">
        <v>0</v>
      </c>
      <c r="W557" s="100">
        <v>0</v>
      </c>
    </row>
    <row r="558" ht="15.6" spans="2:23">
      <c r="B558" s="80" t="s">
        <v>411</v>
      </c>
      <c r="C558" s="80" t="s">
        <v>412</v>
      </c>
      <c r="D558" s="80">
        <v>0</v>
      </c>
      <c r="E558" s="80" t="s">
        <v>1176</v>
      </c>
      <c r="F558" s="80" t="s">
        <v>613</v>
      </c>
      <c r="G558" s="99">
        <v>0</v>
      </c>
      <c r="H558" s="99">
        <v>0</v>
      </c>
      <c r="I558" s="99">
        <v>0</v>
      </c>
      <c r="J558"/>
      <c r="K558"/>
      <c r="L558"/>
      <c r="Q558" s="80" t="s">
        <v>638</v>
      </c>
      <c r="R558" s="80">
        <v>0</v>
      </c>
      <c r="S558" s="80" t="s">
        <v>1178</v>
      </c>
      <c r="T558" s="100">
        <v>6</v>
      </c>
      <c r="U558" s="100">
        <v>0</v>
      </c>
      <c r="V558" s="100">
        <v>0</v>
      </c>
      <c r="W558" s="100">
        <v>0</v>
      </c>
    </row>
    <row r="559" ht="15.6" spans="2:23">
      <c r="F559" s="80" t="s">
        <v>615</v>
      </c>
      <c r="G559" s="99">
        <v>0</v>
      </c>
      <c r="H559" s="99">
        <v>0</v>
      </c>
      <c r="I559" s="99">
        <v>0</v>
      </c>
      <c r="J559"/>
      <c r="K559"/>
      <c r="L559"/>
      <c r="Q559" s="80" t="s">
        <v>639</v>
      </c>
      <c r="R559" s="80">
        <v>0</v>
      </c>
      <c r="S559" s="80" t="s">
        <v>1178</v>
      </c>
      <c r="T559" s="100">
        <v>12</v>
      </c>
      <c r="U559" s="100">
        <v>0</v>
      </c>
      <c r="V559" s="100">
        <v>0</v>
      </c>
      <c r="W559" s="100">
        <v>0</v>
      </c>
    </row>
    <row r="560" ht="15.6" spans="2:23">
      <c r="B560" s="80" t="s">
        <v>4669</v>
      </c>
      <c r="G560" s="99">
        <v>0</v>
      </c>
      <c r="H560" s="99">
        <v>0</v>
      </c>
      <c r="I560" s="99">
        <v>0</v>
      </c>
      <c r="J560"/>
      <c r="K560"/>
      <c r="L560"/>
      <c r="O560" s="80" t="s">
        <v>1525</v>
      </c>
      <c r="P560" s="80" t="s">
        <v>4670</v>
      </c>
      <c r="Q560" s="80" t="s">
        <v>639</v>
      </c>
      <c r="R560" s="80">
        <v>0</v>
      </c>
      <c r="S560" s="80" t="s">
        <v>1178</v>
      </c>
      <c r="T560" s="100">
        <v>1.5</v>
      </c>
      <c r="U560" s="100">
        <v>0</v>
      </c>
      <c r="V560" s="100">
        <v>0</v>
      </c>
      <c r="W560" s="100">
        <v>0</v>
      </c>
    </row>
    <row r="561" ht="15.6" spans="2:23">
      <c r="B561" s="80" t="s">
        <v>413</v>
      </c>
      <c r="C561" s="80" t="s">
        <v>414</v>
      </c>
      <c r="D561" s="80">
        <v>0</v>
      </c>
      <c r="E561" s="80" t="s">
        <v>1176</v>
      </c>
      <c r="F561" s="80" t="s">
        <v>599</v>
      </c>
      <c r="G561" s="99">
        <v>0</v>
      </c>
      <c r="H561" s="99">
        <v>0</v>
      </c>
      <c r="I561" s="99">
        <v>0</v>
      </c>
      <c r="J561"/>
      <c r="K561"/>
      <c r="L561"/>
      <c r="M561" s="80" t="s">
        <v>337</v>
      </c>
      <c r="N561" s="80" t="s">
        <v>338</v>
      </c>
      <c r="O561" s="80" t="s">
        <v>1526</v>
      </c>
      <c r="P561" s="80" t="s">
        <v>3989</v>
      </c>
      <c r="Q561" s="80" t="s">
        <v>631</v>
      </c>
      <c r="R561" s="80">
        <v>0</v>
      </c>
      <c r="S561" s="80" t="s">
        <v>1178</v>
      </c>
      <c r="T561" s="100">
        <v>12</v>
      </c>
      <c r="U561" s="100">
        <v>0</v>
      </c>
      <c r="V561" s="100">
        <v>0</v>
      </c>
      <c r="W561" s="100">
        <v>0</v>
      </c>
    </row>
    <row r="562" ht="15.6" spans="2:23">
      <c r="B562" s="80" t="s">
        <v>4671</v>
      </c>
      <c r="G562" s="99">
        <v>0</v>
      </c>
      <c r="H562" s="99">
        <v>0</v>
      </c>
      <c r="I562" s="99">
        <v>0</v>
      </c>
      <c r="J562"/>
      <c r="K562"/>
      <c r="L562"/>
      <c r="Q562" s="80" t="s">
        <v>633</v>
      </c>
      <c r="R562" s="80">
        <v>0</v>
      </c>
      <c r="S562" s="80" t="s">
        <v>1178</v>
      </c>
      <c r="T562" s="100">
        <v>3</v>
      </c>
      <c r="U562" s="100">
        <v>0</v>
      </c>
      <c r="V562" s="100">
        <v>0</v>
      </c>
      <c r="W562" s="100">
        <v>0</v>
      </c>
    </row>
    <row r="563" ht="15.6" spans="2:23">
      <c r="B563" s="80" t="s">
        <v>415</v>
      </c>
      <c r="C563" s="80" t="s">
        <v>416</v>
      </c>
      <c r="D563" s="80">
        <v>0</v>
      </c>
      <c r="E563" s="80" t="s">
        <v>1176</v>
      </c>
      <c r="F563" s="80" t="s">
        <v>599</v>
      </c>
      <c r="G563" s="99">
        <v>0</v>
      </c>
      <c r="H563" s="99">
        <v>0</v>
      </c>
      <c r="I563" s="99">
        <v>0</v>
      </c>
      <c r="J563"/>
      <c r="K563"/>
      <c r="L563"/>
      <c r="O563" s="80" t="s">
        <v>3048</v>
      </c>
      <c r="P563" s="80" t="s">
        <v>3802</v>
      </c>
      <c r="Q563" s="80" t="s">
        <v>631</v>
      </c>
      <c r="R563" s="80">
        <v>0</v>
      </c>
      <c r="S563" s="80" t="s">
        <v>1178</v>
      </c>
      <c r="T563" s="100">
        <v>6</v>
      </c>
      <c r="U563" s="100">
        <v>0</v>
      </c>
      <c r="V563" s="100">
        <v>0</v>
      </c>
      <c r="W563" s="100">
        <v>0</v>
      </c>
    </row>
    <row r="564" ht="15.6" spans="2:23">
      <c r="B564" s="80" t="s">
        <v>4672</v>
      </c>
      <c r="G564" s="99">
        <v>0</v>
      </c>
      <c r="H564" s="99">
        <v>0</v>
      </c>
      <c r="I564" s="99">
        <v>0</v>
      </c>
      <c r="J564"/>
      <c r="K564"/>
      <c r="L564"/>
      <c r="Q564" s="80" t="s">
        <v>633</v>
      </c>
      <c r="R564" s="80">
        <v>0</v>
      </c>
      <c r="S564" s="80" t="s">
        <v>1178</v>
      </c>
      <c r="T564" s="100">
        <v>1.5</v>
      </c>
      <c r="U564" s="100">
        <v>0</v>
      </c>
      <c r="V564" s="100">
        <v>0</v>
      </c>
      <c r="W564" s="100">
        <v>0</v>
      </c>
    </row>
    <row r="565" ht="15.6" spans="2:23">
      <c r="B565" s="80" t="s">
        <v>417</v>
      </c>
      <c r="C565" s="80" t="s">
        <v>418</v>
      </c>
      <c r="D565" s="80">
        <v>0</v>
      </c>
      <c r="E565" s="80" t="s">
        <v>1176</v>
      </c>
      <c r="F565" s="80" t="s">
        <v>599</v>
      </c>
      <c r="G565" s="99">
        <v>0</v>
      </c>
      <c r="H565" s="99">
        <v>0</v>
      </c>
      <c r="I565" s="99">
        <v>0</v>
      </c>
      <c r="J565"/>
      <c r="K565"/>
      <c r="L565"/>
      <c r="O565" s="80" t="s">
        <v>3049</v>
      </c>
      <c r="P565" s="80" t="s">
        <v>3990</v>
      </c>
      <c r="Q565" s="80" t="s">
        <v>631</v>
      </c>
      <c r="R565" s="80">
        <v>0</v>
      </c>
      <c r="S565" s="80" t="s">
        <v>1178</v>
      </c>
      <c r="T565" s="100">
        <v>3</v>
      </c>
      <c r="U565" s="100">
        <v>0</v>
      </c>
      <c r="V565" s="100">
        <v>0</v>
      </c>
      <c r="W565" s="100">
        <v>0</v>
      </c>
    </row>
    <row r="566" ht="15.6" spans="2:23">
      <c r="B566" s="80" t="s">
        <v>4673</v>
      </c>
      <c r="G566" s="99">
        <v>0</v>
      </c>
      <c r="H566" s="99">
        <v>0</v>
      </c>
      <c r="I566" s="99">
        <v>0</v>
      </c>
      <c r="J566"/>
      <c r="K566"/>
      <c r="L566"/>
      <c r="Q566" s="80" t="s">
        <v>633</v>
      </c>
      <c r="R566" s="80">
        <v>0</v>
      </c>
      <c r="S566" s="80" t="s">
        <v>1178</v>
      </c>
      <c r="T566" s="100">
        <v>1.5</v>
      </c>
      <c r="U566" s="100">
        <v>0</v>
      </c>
      <c r="V566" s="100">
        <v>0</v>
      </c>
      <c r="W566" s="100">
        <v>0</v>
      </c>
    </row>
    <row r="567" ht="15.6" spans="2:23">
      <c r="B567" s="80" t="s">
        <v>419</v>
      </c>
      <c r="C567" s="80" t="s">
        <v>420</v>
      </c>
      <c r="D567" s="80">
        <v>0</v>
      </c>
      <c r="E567" s="80" t="s">
        <v>1178</v>
      </c>
      <c r="F567" s="80" t="s">
        <v>595</v>
      </c>
      <c r="G567" s="99">
        <v>0</v>
      </c>
      <c r="H567" s="99">
        <v>0</v>
      </c>
      <c r="I567" s="99">
        <v>0</v>
      </c>
      <c r="J567"/>
      <c r="K567"/>
      <c r="L567"/>
      <c r="O567" s="80" t="s">
        <v>3050</v>
      </c>
      <c r="P567" s="80" t="s">
        <v>3991</v>
      </c>
      <c r="Q567" s="80" t="s">
        <v>633</v>
      </c>
      <c r="R567" s="80">
        <v>0</v>
      </c>
      <c r="S567" s="80" t="s">
        <v>1178</v>
      </c>
      <c r="T567" s="100">
        <v>0.75</v>
      </c>
      <c r="U567" s="100">
        <v>0</v>
      </c>
      <c r="V567" s="100">
        <v>0</v>
      </c>
      <c r="W567" s="100">
        <v>0</v>
      </c>
    </row>
    <row r="568" ht="15.6" spans="2:23">
      <c r="F568" s="80" t="s">
        <v>599</v>
      </c>
      <c r="G568" s="99">
        <v>0</v>
      </c>
      <c r="H568" s="99">
        <v>0</v>
      </c>
      <c r="I568" s="99">
        <v>0</v>
      </c>
      <c r="J568"/>
      <c r="K568"/>
      <c r="L568"/>
      <c r="O568" s="80" t="s">
        <v>1527</v>
      </c>
      <c r="P568" s="80" t="s">
        <v>4674</v>
      </c>
      <c r="Q568" s="80" t="s">
        <v>639</v>
      </c>
      <c r="R568" s="80">
        <v>0</v>
      </c>
      <c r="S568" s="80" t="s">
        <v>1178</v>
      </c>
      <c r="T568" s="100">
        <v>30</v>
      </c>
      <c r="U568" s="100">
        <v>0</v>
      </c>
      <c r="V568" s="100">
        <v>0</v>
      </c>
      <c r="W568" s="100">
        <v>0</v>
      </c>
    </row>
    <row r="569" ht="15.6" spans="2:23">
      <c r="B569" s="80" t="s">
        <v>4675</v>
      </c>
      <c r="G569" s="99">
        <v>0</v>
      </c>
      <c r="H569" s="99">
        <v>0</v>
      </c>
      <c r="I569" s="99">
        <v>0</v>
      </c>
      <c r="J569"/>
      <c r="K569"/>
      <c r="L569"/>
      <c r="O569" s="80" t="s">
        <v>3051</v>
      </c>
      <c r="P569" s="80" t="s">
        <v>3993</v>
      </c>
      <c r="Q569" s="80" t="s">
        <v>635</v>
      </c>
      <c r="R569" s="80">
        <v>0</v>
      </c>
      <c r="S569" s="80" t="s">
        <v>1178</v>
      </c>
      <c r="T569" s="100">
        <v>0</v>
      </c>
      <c r="U569" s="100">
        <v>0</v>
      </c>
      <c r="V569" s="100">
        <v>0</v>
      </c>
      <c r="W569" s="100">
        <v>0</v>
      </c>
    </row>
    <row r="570" ht="15.6" spans="2:23">
      <c r="B570" s="80" t="s">
        <v>421</v>
      </c>
      <c r="C570" s="80" t="s">
        <v>422</v>
      </c>
      <c r="D570" s="80">
        <v>0</v>
      </c>
      <c r="E570" s="80" t="s">
        <v>1178</v>
      </c>
      <c r="F570" s="80" t="s">
        <v>595</v>
      </c>
      <c r="G570" s="99">
        <v>0</v>
      </c>
      <c r="H570" s="99">
        <v>0</v>
      </c>
      <c r="I570" s="99">
        <v>0</v>
      </c>
      <c r="J570"/>
      <c r="K570"/>
      <c r="L570"/>
      <c r="O570" s="80" t="s">
        <v>1528</v>
      </c>
      <c r="P570" s="80" t="s">
        <v>3994</v>
      </c>
      <c r="Q570" s="80" t="s">
        <v>635</v>
      </c>
      <c r="R570" s="80">
        <v>0</v>
      </c>
      <c r="S570" s="80" t="s">
        <v>1178</v>
      </c>
      <c r="T570" s="100">
        <v>12</v>
      </c>
      <c r="U570" s="100">
        <v>0</v>
      </c>
      <c r="V570" s="100">
        <v>0</v>
      </c>
      <c r="W570" s="100">
        <v>0</v>
      </c>
    </row>
    <row r="571" ht="15.6" spans="2:23">
      <c r="F571" s="80" t="s">
        <v>599</v>
      </c>
      <c r="G571" s="99">
        <v>0</v>
      </c>
      <c r="H571" s="99">
        <v>0</v>
      </c>
      <c r="I571" s="99">
        <v>0</v>
      </c>
      <c r="J571"/>
      <c r="K571"/>
      <c r="L571"/>
      <c r="O571" s="80" t="s">
        <v>1529</v>
      </c>
      <c r="P571" s="80" t="s">
        <v>3995</v>
      </c>
      <c r="Q571" s="80" t="s">
        <v>635</v>
      </c>
      <c r="R571" s="80">
        <v>0</v>
      </c>
      <c r="S571" s="80" t="s">
        <v>1178</v>
      </c>
      <c r="T571" s="100">
        <v>18</v>
      </c>
      <c r="U571" s="100">
        <v>0</v>
      </c>
      <c r="V571" s="100">
        <v>0</v>
      </c>
      <c r="W571" s="100">
        <v>0</v>
      </c>
    </row>
    <row r="572" ht="15.6" spans="2:23">
      <c r="B572" s="80" t="s">
        <v>4676</v>
      </c>
      <c r="G572" s="99">
        <v>0</v>
      </c>
      <c r="H572" s="99">
        <v>0</v>
      </c>
      <c r="I572" s="99">
        <v>0</v>
      </c>
      <c r="J572"/>
      <c r="K572"/>
      <c r="L572"/>
      <c r="O572" s="80" t="s">
        <v>1530</v>
      </c>
      <c r="P572" s="80" t="s">
        <v>3996</v>
      </c>
      <c r="Q572" s="80" t="s">
        <v>635</v>
      </c>
      <c r="R572" s="80">
        <v>0</v>
      </c>
      <c r="S572" s="80" t="s">
        <v>1178</v>
      </c>
      <c r="T572" s="100">
        <v>6</v>
      </c>
      <c r="U572" s="100">
        <v>0</v>
      </c>
      <c r="V572" s="100">
        <v>0</v>
      </c>
      <c r="W572" s="100">
        <v>0</v>
      </c>
    </row>
    <row r="573" ht="15.6" spans="2:23">
      <c r="B573" s="80" t="s">
        <v>423</v>
      </c>
      <c r="C573" s="80" t="s">
        <v>424</v>
      </c>
      <c r="D573" s="80">
        <v>0</v>
      </c>
      <c r="E573" s="80" t="s">
        <v>1178</v>
      </c>
      <c r="F573" s="80" t="s">
        <v>599</v>
      </c>
      <c r="G573" s="99">
        <v>0</v>
      </c>
      <c r="H573" s="99">
        <v>0</v>
      </c>
      <c r="I573" s="99">
        <v>0</v>
      </c>
      <c r="J573"/>
      <c r="K573"/>
      <c r="L573"/>
      <c r="O573" s="80" t="s">
        <v>1531</v>
      </c>
      <c r="P573" s="80" t="s">
        <v>4677</v>
      </c>
      <c r="Q573" s="80" t="s">
        <v>635</v>
      </c>
      <c r="R573" s="80">
        <v>0</v>
      </c>
      <c r="S573" s="80" t="s">
        <v>1178</v>
      </c>
      <c r="T573" s="100">
        <v>6</v>
      </c>
      <c r="U573" s="100">
        <v>0</v>
      </c>
      <c r="V573" s="100">
        <v>0</v>
      </c>
      <c r="W573" s="100">
        <v>0</v>
      </c>
    </row>
    <row r="574" ht="15.6" spans="2:23">
      <c r="B574" s="80" t="s">
        <v>4678</v>
      </c>
      <c r="G574" s="99">
        <v>0</v>
      </c>
      <c r="H574" s="99">
        <v>0</v>
      </c>
      <c r="I574" s="99">
        <v>0</v>
      </c>
      <c r="J574"/>
      <c r="K574"/>
      <c r="L574"/>
      <c r="O574" s="80" t="s">
        <v>1532</v>
      </c>
      <c r="P574" s="80" t="s">
        <v>3998</v>
      </c>
      <c r="Q574" s="80" t="s">
        <v>654</v>
      </c>
      <c r="R574" s="80">
        <v>0</v>
      </c>
      <c r="S574" s="80" t="s">
        <v>1178</v>
      </c>
      <c r="T574" s="100">
        <v>1</v>
      </c>
      <c r="U574" s="100">
        <v>0</v>
      </c>
      <c r="V574" s="100">
        <v>0</v>
      </c>
      <c r="W574" s="100">
        <v>0</v>
      </c>
    </row>
    <row r="575" ht="15.6" spans="2:23">
      <c r="B575" s="80" t="s">
        <v>425</v>
      </c>
      <c r="C575" s="80" t="s">
        <v>426</v>
      </c>
      <c r="D575" s="80">
        <v>0</v>
      </c>
      <c r="E575" s="80" t="s">
        <v>1178</v>
      </c>
      <c r="F575" s="80" t="s">
        <v>595</v>
      </c>
      <c r="G575" s="99">
        <v>0</v>
      </c>
      <c r="H575" s="99">
        <v>0</v>
      </c>
      <c r="I575" s="99">
        <v>0</v>
      </c>
      <c r="J575"/>
      <c r="K575"/>
      <c r="L575"/>
      <c r="Q575" s="80" t="s">
        <v>638</v>
      </c>
      <c r="R575" s="80">
        <v>0</v>
      </c>
      <c r="S575" s="80" t="s">
        <v>1178</v>
      </c>
      <c r="T575" s="100">
        <v>6</v>
      </c>
      <c r="U575" s="100">
        <v>0</v>
      </c>
      <c r="V575" s="100">
        <v>0</v>
      </c>
      <c r="W575" s="100">
        <v>0</v>
      </c>
    </row>
    <row r="576" ht="15.6" spans="2:23">
      <c r="F576" s="80" t="s">
        <v>599</v>
      </c>
      <c r="G576" s="99">
        <v>0</v>
      </c>
      <c r="H576" s="99">
        <v>0</v>
      </c>
      <c r="I576" s="99">
        <v>0</v>
      </c>
      <c r="J576"/>
      <c r="K576"/>
      <c r="L576"/>
      <c r="Q576" s="80" t="s">
        <v>639</v>
      </c>
      <c r="R576" s="80">
        <v>0</v>
      </c>
      <c r="S576" s="80" t="s">
        <v>1178</v>
      </c>
      <c r="T576" s="100">
        <v>12</v>
      </c>
      <c r="U576" s="100">
        <v>0</v>
      </c>
      <c r="V576" s="100">
        <v>0</v>
      </c>
      <c r="W576" s="100">
        <v>0</v>
      </c>
    </row>
    <row r="577" ht="15.6" spans="2:23">
      <c r="B577" s="80" t="s">
        <v>4679</v>
      </c>
      <c r="G577" s="99">
        <v>0</v>
      </c>
      <c r="H577" s="99">
        <v>0</v>
      </c>
      <c r="I577" s="99">
        <v>0</v>
      </c>
      <c r="J577"/>
      <c r="K577"/>
      <c r="L577"/>
      <c r="O577" s="80" t="s">
        <v>1533</v>
      </c>
      <c r="P577" s="80" t="s">
        <v>4680</v>
      </c>
      <c r="Q577" s="80" t="s">
        <v>639</v>
      </c>
      <c r="R577" s="80">
        <v>0</v>
      </c>
      <c r="S577" s="80" t="s">
        <v>1178</v>
      </c>
      <c r="T577" s="100">
        <v>1.5</v>
      </c>
      <c r="U577" s="100">
        <v>0</v>
      </c>
      <c r="V577" s="100">
        <v>0</v>
      </c>
      <c r="W577" s="100">
        <v>0</v>
      </c>
    </row>
    <row r="578" ht="15.6" spans="2:23">
      <c r="B578" s="80" t="s">
        <v>427</v>
      </c>
      <c r="C578" s="80" t="s">
        <v>428</v>
      </c>
      <c r="D578" s="80">
        <v>0</v>
      </c>
      <c r="E578" s="80" t="s">
        <v>1178</v>
      </c>
      <c r="F578" s="80" t="s">
        <v>595</v>
      </c>
      <c r="G578" s="99">
        <v>0</v>
      </c>
      <c r="H578" s="99">
        <v>0</v>
      </c>
      <c r="I578" s="99">
        <v>0</v>
      </c>
      <c r="J578"/>
      <c r="K578"/>
      <c r="L578"/>
      <c r="M578" s="80" t="s">
        <v>339</v>
      </c>
      <c r="N578" s="80" t="s">
        <v>340</v>
      </c>
      <c r="O578" s="80" t="s">
        <v>3052</v>
      </c>
      <c r="P578" s="80" t="s">
        <v>4000</v>
      </c>
      <c r="Q578" s="80" t="s">
        <v>635</v>
      </c>
      <c r="R578" s="80">
        <v>0</v>
      </c>
      <c r="S578" s="80" t="s">
        <v>1178</v>
      </c>
      <c r="T578" s="100">
        <v>0</v>
      </c>
      <c r="U578" s="100">
        <v>0</v>
      </c>
      <c r="V578" s="100">
        <v>0</v>
      </c>
      <c r="W578" s="100">
        <v>0</v>
      </c>
    </row>
    <row r="579" ht="15.6" spans="2:23">
      <c r="F579" s="80" t="s">
        <v>599</v>
      </c>
      <c r="G579" s="99">
        <v>0</v>
      </c>
      <c r="H579" s="99">
        <v>0</v>
      </c>
      <c r="I579" s="99">
        <v>0</v>
      </c>
      <c r="J579"/>
      <c r="K579"/>
      <c r="L579"/>
      <c r="O579" s="80" t="s">
        <v>1534</v>
      </c>
      <c r="P579" s="80" t="s">
        <v>4001</v>
      </c>
      <c r="Q579" s="80" t="s">
        <v>635</v>
      </c>
      <c r="R579" s="80">
        <v>0</v>
      </c>
      <c r="S579" s="80" t="s">
        <v>1178</v>
      </c>
      <c r="T579" s="100">
        <v>12</v>
      </c>
      <c r="U579" s="100">
        <v>0</v>
      </c>
      <c r="V579" s="100">
        <v>0</v>
      </c>
      <c r="W579" s="100">
        <v>0</v>
      </c>
    </row>
    <row r="580" ht="15.6" spans="2:23">
      <c r="B580" s="80" t="s">
        <v>4681</v>
      </c>
      <c r="G580" s="99">
        <v>0</v>
      </c>
      <c r="H580" s="99">
        <v>0</v>
      </c>
      <c r="I580" s="99">
        <v>0</v>
      </c>
      <c r="J580"/>
      <c r="K580"/>
      <c r="L580"/>
      <c r="O580" s="80" t="s">
        <v>1535</v>
      </c>
      <c r="P580" s="80" t="s">
        <v>4002</v>
      </c>
      <c r="Q580" s="80" t="s">
        <v>635</v>
      </c>
      <c r="R580" s="80">
        <v>0</v>
      </c>
      <c r="S580" s="80" t="s">
        <v>1178</v>
      </c>
      <c r="T580" s="100">
        <v>12</v>
      </c>
      <c r="U580" s="100">
        <v>0</v>
      </c>
      <c r="V580" s="100">
        <v>0</v>
      </c>
      <c r="W580" s="100">
        <v>0</v>
      </c>
    </row>
    <row r="581" ht="15.6" spans="2:23">
      <c r="B581" s="80" t="s">
        <v>429</v>
      </c>
      <c r="C581" s="80" t="s">
        <v>430</v>
      </c>
      <c r="D581" s="80">
        <v>0</v>
      </c>
      <c r="E581" s="80" t="s">
        <v>1295</v>
      </c>
      <c r="F581" s="80" t="s">
        <v>595</v>
      </c>
      <c r="G581" s="99">
        <v>0</v>
      </c>
      <c r="H581" s="99">
        <v>0</v>
      </c>
      <c r="I581" s="99">
        <v>0</v>
      </c>
      <c r="J581"/>
      <c r="K581"/>
      <c r="L581"/>
      <c r="O581" s="80" t="s">
        <v>1536</v>
      </c>
      <c r="P581" s="80" t="s">
        <v>4003</v>
      </c>
      <c r="Q581" s="80" t="s">
        <v>635</v>
      </c>
      <c r="R581" s="80">
        <v>0</v>
      </c>
      <c r="S581" s="80" t="s">
        <v>1178</v>
      </c>
      <c r="T581" s="100">
        <v>3</v>
      </c>
      <c r="U581" s="100">
        <v>0</v>
      </c>
      <c r="V581" s="100">
        <v>0</v>
      </c>
      <c r="W581" s="100">
        <v>0</v>
      </c>
    </row>
    <row r="582" ht="15.6" spans="2:23">
      <c r="B582" s="80" t="s">
        <v>4682</v>
      </c>
      <c r="G582" s="99">
        <v>0</v>
      </c>
      <c r="H582" s="99">
        <v>0</v>
      </c>
      <c r="I582" s="99">
        <v>0</v>
      </c>
      <c r="J582"/>
      <c r="K582"/>
      <c r="L582"/>
      <c r="O582" s="80" t="s">
        <v>3053</v>
      </c>
      <c r="P582" s="80" t="s">
        <v>4004</v>
      </c>
      <c r="Q582" s="80" t="s">
        <v>635</v>
      </c>
      <c r="R582" s="80">
        <v>0</v>
      </c>
      <c r="S582" s="80" t="s">
        <v>1178</v>
      </c>
      <c r="T582" s="100">
        <v>1.5</v>
      </c>
      <c r="U582" s="100">
        <v>0</v>
      </c>
      <c r="V582" s="100">
        <v>0</v>
      </c>
      <c r="W582" s="100">
        <v>0</v>
      </c>
    </row>
    <row r="583" ht="15.6" spans="2:23">
      <c r="B583" s="80" t="s">
        <v>431</v>
      </c>
      <c r="C583" s="80" t="s">
        <v>432</v>
      </c>
      <c r="D583" s="80">
        <v>0</v>
      </c>
      <c r="E583" s="80" t="s">
        <v>1220</v>
      </c>
      <c r="F583" s="80" t="s">
        <v>595</v>
      </c>
      <c r="G583" s="99">
        <v>0</v>
      </c>
      <c r="H583" s="99">
        <v>0</v>
      </c>
      <c r="I583" s="99">
        <v>0</v>
      </c>
      <c r="J583"/>
      <c r="K583"/>
      <c r="L583"/>
      <c r="O583" s="80" t="s">
        <v>1538</v>
      </c>
      <c r="P583" s="80" t="s">
        <v>4683</v>
      </c>
      <c r="Q583" s="80" t="s">
        <v>635</v>
      </c>
      <c r="R583" s="80">
        <v>0</v>
      </c>
      <c r="S583" s="80" t="s">
        <v>1178</v>
      </c>
      <c r="T583" s="100">
        <v>3</v>
      </c>
      <c r="U583" s="100">
        <v>0</v>
      </c>
      <c r="V583" s="100">
        <v>0</v>
      </c>
      <c r="W583" s="100">
        <v>0</v>
      </c>
    </row>
    <row r="584" ht="15.6" spans="2:23">
      <c r="F584" s="80" t="s">
        <v>599</v>
      </c>
      <c r="G584" s="99">
        <v>0</v>
      </c>
      <c r="H584" s="99">
        <v>0</v>
      </c>
      <c r="I584" s="99">
        <v>0</v>
      </c>
      <c r="J584"/>
      <c r="K584"/>
      <c r="L584"/>
      <c r="O584" s="80" t="s">
        <v>1539</v>
      </c>
      <c r="P584" s="80" t="s">
        <v>4006</v>
      </c>
      <c r="Q584" s="80" t="s">
        <v>654</v>
      </c>
      <c r="R584" s="80">
        <v>0</v>
      </c>
      <c r="S584" s="80" t="s">
        <v>1178</v>
      </c>
      <c r="T584" s="100">
        <v>2</v>
      </c>
      <c r="U584" s="100">
        <v>0</v>
      </c>
      <c r="V584" s="100">
        <v>0</v>
      </c>
      <c r="W584" s="100">
        <v>0</v>
      </c>
    </row>
    <row r="585" ht="15.6" spans="2:23">
      <c r="B585" s="80" t="s">
        <v>4684</v>
      </c>
      <c r="G585" s="99">
        <v>0</v>
      </c>
      <c r="H585" s="99">
        <v>0</v>
      </c>
      <c r="I585" s="99">
        <v>0</v>
      </c>
      <c r="J585"/>
      <c r="K585"/>
      <c r="L585"/>
      <c r="Q585" s="80" t="s">
        <v>638</v>
      </c>
      <c r="R585" s="80">
        <v>0</v>
      </c>
      <c r="S585" s="80" t="s">
        <v>1178</v>
      </c>
      <c r="T585" s="100">
        <v>6</v>
      </c>
      <c r="U585" s="100">
        <v>0</v>
      </c>
      <c r="V585" s="100">
        <v>0</v>
      </c>
      <c r="W585" s="100">
        <v>0</v>
      </c>
    </row>
    <row r="586" ht="15.6" spans="2:23">
      <c r="B586" s="80" t="s">
        <v>433</v>
      </c>
      <c r="C586" s="80" t="s">
        <v>434</v>
      </c>
      <c r="D586" s="80">
        <v>0</v>
      </c>
      <c r="E586" s="80" t="s">
        <v>1220</v>
      </c>
      <c r="F586" s="80" t="s">
        <v>599</v>
      </c>
      <c r="G586" s="99">
        <v>0</v>
      </c>
      <c r="H586" s="99">
        <v>0</v>
      </c>
      <c r="I586" s="99">
        <v>0</v>
      </c>
      <c r="J586"/>
      <c r="K586"/>
      <c r="L586"/>
      <c r="Q586" s="80" t="s">
        <v>639</v>
      </c>
      <c r="R586" s="80">
        <v>0</v>
      </c>
      <c r="S586" s="80" t="s">
        <v>1178</v>
      </c>
      <c r="T586" s="100">
        <v>12</v>
      </c>
      <c r="U586" s="100">
        <v>0</v>
      </c>
      <c r="V586" s="100">
        <v>0</v>
      </c>
      <c r="W586" s="100">
        <v>0</v>
      </c>
    </row>
    <row r="587" ht="15.6" spans="2:23">
      <c r="B587" s="80" t="s">
        <v>4685</v>
      </c>
      <c r="G587" s="99">
        <v>0</v>
      </c>
      <c r="H587" s="99">
        <v>0</v>
      </c>
      <c r="I587" s="99">
        <v>0</v>
      </c>
      <c r="J587"/>
      <c r="K587"/>
      <c r="L587"/>
      <c r="O587" s="80" t="s">
        <v>3054</v>
      </c>
      <c r="P587" s="80" t="s">
        <v>4686</v>
      </c>
      <c r="Q587" s="80" t="s">
        <v>639</v>
      </c>
      <c r="R587" s="80">
        <v>0</v>
      </c>
      <c r="S587" s="80" t="s">
        <v>1178</v>
      </c>
      <c r="T587" s="100">
        <v>1.5</v>
      </c>
      <c r="U587" s="100">
        <v>0</v>
      </c>
      <c r="V587" s="100">
        <v>0</v>
      </c>
      <c r="W587" s="100">
        <v>0</v>
      </c>
    </row>
    <row r="588" ht="15.6" spans="2:23">
      <c r="B588" s="80" t="s">
        <v>435</v>
      </c>
      <c r="C588" s="80" t="s">
        <v>436</v>
      </c>
      <c r="D588" s="80">
        <v>0</v>
      </c>
      <c r="E588" s="80" t="s">
        <v>1176</v>
      </c>
      <c r="F588" s="80" t="s">
        <v>645</v>
      </c>
      <c r="G588" s="99">
        <v>0</v>
      </c>
      <c r="H588" s="99">
        <v>0</v>
      </c>
      <c r="I588" s="99">
        <v>0</v>
      </c>
      <c r="J588"/>
      <c r="K588"/>
      <c r="L588"/>
      <c r="O588" s="80" t="s">
        <v>3055</v>
      </c>
      <c r="P588" s="80" t="s">
        <v>4687</v>
      </c>
      <c r="Q588" s="80" t="s">
        <v>639</v>
      </c>
      <c r="R588" s="80">
        <v>0</v>
      </c>
      <c r="S588" s="80" t="s">
        <v>1178</v>
      </c>
      <c r="T588" s="100">
        <v>1.5</v>
      </c>
      <c r="U588" s="100">
        <v>0</v>
      </c>
      <c r="V588" s="100">
        <v>0</v>
      </c>
      <c r="W588" s="100">
        <v>0</v>
      </c>
    </row>
    <row r="589" ht="15.6" spans="2:23">
      <c r="F589" s="80" t="s">
        <v>647</v>
      </c>
      <c r="G589" s="99">
        <v>0</v>
      </c>
      <c r="H589" s="99">
        <v>0</v>
      </c>
      <c r="I589" s="99">
        <v>0</v>
      </c>
      <c r="J589"/>
      <c r="K589"/>
      <c r="L589"/>
      <c r="M589" s="80" t="s">
        <v>341</v>
      </c>
      <c r="N589" s="80" t="s">
        <v>342</v>
      </c>
      <c r="O589" s="80" t="s">
        <v>1541</v>
      </c>
      <c r="P589" s="80" t="s">
        <v>4009</v>
      </c>
      <c r="Q589" s="80" t="s">
        <v>635</v>
      </c>
      <c r="R589" s="80">
        <v>0</v>
      </c>
      <c r="S589" s="80" t="s">
        <v>1176</v>
      </c>
      <c r="T589" s="100">
        <v>30</v>
      </c>
      <c r="U589" s="100">
        <v>0</v>
      </c>
      <c r="V589" s="100">
        <v>0</v>
      </c>
      <c r="W589" s="100">
        <v>0</v>
      </c>
    </row>
    <row r="590" ht="15.6" spans="2:23">
      <c r="B590" s="80" t="s">
        <v>4688</v>
      </c>
      <c r="G590" s="99">
        <v>0</v>
      </c>
      <c r="H590" s="99">
        <v>0</v>
      </c>
      <c r="I590" s="99">
        <v>0</v>
      </c>
      <c r="J590"/>
      <c r="K590"/>
      <c r="L590"/>
      <c r="O590" s="80" t="s">
        <v>1542</v>
      </c>
      <c r="P590" s="80" t="s">
        <v>4689</v>
      </c>
      <c r="Q590" s="80" t="s">
        <v>635</v>
      </c>
      <c r="R590" s="80">
        <v>0</v>
      </c>
      <c r="S590" s="80" t="s">
        <v>1176</v>
      </c>
      <c r="T590" s="100">
        <v>12</v>
      </c>
      <c r="U590" s="100">
        <v>0</v>
      </c>
      <c r="V590" s="100">
        <v>0</v>
      </c>
      <c r="W590" s="100">
        <v>0</v>
      </c>
    </row>
    <row r="591" ht="15.6" spans="2:23">
      <c r="B591" s="80" t="s">
        <v>437</v>
      </c>
      <c r="C591" s="80" t="s">
        <v>438</v>
      </c>
      <c r="D591" s="80">
        <v>0</v>
      </c>
      <c r="E591" s="80" t="s">
        <v>1178</v>
      </c>
      <c r="F591" s="80" t="s">
        <v>645</v>
      </c>
      <c r="G591" s="99">
        <v>0</v>
      </c>
      <c r="H591" s="99">
        <v>0</v>
      </c>
      <c r="I591" s="99">
        <v>0</v>
      </c>
      <c r="J591"/>
      <c r="K591"/>
      <c r="L591"/>
      <c r="O591" s="80" t="s">
        <v>1543</v>
      </c>
      <c r="P591" s="80" t="s">
        <v>4011</v>
      </c>
      <c r="Q591" s="80" t="s">
        <v>635</v>
      </c>
      <c r="R591" s="80">
        <v>0</v>
      </c>
      <c r="S591" s="80" t="s">
        <v>1176</v>
      </c>
      <c r="T591" s="100">
        <v>30</v>
      </c>
      <c r="U591" s="100">
        <v>0</v>
      </c>
      <c r="V591" s="100">
        <v>0</v>
      </c>
      <c r="W591" s="100">
        <v>0</v>
      </c>
    </row>
    <row r="592" ht="15.6" spans="2:23">
      <c r="F592" s="80" t="s">
        <v>647</v>
      </c>
      <c r="G592" s="99">
        <v>0</v>
      </c>
      <c r="H592" s="99">
        <v>0</v>
      </c>
      <c r="I592" s="99">
        <v>0</v>
      </c>
      <c r="J592"/>
      <c r="K592"/>
      <c r="L592"/>
      <c r="O592" s="80" t="s">
        <v>1544</v>
      </c>
      <c r="P592" s="80" t="s">
        <v>4690</v>
      </c>
      <c r="Q592" s="80" t="s">
        <v>635</v>
      </c>
      <c r="R592" s="80">
        <v>0</v>
      </c>
      <c r="S592" s="80" t="s">
        <v>1176</v>
      </c>
      <c r="T592" s="100">
        <v>12</v>
      </c>
      <c r="U592" s="100">
        <v>0</v>
      </c>
      <c r="V592" s="100">
        <v>0</v>
      </c>
      <c r="W592" s="100">
        <v>0</v>
      </c>
    </row>
    <row r="593" ht="15.6" spans="2:23">
      <c r="F593" s="80" t="s">
        <v>649</v>
      </c>
      <c r="G593" s="99">
        <v>0</v>
      </c>
      <c r="H593" s="99">
        <v>0</v>
      </c>
      <c r="I593" s="99">
        <v>0</v>
      </c>
      <c r="J593"/>
      <c r="K593"/>
      <c r="L593"/>
      <c r="Q593" s="80" t="s">
        <v>639</v>
      </c>
      <c r="R593" s="80">
        <v>0</v>
      </c>
      <c r="S593" s="80" t="s">
        <v>1176</v>
      </c>
      <c r="T593" s="100">
        <v>6</v>
      </c>
      <c r="U593" s="100">
        <v>0</v>
      </c>
      <c r="V593" s="100">
        <v>0</v>
      </c>
      <c r="W593" s="100">
        <v>0</v>
      </c>
    </row>
    <row r="594" ht="15.6" spans="2:23">
      <c r="B594" s="80" t="s">
        <v>4691</v>
      </c>
      <c r="G594" s="99">
        <v>0</v>
      </c>
      <c r="H594" s="99">
        <v>0</v>
      </c>
      <c r="I594" s="99">
        <v>0</v>
      </c>
      <c r="J594"/>
      <c r="K594"/>
      <c r="L594"/>
      <c r="O594" s="80" t="s">
        <v>1545</v>
      </c>
      <c r="P594" s="80" t="s">
        <v>4013</v>
      </c>
      <c r="Q594" s="80" t="s">
        <v>635</v>
      </c>
      <c r="R594" s="80">
        <v>0</v>
      </c>
      <c r="S594" s="80" t="s">
        <v>1176</v>
      </c>
      <c r="T594" s="100">
        <v>30</v>
      </c>
      <c r="U594" s="100">
        <v>0</v>
      </c>
      <c r="V594" s="100">
        <v>0</v>
      </c>
      <c r="W594" s="100">
        <v>0</v>
      </c>
    </row>
    <row r="595" ht="15.6" spans="2:23">
      <c r="B595" s="80" t="s">
        <v>439</v>
      </c>
      <c r="C595" s="80" t="s">
        <v>440</v>
      </c>
      <c r="D595" s="80">
        <v>0</v>
      </c>
      <c r="E595" s="80" t="s">
        <v>1178</v>
      </c>
      <c r="F595" s="80" t="s">
        <v>645</v>
      </c>
      <c r="G595" s="99">
        <v>0</v>
      </c>
      <c r="H595" s="99">
        <v>0</v>
      </c>
      <c r="I595" s="99">
        <v>0</v>
      </c>
      <c r="J595"/>
      <c r="K595"/>
      <c r="L595"/>
      <c r="O595" s="80" t="s">
        <v>1546</v>
      </c>
      <c r="P595" s="80" t="s">
        <v>4014</v>
      </c>
      <c r="Q595" s="80" t="s">
        <v>635</v>
      </c>
      <c r="R595" s="80">
        <v>0</v>
      </c>
      <c r="S595" s="80" t="s">
        <v>1176</v>
      </c>
      <c r="T595" s="100">
        <v>12</v>
      </c>
      <c r="U595" s="100">
        <v>0</v>
      </c>
      <c r="V595" s="100">
        <v>0</v>
      </c>
      <c r="W595" s="100">
        <v>0</v>
      </c>
    </row>
    <row r="596" ht="15.6" spans="2:23">
      <c r="F596" s="80" t="s">
        <v>647</v>
      </c>
      <c r="G596" s="99">
        <v>0</v>
      </c>
      <c r="H596" s="99">
        <v>0</v>
      </c>
      <c r="I596" s="99">
        <v>0</v>
      </c>
      <c r="J596"/>
      <c r="K596"/>
      <c r="L596"/>
      <c r="O596" s="80" t="s">
        <v>1547</v>
      </c>
      <c r="P596" s="80" t="s">
        <v>4015</v>
      </c>
      <c r="Q596" s="80" t="s">
        <v>635</v>
      </c>
      <c r="R596" s="80">
        <v>0</v>
      </c>
      <c r="S596" s="80" t="s">
        <v>1176</v>
      </c>
      <c r="T596" s="100">
        <v>30</v>
      </c>
      <c r="U596" s="100">
        <v>0</v>
      </c>
      <c r="V596" s="100">
        <v>0</v>
      </c>
      <c r="W596" s="100">
        <v>0</v>
      </c>
    </row>
    <row r="597" ht="15.6" spans="2:23">
      <c r="B597" s="80" t="s">
        <v>4692</v>
      </c>
      <c r="G597" s="99">
        <v>0</v>
      </c>
      <c r="H597" s="99">
        <v>0</v>
      </c>
      <c r="I597" s="99">
        <v>0</v>
      </c>
      <c r="J597"/>
      <c r="K597"/>
      <c r="L597"/>
      <c r="O597" s="80" t="s">
        <v>1548</v>
      </c>
      <c r="P597" s="80" t="s">
        <v>4016</v>
      </c>
      <c r="Q597" s="80" t="s">
        <v>635</v>
      </c>
      <c r="R597" s="80">
        <v>0</v>
      </c>
      <c r="S597" s="80" t="s">
        <v>1176</v>
      </c>
      <c r="T597" s="100">
        <v>12</v>
      </c>
      <c r="U597" s="100">
        <v>0</v>
      </c>
      <c r="V597" s="100">
        <v>0</v>
      </c>
      <c r="W597" s="100">
        <v>0</v>
      </c>
    </row>
    <row r="598" ht="15.6" spans="2:23">
      <c r="B598" s="80" t="s">
        <v>441</v>
      </c>
      <c r="C598" s="80" t="s">
        <v>442</v>
      </c>
      <c r="D598" s="80">
        <v>0</v>
      </c>
      <c r="E598" s="80" t="s">
        <v>1178</v>
      </c>
      <c r="F598" s="80" t="s">
        <v>645</v>
      </c>
      <c r="G598" s="99">
        <v>0</v>
      </c>
      <c r="H598" s="99">
        <v>0</v>
      </c>
      <c r="I598" s="99">
        <v>0</v>
      </c>
      <c r="J598"/>
      <c r="K598"/>
      <c r="L598"/>
      <c r="Q598" s="80" t="s">
        <v>639</v>
      </c>
      <c r="R598" s="80">
        <v>0</v>
      </c>
      <c r="S598" s="80" t="s">
        <v>1176</v>
      </c>
      <c r="T598" s="100">
        <v>6</v>
      </c>
      <c r="U598" s="100">
        <v>0</v>
      </c>
      <c r="V598" s="100">
        <v>0</v>
      </c>
      <c r="W598" s="100">
        <v>0</v>
      </c>
    </row>
    <row r="599" ht="15.6" spans="2:23">
      <c r="F599" s="80" t="s">
        <v>647</v>
      </c>
      <c r="G599" s="99">
        <v>0</v>
      </c>
      <c r="H599" s="99">
        <v>0</v>
      </c>
      <c r="I599" s="99">
        <v>0</v>
      </c>
      <c r="J599"/>
      <c r="K599"/>
      <c r="L599"/>
      <c r="O599" s="80" t="s">
        <v>3056</v>
      </c>
      <c r="P599" s="80" t="s">
        <v>4017</v>
      </c>
      <c r="Q599" s="80" t="s">
        <v>635</v>
      </c>
      <c r="R599" s="80">
        <v>0</v>
      </c>
      <c r="S599" s="80" t="s">
        <v>1176</v>
      </c>
      <c r="T599" s="100">
        <v>12</v>
      </c>
      <c r="U599" s="100">
        <v>0</v>
      </c>
      <c r="V599" s="100">
        <v>0</v>
      </c>
      <c r="W599" s="100">
        <v>0</v>
      </c>
    </row>
    <row r="600" ht="15.6" spans="2:23">
      <c r="B600" s="80" t="s">
        <v>4693</v>
      </c>
      <c r="G600" s="99">
        <v>0</v>
      </c>
      <c r="H600" s="99">
        <v>0</v>
      </c>
      <c r="I600" s="99">
        <v>0</v>
      </c>
      <c r="J600"/>
      <c r="K600"/>
      <c r="L600"/>
      <c r="O600" s="80" t="s">
        <v>3057</v>
      </c>
      <c r="P600" s="80" t="s">
        <v>4018</v>
      </c>
      <c r="Q600" s="80" t="s">
        <v>638</v>
      </c>
      <c r="R600" s="80">
        <v>0</v>
      </c>
      <c r="S600" s="80" t="s">
        <v>1176</v>
      </c>
      <c r="T600" s="100">
        <v>6</v>
      </c>
      <c r="U600" s="100">
        <v>0</v>
      </c>
      <c r="V600" s="100">
        <v>0</v>
      </c>
      <c r="W600" s="100">
        <v>0</v>
      </c>
    </row>
    <row r="601" ht="15.6" spans="2:23">
      <c r="B601" s="80" t="s">
        <v>443</v>
      </c>
      <c r="C601" s="80" t="s">
        <v>444</v>
      </c>
      <c r="D601" s="80">
        <v>0</v>
      </c>
      <c r="E601" s="80" t="s">
        <v>1178</v>
      </c>
      <c r="F601" s="80" t="s">
        <v>595</v>
      </c>
      <c r="G601" s="99">
        <v>0</v>
      </c>
      <c r="H601" s="99">
        <v>0</v>
      </c>
      <c r="I601" s="99">
        <v>0</v>
      </c>
      <c r="J601"/>
      <c r="K601"/>
      <c r="L601"/>
      <c r="M601" s="80" t="s">
        <v>343</v>
      </c>
      <c r="N601" s="80" t="s">
        <v>344</v>
      </c>
      <c r="O601" s="80" t="s">
        <v>1549</v>
      </c>
      <c r="P601" s="80" t="s">
        <v>4019</v>
      </c>
      <c r="Q601" s="80" t="s">
        <v>652</v>
      </c>
      <c r="R601" s="80">
        <v>0</v>
      </c>
      <c r="S601" s="80" t="s">
        <v>1176</v>
      </c>
      <c r="T601" s="100">
        <v>4</v>
      </c>
      <c r="U601" s="100">
        <v>0</v>
      </c>
      <c r="V601" s="100">
        <v>0</v>
      </c>
      <c r="W601" s="100">
        <v>0</v>
      </c>
    </row>
    <row r="602" ht="15.6" spans="2:23">
      <c r="F602" s="80" t="s">
        <v>599</v>
      </c>
      <c r="G602" s="99">
        <v>0</v>
      </c>
      <c r="H602" s="99">
        <v>0</v>
      </c>
      <c r="I602" s="99">
        <v>0</v>
      </c>
      <c r="J602"/>
      <c r="K602"/>
      <c r="L602"/>
      <c r="Q602" s="80" t="s">
        <v>639</v>
      </c>
      <c r="R602" s="80">
        <v>0</v>
      </c>
      <c r="S602" s="80" t="s">
        <v>1176</v>
      </c>
      <c r="T602" s="100">
        <v>18</v>
      </c>
      <c r="U602" s="100">
        <v>0</v>
      </c>
      <c r="V602" s="100">
        <v>0</v>
      </c>
      <c r="W602" s="100">
        <v>0</v>
      </c>
    </row>
    <row r="603" ht="15.6" spans="2:23">
      <c r="F603" s="80" t="s">
        <v>603</v>
      </c>
      <c r="G603" s="99">
        <v>0</v>
      </c>
      <c r="H603" s="99">
        <v>0</v>
      </c>
      <c r="I603" s="99">
        <v>0</v>
      </c>
      <c r="J603"/>
      <c r="K603"/>
      <c r="L603"/>
      <c r="O603" s="80" t="s">
        <v>1551</v>
      </c>
      <c r="P603" s="80" t="s">
        <v>4020</v>
      </c>
      <c r="Q603" s="80" t="s">
        <v>654</v>
      </c>
      <c r="R603" s="80">
        <v>0</v>
      </c>
      <c r="S603" s="80" t="s">
        <v>1178</v>
      </c>
      <c r="T603" s="100">
        <v>2</v>
      </c>
      <c r="U603" s="100">
        <v>0</v>
      </c>
      <c r="V603" s="100">
        <v>0</v>
      </c>
      <c r="W603" s="100">
        <v>0</v>
      </c>
    </row>
    <row r="604" ht="15.6" spans="2:23">
      <c r="B604" s="80" t="s">
        <v>4694</v>
      </c>
      <c r="G604" s="99">
        <v>0</v>
      </c>
      <c r="H604" s="99">
        <v>0</v>
      </c>
      <c r="I604" s="99">
        <v>0</v>
      </c>
      <c r="J604"/>
      <c r="K604"/>
      <c r="L604"/>
      <c r="Q604" s="80" t="s">
        <v>642</v>
      </c>
      <c r="R604" s="80">
        <v>0</v>
      </c>
      <c r="S604" s="80" t="s">
        <v>1178</v>
      </c>
      <c r="T604" s="100">
        <v>3</v>
      </c>
      <c r="U604" s="100">
        <v>0</v>
      </c>
      <c r="V604" s="100">
        <v>0</v>
      </c>
      <c r="W604" s="100">
        <v>0</v>
      </c>
    </row>
    <row r="605" ht="15.6" spans="2:23">
      <c r="B605" s="80" t="s">
        <v>445</v>
      </c>
      <c r="C605" s="80" t="s">
        <v>446</v>
      </c>
      <c r="D605" s="80">
        <v>0</v>
      </c>
      <c r="E605" s="80" t="s">
        <v>1178</v>
      </c>
      <c r="F605" s="80" t="s">
        <v>595</v>
      </c>
      <c r="G605" s="99">
        <v>0</v>
      </c>
      <c r="H605" s="99">
        <v>0</v>
      </c>
      <c r="I605" s="99">
        <v>0</v>
      </c>
      <c r="J605"/>
      <c r="K605"/>
      <c r="L605"/>
      <c r="O605" s="80" t="s">
        <v>1553</v>
      </c>
      <c r="P605" s="80" t="s">
        <v>4021</v>
      </c>
      <c r="Q605" s="80" t="s">
        <v>639</v>
      </c>
      <c r="R605" s="80">
        <v>0</v>
      </c>
      <c r="S605" s="80" t="s">
        <v>1176</v>
      </c>
      <c r="T605" s="100">
        <v>6</v>
      </c>
      <c r="U605" s="100">
        <v>0</v>
      </c>
      <c r="V605" s="100">
        <v>0</v>
      </c>
      <c r="W605" s="100">
        <v>0</v>
      </c>
    </row>
    <row r="606" ht="15.6" spans="2:23">
      <c r="F606" s="80" t="s">
        <v>599</v>
      </c>
      <c r="G606" s="99">
        <v>0</v>
      </c>
      <c r="H606" s="99">
        <v>0</v>
      </c>
      <c r="I606" s="99">
        <v>0</v>
      </c>
      <c r="J606"/>
      <c r="K606"/>
      <c r="L606"/>
      <c r="M606" s="80" t="s">
        <v>345</v>
      </c>
      <c r="N606" s="80" t="s">
        <v>346</v>
      </c>
      <c r="O606" s="80" t="s">
        <v>1559</v>
      </c>
      <c r="P606" s="80" t="s">
        <v>4022</v>
      </c>
      <c r="Q606" s="80" t="s">
        <v>639</v>
      </c>
      <c r="R606" s="80">
        <v>0</v>
      </c>
      <c r="S606" s="80" t="s">
        <v>1220</v>
      </c>
      <c r="T606" s="100">
        <v>0.5</v>
      </c>
      <c r="U606" s="100">
        <v>0</v>
      </c>
      <c r="V606" s="100">
        <v>0</v>
      </c>
      <c r="W606" s="100">
        <v>0</v>
      </c>
    </row>
    <row r="607" ht="15.6" spans="2:23">
      <c r="F607" s="80" t="s">
        <v>603</v>
      </c>
      <c r="G607" s="99">
        <v>0</v>
      </c>
      <c r="H607" s="99">
        <v>0</v>
      </c>
      <c r="I607" s="99">
        <v>0</v>
      </c>
      <c r="J607"/>
      <c r="K607"/>
      <c r="L607"/>
      <c r="O607" s="80" t="s">
        <v>1560</v>
      </c>
      <c r="P607" s="80" t="s">
        <v>4023</v>
      </c>
      <c r="Q607" s="80" t="s">
        <v>635</v>
      </c>
      <c r="R607" s="80">
        <v>0</v>
      </c>
      <c r="S607" s="80" t="s">
        <v>1220</v>
      </c>
      <c r="T607" s="100">
        <v>0.5</v>
      </c>
      <c r="U607" s="100">
        <v>0</v>
      </c>
      <c r="V607" s="100">
        <v>0</v>
      </c>
      <c r="W607" s="100">
        <v>0</v>
      </c>
    </row>
    <row r="608" ht="15.6" spans="2:23">
      <c r="B608" s="80" t="s">
        <v>4695</v>
      </c>
      <c r="G608" s="99">
        <v>0</v>
      </c>
      <c r="H608" s="99">
        <v>0</v>
      </c>
      <c r="I608" s="99">
        <v>0</v>
      </c>
      <c r="J608"/>
      <c r="K608"/>
      <c r="L608"/>
      <c r="M608" s="80" t="s">
        <v>347</v>
      </c>
      <c r="N608" s="80" t="s">
        <v>348</v>
      </c>
      <c r="O608" s="80" t="s">
        <v>4024</v>
      </c>
      <c r="P608" s="80" t="s">
        <v>348</v>
      </c>
      <c r="Q608" s="80" t="s">
        <v>639</v>
      </c>
      <c r="R608" s="80">
        <v>0</v>
      </c>
      <c r="S608" s="80" t="s">
        <v>1176</v>
      </c>
      <c r="T608" s="100">
        <v>22.5</v>
      </c>
      <c r="U608" s="100">
        <v>0</v>
      </c>
      <c r="V608" s="100">
        <v>0</v>
      </c>
      <c r="W608" s="100">
        <v>0</v>
      </c>
    </row>
    <row r="609" ht="15.6" spans="2:23">
      <c r="B609" s="80" t="s">
        <v>447</v>
      </c>
      <c r="C609" s="80" t="s">
        <v>448</v>
      </c>
      <c r="D609" s="80">
        <v>0</v>
      </c>
      <c r="E609" s="80" t="s">
        <v>1178</v>
      </c>
      <c r="F609" s="80" t="s">
        <v>595</v>
      </c>
      <c r="G609" s="99">
        <v>0</v>
      </c>
      <c r="H609" s="99">
        <v>0</v>
      </c>
      <c r="I609" s="99">
        <v>0</v>
      </c>
      <c r="J609"/>
      <c r="K609"/>
      <c r="L609"/>
      <c r="M609" s="80" t="s">
        <v>349</v>
      </c>
      <c r="N609" s="80" t="s">
        <v>350</v>
      </c>
      <c r="O609" s="80" t="s">
        <v>4025</v>
      </c>
      <c r="P609" s="80" t="s">
        <v>4026</v>
      </c>
      <c r="Q609" s="80" t="s">
        <v>635</v>
      </c>
      <c r="R609" s="80">
        <v>0</v>
      </c>
      <c r="S609" s="80" t="s">
        <v>1281</v>
      </c>
      <c r="T609" s="100">
        <v>1.5</v>
      </c>
      <c r="U609" s="100">
        <v>0</v>
      </c>
      <c r="V609" s="100">
        <v>0</v>
      </c>
      <c r="W609" s="100">
        <v>0</v>
      </c>
    </row>
    <row r="610" ht="15.6" spans="2:23">
      <c r="F610" s="80" t="s">
        <v>599</v>
      </c>
      <c r="G610" s="99">
        <v>0</v>
      </c>
      <c r="H610" s="99">
        <v>0</v>
      </c>
      <c r="I610" s="99">
        <v>0</v>
      </c>
      <c r="J610"/>
      <c r="K610"/>
      <c r="L610"/>
      <c r="O610" s="80" t="s">
        <v>4027</v>
      </c>
      <c r="P610" s="80" t="s">
        <v>4028</v>
      </c>
      <c r="Q610" s="80" t="s">
        <v>635</v>
      </c>
      <c r="R610" s="80">
        <v>0</v>
      </c>
      <c r="S610" s="80" t="s">
        <v>1281</v>
      </c>
      <c r="T610" s="100">
        <v>1.5</v>
      </c>
      <c r="U610" s="100">
        <v>0</v>
      </c>
      <c r="V610" s="100">
        <v>0</v>
      </c>
      <c r="W610" s="100">
        <v>0</v>
      </c>
    </row>
    <row r="611" ht="15.6" spans="2:23">
      <c r="F611" s="80" t="s">
        <v>603</v>
      </c>
      <c r="G611" s="99">
        <v>0</v>
      </c>
      <c r="H611" s="99">
        <v>0</v>
      </c>
      <c r="I611" s="99">
        <v>0</v>
      </c>
      <c r="J611"/>
      <c r="K611"/>
      <c r="L611"/>
      <c r="O611" s="80" t="s">
        <v>4029</v>
      </c>
      <c r="P611" s="80" t="s">
        <v>4030</v>
      </c>
      <c r="Q611" s="80" t="s">
        <v>635</v>
      </c>
      <c r="R611" s="80">
        <v>0</v>
      </c>
      <c r="S611" s="80" t="s">
        <v>1281</v>
      </c>
      <c r="T611" s="100">
        <v>12</v>
      </c>
      <c r="U611" s="100">
        <v>0</v>
      </c>
      <c r="V611" s="100">
        <v>0</v>
      </c>
      <c r="W611" s="100">
        <v>0</v>
      </c>
    </row>
    <row r="612" ht="15.6" spans="2:23">
      <c r="B612" s="80" t="s">
        <v>4696</v>
      </c>
      <c r="G612" s="99">
        <v>0</v>
      </c>
      <c r="H612" s="99">
        <v>0</v>
      </c>
      <c r="I612" s="99">
        <v>0</v>
      </c>
      <c r="J612"/>
      <c r="K612"/>
      <c r="L612"/>
      <c r="O612" s="80" t="s">
        <v>4031</v>
      </c>
      <c r="P612" s="80" t="s">
        <v>4032</v>
      </c>
      <c r="Q612" s="80" t="s">
        <v>639</v>
      </c>
      <c r="R612" s="80">
        <v>0</v>
      </c>
      <c r="S612" s="80" t="s">
        <v>1281</v>
      </c>
      <c r="T612" s="100">
        <v>24</v>
      </c>
      <c r="U612" s="100">
        <v>0</v>
      </c>
      <c r="V612" s="100">
        <v>0</v>
      </c>
      <c r="W612" s="100">
        <v>0</v>
      </c>
    </row>
    <row r="613" ht="15.6" spans="2:23">
      <c r="B613" s="80" t="s">
        <v>449</v>
      </c>
      <c r="C613" s="80" t="s">
        <v>450</v>
      </c>
      <c r="D613" s="80">
        <v>0</v>
      </c>
      <c r="E613" s="80" t="s">
        <v>1178</v>
      </c>
      <c r="F613" s="80" t="s">
        <v>595</v>
      </c>
      <c r="G613" s="99">
        <v>0</v>
      </c>
      <c r="H613" s="99">
        <v>0</v>
      </c>
      <c r="I613" s="99">
        <v>0</v>
      </c>
      <c r="J613"/>
      <c r="K613"/>
      <c r="L613"/>
      <c r="O613" s="80" t="s">
        <v>4033</v>
      </c>
      <c r="P613" s="80" t="s">
        <v>4259</v>
      </c>
      <c r="Q613" s="80" t="s">
        <v>639</v>
      </c>
      <c r="R613" s="80">
        <v>0</v>
      </c>
      <c r="S613" s="80" t="s">
        <v>1178</v>
      </c>
      <c r="T613" s="100">
        <v>6</v>
      </c>
      <c r="U613" s="100">
        <v>0</v>
      </c>
      <c r="V613" s="100">
        <v>0</v>
      </c>
      <c r="W613" s="100">
        <v>0</v>
      </c>
    </row>
    <row r="614" ht="15.6" spans="2:23">
      <c r="F614" s="80" t="s">
        <v>597</v>
      </c>
      <c r="G614" s="99">
        <v>0</v>
      </c>
      <c r="H614" s="99">
        <v>0</v>
      </c>
      <c r="I614" s="99">
        <v>0</v>
      </c>
      <c r="J614"/>
      <c r="K614"/>
      <c r="L614"/>
      <c r="M614" s="80" t="s">
        <v>351</v>
      </c>
      <c r="N614" s="80" t="s">
        <v>352</v>
      </c>
      <c r="O614" s="80" t="s">
        <v>4035</v>
      </c>
      <c r="P614" s="80" t="s">
        <v>352</v>
      </c>
      <c r="Q614" s="80" t="s">
        <v>639</v>
      </c>
      <c r="R614" s="80">
        <v>0</v>
      </c>
      <c r="S614" s="80" t="s">
        <v>1178</v>
      </c>
      <c r="T614" s="100">
        <v>10.5</v>
      </c>
      <c r="U614" s="100">
        <v>0</v>
      </c>
      <c r="V614" s="100">
        <v>0</v>
      </c>
      <c r="W614" s="100">
        <v>0</v>
      </c>
    </row>
    <row r="615" ht="15.6" spans="2:23">
      <c r="F615" s="80" t="s">
        <v>599</v>
      </c>
      <c r="G615" s="99">
        <v>0</v>
      </c>
      <c r="H615" s="99">
        <v>0</v>
      </c>
      <c r="I615" s="99">
        <v>0</v>
      </c>
      <c r="J615"/>
      <c r="K615"/>
      <c r="L615"/>
      <c r="O615" s="80" t="s">
        <v>4037</v>
      </c>
      <c r="P615" s="80" t="s">
        <v>4261</v>
      </c>
      <c r="Q615" s="80" t="s">
        <v>639</v>
      </c>
      <c r="R615" s="80">
        <v>0</v>
      </c>
      <c r="S615" s="80" t="s">
        <v>1281</v>
      </c>
      <c r="T615" s="100">
        <v>6</v>
      </c>
      <c r="U615" s="100">
        <v>0</v>
      </c>
      <c r="V615" s="100">
        <v>0</v>
      </c>
      <c r="W615" s="100">
        <v>0</v>
      </c>
    </row>
    <row r="616" ht="15.6" spans="2:23">
      <c r="B616" s="80" t="s">
        <v>4697</v>
      </c>
      <c r="G616" s="99">
        <v>0</v>
      </c>
      <c r="H616" s="99">
        <v>0</v>
      </c>
      <c r="I616" s="99">
        <v>0</v>
      </c>
      <c r="J616"/>
      <c r="K616"/>
      <c r="L616"/>
      <c r="O616" s="80" t="s">
        <v>4039</v>
      </c>
      <c r="P616" s="80" t="s">
        <v>4040</v>
      </c>
      <c r="Q616" s="80" t="s">
        <v>639</v>
      </c>
      <c r="R616" s="80">
        <v>0</v>
      </c>
      <c r="S616" s="80" t="s">
        <v>1220</v>
      </c>
      <c r="T616" s="100">
        <v>4</v>
      </c>
      <c r="U616" s="100">
        <v>0</v>
      </c>
      <c r="V616" s="100">
        <v>0</v>
      </c>
      <c r="W616" s="100">
        <v>0</v>
      </c>
    </row>
    <row r="617" ht="15.6" spans="2:23">
      <c r="B617" s="80" t="s">
        <v>4698</v>
      </c>
      <c r="C617" s="80" t="s">
        <v>4698</v>
      </c>
      <c r="D617" s="80" t="s">
        <v>4698</v>
      </c>
      <c r="E617" s="80" t="s">
        <v>4698</v>
      </c>
      <c r="F617" s="80" t="s">
        <v>4698</v>
      </c>
      <c r="G617" s="99"/>
      <c r="H617" s="99"/>
      <c r="I617" s="99"/>
      <c r="J617"/>
      <c r="K617"/>
      <c r="L617"/>
      <c r="O617" s="80" t="s">
        <v>4041</v>
      </c>
      <c r="P617" s="80" t="s">
        <v>4239</v>
      </c>
      <c r="Q617" s="80" t="s">
        <v>639</v>
      </c>
      <c r="R617" s="80">
        <v>0</v>
      </c>
      <c r="S617" s="80" t="s">
        <v>1176</v>
      </c>
      <c r="T617" s="100">
        <v>18</v>
      </c>
      <c r="U617" s="100">
        <v>0</v>
      </c>
      <c r="V617" s="100">
        <v>0</v>
      </c>
      <c r="W617" s="100">
        <v>0</v>
      </c>
    </row>
    <row r="618" ht="15.6" spans="2:23">
      <c r="B618" s="80" t="s">
        <v>4699</v>
      </c>
      <c r="G618" s="99"/>
      <c r="H618" s="99"/>
      <c r="I618" s="99"/>
      <c r="J618"/>
      <c r="K618"/>
      <c r="L618"/>
      <c r="O618" s="80" t="s">
        <v>4043</v>
      </c>
      <c r="P618" s="80" t="s">
        <v>4240</v>
      </c>
      <c r="Q618" s="80" t="s">
        <v>638</v>
      </c>
      <c r="R618" s="80">
        <v>0</v>
      </c>
      <c r="S618" s="80" t="s">
        <v>1178</v>
      </c>
      <c r="T618" s="100">
        <v>1.5</v>
      </c>
      <c r="U618" s="100">
        <v>0</v>
      </c>
      <c r="V618" s="100">
        <v>0</v>
      </c>
      <c r="W618" s="100">
        <v>0</v>
      </c>
    </row>
    <row r="619" ht="15.6" spans="2:23">
      <c r="B619" s="80" t="s">
        <v>947</v>
      </c>
      <c r="G619" s="99">
        <v>0</v>
      </c>
      <c r="H619" s="99">
        <v>0</v>
      </c>
      <c r="I619" s="99">
        <v>0</v>
      </c>
      <c r="J619"/>
      <c r="K619"/>
      <c r="L619"/>
      <c r="Q619" s="80" t="s">
        <v>642</v>
      </c>
      <c r="R619" s="80">
        <v>0</v>
      </c>
      <c r="S619" s="80" t="s">
        <v>1178</v>
      </c>
      <c r="T619" s="100">
        <v>3</v>
      </c>
      <c r="U619" s="100">
        <v>0</v>
      </c>
      <c r="V619" s="100">
        <v>0</v>
      </c>
      <c r="W619" s="100">
        <v>0</v>
      </c>
    </row>
    <row r="620" ht="15.6" spans="2:23">
      <c r="B620"/>
      <c r="C620"/>
      <c r="D620"/>
      <c r="E620"/>
      <c r="F620"/>
      <c r="G620"/>
      <c r="H620"/>
      <c r="I620"/>
      <c r="J620"/>
      <c r="K620"/>
      <c r="L620"/>
      <c r="O620" s="80" t="s">
        <v>4045</v>
      </c>
      <c r="P620" s="80" t="s">
        <v>4046</v>
      </c>
      <c r="Q620" s="80" t="s">
        <v>639</v>
      </c>
      <c r="R620" s="80">
        <v>0</v>
      </c>
      <c r="S620" s="80" t="s">
        <v>1178</v>
      </c>
      <c r="T620" s="100">
        <v>3</v>
      </c>
      <c r="U620" s="100">
        <v>0</v>
      </c>
      <c r="V620" s="100">
        <v>0</v>
      </c>
      <c r="W620" s="100">
        <v>0</v>
      </c>
    </row>
    <row r="621" ht="15.6" spans="2:23">
      <c r="B621"/>
      <c r="C621"/>
      <c r="D621"/>
      <c r="E621"/>
      <c r="F621"/>
      <c r="G621"/>
      <c r="H621"/>
      <c r="I621"/>
      <c r="J621"/>
      <c r="K621"/>
      <c r="L621"/>
      <c r="O621" s="80" t="s">
        <v>4047</v>
      </c>
      <c r="P621" s="80" t="s">
        <v>4048</v>
      </c>
      <c r="Q621" s="80" t="s">
        <v>639</v>
      </c>
      <c r="R621" s="80">
        <v>0</v>
      </c>
      <c r="S621" s="80" t="s">
        <v>1281</v>
      </c>
      <c r="T621" s="100">
        <v>0.375</v>
      </c>
      <c r="U621" s="100">
        <v>0</v>
      </c>
      <c r="V621" s="100">
        <v>0</v>
      </c>
      <c r="W621" s="100">
        <v>0</v>
      </c>
    </row>
    <row r="622" ht="15.6" spans="2:23">
      <c r="B622"/>
      <c r="C622"/>
      <c r="D622"/>
      <c r="E622"/>
      <c r="F622"/>
      <c r="G622"/>
      <c r="H622"/>
      <c r="I622"/>
      <c r="J622"/>
      <c r="K622"/>
      <c r="L622"/>
      <c r="O622" s="80" t="s">
        <v>4049</v>
      </c>
      <c r="P622" s="80" t="s">
        <v>4050</v>
      </c>
      <c r="Q622" s="80" t="s">
        <v>639</v>
      </c>
      <c r="R622" s="80">
        <v>0</v>
      </c>
      <c r="S622" s="80" t="s">
        <v>1281</v>
      </c>
      <c r="T622" s="100">
        <v>0.075</v>
      </c>
      <c r="U622" s="100">
        <v>0</v>
      </c>
      <c r="V622" s="100">
        <v>0</v>
      </c>
      <c r="W622" s="100">
        <v>0</v>
      </c>
    </row>
    <row r="623" ht="15.6" spans="2:23">
      <c r="B623"/>
      <c r="C623"/>
      <c r="D623"/>
      <c r="E623"/>
      <c r="F623"/>
      <c r="G623"/>
      <c r="H623"/>
      <c r="I623"/>
      <c r="J623"/>
      <c r="K623"/>
      <c r="L623"/>
      <c r="O623" s="80" t="s">
        <v>4051</v>
      </c>
      <c r="P623" s="80" t="s">
        <v>4052</v>
      </c>
      <c r="Q623" s="80" t="s">
        <v>638</v>
      </c>
      <c r="R623" s="80">
        <v>0</v>
      </c>
      <c r="S623" s="80" t="s">
        <v>1281</v>
      </c>
      <c r="T623" s="100">
        <v>0.075</v>
      </c>
      <c r="U623" s="100">
        <v>0</v>
      </c>
      <c r="V623" s="100">
        <v>0</v>
      </c>
      <c r="W623" s="100">
        <v>0</v>
      </c>
    </row>
    <row r="624" ht="15.6" spans="2:23">
      <c r="B624"/>
      <c r="C624"/>
      <c r="D624"/>
      <c r="E624"/>
      <c r="F624"/>
      <c r="G624"/>
      <c r="H624"/>
      <c r="I624"/>
      <c r="J624"/>
      <c r="K624"/>
      <c r="L624"/>
      <c r="Q624" s="80" t="s">
        <v>642</v>
      </c>
      <c r="R624" s="80">
        <v>0</v>
      </c>
      <c r="S624" s="80" t="s">
        <v>1281</v>
      </c>
      <c r="T624" s="100">
        <v>0.15</v>
      </c>
      <c r="U624" s="100">
        <v>0</v>
      </c>
      <c r="V624" s="100">
        <v>0</v>
      </c>
      <c r="W624" s="100">
        <v>0</v>
      </c>
    </row>
    <row r="625" ht="15.6" spans="2:23">
      <c r="B625"/>
      <c r="C625"/>
      <c r="D625"/>
      <c r="E625"/>
      <c r="F625"/>
      <c r="G625"/>
      <c r="H625"/>
      <c r="I625"/>
      <c r="J625"/>
      <c r="K625"/>
      <c r="L625"/>
      <c r="O625" s="80" t="s">
        <v>4053</v>
      </c>
      <c r="P625" s="80" t="s">
        <v>4054</v>
      </c>
      <c r="Q625" s="80" t="s">
        <v>638</v>
      </c>
      <c r="R625" s="80">
        <v>0</v>
      </c>
      <c r="S625" s="80" t="s">
        <v>1281</v>
      </c>
      <c r="T625" s="100">
        <v>0.01875</v>
      </c>
      <c r="U625" s="100">
        <v>0</v>
      </c>
      <c r="V625" s="100">
        <v>0</v>
      </c>
      <c r="W625" s="100">
        <v>0</v>
      </c>
    </row>
    <row r="626" ht="15.6" spans="2:23">
      <c r="B626"/>
      <c r="C626"/>
      <c r="D626"/>
      <c r="E626"/>
      <c r="F626"/>
      <c r="G626"/>
      <c r="H626"/>
      <c r="I626"/>
      <c r="J626"/>
      <c r="K626"/>
      <c r="L626"/>
      <c r="Q626" s="80" t="s">
        <v>642</v>
      </c>
      <c r="R626" s="80">
        <v>0</v>
      </c>
      <c r="S626" s="80" t="s">
        <v>1281</v>
      </c>
      <c r="T626" s="100">
        <v>0.0375</v>
      </c>
      <c r="U626" s="100">
        <v>0</v>
      </c>
      <c r="V626" s="100">
        <v>0</v>
      </c>
      <c r="W626" s="100">
        <v>0</v>
      </c>
    </row>
    <row r="627" ht="15.6" spans="2:23">
      <c r="B627"/>
      <c r="C627"/>
      <c r="D627"/>
      <c r="E627"/>
      <c r="F627"/>
      <c r="G627"/>
      <c r="H627"/>
      <c r="I627"/>
      <c r="J627"/>
      <c r="K627"/>
      <c r="L627"/>
      <c r="O627" s="80" t="s">
        <v>4055</v>
      </c>
      <c r="P627" s="80" t="s">
        <v>4056</v>
      </c>
      <c r="Q627" s="80" t="s">
        <v>639</v>
      </c>
      <c r="R627" s="80">
        <v>0</v>
      </c>
      <c r="S627" s="80" t="s">
        <v>1281</v>
      </c>
      <c r="T627" s="100">
        <v>0.1875</v>
      </c>
      <c r="U627" s="100">
        <v>0</v>
      </c>
      <c r="V627" s="100">
        <v>0</v>
      </c>
      <c r="W627" s="100">
        <v>0</v>
      </c>
    </row>
    <row r="628" ht="15.6" spans="2:23">
      <c r="B628"/>
      <c r="C628"/>
      <c r="D628"/>
      <c r="E628"/>
      <c r="F628"/>
      <c r="G628"/>
      <c r="H628"/>
      <c r="I628"/>
      <c r="J628"/>
      <c r="K628"/>
      <c r="L628"/>
      <c r="O628" s="80" t="s">
        <v>4057</v>
      </c>
      <c r="P628" s="80" t="s">
        <v>4058</v>
      </c>
      <c r="Q628" s="80" t="s">
        <v>639</v>
      </c>
      <c r="R628" s="80">
        <v>0</v>
      </c>
      <c r="S628" s="80" t="s">
        <v>1281</v>
      </c>
      <c r="T628" s="100">
        <v>0.0375</v>
      </c>
      <c r="U628" s="100">
        <v>0</v>
      </c>
      <c r="V628" s="100">
        <v>0</v>
      </c>
      <c r="W628" s="100">
        <v>0</v>
      </c>
    </row>
    <row r="629" ht="15.6" spans="2:23">
      <c r="B629"/>
      <c r="C629"/>
      <c r="D629"/>
      <c r="E629"/>
      <c r="F629"/>
      <c r="G629"/>
      <c r="H629"/>
      <c r="I629"/>
      <c r="J629"/>
      <c r="K629"/>
      <c r="L629"/>
      <c r="M629" s="80" t="s">
        <v>353</v>
      </c>
      <c r="N629" s="80" t="s">
        <v>354</v>
      </c>
      <c r="O629" s="80" t="s">
        <v>1605</v>
      </c>
      <c r="P629" s="80" t="s">
        <v>4700</v>
      </c>
      <c r="Q629" s="80" t="s">
        <v>652</v>
      </c>
      <c r="R629" s="80">
        <v>0</v>
      </c>
      <c r="S629" s="80" t="s">
        <v>1178</v>
      </c>
      <c r="T629" s="100">
        <v>6</v>
      </c>
      <c r="U629" s="100">
        <v>0</v>
      </c>
      <c r="V629" s="100">
        <v>0</v>
      </c>
      <c r="W629" s="100">
        <v>0</v>
      </c>
    </row>
    <row r="630" ht="15.6" spans="2:23">
      <c r="B630"/>
      <c r="C630"/>
      <c r="D630"/>
      <c r="E630"/>
      <c r="F630"/>
      <c r="G630"/>
      <c r="H630"/>
      <c r="I630"/>
      <c r="J630"/>
      <c r="K630"/>
      <c r="L630"/>
      <c r="Q630" s="80" t="s">
        <v>654</v>
      </c>
      <c r="R630" s="80">
        <v>0</v>
      </c>
      <c r="S630" s="80" t="s">
        <v>1178</v>
      </c>
      <c r="T630" s="100">
        <v>1</v>
      </c>
      <c r="U630" s="100">
        <v>0</v>
      </c>
      <c r="V630" s="100">
        <v>0</v>
      </c>
      <c r="W630" s="100">
        <v>0</v>
      </c>
    </row>
    <row r="631" ht="15.6" spans="2:23">
      <c r="B631"/>
      <c r="C631"/>
      <c r="D631"/>
      <c r="E631"/>
      <c r="F631"/>
      <c r="G631"/>
      <c r="H631"/>
      <c r="I631"/>
      <c r="J631"/>
      <c r="K631"/>
      <c r="L631"/>
      <c r="O631" s="80" t="s">
        <v>1606</v>
      </c>
      <c r="P631" s="80" t="s">
        <v>4701</v>
      </c>
      <c r="Q631" s="80" t="s">
        <v>652</v>
      </c>
      <c r="R631" s="80">
        <v>0</v>
      </c>
      <c r="S631" s="80" t="s">
        <v>1178</v>
      </c>
      <c r="T631" s="100">
        <v>4</v>
      </c>
      <c r="U631" s="100">
        <v>0</v>
      </c>
      <c r="V631" s="100">
        <v>0</v>
      </c>
      <c r="W631" s="100">
        <v>0</v>
      </c>
    </row>
    <row r="632" ht="15.6" spans="2:23">
      <c r="B632"/>
      <c r="C632"/>
      <c r="D632"/>
      <c r="E632"/>
      <c r="F632"/>
      <c r="G632"/>
      <c r="H632"/>
      <c r="I632"/>
      <c r="J632"/>
      <c r="K632"/>
      <c r="L632"/>
      <c r="Q632" s="80" t="s">
        <v>654</v>
      </c>
      <c r="R632" s="80">
        <v>0</v>
      </c>
      <c r="S632" s="80" t="s">
        <v>1178</v>
      </c>
      <c r="T632" s="100">
        <v>4</v>
      </c>
      <c r="U632" s="100">
        <v>0</v>
      </c>
      <c r="V632" s="100">
        <v>0</v>
      </c>
      <c r="W632" s="100">
        <v>0</v>
      </c>
    </row>
    <row r="633" ht="15.6" spans="2:23">
      <c r="B633"/>
      <c r="C633"/>
      <c r="D633"/>
      <c r="E633"/>
      <c r="F633"/>
      <c r="G633"/>
      <c r="H633"/>
      <c r="I633"/>
      <c r="J633"/>
      <c r="K633"/>
      <c r="L633"/>
      <c r="M633" s="80" t="s">
        <v>355</v>
      </c>
      <c r="N633" s="80" t="s">
        <v>356</v>
      </c>
      <c r="O633" s="80" t="s">
        <v>1611</v>
      </c>
      <c r="P633" s="80" t="s">
        <v>4061</v>
      </c>
      <c r="Q633" s="80" t="s">
        <v>652</v>
      </c>
      <c r="R633" s="80">
        <v>0</v>
      </c>
      <c r="S633" s="80" t="s">
        <v>1176</v>
      </c>
      <c r="T633" s="100">
        <v>24</v>
      </c>
      <c r="U633" s="100">
        <v>0</v>
      </c>
      <c r="V633" s="100">
        <v>0</v>
      </c>
      <c r="W633" s="100">
        <v>0</v>
      </c>
    </row>
    <row r="634" ht="15.6" spans="2:23">
      <c r="B634"/>
      <c r="C634"/>
      <c r="D634"/>
      <c r="E634"/>
      <c r="F634"/>
      <c r="G634"/>
      <c r="H634"/>
      <c r="I634"/>
      <c r="J634"/>
      <c r="K634"/>
      <c r="L634"/>
      <c r="O634" s="80" t="s">
        <v>1612</v>
      </c>
      <c r="P634" s="80" t="s">
        <v>4062</v>
      </c>
      <c r="Q634" s="80" t="s">
        <v>654</v>
      </c>
      <c r="R634" s="80">
        <v>0</v>
      </c>
      <c r="S634" s="80" t="s">
        <v>1176</v>
      </c>
      <c r="T634" s="100">
        <v>4</v>
      </c>
      <c r="U634" s="100">
        <v>0</v>
      </c>
      <c r="V634" s="100">
        <v>0</v>
      </c>
      <c r="W634" s="100">
        <v>0</v>
      </c>
    </row>
    <row r="635" ht="15.6" spans="2:23">
      <c r="B635"/>
      <c r="C635"/>
      <c r="D635"/>
      <c r="E635"/>
      <c r="F635"/>
      <c r="G635"/>
      <c r="H635"/>
      <c r="I635"/>
      <c r="J635"/>
      <c r="K635"/>
      <c r="L635"/>
      <c r="M635" s="80" t="s">
        <v>357</v>
      </c>
      <c r="N635" s="80" t="s">
        <v>358</v>
      </c>
      <c r="O635" s="80" t="s">
        <v>1613</v>
      </c>
      <c r="P635" s="80" t="s">
        <v>4063</v>
      </c>
      <c r="Q635" s="80" t="s">
        <v>652</v>
      </c>
      <c r="R635" s="80">
        <v>0</v>
      </c>
      <c r="S635" s="80" t="s">
        <v>1178</v>
      </c>
      <c r="T635" s="100">
        <v>20</v>
      </c>
      <c r="U635" s="100">
        <v>0</v>
      </c>
      <c r="V635" s="100">
        <v>0</v>
      </c>
      <c r="W635" s="100">
        <v>0</v>
      </c>
    </row>
    <row r="636" ht="15.6" spans="2:23">
      <c r="B636"/>
      <c r="C636"/>
      <c r="D636"/>
      <c r="E636"/>
      <c r="F636"/>
      <c r="G636"/>
      <c r="H636"/>
      <c r="I636"/>
      <c r="J636"/>
      <c r="K636"/>
      <c r="L636"/>
      <c r="O636" s="80" t="s">
        <v>1614</v>
      </c>
      <c r="P636" s="80" t="s">
        <v>4064</v>
      </c>
      <c r="Q636" s="80" t="s">
        <v>654</v>
      </c>
      <c r="R636" s="80">
        <v>0</v>
      </c>
      <c r="S636" s="80" t="s">
        <v>1178</v>
      </c>
      <c r="T636" s="100">
        <v>4</v>
      </c>
      <c r="U636" s="100">
        <v>0</v>
      </c>
      <c r="V636" s="100">
        <v>0</v>
      </c>
      <c r="W636" s="100">
        <v>0</v>
      </c>
    </row>
    <row r="637" ht="15.6" spans="2:23">
      <c r="B637"/>
      <c r="C637"/>
      <c r="D637"/>
      <c r="E637"/>
      <c r="F637"/>
      <c r="G637"/>
      <c r="H637"/>
      <c r="I637"/>
      <c r="J637"/>
      <c r="K637"/>
      <c r="L637"/>
      <c r="M637" s="80" t="s">
        <v>359</v>
      </c>
      <c r="N637" s="80" t="s">
        <v>360</v>
      </c>
      <c r="O637" s="80" t="s">
        <v>1615</v>
      </c>
      <c r="P637" s="80" t="s">
        <v>4065</v>
      </c>
      <c r="Q637" s="80" t="s">
        <v>652</v>
      </c>
      <c r="R637" s="80">
        <v>0</v>
      </c>
      <c r="S637" s="80" t="s">
        <v>1178</v>
      </c>
      <c r="T637" s="100">
        <v>64</v>
      </c>
      <c r="U637" s="100">
        <v>0</v>
      </c>
      <c r="V637" s="100">
        <v>0</v>
      </c>
      <c r="W637" s="100">
        <v>0</v>
      </c>
    </row>
    <row r="638" ht="15.6" spans="2:23">
      <c r="B638"/>
      <c r="C638"/>
      <c r="D638"/>
      <c r="E638"/>
      <c r="F638"/>
      <c r="G638"/>
      <c r="H638"/>
      <c r="I638"/>
      <c r="J638"/>
      <c r="K638"/>
      <c r="L638"/>
      <c r="Q638" s="80" t="s">
        <v>654</v>
      </c>
      <c r="R638" s="80">
        <v>0</v>
      </c>
      <c r="S638" s="80" t="s">
        <v>1178</v>
      </c>
      <c r="T638" s="100">
        <v>24</v>
      </c>
      <c r="U638" s="100">
        <v>0</v>
      </c>
      <c r="V638" s="100">
        <v>0</v>
      </c>
      <c r="W638" s="100">
        <v>0</v>
      </c>
    </row>
    <row r="639" ht="15.6" spans="2:23">
      <c r="B639"/>
      <c r="C639"/>
      <c r="D639"/>
      <c r="E639"/>
      <c r="F639"/>
      <c r="G639"/>
      <c r="H639"/>
      <c r="I639"/>
      <c r="J639"/>
      <c r="K639"/>
      <c r="L639"/>
      <c r="O639" s="80" t="s">
        <v>1616</v>
      </c>
      <c r="P639" s="80" t="s">
        <v>4066</v>
      </c>
      <c r="Q639" s="80" t="s">
        <v>652</v>
      </c>
      <c r="R639" s="80">
        <v>0</v>
      </c>
      <c r="S639" s="80" t="s">
        <v>1178</v>
      </c>
      <c r="T639" s="100">
        <v>8</v>
      </c>
      <c r="U639" s="100">
        <v>0</v>
      </c>
      <c r="V639" s="100">
        <v>0</v>
      </c>
      <c r="W639" s="100">
        <v>0</v>
      </c>
    </row>
    <row r="640" ht="15.6" spans="2:23">
      <c r="B640"/>
      <c r="C640"/>
      <c r="D640"/>
      <c r="E640"/>
      <c r="F640"/>
      <c r="G640"/>
      <c r="H640"/>
      <c r="I640"/>
      <c r="J640"/>
      <c r="K640"/>
      <c r="L640"/>
      <c r="Q640" s="80" t="s">
        <v>654</v>
      </c>
      <c r="R640" s="80">
        <v>0</v>
      </c>
      <c r="S640" s="80" t="s">
        <v>1178</v>
      </c>
      <c r="T640" s="100">
        <v>4</v>
      </c>
      <c r="U640" s="100">
        <v>0</v>
      </c>
      <c r="V640" s="100">
        <v>0</v>
      </c>
      <c r="W640" s="100">
        <v>0</v>
      </c>
    </row>
    <row r="641" ht="15.6" spans="2:23">
      <c r="B641"/>
      <c r="C641"/>
      <c r="D641"/>
      <c r="E641"/>
      <c r="F641"/>
      <c r="G641"/>
      <c r="H641"/>
      <c r="I641"/>
      <c r="J641"/>
      <c r="K641"/>
      <c r="L641"/>
      <c r="O641" s="80" t="s">
        <v>1617</v>
      </c>
      <c r="P641" s="80" t="s">
        <v>4067</v>
      </c>
      <c r="Q641" s="80" t="s">
        <v>652</v>
      </c>
      <c r="R641" s="80">
        <v>0</v>
      </c>
      <c r="S641" s="80" t="s">
        <v>1178</v>
      </c>
      <c r="T641" s="100">
        <v>8</v>
      </c>
      <c r="U641" s="100">
        <v>0</v>
      </c>
      <c r="V641" s="100">
        <v>0</v>
      </c>
      <c r="W641" s="100">
        <v>0</v>
      </c>
    </row>
    <row r="642" ht="15.6" spans="2:23">
      <c r="B642"/>
      <c r="C642"/>
      <c r="D642"/>
      <c r="E642"/>
      <c r="F642"/>
      <c r="G642"/>
      <c r="H642"/>
      <c r="I642"/>
      <c r="J642"/>
      <c r="K642"/>
      <c r="L642"/>
      <c r="Q642" s="80" t="s">
        <v>654</v>
      </c>
      <c r="R642" s="80">
        <v>0</v>
      </c>
      <c r="S642" s="80" t="s">
        <v>1178</v>
      </c>
      <c r="T642" s="100">
        <v>4</v>
      </c>
      <c r="U642" s="100">
        <v>0</v>
      </c>
      <c r="V642" s="100">
        <v>0</v>
      </c>
      <c r="W642" s="100">
        <v>0</v>
      </c>
    </row>
    <row r="643" ht="15.6" spans="2:23">
      <c r="B643"/>
      <c r="C643"/>
      <c r="D643"/>
      <c r="E643"/>
      <c r="F643"/>
      <c r="G643"/>
      <c r="H643"/>
      <c r="I643"/>
      <c r="J643"/>
      <c r="K643"/>
      <c r="L643"/>
      <c r="O643" s="80" t="s">
        <v>1618</v>
      </c>
      <c r="P643" s="80" t="s">
        <v>4068</v>
      </c>
      <c r="Q643" s="80" t="s">
        <v>652</v>
      </c>
      <c r="R643" s="80">
        <v>0</v>
      </c>
      <c r="S643" s="80" t="s">
        <v>1178</v>
      </c>
      <c r="T643" s="100">
        <v>32</v>
      </c>
      <c r="U643" s="100">
        <v>0</v>
      </c>
      <c r="V643" s="100">
        <v>0</v>
      </c>
      <c r="W643" s="100">
        <v>0</v>
      </c>
    </row>
    <row r="644" ht="15.6" spans="2:23">
      <c r="B644"/>
      <c r="C644"/>
      <c r="D644"/>
      <c r="E644"/>
      <c r="F644"/>
      <c r="G644"/>
      <c r="H644"/>
      <c r="I644"/>
      <c r="J644"/>
      <c r="K644"/>
      <c r="L644"/>
      <c r="Q644" s="80" t="s">
        <v>654</v>
      </c>
      <c r="R644" s="80">
        <v>0</v>
      </c>
      <c r="S644" s="80" t="s">
        <v>1178</v>
      </c>
      <c r="T644" s="100">
        <v>8</v>
      </c>
      <c r="U644" s="100">
        <v>0</v>
      </c>
      <c r="V644" s="100">
        <v>0</v>
      </c>
      <c r="W644" s="100">
        <v>0</v>
      </c>
    </row>
    <row r="645" ht="15.6" spans="2:23">
      <c r="B645"/>
      <c r="C645"/>
      <c r="D645"/>
      <c r="E645"/>
      <c r="F645"/>
      <c r="G645"/>
      <c r="H645"/>
      <c r="I645"/>
      <c r="J645"/>
      <c r="K645"/>
      <c r="L645"/>
      <c r="O645" s="80" t="s">
        <v>1619</v>
      </c>
      <c r="P645" s="80" t="s">
        <v>4069</v>
      </c>
      <c r="Q645" s="80" t="s">
        <v>652</v>
      </c>
      <c r="R645" s="80">
        <v>0</v>
      </c>
      <c r="S645" s="80" t="s">
        <v>1178</v>
      </c>
      <c r="T645" s="100">
        <v>8</v>
      </c>
      <c r="U645" s="100">
        <v>0</v>
      </c>
      <c r="V645" s="100">
        <v>0</v>
      </c>
      <c r="W645" s="100">
        <v>0</v>
      </c>
    </row>
    <row r="646" ht="15.6" spans="2:23">
      <c r="B646"/>
      <c r="C646"/>
      <c r="D646"/>
      <c r="E646"/>
      <c r="F646"/>
      <c r="G646"/>
      <c r="H646"/>
      <c r="I646"/>
      <c r="J646"/>
      <c r="K646"/>
      <c r="L646"/>
      <c r="Q646" s="80" t="s">
        <v>654</v>
      </c>
      <c r="R646" s="80">
        <v>0</v>
      </c>
      <c r="S646" s="80" t="s">
        <v>1178</v>
      </c>
      <c r="T646" s="100">
        <v>8</v>
      </c>
      <c r="U646" s="100">
        <v>0</v>
      </c>
      <c r="V646" s="100">
        <v>0</v>
      </c>
      <c r="W646" s="100">
        <v>0</v>
      </c>
    </row>
    <row r="647" ht="15.6" spans="2:23">
      <c r="B647"/>
      <c r="C647"/>
      <c r="D647"/>
      <c r="E647"/>
      <c r="F647"/>
      <c r="G647"/>
      <c r="H647"/>
      <c r="I647"/>
      <c r="J647"/>
      <c r="K647"/>
      <c r="L647"/>
      <c r="M647" s="80" t="s">
        <v>361</v>
      </c>
      <c r="N647" s="80" t="s">
        <v>362</v>
      </c>
      <c r="O647" s="80" t="s">
        <v>1620</v>
      </c>
      <c r="P647" s="80" t="s">
        <v>4070</v>
      </c>
      <c r="Q647" s="80" t="s">
        <v>652</v>
      </c>
      <c r="R647" s="80">
        <v>0</v>
      </c>
      <c r="S647" s="80" t="s">
        <v>1178</v>
      </c>
      <c r="T647" s="100">
        <v>40</v>
      </c>
      <c r="U647" s="100">
        <v>0</v>
      </c>
      <c r="V647" s="100">
        <v>0</v>
      </c>
      <c r="W647" s="100">
        <v>0</v>
      </c>
    </row>
    <row r="648" ht="15.6" spans="2:23">
      <c r="B648"/>
      <c r="C648"/>
      <c r="D648"/>
      <c r="E648"/>
      <c r="F648"/>
      <c r="G648"/>
      <c r="H648"/>
      <c r="I648"/>
      <c r="J648"/>
      <c r="K648"/>
      <c r="L648"/>
      <c r="O648" s="80" t="s">
        <v>1621</v>
      </c>
      <c r="P648" s="80" t="s">
        <v>4071</v>
      </c>
      <c r="Q648" s="80" t="s">
        <v>654</v>
      </c>
      <c r="R648" s="80">
        <v>0</v>
      </c>
      <c r="S648" s="80" t="s">
        <v>1178</v>
      </c>
      <c r="T648" s="100">
        <v>8</v>
      </c>
      <c r="U648" s="100">
        <v>0</v>
      </c>
      <c r="V648" s="100">
        <v>0</v>
      </c>
      <c r="W648" s="100">
        <v>0</v>
      </c>
    </row>
    <row r="649" ht="15.6" spans="2:23">
      <c r="B649"/>
      <c r="C649"/>
      <c r="D649"/>
      <c r="E649"/>
      <c r="F649"/>
      <c r="G649"/>
      <c r="H649"/>
      <c r="I649"/>
      <c r="J649"/>
      <c r="K649"/>
      <c r="L649"/>
      <c r="M649" s="80" t="s">
        <v>363</v>
      </c>
      <c r="N649" s="80" t="s">
        <v>364</v>
      </c>
      <c r="O649" s="80" t="s">
        <v>1635</v>
      </c>
      <c r="P649" s="80" t="s">
        <v>364</v>
      </c>
      <c r="Q649" s="80" t="s">
        <v>654</v>
      </c>
      <c r="R649" s="80">
        <v>0</v>
      </c>
      <c r="S649" s="80" t="s">
        <v>1220</v>
      </c>
      <c r="T649" s="100">
        <v>2</v>
      </c>
      <c r="U649" s="100">
        <v>0</v>
      </c>
      <c r="V649" s="100">
        <v>0</v>
      </c>
      <c r="W649" s="100">
        <v>0</v>
      </c>
    </row>
    <row r="650" ht="15.6" spans="2:23">
      <c r="B650"/>
      <c r="C650"/>
      <c r="D650"/>
      <c r="E650"/>
      <c r="F650"/>
      <c r="G650"/>
      <c r="H650"/>
      <c r="I650"/>
      <c r="J650"/>
      <c r="K650"/>
      <c r="L650"/>
      <c r="M650" s="80" t="s">
        <v>365</v>
      </c>
      <c r="N650" s="80" t="s">
        <v>366</v>
      </c>
      <c r="O650" s="80" t="s">
        <v>1636</v>
      </c>
      <c r="P650" s="80" t="s">
        <v>4072</v>
      </c>
      <c r="Q650" s="80" t="s">
        <v>620</v>
      </c>
      <c r="R650" s="80">
        <v>0</v>
      </c>
      <c r="S650" s="80" t="s">
        <v>1176</v>
      </c>
      <c r="T650" s="100">
        <v>20</v>
      </c>
      <c r="U650" s="100">
        <v>0</v>
      </c>
      <c r="V650" s="100">
        <v>0</v>
      </c>
      <c r="W650" s="100">
        <v>0</v>
      </c>
    </row>
    <row r="651" ht="15.6" spans="2:23">
      <c r="B651"/>
      <c r="C651"/>
      <c r="D651"/>
      <c r="E651"/>
      <c r="F651"/>
      <c r="G651"/>
      <c r="H651"/>
      <c r="I651"/>
      <c r="J651"/>
      <c r="K651"/>
      <c r="L651"/>
      <c r="Q651" s="80" t="s">
        <v>622</v>
      </c>
      <c r="R651" s="80">
        <v>0</v>
      </c>
      <c r="S651" s="80" t="s">
        <v>1176</v>
      </c>
      <c r="T651" s="100">
        <v>2</v>
      </c>
      <c r="U651" s="100">
        <v>0</v>
      </c>
      <c r="V651" s="100">
        <v>0</v>
      </c>
      <c r="W651" s="100">
        <v>0</v>
      </c>
    </row>
    <row r="652" ht="15.6" spans="2:23">
      <c r="B652"/>
      <c r="C652"/>
      <c r="D652"/>
      <c r="E652"/>
      <c r="F652"/>
      <c r="G652"/>
      <c r="H652"/>
      <c r="I652"/>
      <c r="J652"/>
      <c r="K652"/>
      <c r="L652"/>
      <c r="M652" s="80" t="s">
        <v>367</v>
      </c>
      <c r="N652" s="80" t="s">
        <v>368</v>
      </c>
      <c r="O652" s="80" t="s">
        <v>1637</v>
      </c>
      <c r="P652" s="80" t="s">
        <v>368</v>
      </c>
      <c r="Q652" s="80" t="s">
        <v>620</v>
      </c>
      <c r="R652" s="80">
        <v>0</v>
      </c>
      <c r="S652" s="80" t="s">
        <v>1176</v>
      </c>
      <c r="T652" s="100">
        <v>32</v>
      </c>
      <c r="U652" s="100">
        <v>0</v>
      </c>
      <c r="V652" s="100">
        <v>0</v>
      </c>
      <c r="W652" s="100">
        <v>0</v>
      </c>
    </row>
    <row r="653" ht="15.6" spans="2:23">
      <c r="B653"/>
      <c r="C653"/>
      <c r="D653"/>
      <c r="E653"/>
      <c r="F653"/>
      <c r="G653"/>
      <c r="H653"/>
      <c r="I653"/>
      <c r="J653"/>
      <c r="K653"/>
      <c r="L653"/>
      <c r="Q653" s="80" t="s">
        <v>622</v>
      </c>
      <c r="R653" s="80">
        <v>0</v>
      </c>
      <c r="S653" s="80" t="s">
        <v>1176</v>
      </c>
      <c r="T653" s="100">
        <v>6</v>
      </c>
      <c r="U653" s="100">
        <v>0</v>
      </c>
      <c r="V653" s="100">
        <v>0</v>
      </c>
      <c r="W653" s="100">
        <v>0</v>
      </c>
    </row>
    <row r="654" ht="15.6" spans="2:23">
      <c r="B654"/>
      <c r="C654"/>
      <c r="D654"/>
      <c r="E654"/>
      <c r="F654"/>
      <c r="G654"/>
      <c r="H654"/>
      <c r="I654"/>
      <c r="J654"/>
      <c r="K654"/>
      <c r="L654"/>
      <c r="M654" s="80" t="s">
        <v>369</v>
      </c>
      <c r="N654" s="80" t="s">
        <v>370</v>
      </c>
      <c r="O654" s="80" t="s">
        <v>1638</v>
      </c>
      <c r="P654" s="80" t="s">
        <v>370</v>
      </c>
      <c r="Q654" s="80" t="s">
        <v>620</v>
      </c>
      <c r="R654" s="80">
        <v>0</v>
      </c>
      <c r="S654" s="80" t="s">
        <v>1176</v>
      </c>
      <c r="T654" s="100">
        <v>24</v>
      </c>
      <c r="U654" s="100">
        <v>0</v>
      </c>
      <c r="V654" s="100">
        <v>0</v>
      </c>
      <c r="W654" s="100">
        <v>0</v>
      </c>
    </row>
    <row r="655" ht="15.6" spans="2:23">
      <c r="B655"/>
      <c r="C655"/>
      <c r="D655"/>
      <c r="E655"/>
      <c r="F655"/>
      <c r="G655"/>
      <c r="H655"/>
      <c r="I655"/>
      <c r="J655"/>
      <c r="K655"/>
      <c r="L655"/>
      <c r="M655" s="80" t="s">
        <v>371</v>
      </c>
      <c r="N655" s="80" t="s">
        <v>372</v>
      </c>
      <c r="O655" s="80" t="s">
        <v>1639</v>
      </c>
      <c r="P655" s="80" t="s">
        <v>4073</v>
      </c>
      <c r="Q655" s="80" t="s">
        <v>624</v>
      </c>
      <c r="R655" s="80">
        <v>0</v>
      </c>
      <c r="S655" s="80" t="s">
        <v>1178</v>
      </c>
      <c r="T655" s="100">
        <v>8</v>
      </c>
      <c r="U655" s="100">
        <v>0</v>
      </c>
      <c r="V655" s="100">
        <v>0</v>
      </c>
      <c r="W655" s="100">
        <v>0</v>
      </c>
    </row>
    <row r="656" ht="15.6" spans="2:23">
      <c r="B656"/>
      <c r="C656"/>
      <c r="D656"/>
      <c r="E656"/>
      <c r="F656"/>
      <c r="G656"/>
      <c r="H656"/>
      <c r="I656"/>
      <c r="J656"/>
      <c r="K656"/>
      <c r="L656"/>
      <c r="O656" s="80" t="s">
        <v>1640</v>
      </c>
      <c r="P656" s="80" t="s">
        <v>4074</v>
      </c>
      <c r="Q656" s="80" t="s">
        <v>624</v>
      </c>
      <c r="R656" s="80">
        <v>0</v>
      </c>
      <c r="S656" s="80" t="s">
        <v>1178</v>
      </c>
      <c r="T656" s="100">
        <v>8</v>
      </c>
      <c r="U656" s="100">
        <v>0</v>
      </c>
      <c r="V656" s="100">
        <v>0</v>
      </c>
      <c r="W656" s="100">
        <v>0</v>
      </c>
    </row>
    <row r="657" ht="15.6" spans="2:23">
      <c r="B657"/>
      <c r="C657"/>
      <c r="D657"/>
      <c r="E657"/>
      <c r="F657"/>
      <c r="G657"/>
      <c r="H657"/>
      <c r="I657"/>
      <c r="J657"/>
      <c r="K657"/>
      <c r="L657"/>
      <c r="M657" s="80" t="s">
        <v>373</v>
      </c>
      <c r="N657" s="80" t="s">
        <v>374</v>
      </c>
      <c r="O657" s="80" t="s">
        <v>1641</v>
      </c>
      <c r="P657" s="80" t="s">
        <v>4075</v>
      </c>
      <c r="Q657" s="80" t="s">
        <v>620</v>
      </c>
      <c r="R657" s="80">
        <v>0</v>
      </c>
      <c r="S657" s="80" t="s">
        <v>1178</v>
      </c>
      <c r="T657" s="100">
        <v>8</v>
      </c>
      <c r="U657" s="100">
        <v>0</v>
      </c>
      <c r="V657" s="100">
        <v>0</v>
      </c>
      <c r="W657" s="100">
        <v>0</v>
      </c>
    </row>
    <row r="658" ht="15.6" spans="2:23">
      <c r="B658"/>
      <c r="C658"/>
      <c r="D658"/>
      <c r="E658"/>
      <c r="F658"/>
      <c r="G658"/>
      <c r="H658"/>
      <c r="I658"/>
      <c r="J658"/>
      <c r="K658"/>
      <c r="L658"/>
      <c r="O658" s="80" t="s">
        <v>1642</v>
      </c>
      <c r="P658" s="80" t="s">
        <v>4076</v>
      </c>
      <c r="Q658" s="80" t="s">
        <v>620</v>
      </c>
      <c r="R658" s="80">
        <v>0</v>
      </c>
      <c r="S658" s="80" t="s">
        <v>1178</v>
      </c>
      <c r="T658" s="100">
        <v>4</v>
      </c>
      <c r="U658" s="100">
        <v>0</v>
      </c>
      <c r="V658" s="100">
        <v>0</v>
      </c>
      <c r="W658" s="100">
        <v>0</v>
      </c>
    </row>
    <row r="659" ht="15.6" spans="2:23">
      <c r="B659"/>
      <c r="C659"/>
      <c r="D659"/>
      <c r="E659"/>
      <c r="F659"/>
      <c r="G659"/>
      <c r="H659"/>
      <c r="I659"/>
      <c r="J659"/>
      <c r="K659"/>
      <c r="L659"/>
      <c r="O659" s="80" t="s">
        <v>1643</v>
      </c>
      <c r="P659" s="80" t="s">
        <v>4077</v>
      </c>
      <c r="Q659" s="80" t="s">
        <v>620</v>
      </c>
      <c r="R659" s="80">
        <v>0</v>
      </c>
      <c r="S659" s="80" t="s">
        <v>1178</v>
      </c>
      <c r="T659" s="100">
        <v>4</v>
      </c>
      <c r="U659" s="100">
        <v>0</v>
      </c>
      <c r="V659" s="100">
        <v>0</v>
      </c>
      <c r="W659" s="100">
        <v>0</v>
      </c>
    </row>
    <row r="660" ht="15.6" spans="2:23">
      <c r="B660"/>
      <c r="C660"/>
      <c r="D660"/>
      <c r="E660"/>
      <c r="F660"/>
      <c r="G660"/>
      <c r="H660"/>
      <c r="I660"/>
      <c r="J660"/>
      <c r="K660"/>
      <c r="L660"/>
      <c r="O660" s="80" t="s">
        <v>1644</v>
      </c>
      <c r="P660" s="80" t="s">
        <v>4078</v>
      </c>
      <c r="Q660" s="80" t="s">
        <v>620</v>
      </c>
      <c r="R660" s="80">
        <v>0</v>
      </c>
      <c r="S660" s="80" t="s">
        <v>1178</v>
      </c>
      <c r="T660" s="100">
        <v>16</v>
      </c>
      <c r="U660" s="100">
        <v>0</v>
      </c>
      <c r="V660" s="100">
        <v>0</v>
      </c>
      <c r="W660" s="100">
        <v>0</v>
      </c>
    </row>
    <row r="661" ht="15.6" spans="2:23">
      <c r="B661"/>
      <c r="C661"/>
      <c r="D661"/>
      <c r="E661"/>
      <c r="F661"/>
      <c r="G661"/>
      <c r="H661"/>
      <c r="I661"/>
      <c r="J661"/>
      <c r="K661"/>
      <c r="L661"/>
      <c r="O661" s="80" t="s">
        <v>1645</v>
      </c>
      <c r="P661" s="80" t="s">
        <v>4080</v>
      </c>
      <c r="Q661" s="80" t="s">
        <v>620</v>
      </c>
      <c r="R661" s="80">
        <v>0</v>
      </c>
      <c r="S661" s="80" t="s">
        <v>1178</v>
      </c>
      <c r="T661" s="100">
        <v>4</v>
      </c>
      <c r="U661" s="100">
        <v>0</v>
      </c>
      <c r="V661" s="100">
        <v>0</v>
      </c>
      <c r="W661" s="100">
        <v>0</v>
      </c>
    </row>
    <row r="662" ht="15.6" spans="2:23">
      <c r="B662"/>
      <c r="C662"/>
      <c r="D662"/>
      <c r="E662"/>
      <c r="F662"/>
      <c r="G662"/>
      <c r="H662"/>
      <c r="I662"/>
      <c r="J662"/>
      <c r="K662"/>
      <c r="L662"/>
      <c r="Q662" s="80" t="s">
        <v>622</v>
      </c>
      <c r="R662" s="80">
        <v>0</v>
      </c>
      <c r="S662" s="80" t="s">
        <v>1178</v>
      </c>
      <c r="T662" s="100">
        <v>1</v>
      </c>
      <c r="U662" s="100">
        <v>0</v>
      </c>
      <c r="V662" s="100">
        <v>0</v>
      </c>
      <c r="W662" s="100">
        <v>0</v>
      </c>
    </row>
    <row r="663" ht="15.6" spans="2:23">
      <c r="B663"/>
      <c r="C663"/>
      <c r="D663"/>
      <c r="E663"/>
      <c r="F663"/>
      <c r="G663"/>
      <c r="H663"/>
      <c r="I663"/>
      <c r="J663"/>
      <c r="K663"/>
      <c r="L663"/>
      <c r="Q663" s="80" t="s">
        <v>624</v>
      </c>
      <c r="R663" s="80">
        <v>0</v>
      </c>
      <c r="S663" s="80" t="s">
        <v>1178</v>
      </c>
      <c r="T663" s="100">
        <v>4</v>
      </c>
      <c r="U663" s="100">
        <v>0</v>
      </c>
      <c r="V663" s="100">
        <v>0</v>
      </c>
      <c r="W663" s="100">
        <v>0</v>
      </c>
    </row>
    <row r="664" ht="15.6" spans="2:23">
      <c r="B664"/>
      <c r="C664"/>
      <c r="D664"/>
      <c r="E664"/>
      <c r="F664"/>
      <c r="G664"/>
      <c r="H664"/>
      <c r="I664"/>
      <c r="J664"/>
      <c r="K664"/>
      <c r="L664"/>
      <c r="O664" s="80" t="s">
        <v>1646</v>
      </c>
      <c r="P664" s="80" t="s">
        <v>4081</v>
      </c>
      <c r="Q664" s="80" t="s">
        <v>620</v>
      </c>
      <c r="R664" s="80">
        <v>0</v>
      </c>
      <c r="S664" s="80" t="s">
        <v>1178</v>
      </c>
      <c r="T664" s="100">
        <v>4</v>
      </c>
      <c r="U664" s="100">
        <v>0</v>
      </c>
      <c r="V664" s="100">
        <v>0</v>
      </c>
      <c r="W664" s="100">
        <v>0</v>
      </c>
    </row>
    <row r="665" ht="15.6" spans="2:23">
      <c r="B665"/>
      <c r="C665"/>
      <c r="D665"/>
      <c r="E665"/>
      <c r="F665"/>
      <c r="G665"/>
      <c r="H665"/>
      <c r="I665"/>
      <c r="J665"/>
      <c r="K665"/>
      <c r="L665"/>
      <c r="M665" s="80" t="s">
        <v>375</v>
      </c>
      <c r="N665" s="80" t="s">
        <v>376</v>
      </c>
      <c r="O665" s="80" t="s">
        <v>1647</v>
      </c>
      <c r="P665" s="80" t="s">
        <v>376</v>
      </c>
      <c r="Q665" s="80" t="s">
        <v>620</v>
      </c>
      <c r="R665" s="80">
        <v>0</v>
      </c>
      <c r="S665" s="80" t="s">
        <v>1178</v>
      </c>
      <c r="T665" s="100">
        <v>5</v>
      </c>
      <c r="U665" s="100">
        <v>0</v>
      </c>
      <c r="V665" s="100">
        <v>0</v>
      </c>
      <c r="W665" s="100">
        <v>0</v>
      </c>
    </row>
    <row r="666" ht="15.6" spans="2:23">
      <c r="B666"/>
      <c r="C666"/>
      <c r="D666"/>
      <c r="E666"/>
      <c r="F666"/>
      <c r="G666"/>
      <c r="H666"/>
      <c r="I666"/>
      <c r="J666"/>
      <c r="K666"/>
      <c r="L666"/>
      <c r="M666" s="80" t="s">
        <v>377</v>
      </c>
      <c r="N666" s="80" t="s">
        <v>378</v>
      </c>
      <c r="O666" s="80" t="s">
        <v>1648</v>
      </c>
      <c r="P666" s="80" t="s">
        <v>4082</v>
      </c>
      <c r="Q666" s="80" t="s">
        <v>624</v>
      </c>
      <c r="R666" s="80">
        <v>0</v>
      </c>
      <c r="S666" s="80" t="s">
        <v>1671</v>
      </c>
      <c r="T666" s="100">
        <v>1.5</v>
      </c>
      <c r="U666" s="100">
        <v>0</v>
      </c>
      <c r="V666" s="100">
        <v>0</v>
      </c>
      <c r="W666" s="100">
        <v>0</v>
      </c>
    </row>
    <row r="667" ht="15.6" spans="2:23">
      <c r="B667"/>
      <c r="C667"/>
      <c r="D667"/>
      <c r="E667"/>
      <c r="F667"/>
      <c r="G667"/>
      <c r="H667"/>
      <c r="I667"/>
      <c r="J667"/>
      <c r="K667"/>
      <c r="L667"/>
      <c r="O667" s="80" t="s">
        <v>1649</v>
      </c>
      <c r="P667" s="80" t="s">
        <v>4083</v>
      </c>
      <c r="Q667" s="80" t="s">
        <v>620</v>
      </c>
      <c r="R667" s="80">
        <v>0</v>
      </c>
      <c r="S667" s="80" t="s">
        <v>1671</v>
      </c>
      <c r="T667" s="100">
        <v>1</v>
      </c>
      <c r="U667" s="100">
        <v>0</v>
      </c>
      <c r="V667" s="100">
        <v>0</v>
      </c>
      <c r="W667" s="100">
        <v>0</v>
      </c>
    </row>
    <row r="668" ht="15.6" spans="2:23">
      <c r="B668"/>
      <c r="C668"/>
      <c r="D668"/>
      <c r="E668"/>
      <c r="F668"/>
      <c r="G668"/>
      <c r="H668"/>
      <c r="I668"/>
      <c r="J668"/>
      <c r="K668"/>
      <c r="L668"/>
      <c r="O668" s="80" t="s">
        <v>1650</v>
      </c>
      <c r="P668" s="80" t="s">
        <v>4084</v>
      </c>
      <c r="Q668" s="80" t="s">
        <v>622</v>
      </c>
      <c r="R668" s="80">
        <v>0</v>
      </c>
      <c r="S668" s="80" t="s">
        <v>1671</v>
      </c>
      <c r="T668" s="100">
        <v>1.5</v>
      </c>
      <c r="U668" s="100">
        <v>0</v>
      </c>
      <c r="V668" s="100">
        <v>0</v>
      </c>
      <c r="W668" s="100">
        <v>0</v>
      </c>
    </row>
    <row r="669" ht="15.6" spans="2:23">
      <c r="B669"/>
      <c r="C669"/>
      <c r="D669"/>
      <c r="E669"/>
      <c r="F669"/>
      <c r="G669"/>
      <c r="H669"/>
      <c r="I669"/>
      <c r="J669"/>
      <c r="K669"/>
      <c r="L669"/>
      <c r="O669" s="80" t="s">
        <v>1651</v>
      </c>
      <c r="P669" s="80" t="s">
        <v>4085</v>
      </c>
      <c r="Q669" s="80" t="s">
        <v>624</v>
      </c>
      <c r="R669" s="80">
        <v>0</v>
      </c>
      <c r="S669" s="80" t="s">
        <v>1671</v>
      </c>
      <c r="T669" s="100">
        <v>1</v>
      </c>
      <c r="U669" s="100">
        <v>0</v>
      </c>
      <c r="V669" s="100">
        <v>0</v>
      </c>
      <c r="W669" s="100">
        <v>0</v>
      </c>
    </row>
    <row r="670" ht="15.6" spans="2:23">
      <c r="B670"/>
      <c r="C670"/>
      <c r="D670"/>
      <c r="E670"/>
      <c r="F670"/>
      <c r="G670"/>
      <c r="H670"/>
      <c r="I670"/>
      <c r="J670"/>
      <c r="K670"/>
      <c r="L670"/>
      <c r="O670" s="80" t="s">
        <v>1652</v>
      </c>
      <c r="P670" s="80" t="s">
        <v>4086</v>
      </c>
      <c r="Q670" s="80" t="s">
        <v>620</v>
      </c>
      <c r="R670" s="80">
        <v>0</v>
      </c>
      <c r="S670" s="80" t="s">
        <v>1671</v>
      </c>
      <c r="T670" s="100">
        <v>0.5</v>
      </c>
      <c r="U670" s="100">
        <v>0</v>
      </c>
      <c r="V670" s="100">
        <v>0</v>
      </c>
      <c r="W670" s="100">
        <v>0</v>
      </c>
    </row>
    <row r="671" ht="15.6" spans="2:23">
      <c r="B671"/>
      <c r="C671"/>
      <c r="D671"/>
      <c r="E671"/>
      <c r="F671"/>
      <c r="G671"/>
      <c r="H671"/>
      <c r="I671"/>
      <c r="J671"/>
      <c r="K671"/>
      <c r="L671"/>
      <c r="O671" s="80" t="s">
        <v>1653</v>
      </c>
      <c r="P671" s="80" t="s">
        <v>4087</v>
      </c>
      <c r="Q671" s="80" t="s">
        <v>620</v>
      </c>
      <c r="R671" s="80">
        <v>0</v>
      </c>
      <c r="S671" s="80" t="s">
        <v>1671</v>
      </c>
      <c r="T671" s="100">
        <v>2</v>
      </c>
      <c r="U671" s="100">
        <v>0</v>
      </c>
      <c r="V671" s="100">
        <v>0</v>
      </c>
      <c r="W671" s="100">
        <v>0</v>
      </c>
    </row>
    <row r="672" ht="15.6" spans="2:23">
      <c r="B672"/>
      <c r="C672"/>
      <c r="D672"/>
      <c r="E672"/>
      <c r="F672"/>
      <c r="G672"/>
      <c r="H672"/>
      <c r="I672"/>
      <c r="J672"/>
      <c r="K672"/>
      <c r="L672"/>
      <c r="O672" s="80" t="s">
        <v>4088</v>
      </c>
      <c r="P672" s="80" t="s">
        <v>4089</v>
      </c>
      <c r="Q672" s="80" t="s">
        <v>624</v>
      </c>
      <c r="R672" s="80">
        <v>0</v>
      </c>
      <c r="S672" s="80" t="s">
        <v>1671</v>
      </c>
      <c r="T672" s="100">
        <v>3</v>
      </c>
      <c r="U672" s="100">
        <v>0</v>
      </c>
      <c r="V672" s="100">
        <v>0</v>
      </c>
      <c r="W672" s="100">
        <v>0</v>
      </c>
    </row>
    <row r="673" ht="15.6" spans="2:23">
      <c r="B673"/>
      <c r="C673"/>
      <c r="D673"/>
      <c r="E673"/>
      <c r="F673"/>
      <c r="G673"/>
      <c r="H673"/>
      <c r="I673"/>
      <c r="J673"/>
      <c r="K673"/>
      <c r="L673"/>
      <c r="O673" s="80" t="s">
        <v>4090</v>
      </c>
      <c r="P673" s="80" t="s">
        <v>4091</v>
      </c>
      <c r="Q673" s="80" t="s">
        <v>624</v>
      </c>
      <c r="R673" s="80">
        <v>0</v>
      </c>
      <c r="S673" s="80" t="s">
        <v>1671</v>
      </c>
      <c r="T673" s="100">
        <v>1</v>
      </c>
      <c r="U673" s="100">
        <v>0</v>
      </c>
      <c r="V673" s="100">
        <v>0</v>
      </c>
      <c r="W673" s="100">
        <v>0</v>
      </c>
    </row>
    <row r="674" ht="15.6" spans="2:23">
      <c r="B674"/>
      <c r="C674"/>
      <c r="D674"/>
      <c r="E674"/>
      <c r="F674"/>
      <c r="G674"/>
      <c r="H674"/>
      <c r="I674"/>
      <c r="J674"/>
      <c r="K674"/>
      <c r="L674"/>
      <c r="O674" s="80" t="s">
        <v>4093</v>
      </c>
      <c r="P674" s="80" t="s">
        <v>4094</v>
      </c>
      <c r="Q674" s="80" t="s">
        <v>624</v>
      </c>
      <c r="R674" s="80">
        <v>0</v>
      </c>
      <c r="S674" s="80" t="s">
        <v>1671</v>
      </c>
      <c r="T674" s="100">
        <v>3</v>
      </c>
      <c r="U674" s="100">
        <v>0</v>
      </c>
      <c r="V674" s="100">
        <v>0</v>
      </c>
      <c r="W674" s="100">
        <v>0</v>
      </c>
    </row>
    <row r="675" ht="15.6" spans="2:23">
      <c r="B675"/>
      <c r="C675"/>
      <c r="D675"/>
      <c r="E675"/>
      <c r="F675"/>
      <c r="G675"/>
      <c r="H675"/>
      <c r="I675"/>
      <c r="J675"/>
      <c r="K675"/>
      <c r="L675"/>
      <c r="M675" s="80" t="s">
        <v>379</v>
      </c>
      <c r="N675" s="80" t="s">
        <v>380</v>
      </c>
      <c r="O675" s="80" t="s">
        <v>1654</v>
      </c>
      <c r="P675" s="80" t="s">
        <v>380</v>
      </c>
      <c r="Q675" s="80" t="s">
        <v>620</v>
      </c>
      <c r="R675" s="80">
        <v>0</v>
      </c>
      <c r="S675" s="80" t="s">
        <v>1657</v>
      </c>
      <c r="T675" s="100">
        <v>16</v>
      </c>
      <c r="U675" s="100">
        <v>0</v>
      </c>
      <c r="V675" s="100">
        <v>0</v>
      </c>
      <c r="W675" s="100">
        <v>0</v>
      </c>
    </row>
    <row r="676" ht="15.6" spans="2:23">
      <c r="B676"/>
      <c r="C676"/>
      <c r="D676"/>
      <c r="E676"/>
      <c r="F676"/>
      <c r="G676"/>
      <c r="H676"/>
      <c r="I676"/>
      <c r="J676"/>
      <c r="K676"/>
      <c r="L676"/>
      <c r="M676" s="80" t="s">
        <v>381</v>
      </c>
      <c r="N676" s="80" t="s">
        <v>382</v>
      </c>
      <c r="O676" s="80" t="s">
        <v>1655</v>
      </c>
      <c r="P676" s="80" t="s">
        <v>4702</v>
      </c>
      <c r="Q676" s="80" t="s">
        <v>620</v>
      </c>
      <c r="R676" s="80">
        <v>0</v>
      </c>
      <c r="S676" s="80" t="s">
        <v>1671</v>
      </c>
      <c r="T676" s="100">
        <v>0.5</v>
      </c>
      <c r="U676" s="100">
        <v>0</v>
      </c>
      <c r="V676" s="100">
        <v>0</v>
      </c>
      <c r="W676" s="100">
        <v>0</v>
      </c>
    </row>
    <row r="677" ht="15.6" spans="2:23">
      <c r="B677"/>
      <c r="C677"/>
      <c r="D677"/>
      <c r="E677"/>
      <c r="F677"/>
      <c r="G677"/>
      <c r="H677"/>
      <c r="I677"/>
      <c r="J677"/>
      <c r="K677"/>
      <c r="L677"/>
      <c r="O677" s="80" t="s">
        <v>4097</v>
      </c>
      <c r="P677" s="80" t="s">
        <v>4098</v>
      </c>
      <c r="Q677" s="80" t="s">
        <v>620</v>
      </c>
      <c r="R677" s="80">
        <v>0</v>
      </c>
      <c r="S677" s="80" t="s">
        <v>1671</v>
      </c>
      <c r="T677" s="100">
        <v>0.5</v>
      </c>
      <c r="U677" s="100">
        <v>0</v>
      </c>
      <c r="V677" s="100">
        <v>0</v>
      </c>
      <c r="W677" s="100">
        <v>0</v>
      </c>
    </row>
    <row r="678" ht="15.6" spans="2:23">
      <c r="B678"/>
      <c r="C678"/>
      <c r="D678"/>
      <c r="E678"/>
      <c r="F678"/>
      <c r="G678"/>
      <c r="H678"/>
      <c r="I678"/>
      <c r="J678"/>
      <c r="K678"/>
      <c r="L678"/>
      <c r="M678" s="80" t="s">
        <v>383</v>
      </c>
      <c r="N678" s="80" t="s">
        <v>384</v>
      </c>
      <c r="O678" s="80" t="s">
        <v>4099</v>
      </c>
      <c r="P678" s="80" t="s">
        <v>384</v>
      </c>
      <c r="Q678" s="80" t="s">
        <v>620</v>
      </c>
      <c r="R678" s="80">
        <v>0</v>
      </c>
      <c r="S678" s="80" t="s">
        <v>1671</v>
      </c>
      <c r="T678" s="100">
        <v>0.5</v>
      </c>
      <c r="U678" s="100">
        <v>0</v>
      </c>
      <c r="V678" s="100">
        <v>0</v>
      </c>
      <c r="W678" s="100">
        <v>0</v>
      </c>
    </row>
    <row r="679" ht="15.6" spans="2:23">
      <c r="B679"/>
      <c r="C679"/>
      <c r="D679"/>
      <c r="E679"/>
      <c r="F679"/>
      <c r="G679"/>
      <c r="H679"/>
      <c r="I679"/>
      <c r="J679"/>
      <c r="K679"/>
      <c r="L679"/>
      <c r="M679" s="80" t="s">
        <v>385</v>
      </c>
      <c r="N679" s="80" t="s">
        <v>386</v>
      </c>
      <c r="O679" s="80" t="s">
        <v>1656</v>
      </c>
      <c r="P679" s="80" t="s">
        <v>386</v>
      </c>
      <c r="Q679" s="80" t="s">
        <v>620</v>
      </c>
      <c r="R679" s="80">
        <v>0</v>
      </c>
      <c r="S679" s="80" t="s">
        <v>1657</v>
      </c>
      <c r="T679" s="100">
        <v>7</v>
      </c>
      <c r="U679" s="100">
        <v>0</v>
      </c>
      <c r="V679" s="100">
        <v>0</v>
      </c>
      <c r="W679" s="100">
        <v>0</v>
      </c>
    </row>
    <row r="680" ht="15.6" spans="2:23">
      <c r="B680"/>
      <c r="C680"/>
      <c r="D680"/>
      <c r="E680"/>
      <c r="F680"/>
      <c r="G680"/>
      <c r="H680"/>
      <c r="I680"/>
      <c r="J680"/>
      <c r="K680"/>
      <c r="L680"/>
      <c r="M680" s="80" t="s">
        <v>387</v>
      </c>
      <c r="N680" s="80" t="s">
        <v>388</v>
      </c>
      <c r="O680" s="80" t="s">
        <v>1658</v>
      </c>
      <c r="P680" s="80" t="s">
        <v>388</v>
      </c>
      <c r="Q680" s="80" t="s">
        <v>624</v>
      </c>
      <c r="R680" s="80">
        <v>0</v>
      </c>
      <c r="S680" s="80" t="s">
        <v>1178</v>
      </c>
      <c r="T680" s="100">
        <v>8</v>
      </c>
      <c r="U680" s="100">
        <v>0</v>
      </c>
      <c r="V680" s="100">
        <v>0</v>
      </c>
      <c r="W680" s="100">
        <v>0</v>
      </c>
    </row>
    <row r="681" ht="15.6" spans="2:23">
      <c r="B681"/>
      <c r="C681"/>
      <c r="D681"/>
      <c r="E681"/>
      <c r="F681"/>
      <c r="G681"/>
      <c r="H681"/>
      <c r="I681"/>
      <c r="J681"/>
      <c r="K681"/>
      <c r="L681"/>
      <c r="M681" s="80" t="s">
        <v>389</v>
      </c>
      <c r="N681" s="80" t="s">
        <v>390</v>
      </c>
      <c r="O681" s="80" t="s">
        <v>1659</v>
      </c>
      <c r="P681" s="80" t="s">
        <v>4102</v>
      </c>
      <c r="Q681" s="80" t="s">
        <v>620</v>
      </c>
      <c r="R681" s="80">
        <v>0</v>
      </c>
      <c r="S681" s="80" t="s">
        <v>1176</v>
      </c>
      <c r="T681" s="100">
        <v>4</v>
      </c>
      <c r="U681" s="100">
        <v>0</v>
      </c>
      <c r="V681" s="100">
        <v>0</v>
      </c>
      <c r="W681" s="100">
        <v>0</v>
      </c>
    </row>
    <row r="682" ht="15.6" spans="2:23">
      <c r="B682"/>
      <c r="C682"/>
      <c r="D682"/>
      <c r="E682"/>
      <c r="F682"/>
      <c r="G682"/>
      <c r="H682"/>
      <c r="I682"/>
      <c r="J682"/>
      <c r="K682"/>
      <c r="L682"/>
      <c r="O682" s="80" t="s">
        <v>1660</v>
      </c>
      <c r="P682" s="80" t="s">
        <v>4103</v>
      </c>
      <c r="Q682" s="80" t="s">
        <v>620</v>
      </c>
      <c r="R682" s="80">
        <v>0</v>
      </c>
      <c r="S682" s="80" t="s">
        <v>1176</v>
      </c>
      <c r="T682" s="100">
        <v>2</v>
      </c>
      <c r="U682" s="100">
        <v>0</v>
      </c>
      <c r="V682" s="100">
        <v>0</v>
      </c>
      <c r="W682" s="100">
        <v>0</v>
      </c>
    </row>
    <row r="683" ht="15.6" spans="2:23">
      <c r="B683"/>
      <c r="C683"/>
      <c r="D683"/>
      <c r="E683"/>
      <c r="F683"/>
      <c r="G683"/>
      <c r="H683"/>
      <c r="I683"/>
      <c r="J683"/>
      <c r="K683"/>
      <c r="L683"/>
      <c r="Q683" s="80" t="s">
        <v>622</v>
      </c>
      <c r="R683" s="80">
        <v>0</v>
      </c>
      <c r="S683" s="80" t="s">
        <v>1176</v>
      </c>
      <c r="T683" s="100">
        <v>2</v>
      </c>
      <c r="U683" s="100">
        <v>0</v>
      </c>
      <c r="V683" s="100">
        <v>0</v>
      </c>
      <c r="W683" s="100">
        <v>0</v>
      </c>
    </row>
    <row r="684" ht="15.6" spans="2:23">
      <c r="B684"/>
      <c r="C684"/>
      <c r="D684"/>
      <c r="E684"/>
      <c r="F684"/>
      <c r="G684"/>
      <c r="H684"/>
      <c r="I684"/>
      <c r="J684"/>
      <c r="K684"/>
      <c r="L684"/>
      <c r="O684" s="80" t="s">
        <v>1661</v>
      </c>
      <c r="P684" s="80" t="s">
        <v>4104</v>
      </c>
      <c r="Q684" s="80" t="s">
        <v>633</v>
      </c>
      <c r="R684" s="80">
        <v>0</v>
      </c>
      <c r="S684" s="80" t="s">
        <v>1176</v>
      </c>
      <c r="T684" s="100">
        <v>1.5</v>
      </c>
      <c r="U684" s="100">
        <v>0</v>
      </c>
      <c r="V684" s="100">
        <v>0</v>
      </c>
      <c r="W684" s="100">
        <v>0</v>
      </c>
    </row>
    <row r="685" ht="15.6" spans="2:23">
      <c r="B685"/>
      <c r="C685"/>
      <c r="D685"/>
      <c r="E685"/>
      <c r="F685"/>
      <c r="G685"/>
      <c r="H685"/>
      <c r="I685"/>
      <c r="J685"/>
      <c r="K685"/>
      <c r="L685"/>
      <c r="O685" s="80" t="s">
        <v>1662</v>
      </c>
      <c r="P685" s="80" t="s">
        <v>4105</v>
      </c>
      <c r="Q685" s="80" t="s">
        <v>620</v>
      </c>
      <c r="R685" s="80">
        <v>0</v>
      </c>
      <c r="S685" s="80" t="s">
        <v>1176</v>
      </c>
      <c r="T685" s="100">
        <v>4</v>
      </c>
      <c r="U685" s="100">
        <v>0</v>
      </c>
      <c r="V685" s="100">
        <v>0</v>
      </c>
      <c r="W685" s="100">
        <v>0</v>
      </c>
    </row>
    <row r="686" ht="15.6" spans="2:23">
      <c r="B686"/>
      <c r="C686"/>
      <c r="D686"/>
      <c r="E686"/>
      <c r="F686"/>
      <c r="G686"/>
      <c r="H686"/>
      <c r="I686"/>
      <c r="J686"/>
      <c r="K686"/>
      <c r="L686"/>
      <c r="O686" s="80" t="s">
        <v>1666</v>
      </c>
      <c r="P686" s="80" t="s">
        <v>4106</v>
      </c>
      <c r="Q686" s="80" t="s">
        <v>622</v>
      </c>
      <c r="R686" s="80">
        <v>0</v>
      </c>
      <c r="S686" s="80" t="s">
        <v>1176</v>
      </c>
      <c r="T686" s="100">
        <v>8</v>
      </c>
      <c r="U686" s="100">
        <v>0</v>
      </c>
      <c r="V686" s="100">
        <v>0</v>
      </c>
      <c r="W686" s="100">
        <v>0</v>
      </c>
    </row>
    <row r="687" ht="15.6" spans="2:23">
      <c r="B687"/>
      <c r="C687"/>
      <c r="D687"/>
      <c r="E687"/>
      <c r="F687"/>
      <c r="G687"/>
      <c r="H687"/>
      <c r="I687"/>
      <c r="J687"/>
      <c r="K687"/>
      <c r="L687"/>
      <c r="O687" s="80" t="s">
        <v>3082</v>
      </c>
      <c r="P687" s="80" t="s">
        <v>4703</v>
      </c>
      <c r="Q687" s="80" t="s">
        <v>635</v>
      </c>
      <c r="R687" s="80">
        <v>0</v>
      </c>
      <c r="S687" s="80" t="s">
        <v>1281</v>
      </c>
      <c r="T687" s="100">
        <v>1</v>
      </c>
      <c r="U687" s="100">
        <v>0</v>
      </c>
      <c r="V687" s="100">
        <v>0</v>
      </c>
      <c r="W687" s="100">
        <v>0</v>
      </c>
    </row>
    <row r="688" ht="15.6" spans="2:23">
      <c r="B688"/>
      <c r="C688"/>
      <c r="D688"/>
      <c r="E688"/>
      <c r="F688"/>
      <c r="G688"/>
      <c r="H688"/>
      <c r="I688"/>
      <c r="J688"/>
      <c r="K688"/>
      <c r="L688"/>
      <c r="O688" s="80" t="s">
        <v>3083</v>
      </c>
      <c r="P688" s="80" t="s">
        <v>4704</v>
      </c>
      <c r="Q688" s="80" t="s">
        <v>635</v>
      </c>
      <c r="R688" s="80">
        <v>0</v>
      </c>
      <c r="S688" s="80" t="s">
        <v>1281</v>
      </c>
      <c r="T688" s="100">
        <v>1</v>
      </c>
      <c r="U688" s="100">
        <v>0</v>
      </c>
      <c r="V688" s="100">
        <v>0</v>
      </c>
      <c r="W688" s="100">
        <v>0</v>
      </c>
    </row>
    <row r="689" ht="15.6" spans="2:23">
      <c r="B689"/>
      <c r="C689"/>
      <c r="D689"/>
      <c r="E689"/>
      <c r="F689"/>
      <c r="G689"/>
      <c r="H689"/>
      <c r="I689"/>
      <c r="J689"/>
      <c r="K689"/>
      <c r="L689"/>
      <c r="O689" s="80" t="s">
        <v>1663</v>
      </c>
      <c r="P689" s="80" t="s">
        <v>4705</v>
      </c>
      <c r="Q689" s="80" t="s">
        <v>635</v>
      </c>
      <c r="R689" s="80">
        <v>0</v>
      </c>
      <c r="S689" s="80" t="s">
        <v>1178</v>
      </c>
      <c r="T689" s="100">
        <v>6</v>
      </c>
      <c r="U689" s="100">
        <v>0</v>
      </c>
      <c r="V689" s="100">
        <v>0</v>
      </c>
      <c r="W689" s="100">
        <v>0</v>
      </c>
    </row>
    <row r="690" ht="15.6" spans="2:23">
      <c r="B690"/>
      <c r="C690"/>
      <c r="D690"/>
      <c r="E690"/>
      <c r="F690"/>
      <c r="G690"/>
      <c r="H690"/>
      <c r="I690"/>
      <c r="J690"/>
      <c r="K690"/>
      <c r="L690"/>
      <c r="O690" s="80" t="s">
        <v>1664</v>
      </c>
      <c r="P690" s="80" t="s">
        <v>4110</v>
      </c>
      <c r="Q690" s="80" t="s">
        <v>622</v>
      </c>
      <c r="R690" s="80">
        <v>0</v>
      </c>
      <c r="S690" s="80" t="s">
        <v>1176</v>
      </c>
      <c r="T690" s="100">
        <v>40</v>
      </c>
      <c r="U690" s="100">
        <v>0</v>
      </c>
      <c r="V690" s="100">
        <v>0</v>
      </c>
      <c r="W690" s="100">
        <v>0</v>
      </c>
    </row>
    <row r="691" ht="15.6" spans="2:23">
      <c r="B691"/>
      <c r="C691"/>
      <c r="D691"/>
      <c r="E691"/>
      <c r="F691"/>
      <c r="G691"/>
      <c r="H691"/>
      <c r="I691"/>
      <c r="J691"/>
      <c r="K691"/>
      <c r="L691"/>
      <c r="O691" s="80" t="s">
        <v>1665</v>
      </c>
      <c r="P691" s="80" t="s">
        <v>4111</v>
      </c>
      <c r="Q691" s="80" t="s">
        <v>620</v>
      </c>
      <c r="R691" s="80">
        <v>0</v>
      </c>
      <c r="S691" s="80" t="s">
        <v>1176</v>
      </c>
      <c r="T691" s="100">
        <v>16</v>
      </c>
      <c r="U691" s="100">
        <v>0</v>
      </c>
      <c r="V691" s="100">
        <v>0</v>
      </c>
      <c r="W691" s="100">
        <v>0</v>
      </c>
    </row>
    <row r="692" ht="15.6" spans="2:23">
      <c r="B692"/>
      <c r="C692"/>
      <c r="D692"/>
      <c r="E692"/>
      <c r="F692"/>
      <c r="G692"/>
      <c r="H692"/>
      <c r="I692"/>
      <c r="J692"/>
      <c r="K692"/>
      <c r="L692"/>
      <c r="M692" s="80" t="s">
        <v>392</v>
      </c>
      <c r="N692" s="80" t="s">
        <v>393</v>
      </c>
      <c r="O692" s="80" t="s">
        <v>4112</v>
      </c>
      <c r="P692" s="80" t="s">
        <v>4113</v>
      </c>
      <c r="Q692" s="80" t="s">
        <v>620</v>
      </c>
      <c r="R692" s="80">
        <v>0</v>
      </c>
      <c r="S692" s="80" t="s">
        <v>1176</v>
      </c>
      <c r="T692" s="100">
        <v>12</v>
      </c>
      <c r="U692" s="100">
        <v>0</v>
      </c>
      <c r="V692" s="100">
        <v>0</v>
      </c>
      <c r="W692" s="100">
        <v>0</v>
      </c>
    </row>
    <row r="693" ht="15.6" spans="2:23">
      <c r="B693"/>
      <c r="C693"/>
      <c r="D693"/>
      <c r="E693"/>
      <c r="F693"/>
      <c r="G693"/>
      <c r="H693"/>
      <c r="I693"/>
      <c r="J693"/>
      <c r="K693"/>
      <c r="L693"/>
      <c r="Q693" s="80" t="s">
        <v>622</v>
      </c>
      <c r="R693" s="80">
        <v>0</v>
      </c>
      <c r="S693" s="80" t="s">
        <v>1176</v>
      </c>
      <c r="T693" s="100">
        <v>8</v>
      </c>
      <c r="U693" s="100">
        <v>0</v>
      </c>
      <c r="V693" s="100">
        <v>0</v>
      </c>
      <c r="W693" s="100">
        <v>0</v>
      </c>
    </row>
    <row r="694" ht="15.6" spans="2:23">
      <c r="B694"/>
      <c r="C694"/>
      <c r="D694"/>
      <c r="E694"/>
      <c r="F694"/>
      <c r="G694"/>
      <c r="H694"/>
      <c r="I694"/>
      <c r="J694"/>
      <c r="K694"/>
      <c r="L694"/>
      <c r="O694" s="80" t="s">
        <v>1667</v>
      </c>
      <c r="P694" s="80" t="s">
        <v>4114</v>
      </c>
      <c r="Q694" s="80" t="s">
        <v>620</v>
      </c>
      <c r="R694" s="80">
        <v>0</v>
      </c>
      <c r="S694" s="80" t="s">
        <v>1176</v>
      </c>
      <c r="T694" s="100">
        <v>16</v>
      </c>
      <c r="U694" s="100">
        <v>0</v>
      </c>
      <c r="V694" s="100">
        <v>0</v>
      </c>
      <c r="W694" s="100">
        <v>0</v>
      </c>
    </row>
    <row r="695" ht="15.6" spans="2:23">
      <c r="B695"/>
      <c r="C695"/>
      <c r="D695"/>
      <c r="E695"/>
      <c r="F695"/>
      <c r="G695"/>
      <c r="H695"/>
      <c r="I695"/>
      <c r="J695"/>
      <c r="K695"/>
      <c r="L695"/>
      <c r="Q695" s="80" t="s">
        <v>622</v>
      </c>
      <c r="R695" s="80">
        <v>0</v>
      </c>
      <c r="S695" s="80" t="s">
        <v>1176</v>
      </c>
      <c r="T695" s="100">
        <v>8</v>
      </c>
      <c r="U695" s="100">
        <v>0</v>
      </c>
      <c r="V695" s="100">
        <v>0</v>
      </c>
      <c r="W695" s="100">
        <v>0</v>
      </c>
    </row>
    <row r="696" ht="15.6" spans="2:23">
      <c r="B696"/>
      <c r="C696"/>
      <c r="D696"/>
      <c r="E696"/>
      <c r="F696"/>
      <c r="G696"/>
      <c r="H696"/>
      <c r="I696"/>
      <c r="J696"/>
      <c r="K696"/>
      <c r="L696"/>
      <c r="M696" s="80" t="s">
        <v>394</v>
      </c>
      <c r="N696" s="80" t="s">
        <v>395</v>
      </c>
      <c r="O696" s="80" t="s">
        <v>1668</v>
      </c>
      <c r="P696" s="80" t="s">
        <v>4115</v>
      </c>
      <c r="Q696" s="80" t="s">
        <v>620</v>
      </c>
      <c r="R696" s="80">
        <v>0</v>
      </c>
      <c r="S696" s="80" t="s">
        <v>1178</v>
      </c>
      <c r="T696" s="100">
        <v>8</v>
      </c>
      <c r="U696" s="100">
        <v>0</v>
      </c>
      <c r="V696" s="100">
        <v>0</v>
      </c>
      <c r="W696" s="100">
        <v>0</v>
      </c>
    </row>
    <row r="697" ht="15.6" spans="2:23">
      <c r="B697"/>
      <c r="C697"/>
      <c r="D697"/>
      <c r="E697"/>
      <c r="F697"/>
      <c r="G697"/>
      <c r="H697"/>
      <c r="I697"/>
      <c r="J697"/>
      <c r="K697"/>
      <c r="L697"/>
      <c r="M697" s="80" t="s">
        <v>396</v>
      </c>
      <c r="N697" s="80" t="s">
        <v>397</v>
      </c>
      <c r="O697" s="80" t="s">
        <v>1669</v>
      </c>
      <c r="P697" s="80" t="s">
        <v>4116</v>
      </c>
      <c r="Q697" s="80" t="s">
        <v>620</v>
      </c>
      <c r="R697" s="80">
        <v>0</v>
      </c>
      <c r="S697" s="80" t="s">
        <v>1178</v>
      </c>
      <c r="T697" s="100">
        <v>16</v>
      </c>
      <c r="U697" s="100">
        <v>0</v>
      </c>
      <c r="V697" s="100">
        <v>0</v>
      </c>
      <c r="W697" s="100">
        <v>0</v>
      </c>
    </row>
    <row r="698" ht="15.6" spans="2:23">
      <c r="B698"/>
      <c r="C698"/>
      <c r="D698"/>
      <c r="E698"/>
      <c r="F698"/>
      <c r="G698"/>
      <c r="H698"/>
      <c r="I698"/>
      <c r="J698"/>
      <c r="K698"/>
      <c r="L698"/>
      <c r="O698" s="80" t="s">
        <v>1670</v>
      </c>
      <c r="P698" s="80" t="s">
        <v>4117</v>
      </c>
      <c r="Q698" s="80" t="s">
        <v>620</v>
      </c>
      <c r="R698" s="80">
        <v>0</v>
      </c>
      <c r="S698" s="80" t="s">
        <v>1671</v>
      </c>
      <c r="T698" s="100">
        <v>2</v>
      </c>
      <c r="U698" s="100">
        <v>0</v>
      </c>
      <c r="V698" s="100">
        <v>0</v>
      </c>
      <c r="W698" s="100">
        <v>0</v>
      </c>
    </row>
    <row r="699" ht="15.6" spans="2:23">
      <c r="B699"/>
      <c r="C699"/>
      <c r="D699"/>
      <c r="E699"/>
      <c r="F699"/>
      <c r="G699"/>
      <c r="H699"/>
      <c r="I699"/>
      <c r="J699"/>
      <c r="K699"/>
      <c r="L699"/>
      <c r="O699" s="80" t="s">
        <v>1672</v>
      </c>
      <c r="P699" s="80" t="s">
        <v>4118</v>
      </c>
      <c r="Q699" s="80" t="s">
        <v>620</v>
      </c>
      <c r="R699" s="80">
        <v>0</v>
      </c>
      <c r="S699" s="80" t="s">
        <v>1671</v>
      </c>
      <c r="T699" s="100">
        <v>1</v>
      </c>
      <c r="U699" s="100">
        <v>0</v>
      </c>
      <c r="V699" s="100">
        <v>0</v>
      </c>
      <c r="W699" s="100">
        <v>0</v>
      </c>
    </row>
    <row r="700" ht="15.6" spans="2:23">
      <c r="B700"/>
      <c r="C700"/>
      <c r="D700"/>
      <c r="E700"/>
      <c r="F700"/>
      <c r="G700"/>
      <c r="H700"/>
      <c r="I700"/>
      <c r="J700"/>
      <c r="K700"/>
      <c r="L700"/>
      <c r="M700" s="80" t="s">
        <v>398</v>
      </c>
      <c r="N700" s="80" t="s">
        <v>399</v>
      </c>
      <c r="O700" s="80" t="s">
        <v>1673</v>
      </c>
      <c r="P700" s="80" t="s">
        <v>399</v>
      </c>
      <c r="Q700" s="80" t="s">
        <v>620</v>
      </c>
      <c r="R700" s="80">
        <v>0</v>
      </c>
      <c r="S700" s="80" t="s">
        <v>1178</v>
      </c>
      <c r="T700" s="100">
        <v>16</v>
      </c>
      <c r="U700" s="100">
        <v>0</v>
      </c>
      <c r="V700" s="100">
        <v>0</v>
      </c>
      <c r="W700" s="100">
        <v>0</v>
      </c>
    </row>
    <row r="701" ht="15.6" spans="2:23">
      <c r="B701"/>
      <c r="C701"/>
      <c r="D701"/>
      <c r="E701"/>
      <c r="F701"/>
      <c r="G701"/>
      <c r="H701"/>
      <c r="I701"/>
      <c r="J701"/>
      <c r="K701"/>
      <c r="L701"/>
      <c r="M701" s="80" t="s">
        <v>400</v>
      </c>
      <c r="N701" s="80" t="s">
        <v>401</v>
      </c>
      <c r="O701" s="80" t="s">
        <v>1674</v>
      </c>
      <c r="P701" s="80" t="s">
        <v>401</v>
      </c>
      <c r="Q701" s="80" t="s">
        <v>622</v>
      </c>
      <c r="R701" s="80">
        <v>0</v>
      </c>
      <c r="S701" s="80" t="s">
        <v>1178</v>
      </c>
      <c r="T701" s="100">
        <v>2</v>
      </c>
      <c r="U701" s="100">
        <v>0</v>
      </c>
      <c r="V701" s="100">
        <v>0</v>
      </c>
      <c r="W701" s="100">
        <v>0</v>
      </c>
    </row>
    <row r="702" ht="15.6" spans="2:23">
      <c r="B702"/>
      <c r="C702"/>
      <c r="D702"/>
      <c r="E702"/>
      <c r="F702"/>
      <c r="G702"/>
      <c r="H702"/>
      <c r="I702"/>
      <c r="J702"/>
      <c r="K702"/>
      <c r="L702"/>
      <c r="M702" s="80" t="s">
        <v>402</v>
      </c>
      <c r="N702" s="80" t="s">
        <v>403</v>
      </c>
      <c r="O702" s="80" t="s">
        <v>1675</v>
      </c>
      <c r="P702" s="80" t="s">
        <v>4119</v>
      </c>
      <c r="Q702" s="80" t="s">
        <v>620</v>
      </c>
      <c r="R702" s="80">
        <v>0</v>
      </c>
      <c r="S702" s="80" t="s">
        <v>1220</v>
      </c>
      <c r="T702" s="100">
        <v>1</v>
      </c>
      <c r="U702" s="100">
        <v>0</v>
      </c>
      <c r="V702" s="100">
        <v>0</v>
      </c>
      <c r="W702" s="100">
        <v>0</v>
      </c>
    </row>
    <row r="703" ht="15.6" spans="2:23">
      <c r="B703"/>
      <c r="C703"/>
      <c r="D703"/>
      <c r="E703"/>
      <c r="F703"/>
      <c r="G703"/>
      <c r="H703"/>
      <c r="I703"/>
      <c r="J703"/>
      <c r="K703"/>
      <c r="L703"/>
      <c r="O703" s="80" t="s">
        <v>1676</v>
      </c>
      <c r="P703" s="80" t="s">
        <v>4120</v>
      </c>
      <c r="Q703" s="80" t="s">
        <v>620</v>
      </c>
      <c r="R703" s="80">
        <v>0</v>
      </c>
      <c r="S703" s="80" t="s">
        <v>1220</v>
      </c>
      <c r="T703" s="100">
        <v>0.5</v>
      </c>
      <c r="U703" s="100">
        <v>0</v>
      </c>
      <c r="V703" s="100">
        <v>0</v>
      </c>
      <c r="W703" s="100">
        <v>0</v>
      </c>
    </row>
    <row r="704" ht="15.6" spans="2:23">
      <c r="B704"/>
      <c r="C704"/>
      <c r="D704"/>
      <c r="E704"/>
      <c r="F704"/>
      <c r="G704"/>
      <c r="H704"/>
      <c r="I704"/>
      <c r="J704"/>
      <c r="K704"/>
      <c r="L704"/>
      <c r="M704" s="80" t="s">
        <v>405</v>
      </c>
      <c r="N704" s="80" t="s">
        <v>4664</v>
      </c>
      <c r="O704" s="80" t="s">
        <v>1677</v>
      </c>
      <c r="P704" s="80" t="s">
        <v>4121</v>
      </c>
      <c r="Q704" s="80" t="s">
        <v>615</v>
      </c>
      <c r="R704" s="80">
        <v>0</v>
      </c>
      <c r="S704" s="80" t="s">
        <v>1176</v>
      </c>
      <c r="T704" s="100">
        <v>24</v>
      </c>
      <c r="U704" s="100">
        <v>0</v>
      </c>
      <c r="V704" s="100">
        <v>0</v>
      </c>
      <c r="W704" s="100">
        <v>0</v>
      </c>
    </row>
    <row r="705" ht="15.6" spans="2:23">
      <c r="B705"/>
      <c r="C705"/>
      <c r="D705"/>
      <c r="E705"/>
      <c r="F705"/>
      <c r="G705"/>
      <c r="H705"/>
      <c r="I705"/>
      <c r="J705"/>
      <c r="K705"/>
      <c r="L705"/>
      <c r="Q705" s="80" t="s">
        <v>617</v>
      </c>
      <c r="R705" s="80">
        <v>0</v>
      </c>
      <c r="S705" s="80" t="s">
        <v>1176</v>
      </c>
      <c r="T705" s="100">
        <v>4</v>
      </c>
      <c r="U705" s="100">
        <v>0</v>
      </c>
      <c r="V705" s="100">
        <v>0</v>
      </c>
      <c r="W705" s="100">
        <v>0</v>
      </c>
    </row>
    <row r="706" ht="15.6" spans="2:23">
      <c r="B706"/>
      <c r="C706"/>
      <c r="D706"/>
      <c r="E706"/>
      <c r="F706"/>
      <c r="G706"/>
      <c r="H706"/>
      <c r="I706"/>
      <c r="J706"/>
      <c r="K706"/>
      <c r="L706"/>
      <c r="O706" s="80" t="s">
        <v>1678</v>
      </c>
      <c r="P706" s="80" t="s">
        <v>4122</v>
      </c>
      <c r="Q706" s="80" t="s">
        <v>613</v>
      </c>
      <c r="R706" s="80">
        <v>0</v>
      </c>
      <c r="S706" s="80" t="s">
        <v>1176</v>
      </c>
      <c r="T706" s="100">
        <v>2</v>
      </c>
      <c r="U706" s="100">
        <v>0</v>
      </c>
      <c r="V706" s="100">
        <v>0</v>
      </c>
      <c r="W706" s="100">
        <v>0</v>
      </c>
    </row>
    <row r="707" ht="15.6" spans="2:23">
      <c r="B707"/>
      <c r="C707"/>
      <c r="D707"/>
      <c r="E707"/>
      <c r="F707"/>
      <c r="G707"/>
      <c r="H707"/>
      <c r="I707"/>
      <c r="J707"/>
      <c r="K707"/>
      <c r="L707"/>
      <c r="M707" s="80" t="s">
        <v>407</v>
      </c>
      <c r="N707" s="80" t="s">
        <v>408</v>
      </c>
      <c r="O707" s="80" t="s">
        <v>1679</v>
      </c>
      <c r="P707" s="80" t="s">
        <v>4123</v>
      </c>
      <c r="Q707" s="80" t="s">
        <v>617</v>
      </c>
      <c r="R707" s="80">
        <v>0</v>
      </c>
      <c r="S707" s="80" t="s">
        <v>1176</v>
      </c>
      <c r="T707" s="100">
        <v>8</v>
      </c>
      <c r="U707" s="100">
        <v>0</v>
      </c>
      <c r="V707" s="100">
        <v>0</v>
      </c>
      <c r="W707" s="100">
        <v>0</v>
      </c>
    </row>
    <row r="708" ht="15.6" spans="2:23">
      <c r="B708"/>
      <c r="C708"/>
      <c r="D708"/>
      <c r="E708"/>
      <c r="F708"/>
      <c r="G708"/>
      <c r="H708"/>
      <c r="I708"/>
      <c r="J708"/>
      <c r="K708"/>
      <c r="L708"/>
      <c r="O708" s="80" t="s">
        <v>1680</v>
      </c>
      <c r="P708" s="80" t="s">
        <v>4124</v>
      </c>
      <c r="Q708" s="80" t="s">
        <v>615</v>
      </c>
      <c r="R708" s="80">
        <v>0</v>
      </c>
      <c r="S708" s="80" t="s">
        <v>1176</v>
      </c>
      <c r="T708" s="100">
        <v>16</v>
      </c>
      <c r="U708" s="100">
        <v>0</v>
      </c>
      <c r="V708" s="100">
        <v>0</v>
      </c>
      <c r="W708" s="100">
        <v>0</v>
      </c>
    </row>
    <row r="709" ht="15.6" spans="2:23">
      <c r="B709"/>
      <c r="C709"/>
      <c r="D709"/>
      <c r="E709"/>
      <c r="F709"/>
      <c r="G709"/>
      <c r="H709"/>
      <c r="I709"/>
      <c r="J709"/>
      <c r="K709"/>
      <c r="L709"/>
      <c r="O709" s="80" t="s">
        <v>1681</v>
      </c>
      <c r="P709" s="80" t="s">
        <v>408</v>
      </c>
      <c r="Q709" s="80" t="s">
        <v>652</v>
      </c>
      <c r="R709" s="80">
        <v>0</v>
      </c>
      <c r="S709" s="80" t="s">
        <v>1176</v>
      </c>
      <c r="T709" s="100">
        <v>24</v>
      </c>
      <c r="U709" s="100">
        <v>0</v>
      </c>
      <c r="V709" s="100">
        <v>0</v>
      </c>
      <c r="W709" s="100">
        <v>0</v>
      </c>
    </row>
    <row r="710" ht="15.6" spans="2:23">
      <c r="B710"/>
      <c r="C710"/>
      <c r="D710"/>
      <c r="E710"/>
      <c r="F710"/>
      <c r="G710"/>
      <c r="H710"/>
      <c r="I710"/>
      <c r="J710"/>
      <c r="K710"/>
      <c r="L710"/>
      <c r="Q710" s="80" t="s">
        <v>615</v>
      </c>
      <c r="R710" s="80">
        <v>0</v>
      </c>
      <c r="S710" s="80" t="s">
        <v>1176</v>
      </c>
      <c r="T710" s="100">
        <v>80</v>
      </c>
      <c r="U710" s="100">
        <v>0</v>
      </c>
      <c r="V710" s="100">
        <v>0</v>
      </c>
      <c r="W710" s="100">
        <v>0</v>
      </c>
    </row>
    <row r="711" ht="15.6" spans="2:23">
      <c r="B711"/>
      <c r="C711"/>
      <c r="D711"/>
      <c r="E711"/>
      <c r="F711"/>
      <c r="G711"/>
      <c r="H711"/>
      <c r="I711"/>
      <c r="J711"/>
      <c r="K711"/>
      <c r="L711"/>
      <c r="Q711" s="80" t="s">
        <v>639</v>
      </c>
      <c r="R711" s="80">
        <v>0</v>
      </c>
      <c r="S711" s="80" t="s">
        <v>1176</v>
      </c>
      <c r="T711" s="100">
        <v>12</v>
      </c>
      <c r="U711" s="100">
        <v>0</v>
      </c>
      <c r="V711" s="100">
        <v>0</v>
      </c>
      <c r="W711" s="100">
        <v>0</v>
      </c>
    </row>
    <row r="712" ht="15.6" spans="2:23">
      <c r="B712"/>
      <c r="C712"/>
      <c r="D712"/>
      <c r="E712"/>
      <c r="F712"/>
      <c r="G712"/>
      <c r="H712"/>
      <c r="I712"/>
      <c r="J712"/>
      <c r="K712"/>
      <c r="L712"/>
      <c r="O712" s="80" t="s">
        <v>1682</v>
      </c>
      <c r="P712" s="80" t="s">
        <v>4125</v>
      </c>
      <c r="Q712" s="80" t="s">
        <v>652</v>
      </c>
      <c r="R712" s="80">
        <v>0</v>
      </c>
      <c r="S712" s="80" t="s">
        <v>1176</v>
      </c>
      <c r="T712" s="100">
        <v>4</v>
      </c>
      <c r="U712" s="100">
        <v>0</v>
      </c>
      <c r="V712" s="100">
        <v>0</v>
      </c>
      <c r="W712" s="100">
        <v>0</v>
      </c>
    </row>
    <row r="713" ht="15.6" spans="2:23">
      <c r="B713"/>
      <c r="C713"/>
      <c r="D713"/>
      <c r="E713"/>
      <c r="F713"/>
      <c r="G713"/>
      <c r="H713"/>
      <c r="I713"/>
      <c r="J713"/>
      <c r="K713"/>
      <c r="L713"/>
      <c r="Q713" s="80" t="s">
        <v>613</v>
      </c>
      <c r="R713" s="80">
        <v>0</v>
      </c>
      <c r="S713" s="80" t="s">
        <v>1176</v>
      </c>
      <c r="T713" s="100">
        <v>16</v>
      </c>
      <c r="U713" s="100">
        <v>0</v>
      </c>
      <c r="V713" s="100">
        <v>0</v>
      </c>
      <c r="W713" s="100">
        <v>0</v>
      </c>
    </row>
    <row r="714" ht="15.6" spans="2:23">
      <c r="B714"/>
      <c r="C714"/>
      <c r="D714"/>
      <c r="E714"/>
      <c r="F714"/>
      <c r="G714"/>
      <c r="H714"/>
      <c r="I714"/>
      <c r="J714"/>
      <c r="K714"/>
      <c r="L714"/>
      <c r="Q714" s="80" t="s">
        <v>639</v>
      </c>
      <c r="R714" s="80">
        <v>0</v>
      </c>
      <c r="S714" s="80" t="s">
        <v>1176</v>
      </c>
      <c r="T714" s="100">
        <v>6</v>
      </c>
      <c r="U714" s="100">
        <v>0</v>
      </c>
      <c r="V714" s="100">
        <v>0</v>
      </c>
      <c r="W714" s="100">
        <v>0</v>
      </c>
    </row>
    <row r="715" ht="15.6" spans="2:23">
      <c r="B715"/>
      <c r="C715"/>
      <c r="D715"/>
      <c r="E715"/>
      <c r="F715"/>
      <c r="G715"/>
      <c r="H715"/>
      <c r="I715"/>
      <c r="J715"/>
      <c r="K715"/>
      <c r="L715"/>
      <c r="O715" s="80" t="s">
        <v>1683</v>
      </c>
      <c r="P715" s="80" t="s">
        <v>4126</v>
      </c>
      <c r="Q715" s="80" t="s">
        <v>617</v>
      </c>
      <c r="R715" s="80">
        <v>0</v>
      </c>
      <c r="S715" s="80" t="s">
        <v>1176</v>
      </c>
      <c r="T715" s="100">
        <v>8</v>
      </c>
      <c r="U715" s="100">
        <v>0</v>
      </c>
      <c r="V715" s="100">
        <v>0</v>
      </c>
      <c r="W715" s="100">
        <v>0</v>
      </c>
    </row>
    <row r="716" ht="15.6" spans="2:23">
      <c r="B716"/>
      <c r="C716"/>
      <c r="D716"/>
      <c r="E716"/>
      <c r="F716"/>
      <c r="G716"/>
      <c r="H716"/>
      <c r="I716"/>
      <c r="J716"/>
      <c r="K716"/>
      <c r="L716"/>
      <c r="M716" s="80" t="s">
        <v>409</v>
      </c>
      <c r="N716" s="80" t="s">
        <v>410</v>
      </c>
      <c r="O716" s="80" t="s">
        <v>1685</v>
      </c>
      <c r="P716" s="80" t="s">
        <v>3507</v>
      </c>
      <c r="Q716" s="80" t="s">
        <v>615</v>
      </c>
      <c r="R716" s="80">
        <v>0</v>
      </c>
      <c r="S716" s="80" t="s">
        <v>1262</v>
      </c>
      <c r="T716" s="100">
        <v>1</v>
      </c>
      <c r="U716" s="100">
        <v>0</v>
      </c>
      <c r="V716" s="100">
        <v>0</v>
      </c>
      <c r="W716" s="100">
        <v>0</v>
      </c>
    </row>
    <row r="717" ht="15.6" spans="2:23">
      <c r="B717"/>
      <c r="C717"/>
      <c r="D717"/>
      <c r="E717"/>
      <c r="F717"/>
      <c r="G717"/>
      <c r="H717"/>
      <c r="I717"/>
      <c r="J717"/>
      <c r="K717"/>
      <c r="L717"/>
      <c r="M717" s="80" t="s">
        <v>411</v>
      </c>
      <c r="N717" s="80" t="s">
        <v>412</v>
      </c>
      <c r="O717" s="80" t="s">
        <v>1689</v>
      </c>
      <c r="P717" s="80" t="s">
        <v>4127</v>
      </c>
      <c r="Q717" s="80" t="s">
        <v>615</v>
      </c>
      <c r="R717" s="80">
        <v>0</v>
      </c>
      <c r="S717" s="80" t="s">
        <v>1176</v>
      </c>
      <c r="T717" s="100">
        <v>48</v>
      </c>
      <c r="U717" s="100">
        <v>0</v>
      </c>
      <c r="V717" s="100">
        <v>0</v>
      </c>
      <c r="W717" s="100">
        <v>0</v>
      </c>
    </row>
    <row r="718" ht="15.6" spans="2:23">
      <c r="B718"/>
      <c r="C718"/>
      <c r="D718"/>
      <c r="E718"/>
      <c r="F718"/>
      <c r="G718"/>
      <c r="H718"/>
      <c r="I718"/>
      <c r="J718"/>
      <c r="K718"/>
      <c r="L718"/>
      <c r="O718" s="80" t="s">
        <v>1690</v>
      </c>
      <c r="P718" s="80" t="s">
        <v>4128</v>
      </c>
      <c r="Q718" s="80" t="s">
        <v>613</v>
      </c>
      <c r="R718" s="80">
        <v>0</v>
      </c>
      <c r="S718" s="80" t="s">
        <v>1176</v>
      </c>
      <c r="T718" s="100">
        <v>12</v>
      </c>
      <c r="U718" s="100">
        <v>0</v>
      </c>
      <c r="V718" s="100">
        <v>0</v>
      </c>
      <c r="W718" s="100">
        <v>0</v>
      </c>
    </row>
    <row r="719" ht="15.6" spans="2:23">
      <c r="B719"/>
      <c r="C719"/>
      <c r="D719"/>
      <c r="E719"/>
      <c r="F719"/>
      <c r="G719"/>
      <c r="H719"/>
      <c r="I719"/>
      <c r="J719"/>
      <c r="K719"/>
      <c r="L719"/>
      <c r="M719" s="80" t="s">
        <v>413</v>
      </c>
      <c r="N719" s="80" t="s">
        <v>414</v>
      </c>
      <c r="O719" s="80" t="s">
        <v>1691</v>
      </c>
      <c r="P719" s="80" t="s">
        <v>414</v>
      </c>
      <c r="Q719" s="80" t="s">
        <v>599</v>
      </c>
      <c r="R719" s="80">
        <v>0</v>
      </c>
      <c r="S719" s="80" t="s">
        <v>1178</v>
      </c>
      <c r="T719" s="100">
        <v>1</v>
      </c>
      <c r="U719" s="100">
        <v>0</v>
      </c>
      <c r="V719" s="100">
        <v>0</v>
      </c>
      <c r="W719" s="100">
        <v>0</v>
      </c>
    </row>
    <row r="720" ht="15.6" spans="2:23">
      <c r="B720"/>
      <c r="C720"/>
      <c r="D720"/>
      <c r="E720"/>
      <c r="F720"/>
      <c r="G720"/>
      <c r="H720"/>
      <c r="I720"/>
      <c r="J720"/>
      <c r="K720"/>
      <c r="L720"/>
      <c r="M720" s="80" t="s">
        <v>415</v>
      </c>
      <c r="N720" s="80" t="s">
        <v>416</v>
      </c>
      <c r="O720" s="80" t="s">
        <v>1692</v>
      </c>
      <c r="P720" s="80" t="s">
        <v>4129</v>
      </c>
      <c r="Q720" s="80" t="s">
        <v>599</v>
      </c>
      <c r="R720" s="80">
        <v>0</v>
      </c>
      <c r="S720" s="80" t="s">
        <v>1176</v>
      </c>
      <c r="T720" s="100">
        <v>0</v>
      </c>
      <c r="U720" s="100">
        <v>0</v>
      </c>
      <c r="V720" s="100">
        <v>0</v>
      </c>
      <c r="W720" s="100">
        <v>0</v>
      </c>
    </row>
    <row r="721" ht="15.6" spans="2:23">
      <c r="B721"/>
      <c r="C721"/>
      <c r="D721"/>
      <c r="E721"/>
      <c r="F721"/>
      <c r="G721"/>
      <c r="H721"/>
      <c r="I721"/>
      <c r="J721"/>
      <c r="K721"/>
      <c r="L721"/>
      <c r="M721" s="80" t="s">
        <v>417</v>
      </c>
      <c r="N721" s="80" t="s">
        <v>418</v>
      </c>
      <c r="O721" s="80" t="s">
        <v>1693</v>
      </c>
      <c r="P721" s="80" t="s">
        <v>4130</v>
      </c>
      <c r="Q721" s="80" t="s">
        <v>599</v>
      </c>
      <c r="R721" s="80">
        <v>0</v>
      </c>
      <c r="S721" s="80" t="s">
        <v>1176</v>
      </c>
      <c r="T721" s="100">
        <v>0</v>
      </c>
      <c r="U721" s="100">
        <v>0</v>
      </c>
      <c r="V721" s="100">
        <v>0</v>
      </c>
      <c r="W721" s="100">
        <v>0</v>
      </c>
    </row>
    <row r="722" ht="15.6" spans="2:23">
      <c r="B722"/>
      <c r="C722"/>
      <c r="D722"/>
      <c r="E722"/>
      <c r="F722"/>
      <c r="G722"/>
      <c r="H722"/>
      <c r="I722"/>
      <c r="J722"/>
      <c r="K722"/>
      <c r="L722"/>
      <c r="M722" s="80" t="s">
        <v>419</v>
      </c>
      <c r="N722" s="80" t="s">
        <v>420</v>
      </c>
      <c r="O722" s="80" t="s">
        <v>1694</v>
      </c>
      <c r="P722" s="80" t="s">
        <v>420</v>
      </c>
      <c r="Q722" s="80" t="s">
        <v>595</v>
      </c>
      <c r="R722" s="80">
        <v>0</v>
      </c>
      <c r="S722" s="80" t="s">
        <v>1178</v>
      </c>
      <c r="T722" s="100">
        <v>0</v>
      </c>
      <c r="U722" s="100">
        <v>0</v>
      </c>
      <c r="V722" s="100">
        <v>0</v>
      </c>
      <c r="W722" s="100">
        <v>0</v>
      </c>
    </row>
    <row r="723" ht="15.6" spans="2:23">
      <c r="B723"/>
      <c r="C723"/>
      <c r="D723"/>
      <c r="E723"/>
      <c r="F723"/>
      <c r="G723"/>
      <c r="H723"/>
      <c r="I723"/>
      <c r="J723"/>
      <c r="K723"/>
      <c r="L723"/>
      <c r="Q723" s="80" t="s">
        <v>599</v>
      </c>
      <c r="R723" s="80">
        <v>0</v>
      </c>
      <c r="S723" s="80" t="s">
        <v>1178</v>
      </c>
      <c r="T723" s="100">
        <v>0</v>
      </c>
      <c r="U723" s="100">
        <v>0</v>
      </c>
      <c r="V723" s="100">
        <v>0</v>
      </c>
      <c r="W723" s="100">
        <v>0</v>
      </c>
    </row>
    <row r="724" ht="15.6" spans="2:23">
      <c r="B724"/>
      <c r="C724"/>
      <c r="D724"/>
      <c r="E724"/>
      <c r="F724"/>
      <c r="G724"/>
      <c r="H724"/>
      <c r="I724"/>
      <c r="J724"/>
      <c r="K724"/>
      <c r="L724"/>
      <c r="M724" s="80" t="s">
        <v>421</v>
      </c>
      <c r="N724" s="80" t="s">
        <v>422</v>
      </c>
      <c r="O724" s="80" t="s">
        <v>1695</v>
      </c>
      <c r="P724" s="80" t="s">
        <v>422</v>
      </c>
      <c r="Q724" s="80" t="s">
        <v>595</v>
      </c>
      <c r="R724" s="80">
        <v>0</v>
      </c>
      <c r="S724" s="80" t="s">
        <v>1178</v>
      </c>
      <c r="T724" s="100">
        <v>0</v>
      </c>
      <c r="U724" s="100">
        <v>0</v>
      </c>
      <c r="V724" s="100">
        <v>0</v>
      </c>
      <c r="W724" s="100">
        <v>0</v>
      </c>
    </row>
    <row r="725" ht="15.6" spans="2:23">
      <c r="B725"/>
      <c r="C725"/>
      <c r="D725"/>
      <c r="E725"/>
      <c r="F725"/>
      <c r="G725"/>
      <c r="H725"/>
      <c r="I725"/>
      <c r="J725"/>
      <c r="K725"/>
      <c r="L725"/>
      <c r="Q725" s="80" t="s">
        <v>599</v>
      </c>
      <c r="R725" s="80">
        <v>0</v>
      </c>
      <c r="S725" s="80" t="s">
        <v>1178</v>
      </c>
      <c r="T725" s="100">
        <v>0</v>
      </c>
      <c r="U725" s="100">
        <v>0</v>
      </c>
      <c r="V725" s="100">
        <v>0</v>
      </c>
      <c r="W725" s="100">
        <v>0</v>
      </c>
    </row>
    <row r="726" ht="15.6" spans="2:23">
      <c r="B726"/>
      <c r="C726"/>
      <c r="D726"/>
      <c r="E726"/>
      <c r="F726"/>
      <c r="G726"/>
      <c r="H726"/>
      <c r="I726"/>
      <c r="J726"/>
      <c r="K726"/>
      <c r="L726"/>
      <c r="M726" s="80" t="s">
        <v>423</v>
      </c>
      <c r="N726" s="80" t="s">
        <v>424</v>
      </c>
      <c r="O726" s="80" t="s">
        <v>1696</v>
      </c>
      <c r="P726" s="80" t="s">
        <v>424</v>
      </c>
      <c r="Q726" s="80" t="s">
        <v>599</v>
      </c>
      <c r="R726" s="80">
        <v>0</v>
      </c>
      <c r="S726" s="80" t="s">
        <v>1178</v>
      </c>
      <c r="T726" s="100">
        <v>0</v>
      </c>
      <c r="U726" s="100">
        <v>0</v>
      </c>
      <c r="V726" s="100">
        <v>0</v>
      </c>
      <c r="W726" s="100">
        <v>0</v>
      </c>
    </row>
    <row r="727" ht="15.6" spans="2:23">
      <c r="B727"/>
      <c r="C727"/>
      <c r="D727"/>
      <c r="E727"/>
      <c r="F727"/>
      <c r="G727"/>
      <c r="H727"/>
      <c r="I727"/>
      <c r="J727"/>
      <c r="K727"/>
      <c r="L727"/>
      <c r="M727" s="80" t="s">
        <v>425</v>
      </c>
      <c r="N727" s="80" t="s">
        <v>426</v>
      </c>
      <c r="O727" s="80" t="s">
        <v>1697</v>
      </c>
      <c r="P727" s="80" t="s">
        <v>4131</v>
      </c>
      <c r="Q727" s="80" t="s">
        <v>595</v>
      </c>
      <c r="R727" s="80">
        <v>0</v>
      </c>
      <c r="S727" s="80" t="s">
        <v>1178</v>
      </c>
      <c r="T727" s="100">
        <v>0</v>
      </c>
      <c r="U727" s="100">
        <v>0</v>
      </c>
      <c r="V727" s="100">
        <v>0</v>
      </c>
      <c r="W727" s="100">
        <v>0</v>
      </c>
    </row>
    <row r="728" ht="15.6" spans="2:23">
      <c r="B728"/>
      <c r="C728"/>
      <c r="D728"/>
      <c r="E728"/>
      <c r="F728"/>
      <c r="G728"/>
      <c r="H728"/>
      <c r="I728"/>
      <c r="J728"/>
      <c r="K728"/>
      <c r="L728"/>
      <c r="O728" s="80" t="s">
        <v>1698</v>
      </c>
      <c r="P728" s="80" t="s">
        <v>4132</v>
      </c>
      <c r="Q728" s="80" t="s">
        <v>595</v>
      </c>
      <c r="R728" s="80">
        <v>0</v>
      </c>
      <c r="S728" s="80" t="s">
        <v>1178</v>
      </c>
      <c r="T728" s="100">
        <v>0</v>
      </c>
      <c r="U728" s="100">
        <v>0</v>
      </c>
      <c r="V728" s="100">
        <v>0</v>
      </c>
      <c r="W728" s="100">
        <v>0</v>
      </c>
    </row>
    <row r="729" ht="15.6" spans="2:23">
      <c r="B729"/>
      <c r="C729"/>
      <c r="D729"/>
      <c r="E729"/>
      <c r="F729"/>
      <c r="G729"/>
      <c r="H729"/>
      <c r="I729"/>
      <c r="J729"/>
      <c r="K729"/>
      <c r="L729"/>
      <c r="O729" s="80" t="s">
        <v>1699</v>
      </c>
      <c r="P729" s="80" t="s">
        <v>4133</v>
      </c>
      <c r="Q729" s="80" t="s">
        <v>599</v>
      </c>
      <c r="R729" s="80">
        <v>0</v>
      </c>
      <c r="S729" s="80" t="s">
        <v>1176</v>
      </c>
      <c r="T729" s="100">
        <v>0</v>
      </c>
      <c r="U729" s="100">
        <v>0</v>
      </c>
      <c r="V729" s="100">
        <v>0</v>
      </c>
      <c r="W729" s="100">
        <v>0</v>
      </c>
    </row>
    <row r="730" ht="15.6" spans="2:23">
      <c r="B730"/>
      <c r="C730"/>
      <c r="D730"/>
      <c r="E730"/>
      <c r="F730"/>
      <c r="G730"/>
      <c r="H730"/>
      <c r="I730"/>
      <c r="J730"/>
      <c r="K730"/>
      <c r="L730"/>
      <c r="M730" s="80" t="s">
        <v>427</v>
      </c>
      <c r="N730" s="80" t="s">
        <v>428</v>
      </c>
      <c r="O730" s="80" t="s">
        <v>1700</v>
      </c>
      <c r="P730" s="80" t="s">
        <v>4134</v>
      </c>
      <c r="Q730" s="80" t="s">
        <v>595</v>
      </c>
      <c r="R730" s="80">
        <v>0</v>
      </c>
      <c r="S730" s="80" t="s">
        <v>1178</v>
      </c>
      <c r="T730" s="100">
        <v>0</v>
      </c>
      <c r="U730" s="100">
        <v>0</v>
      </c>
      <c r="V730" s="100">
        <v>0</v>
      </c>
      <c r="W730" s="100">
        <v>0</v>
      </c>
    </row>
    <row r="731" ht="15.6" spans="2:23">
      <c r="B731"/>
      <c r="C731"/>
      <c r="D731"/>
      <c r="E731"/>
      <c r="F731"/>
      <c r="G731"/>
      <c r="H731"/>
      <c r="I731"/>
      <c r="J731"/>
      <c r="K731"/>
      <c r="L731"/>
      <c r="O731" s="80" t="s">
        <v>1701</v>
      </c>
      <c r="P731" s="80" t="s">
        <v>4135</v>
      </c>
      <c r="Q731" s="80" t="s">
        <v>595</v>
      </c>
      <c r="R731" s="80">
        <v>0</v>
      </c>
      <c r="S731" s="80" t="s">
        <v>1178</v>
      </c>
      <c r="T731" s="100">
        <v>0</v>
      </c>
      <c r="U731" s="100">
        <v>0</v>
      </c>
      <c r="V731" s="100">
        <v>0</v>
      </c>
      <c r="W731" s="100">
        <v>0</v>
      </c>
    </row>
    <row r="732" ht="15.6" spans="2:23">
      <c r="B732"/>
      <c r="C732"/>
      <c r="D732"/>
      <c r="E732"/>
      <c r="F732"/>
      <c r="G732"/>
      <c r="H732"/>
      <c r="I732"/>
      <c r="J732"/>
      <c r="K732"/>
      <c r="L732"/>
      <c r="O732" s="80" t="s">
        <v>1702</v>
      </c>
      <c r="P732" s="80" t="s">
        <v>4136</v>
      </c>
      <c r="Q732" s="80" t="s">
        <v>599</v>
      </c>
      <c r="R732" s="80">
        <v>0</v>
      </c>
      <c r="S732" s="80" t="s">
        <v>1176</v>
      </c>
      <c r="T732" s="100">
        <v>0</v>
      </c>
      <c r="U732" s="100">
        <v>0</v>
      </c>
      <c r="V732" s="100">
        <v>0</v>
      </c>
      <c r="W732" s="100">
        <v>0</v>
      </c>
    </row>
    <row r="733" ht="15.6" spans="2:23">
      <c r="B733"/>
      <c r="C733"/>
      <c r="D733"/>
      <c r="E733"/>
      <c r="F733"/>
      <c r="G733"/>
      <c r="H733"/>
      <c r="I733"/>
      <c r="J733"/>
      <c r="K733"/>
      <c r="L733"/>
      <c r="M733" s="80" t="s">
        <v>429</v>
      </c>
      <c r="N733" s="80" t="s">
        <v>430</v>
      </c>
      <c r="O733" s="80" t="s">
        <v>1703</v>
      </c>
      <c r="P733" s="80" t="s">
        <v>430</v>
      </c>
      <c r="Q733" s="80" t="s">
        <v>595</v>
      </c>
      <c r="R733" s="80">
        <v>0</v>
      </c>
      <c r="S733" s="80" t="s">
        <v>1295</v>
      </c>
      <c r="T733" s="100">
        <v>0</v>
      </c>
      <c r="U733" s="100">
        <v>0</v>
      </c>
      <c r="V733" s="100">
        <v>0</v>
      </c>
      <c r="W733" s="100">
        <v>0</v>
      </c>
    </row>
    <row r="734" ht="15.6" spans="2:23">
      <c r="B734"/>
      <c r="C734"/>
      <c r="D734"/>
      <c r="E734"/>
      <c r="F734"/>
      <c r="G734"/>
      <c r="H734"/>
      <c r="I734"/>
      <c r="J734"/>
      <c r="K734"/>
      <c r="L734"/>
      <c r="M734" s="80" t="s">
        <v>431</v>
      </c>
      <c r="N734" s="80" t="s">
        <v>432</v>
      </c>
      <c r="O734" s="80" t="s">
        <v>1704</v>
      </c>
      <c r="P734" s="80" t="s">
        <v>432</v>
      </c>
      <c r="Q734" s="80" t="s">
        <v>595</v>
      </c>
      <c r="R734" s="80">
        <v>0</v>
      </c>
      <c r="S734" s="80" t="s">
        <v>1220</v>
      </c>
      <c r="T734" s="100">
        <v>0</v>
      </c>
      <c r="U734" s="100">
        <v>0</v>
      </c>
      <c r="V734" s="100">
        <v>0</v>
      </c>
      <c r="W734" s="100">
        <v>0</v>
      </c>
    </row>
    <row r="735" ht="15.6" spans="2:23">
      <c r="B735"/>
      <c r="C735"/>
      <c r="D735"/>
      <c r="E735"/>
      <c r="F735"/>
      <c r="G735"/>
      <c r="H735"/>
      <c r="I735"/>
      <c r="J735"/>
      <c r="K735"/>
      <c r="L735"/>
      <c r="Q735" s="80" t="s">
        <v>599</v>
      </c>
      <c r="R735" s="80">
        <v>0</v>
      </c>
      <c r="S735" s="80" t="s">
        <v>1220</v>
      </c>
      <c r="T735" s="100">
        <v>0</v>
      </c>
      <c r="U735" s="100">
        <v>0</v>
      </c>
      <c r="V735" s="100">
        <v>0</v>
      </c>
      <c r="W735" s="100">
        <v>0</v>
      </c>
    </row>
    <row r="736" ht="15.6" spans="2:23">
      <c r="B736"/>
      <c r="C736"/>
      <c r="D736"/>
      <c r="E736"/>
      <c r="F736"/>
      <c r="G736"/>
      <c r="H736"/>
      <c r="I736"/>
      <c r="J736"/>
      <c r="K736"/>
      <c r="L736"/>
      <c r="M736" s="80" t="s">
        <v>433</v>
      </c>
      <c r="N736" s="80" t="s">
        <v>434</v>
      </c>
      <c r="O736" s="80" t="s">
        <v>1705</v>
      </c>
      <c r="P736" s="80" t="s">
        <v>434</v>
      </c>
      <c r="Q736" s="80" t="s">
        <v>599</v>
      </c>
      <c r="R736" s="80">
        <v>0</v>
      </c>
      <c r="S736" s="80" t="s">
        <v>1220</v>
      </c>
      <c r="T736" s="100">
        <v>0</v>
      </c>
      <c r="U736" s="100">
        <v>0</v>
      </c>
      <c r="V736" s="100">
        <v>0</v>
      </c>
      <c r="W736" s="100">
        <v>0</v>
      </c>
    </row>
    <row r="737" ht="15.6" spans="2:23">
      <c r="B737"/>
      <c r="C737"/>
      <c r="D737"/>
      <c r="E737"/>
      <c r="F737"/>
      <c r="G737"/>
      <c r="H737"/>
      <c r="I737"/>
      <c r="J737"/>
      <c r="K737"/>
      <c r="L737"/>
      <c r="M737" s="80" t="s">
        <v>435</v>
      </c>
      <c r="N737" s="80" t="s">
        <v>436</v>
      </c>
      <c r="O737" s="80" t="s">
        <v>1706</v>
      </c>
      <c r="P737" s="80" t="s">
        <v>4137</v>
      </c>
      <c r="Q737" s="80" t="s">
        <v>647</v>
      </c>
      <c r="R737" s="80">
        <v>0</v>
      </c>
      <c r="S737" s="80" t="s">
        <v>1176</v>
      </c>
      <c r="T737" s="100">
        <v>4</v>
      </c>
      <c r="U737" s="100">
        <v>0</v>
      </c>
      <c r="V737" s="100">
        <v>0</v>
      </c>
      <c r="W737" s="100">
        <v>0</v>
      </c>
    </row>
    <row r="738" ht="15.6" spans="2:23">
      <c r="B738"/>
      <c r="C738"/>
      <c r="D738"/>
      <c r="E738"/>
      <c r="F738"/>
      <c r="G738"/>
      <c r="H738"/>
      <c r="I738"/>
      <c r="J738"/>
      <c r="K738"/>
      <c r="L738"/>
      <c r="O738" s="80" t="s">
        <v>1707</v>
      </c>
      <c r="P738" s="80" t="s">
        <v>4138</v>
      </c>
      <c r="Q738" s="80" t="s">
        <v>645</v>
      </c>
      <c r="R738" s="80">
        <v>0</v>
      </c>
      <c r="S738" s="80" t="s">
        <v>1176</v>
      </c>
      <c r="T738" s="100">
        <v>1</v>
      </c>
      <c r="U738" s="100">
        <v>0</v>
      </c>
      <c r="V738" s="100">
        <v>0</v>
      </c>
      <c r="W738" s="100">
        <v>0</v>
      </c>
    </row>
    <row r="739" ht="15.6" spans="2:23">
      <c r="B739"/>
      <c r="C739"/>
      <c r="D739"/>
      <c r="E739"/>
      <c r="F739"/>
      <c r="G739"/>
      <c r="H739"/>
      <c r="I739"/>
      <c r="J739"/>
      <c r="K739"/>
      <c r="L739"/>
      <c r="M739" s="80" t="s">
        <v>437</v>
      </c>
      <c r="N739" s="80" t="s">
        <v>438</v>
      </c>
      <c r="O739" s="80" t="s">
        <v>1708</v>
      </c>
      <c r="P739" s="80" t="s">
        <v>4139</v>
      </c>
      <c r="Q739" s="80" t="s">
        <v>647</v>
      </c>
      <c r="R739" s="80">
        <v>0</v>
      </c>
      <c r="S739" s="80" t="s">
        <v>1178</v>
      </c>
      <c r="T739" s="100">
        <v>16</v>
      </c>
      <c r="U739" s="100">
        <v>0</v>
      </c>
      <c r="V739" s="100">
        <v>0</v>
      </c>
      <c r="W739" s="100">
        <v>0</v>
      </c>
    </row>
    <row r="740" ht="15.6" spans="2:23">
      <c r="B740"/>
      <c r="C740"/>
      <c r="D740"/>
      <c r="E740"/>
      <c r="F740"/>
      <c r="G740"/>
      <c r="H740"/>
      <c r="I740"/>
      <c r="J740"/>
      <c r="K740"/>
      <c r="L740"/>
      <c r="Q740" s="80" t="s">
        <v>649</v>
      </c>
      <c r="R740" s="80">
        <v>0</v>
      </c>
      <c r="S740" s="80" t="s">
        <v>1178</v>
      </c>
      <c r="T740" s="100">
        <v>16</v>
      </c>
      <c r="U740" s="100">
        <v>0</v>
      </c>
      <c r="V740" s="100">
        <v>0</v>
      </c>
      <c r="W740" s="100">
        <v>0</v>
      </c>
    </row>
    <row r="741" ht="15.6" spans="2:23">
      <c r="B741"/>
      <c r="C741"/>
      <c r="D741"/>
      <c r="E741"/>
      <c r="F741"/>
      <c r="G741"/>
      <c r="H741"/>
      <c r="I741"/>
      <c r="J741"/>
      <c r="K741"/>
      <c r="L741"/>
      <c r="O741" s="80" t="s">
        <v>1709</v>
      </c>
      <c r="P741" s="80" t="s">
        <v>4140</v>
      </c>
      <c r="Q741" s="80" t="s">
        <v>647</v>
      </c>
      <c r="R741" s="80">
        <v>0</v>
      </c>
      <c r="S741" s="80" t="s">
        <v>1178</v>
      </c>
      <c r="T741" s="100">
        <v>8</v>
      </c>
      <c r="U741" s="100">
        <v>0</v>
      </c>
      <c r="V741" s="100">
        <v>0</v>
      </c>
      <c r="W741" s="100">
        <v>0</v>
      </c>
    </row>
    <row r="742" ht="15.6" spans="2:23">
      <c r="B742"/>
      <c r="C742"/>
      <c r="D742"/>
      <c r="E742"/>
      <c r="F742"/>
      <c r="G742"/>
      <c r="H742"/>
      <c r="I742"/>
      <c r="J742"/>
      <c r="K742"/>
      <c r="L742"/>
      <c r="O742" s="80" t="s">
        <v>1710</v>
      </c>
      <c r="P742" s="80" t="s">
        <v>4141</v>
      </c>
      <c r="Q742" s="80" t="s">
        <v>647</v>
      </c>
      <c r="R742" s="80">
        <v>0</v>
      </c>
      <c r="S742" s="80" t="s">
        <v>1178</v>
      </c>
      <c r="T742" s="100">
        <v>8</v>
      </c>
      <c r="U742" s="100">
        <v>0</v>
      </c>
      <c r="V742" s="100">
        <v>0</v>
      </c>
      <c r="W742" s="100">
        <v>0</v>
      </c>
    </row>
    <row r="743" ht="15.6" spans="2:23">
      <c r="B743"/>
      <c r="C743"/>
      <c r="D743"/>
      <c r="E743"/>
      <c r="F743"/>
      <c r="G743"/>
      <c r="H743"/>
      <c r="I743"/>
      <c r="J743"/>
      <c r="K743"/>
      <c r="L743"/>
      <c r="Q743" s="80" t="s">
        <v>649</v>
      </c>
      <c r="R743" s="80">
        <v>0</v>
      </c>
      <c r="S743" s="80" t="s">
        <v>1178</v>
      </c>
      <c r="T743" s="100">
        <v>8</v>
      </c>
      <c r="U743" s="100">
        <v>0</v>
      </c>
      <c r="V743" s="100">
        <v>0</v>
      </c>
      <c r="W743" s="100">
        <v>0</v>
      </c>
    </row>
    <row r="744" ht="15.6" spans="2:23">
      <c r="B744"/>
      <c r="C744"/>
      <c r="D744"/>
      <c r="E744"/>
      <c r="F744"/>
      <c r="G744"/>
      <c r="H744"/>
      <c r="I744"/>
      <c r="J744"/>
      <c r="K744"/>
      <c r="L744"/>
      <c r="O744" s="80" t="s">
        <v>1711</v>
      </c>
      <c r="P744" s="80" t="s">
        <v>4142</v>
      </c>
      <c r="Q744" s="80" t="s">
        <v>647</v>
      </c>
      <c r="R744" s="80">
        <v>0</v>
      </c>
      <c r="S744" s="80" t="s">
        <v>1178</v>
      </c>
      <c r="T744" s="100">
        <v>20</v>
      </c>
      <c r="U744" s="100">
        <v>0</v>
      </c>
      <c r="V744" s="100">
        <v>0</v>
      </c>
      <c r="W744" s="100">
        <v>0</v>
      </c>
    </row>
    <row r="745" ht="15.6" spans="2:23">
      <c r="B745"/>
      <c r="C745"/>
      <c r="D745"/>
      <c r="E745"/>
      <c r="F745"/>
      <c r="G745"/>
      <c r="H745"/>
      <c r="I745"/>
      <c r="J745"/>
      <c r="K745"/>
      <c r="L745"/>
      <c r="Q745" s="80" t="s">
        <v>649</v>
      </c>
      <c r="R745" s="80">
        <v>0</v>
      </c>
      <c r="S745" s="80" t="s">
        <v>1178</v>
      </c>
      <c r="T745" s="100">
        <v>20</v>
      </c>
      <c r="U745" s="100">
        <v>0</v>
      </c>
      <c r="V745" s="100">
        <v>0</v>
      </c>
      <c r="W745" s="100">
        <v>0</v>
      </c>
    </row>
    <row r="746" ht="15.6" spans="2:23">
      <c r="B746"/>
      <c r="C746"/>
      <c r="D746"/>
      <c r="E746"/>
      <c r="F746"/>
      <c r="G746"/>
      <c r="H746"/>
      <c r="I746"/>
      <c r="J746"/>
      <c r="K746"/>
      <c r="L746"/>
      <c r="O746" s="80" t="s">
        <v>1712</v>
      </c>
      <c r="P746" s="80" t="s">
        <v>4143</v>
      </c>
      <c r="Q746" s="80" t="s">
        <v>647</v>
      </c>
      <c r="R746" s="80">
        <v>0</v>
      </c>
      <c r="S746" s="80" t="s">
        <v>1178</v>
      </c>
      <c r="T746" s="100">
        <v>8</v>
      </c>
      <c r="U746" s="100">
        <v>0</v>
      </c>
      <c r="V746" s="100">
        <v>0</v>
      </c>
      <c r="W746" s="100">
        <v>0</v>
      </c>
    </row>
    <row r="747" ht="15.6" spans="2:23">
      <c r="B747"/>
      <c r="C747"/>
      <c r="D747"/>
      <c r="E747"/>
      <c r="F747"/>
      <c r="G747"/>
      <c r="H747"/>
      <c r="I747"/>
      <c r="J747"/>
      <c r="K747"/>
      <c r="L747"/>
      <c r="Q747" s="80" t="s">
        <v>649</v>
      </c>
      <c r="R747" s="80">
        <v>0</v>
      </c>
      <c r="S747" s="80" t="s">
        <v>1178</v>
      </c>
      <c r="T747" s="100">
        <v>4</v>
      </c>
      <c r="U747" s="100">
        <v>0</v>
      </c>
      <c r="V747" s="100">
        <v>0</v>
      </c>
      <c r="W747" s="100">
        <v>0</v>
      </c>
    </row>
    <row r="748" ht="15.6" spans="2:23">
      <c r="B748"/>
      <c r="C748"/>
      <c r="D748"/>
      <c r="E748"/>
      <c r="F748"/>
      <c r="G748"/>
      <c r="H748"/>
      <c r="I748"/>
      <c r="J748"/>
      <c r="K748"/>
      <c r="L748"/>
      <c r="O748" s="80" t="s">
        <v>1713</v>
      </c>
      <c r="P748" s="80" t="s">
        <v>4144</v>
      </c>
      <c r="Q748" s="80" t="s">
        <v>645</v>
      </c>
      <c r="R748" s="80">
        <v>0</v>
      </c>
      <c r="S748" s="80" t="s">
        <v>1178</v>
      </c>
      <c r="T748" s="100">
        <v>2</v>
      </c>
      <c r="U748" s="100">
        <v>0</v>
      </c>
      <c r="V748" s="100">
        <v>0</v>
      </c>
      <c r="W748" s="100">
        <v>0</v>
      </c>
    </row>
    <row r="749" ht="15.6" spans="2:23">
      <c r="B749"/>
      <c r="C749"/>
      <c r="D749"/>
      <c r="E749"/>
      <c r="F749"/>
      <c r="G749"/>
      <c r="H749"/>
      <c r="I749"/>
      <c r="J749"/>
      <c r="K749"/>
      <c r="L749"/>
      <c r="O749" s="80" t="s">
        <v>1714</v>
      </c>
      <c r="P749" s="80" t="s">
        <v>4145</v>
      </c>
      <c r="Q749" s="80" t="s">
        <v>645</v>
      </c>
      <c r="R749" s="80">
        <v>0</v>
      </c>
      <c r="S749" s="80" t="s">
        <v>1178</v>
      </c>
      <c r="T749" s="100">
        <v>2</v>
      </c>
      <c r="U749" s="100">
        <v>0</v>
      </c>
      <c r="V749" s="100">
        <v>0</v>
      </c>
      <c r="W749" s="100">
        <v>0</v>
      </c>
    </row>
    <row r="750" ht="15.6" spans="2:23">
      <c r="B750"/>
      <c r="C750"/>
      <c r="D750"/>
      <c r="E750"/>
      <c r="F750"/>
      <c r="G750"/>
      <c r="H750"/>
      <c r="I750"/>
      <c r="J750"/>
      <c r="K750"/>
      <c r="L750"/>
      <c r="Q750" s="80" t="s">
        <v>647</v>
      </c>
      <c r="R750" s="80">
        <v>0</v>
      </c>
      <c r="S750" s="80" t="s">
        <v>1178</v>
      </c>
      <c r="T750" s="100">
        <v>8</v>
      </c>
      <c r="U750" s="100">
        <v>0</v>
      </c>
      <c r="V750" s="100">
        <v>0</v>
      </c>
      <c r="W750" s="100">
        <v>0</v>
      </c>
    </row>
    <row r="751" ht="15.6" spans="2:23">
      <c r="B751"/>
      <c r="C751"/>
      <c r="D751"/>
      <c r="E751"/>
      <c r="F751"/>
      <c r="G751"/>
      <c r="H751"/>
      <c r="I751"/>
      <c r="J751"/>
      <c r="K751"/>
      <c r="L751"/>
      <c r="Q751" s="80" t="s">
        <v>649</v>
      </c>
      <c r="R751" s="80">
        <v>0</v>
      </c>
      <c r="S751" s="80" t="s">
        <v>1178</v>
      </c>
      <c r="T751" s="100">
        <v>2</v>
      </c>
      <c r="U751" s="100">
        <v>0</v>
      </c>
      <c r="V751" s="100">
        <v>0</v>
      </c>
      <c r="W751" s="100">
        <v>0</v>
      </c>
    </row>
    <row r="752" ht="15.6" spans="2:23">
      <c r="B752"/>
      <c r="C752"/>
      <c r="D752"/>
      <c r="E752"/>
      <c r="F752"/>
      <c r="G752"/>
      <c r="H752"/>
      <c r="I752"/>
      <c r="J752"/>
      <c r="K752"/>
      <c r="L752"/>
      <c r="O752" s="80" t="s">
        <v>1715</v>
      </c>
      <c r="P752" s="80" t="s">
        <v>4146</v>
      </c>
      <c r="Q752" s="80" t="s">
        <v>647</v>
      </c>
      <c r="R752" s="80">
        <v>0</v>
      </c>
      <c r="S752" s="80" t="s">
        <v>1178</v>
      </c>
      <c r="T752" s="100">
        <v>1</v>
      </c>
      <c r="U752" s="100">
        <v>0</v>
      </c>
      <c r="V752" s="100">
        <v>0</v>
      </c>
      <c r="W752" s="100">
        <v>0</v>
      </c>
    </row>
    <row r="753" ht="15.6" spans="2:23">
      <c r="B753"/>
      <c r="C753"/>
      <c r="D753"/>
      <c r="E753"/>
      <c r="F753"/>
      <c r="G753"/>
      <c r="H753"/>
      <c r="I753"/>
      <c r="J753"/>
      <c r="K753"/>
      <c r="L753"/>
      <c r="M753" s="80" t="s">
        <v>439</v>
      </c>
      <c r="N753" s="80" t="s">
        <v>440</v>
      </c>
      <c r="O753" s="80" t="s">
        <v>1716</v>
      </c>
      <c r="P753" s="80" t="s">
        <v>4147</v>
      </c>
      <c r="Q753" s="80" t="s">
        <v>647</v>
      </c>
      <c r="R753" s="80">
        <v>0</v>
      </c>
      <c r="S753" s="80" t="s">
        <v>1178</v>
      </c>
      <c r="T753" s="100">
        <v>2</v>
      </c>
      <c r="U753" s="100">
        <v>0</v>
      </c>
      <c r="V753" s="100">
        <v>0</v>
      </c>
      <c r="W753" s="100">
        <v>0</v>
      </c>
    </row>
    <row r="754" ht="15.6" spans="2:23">
      <c r="B754"/>
      <c r="C754"/>
      <c r="D754"/>
      <c r="E754"/>
      <c r="F754"/>
      <c r="G754"/>
      <c r="H754"/>
      <c r="I754"/>
      <c r="J754"/>
      <c r="K754"/>
      <c r="L754"/>
      <c r="O754" s="80" t="s">
        <v>1717</v>
      </c>
      <c r="P754" s="80" t="s">
        <v>4148</v>
      </c>
      <c r="Q754" s="80" t="s">
        <v>647</v>
      </c>
      <c r="R754" s="80">
        <v>0</v>
      </c>
      <c r="S754" s="80" t="s">
        <v>1178</v>
      </c>
      <c r="T754" s="100">
        <v>24</v>
      </c>
      <c r="U754" s="100">
        <v>0</v>
      </c>
      <c r="V754" s="100">
        <v>0</v>
      </c>
      <c r="W754" s="100">
        <v>0</v>
      </c>
    </row>
    <row r="755" ht="15.6" spans="2:23">
      <c r="B755"/>
      <c r="C755"/>
      <c r="D755"/>
      <c r="E755"/>
      <c r="F755"/>
      <c r="G755"/>
      <c r="H755"/>
      <c r="I755"/>
      <c r="J755"/>
      <c r="K755"/>
      <c r="L755"/>
      <c r="O755" s="80" t="s">
        <v>1718</v>
      </c>
      <c r="P755" s="80" t="s">
        <v>4149</v>
      </c>
      <c r="Q755" s="80" t="s">
        <v>647</v>
      </c>
      <c r="R755" s="80">
        <v>0</v>
      </c>
      <c r="S755" s="80" t="s">
        <v>1178</v>
      </c>
      <c r="T755" s="100">
        <v>6</v>
      </c>
      <c r="U755" s="100">
        <v>0</v>
      </c>
      <c r="V755" s="100">
        <v>0</v>
      </c>
      <c r="W755" s="100">
        <v>0</v>
      </c>
    </row>
    <row r="756" ht="15.6" spans="2:23">
      <c r="B756"/>
      <c r="C756"/>
      <c r="D756"/>
      <c r="E756"/>
      <c r="F756"/>
      <c r="G756"/>
      <c r="H756"/>
      <c r="I756"/>
      <c r="J756"/>
      <c r="K756"/>
      <c r="L756"/>
      <c r="O756" s="80" t="s">
        <v>1719</v>
      </c>
      <c r="P756" s="80" t="s">
        <v>4150</v>
      </c>
      <c r="Q756" s="80" t="s">
        <v>645</v>
      </c>
      <c r="R756" s="80">
        <v>0</v>
      </c>
      <c r="S756" s="80" t="s">
        <v>1178</v>
      </c>
      <c r="T756" s="100">
        <v>2</v>
      </c>
      <c r="U756" s="100">
        <v>0</v>
      </c>
      <c r="V756" s="100">
        <v>0</v>
      </c>
      <c r="W756" s="100">
        <v>0</v>
      </c>
    </row>
    <row r="757" ht="15.6" spans="2:23">
      <c r="B757"/>
      <c r="C757"/>
      <c r="D757"/>
      <c r="E757"/>
      <c r="F757"/>
      <c r="G757"/>
      <c r="H757"/>
      <c r="I757"/>
      <c r="J757"/>
      <c r="K757"/>
      <c r="L757"/>
      <c r="O757" s="80" t="s">
        <v>1720</v>
      </c>
      <c r="P757" s="80" t="s">
        <v>4151</v>
      </c>
      <c r="Q757" s="80" t="s">
        <v>647</v>
      </c>
      <c r="R757" s="80">
        <v>0</v>
      </c>
      <c r="S757" s="80" t="s">
        <v>1178</v>
      </c>
      <c r="T757" s="100">
        <v>8</v>
      </c>
      <c r="U757" s="100">
        <v>0</v>
      </c>
      <c r="V757" s="100">
        <v>0</v>
      </c>
      <c r="W757" s="100">
        <v>0</v>
      </c>
    </row>
    <row r="758" ht="15.6" spans="2:23">
      <c r="B758"/>
      <c r="C758"/>
      <c r="D758"/>
      <c r="E758"/>
      <c r="F758"/>
      <c r="G758"/>
      <c r="H758"/>
      <c r="I758"/>
      <c r="J758"/>
      <c r="K758"/>
      <c r="L758"/>
      <c r="O758" s="80" t="s">
        <v>1721</v>
      </c>
      <c r="P758" s="80" t="s">
        <v>4152</v>
      </c>
      <c r="Q758" s="80" t="s">
        <v>647</v>
      </c>
      <c r="R758" s="80">
        <v>0</v>
      </c>
      <c r="S758" s="80" t="s">
        <v>1178</v>
      </c>
      <c r="T758" s="100">
        <v>1</v>
      </c>
      <c r="U758" s="100">
        <v>0</v>
      </c>
      <c r="V758" s="100">
        <v>0</v>
      </c>
      <c r="W758" s="100">
        <v>0</v>
      </c>
    </row>
    <row r="759" ht="15.6" spans="2:23">
      <c r="B759"/>
      <c r="C759"/>
      <c r="D759"/>
      <c r="E759"/>
      <c r="F759"/>
      <c r="G759"/>
      <c r="H759"/>
      <c r="I759"/>
      <c r="J759"/>
      <c r="K759"/>
      <c r="L759"/>
      <c r="M759" s="80" t="s">
        <v>441</v>
      </c>
      <c r="N759" s="80" t="s">
        <v>442</v>
      </c>
      <c r="O759" s="80" t="s">
        <v>1722</v>
      </c>
      <c r="P759" s="80" t="s">
        <v>4706</v>
      </c>
      <c r="Q759" s="80" t="s">
        <v>647</v>
      </c>
      <c r="R759" s="80">
        <v>0</v>
      </c>
      <c r="S759" s="80" t="s">
        <v>1178</v>
      </c>
      <c r="T759" s="100">
        <v>8</v>
      </c>
      <c r="U759" s="100">
        <v>0</v>
      </c>
      <c r="V759" s="100">
        <v>0</v>
      </c>
      <c r="W759" s="100">
        <v>0</v>
      </c>
    </row>
    <row r="760" ht="15.6" spans="2:23">
      <c r="B760"/>
      <c r="C760"/>
      <c r="D760"/>
      <c r="E760"/>
      <c r="F760"/>
      <c r="G760"/>
      <c r="H760"/>
      <c r="I760"/>
      <c r="J760"/>
      <c r="K760"/>
      <c r="L760"/>
      <c r="O760" s="80" t="s">
        <v>1723</v>
      </c>
      <c r="P760" s="80" t="s">
        <v>4707</v>
      </c>
      <c r="Q760" s="80" t="s">
        <v>647</v>
      </c>
      <c r="R760" s="80">
        <v>0</v>
      </c>
      <c r="S760" s="80" t="s">
        <v>1178</v>
      </c>
      <c r="T760" s="100">
        <v>8</v>
      </c>
      <c r="U760" s="100">
        <v>0</v>
      </c>
      <c r="V760" s="100">
        <v>0</v>
      </c>
      <c r="W760" s="100">
        <v>0</v>
      </c>
    </row>
    <row r="761" ht="15.6" spans="2:23">
      <c r="B761"/>
      <c r="C761"/>
      <c r="D761"/>
      <c r="E761"/>
      <c r="F761"/>
      <c r="G761"/>
      <c r="H761"/>
      <c r="I761"/>
      <c r="J761"/>
      <c r="K761"/>
      <c r="L761"/>
      <c r="O761" s="80" t="s">
        <v>1724</v>
      </c>
      <c r="P761" s="80" t="s">
        <v>4708</v>
      </c>
      <c r="Q761" s="80" t="s">
        <v>647</v>
      </c>
      <c r="R761" s="80">
        <v>0</v>
      </c>
      <c r="S761" s="80" t="s">
        <v>1178</v>
      </c>
      <c r="T761" s="100">
        <v>24</v>
      </c>
      <c r="U761" s="100">
        <v>0</v>
      </c>
      <c r="V761" s="100">
        <v>0</v>
      </c>
      <c r="W761" s="100">
        <v>0</v>
      </c>
    </row>
    <row r="762" ht="15.6" spans="2:23">
      <c r="B762"/>
      <c r="C762"/>
      <c r="D762"/>
      <c r="E762"/>
      <c r="F762"/>
      <c r="G762"/>
      <c r="H762"/>
      <c r="I762"/>
      <c r="J762"/>
      <c r="K762"/>
      <c r="L762"/>
      <c r="O762" s="80" t="s">
        <v>1725</v>
      </c>
      <c r="P762" s="80" t="s">
        <v>4709</v>
      </c>
      <c r="Q762" s="80" t="s">
        <v>647</v>
      </c>
      <c r="R762" s="80">
        <v>0</v>
      </c>
      <c r="S762" s="80" t="s">
        <v>1178</v>
      </c>
      <c r="T762" s="100">
        <v>8</v>
      </c>
      <c r="U762" s="100">
        <v>0</v>
      </c>
      <c r="V762" s="100">
        <v>0</v>
      </c>
      <c r="W762" s="100">
        <v>0</v>
      </c>
    </row>
    <row r="763" ht="15.6" spans="2:23">
      <c r="B763"/>
      <c r="C763"/>
      <c r="D763"/>
      <c r="E763"/>
      <c r="F763"/>
      <c r="G763"/>
      <c r="H763"/>
      <c r="I763"/>
      <c r="J763"/>
      <c r="K763"/>
      <c r="L763"/>
      <c r="O763" s="80" t="s">
        <v>1726</v>
      </c>
      <c r="P763" s="80" t="s">
        <v>4710</v>
      </c>
      <c r="Q763" s="80" t="s">
        <v>645</v>
      </c>
      <c r="R763" s="80">
        <v>0</v>
      </c>
      <c r="S763" s="80" t="s">
        <v>1178</v>
      </c>
      <c r="T763" s="100">
        <v>2</v>
      </c>
      <c r="U763" s="100">
        <v>0</v>
      </c>
      <c r="V763" s="100">
        <v>0</v>
      </c>
      <c r="W763" s="100">
        <v>0</v>
      </c>
    </row>
    <row r="764" ht="15.6" spans="2:23">
      <c r="B764"/>
      <c r="C764"/>
      <c r="D764"/>
      <c r="E764"/>
      <c r="F764"/>
      <c r="G764"/>
      <c r="H764"/>
      <c r="I764"/>
      <c r="J764"/>
      <c r="K764"/>
      <c r="L764"/>
      <c r="O764" s="80" t="s">
        <v>1727</v>
      </c>
      <c r="P764" s="80" t="s">
        <v>4711</v>
      </c>
      <c r="Q764" s="80" t="s">
        <v>647</v>
      </c>
      <c r="R764" s="80">
        <v>0</v>
      </c>
      <c r="S764" s="80" t="s">
        <v>1178</v>
      </c>
      <c r="T764" s="100">
        <v>8</v>
      </c>
      <c r="U764" s="100">
        <v>0</v>
      </c>
      <c r="V764" s="100">
        <v>0</v>
      </c>
      <c r="W764" s="100">
        <v>0</v>
      </c>
    </row>
    <row r="765" ht="15.6" spans="2:23">
      <c r="B765"/>
      <c r="C765"/>
      <c r="D765"/>
      <c r="E765"/>
      <c r="F765"/>
      <c r="G765"/>
      <c r="H765"/>
      <c r="I765"/>
      <c r="J765"/>
      <c r="K765"/>
      <c r="L765"/>
      <c r="O765" s="80" t="s">
        <v>1728</v>
      </c>
      <c r="P765" s="80" t="s">
        <v>4712</v>
      </c>
      <c r="Q765" s="80" t="s">
        <v>647</v>
      </c>
      <c r="R765" s="80">
        <v>0</v>
      </c>
      <c r="S765" s="80" t="s">
        <v>1178</v>
      </c>
      <c r="T765" s="100">
        <v>1</v>
      </c>
      <c r="U765" s="100">
        <v>0</v>
      </c>
      <c r="V765" s="100">
        <v>0</v>
      </c>
      <c r="W765" s="100">
        <v>0</v>
      </c>
    </row>
    <row r="766" ht="15.6" spans="2:23">
      <c r="B766"/>
      <c r="C766"/>
      <c r="D766"/>
      <c r="E766"/>
      <c r="F766"/>
      <c r="G766"/>
      <c r="H766"/>
      <c r="I766"/>
      <c r="J766"/>
      <c r="K766"/>
      <c r="L766"/>
      <c r="M766" s="80" t="s">
        <v>443</v>
      </c>
      <c r="N766" s="80" t="s">
        <v>444</v>
      </c>
      <c r="O766" s="80" t="s">
        <v>1729</v>
      </c>
      <c r="P766" s="80" t="s">
        <v>444</v>
      </c>
      <c r="Q766" s="80" t="s">
        <v>595</v>
      </c>
      <c r="R766" s="80">
        <v>0</v>
      </c>
      <c r="S766" s="80" t="s">
        <v>1178</v>
      </c>
      <c r="T766" s="100">
        <v>0</v>
      </c>
      <c r="U766" s="100">
        <v>0</v>
      </c>
      <c r="V766" s="100">
        <v>0</v>
      </c>
      <c r="W766" s="100">
        <v>0</v>
      </c>
    </row>
    <row r="767" ht="15.6" spans="2:23">
      <c r="B767"/>
      <c r="C767"/>
      <c r="D767"/>
      <c r="E767"/>
      <c r="F767"/>
      <c r="G767"/>
      <c r="H767"/>
      <c r="I767"/>
      <c r="J767"/>
      <c r="K767"/>
      <c r="L767"/>
      <c r="Q767" s="80" t="s">
        <v>599</v>
      </c>
      <c r="R767" s="80">
        <v>0</v>
      </c>
      <c r="S767" s="80" t="s">
        <v>1178</v>
      </c>
      <c r="T767" s="100">
        <v>0</v>
      </c>
      <c r="U767" s="100">
        <v>0</v>
      </c>
      <c r="V767" s="100">
        <v>0</v>
      </c>
      <c r="W767" s="100">
        <v>0</v>
      </c>
    </row>
    <row r="768" ht="15.6" spans="2:23">
      <c r="B768"/>
      <c r="C768"/>
      <c r="D768"/>
      <c r="E768"/>
      <c r="F768"/>
      <c r="G768"/>
      <c r="H768"/>
      <c r="I768"/>
      <c r="J768"/>
      <c r="K768"/>
      <c r="L768"/>
      <c r="Q768" s="80" t="s">
        <v>603</v>
      </c>
      <c r="R768" s="80">
        <v>0</v>
      </c>
      <c r="S768" s="80" t="s">
        <v>1178</v>
      </c>
      <c r="T768" s="100">
        <v>0</v>
      </c>
      <c r="U768" s="100">
        <v>0</v>
      </c>
      <c r="V768" s="100">
        <v>0</v>
      </c>
      <c r="W768" s="100">
        <v>0</v>
      </c>
    </row>
    <row r="769" ht="15.6" spans="2:23">
      <c r="B769"/>
      <c r="C769"/>
      <c r="D769"/>
      <c r="E769"/>
      <c r="F769"/>
      <c r="G769"/>
      <c r="H769"/>
      <c r="I769"/>
      <c r="J769"/>
      <c r="K769"/>
      <c r="L769"/>
      <c r="M769" s="80" t="s">
        <v>445</v>
      </c>
      <c r="N769" s="80" t="s">
        <v>446</v>
      </c>
      <c r="O769" s="80" t="s">
        <v>1730</v>
      </c>
      <c r="P769" s="80" t="s">
        <v>446</v>
      </c>
      <c r="Q769" s="80" t="s">
        <v>595</v>
      </c>
      <c r="R769" s="80">
        <v>0</v>
      </c>
      <c r="S769" s="80" t="s">
        <v>1178</v>
      </c>
      <c r="T769" s="100">
        <v>0</v>
      </c>
      <c r="U769" s="100">
        <v>0</v>
      </c>
      <c r="V769" s="100">
        <v>0</v>
      </c>
      <c r="W769" s="100">
        <v>0</v>
      </c>
    </row>
    <row r="770" ht="15.6" spans="2:23">
      <c r="B770"/>
      <c r="C770"/>
      <c r="D770"/>
      <c r="E770"/>
      <c r="F770"/>
      <c r="G770"/>
      <c r="H770"/>
      <c r="I770"/>
      <c r="J770"/>
      <c r="K770"/>
      <c r="L770"/>
      <c r="Q770" s="80" t="s">
        <v>599</v>
      </c>
      <c r="R770" s="80">
        <v>0</v>
      </c>
      <c r="S770" s="80" t="s">
        <v>1178</v>
      </c>
      <c r="T770" s="100">
        <v>0</v>
      </c>
      <c r="U770" s="100">
        <v>0</v>
      </c>
      <c r="V770" s="100">
        <v>0</v>
      </c>
      <c r="W770" s="100">
        <v>0</v>
      </c>
    </row>
    <row r="771" ht="15.6" spans="2:23">
      <c r="B771"/>
      <c r="C771"/>
      <c r="D771"/>
      <c r="E771"/>
      <c r="F771"/>
      <c r="G771"/>
      <c r="H771"/>
      <c r="I771"/>
      <c r="J771"/>
      <c r="K771" s="101"/>
      <c r="L771" s="101"/>
      <c r="Q771" s="80" t="s">
        <v>603</v>
      </c>
      <c r="R771" s="80">
        <v>0</v>
      </c>
      <c r="S771" s="80" t="s">
        <v>1178</v>
      </c>
      <c r="T771" s="100">
        <v>0</v>
      </c>
      <c r="U771" s="100">
        <v>0</v>
      </c>
      <c r="V771" s="100">
        <v>0</v>
      </c>
      <c r="W771" s="100">
        <v>0</v>
      </c>
    </row>
    <row r="772" ht="15.6" spans="2:23">
      <c r="B772"/>
      <c r="C772"/>
      <c r="D772"/>
      <c r="E772"/>
      <c r="F772"/>
      <c r="G772"/>
      <c r="H772"/>
      <c r="I772"/>
      <c r="J772"/>
      <c r="K772" s="101"/>
      <c r="L772" s="101"/>
      <c r="M772" s="80" t="s">
        <v>447</v>
      </c>
      <c r="N772" s="80" t="s">
        <v>448</v>
      </c>
      <c r="O772" s="80" t="s">
        <v>1731</v>
      </c>
      <c r="P772" s="80" t="s">
        <v>4160</v>
      </c>
      <c r="Q772" s="80" t="s">
        <v>595</v>
      </c>
      <c r="R772" s="80">
        <v>0</v>
      </c>
      <c r="S772" s="80" t="s">
        <v>1178</v>
      </c>
      <c r="T772" s="100">
        <v>0</v>
      </c>
      <c r="U772" s="100">
        <v>0</v>
      </c>
      <c r="V772" s="100">
        <v>0</v>
      </c>
      <c r="W772" s="100">
        <v>0</v>
      </c>
    </row>
    <row r="773" ht="15.6" spans="2:23">
      <c r="B773"/>
      <c r="C773"/>
      <c r="D773"/>
      <c r="E773"/>
      <c r="F773"/>
      <c r="G773"/>
      <c r="H773"/>
      <c r="I773"/>
      <c r="J773"/>
      <c r="K773" s="101"/>
      <c r="L773" s="101"/>
      <c r="Q773" s="80" t="s">
        <v>599</v>
      </c>
      <c r="R773" s="80">
        <v>0</v>
      </c>
      <c r="S773" s="80" t="s">
        <v>1178</v>
      </c>
      <c r="T773" s="100">
        <v>0</v>
      </c>
      <c r="U773" s="100">
        <v>0</v>
      </c>
      <c r="V773" s="100">
        <v>0</v>
      </c>
      <c r="W773" s="100">
        <v>0</v>
      </c>
    </row>
    <row r="774" ht="15.6" spans="2:23">
      <c r="B774"/>
      <c r="C774"/>
      <c r="D774"/>
      <c r="E774"/>
      <c r="F774"/>
      <c r="G774"/>
      <c r="H774"/>
      <c r="I774"/>
      <c r="J774"/>
      <c r="K774" s="101"/>
      <c r="L774" s="101"/>
      <c r="Q774" s="80" t="s">
        <v>603</v>
      </c>
      <c r="R774" s="80">
        <v>0</v>
      </c>
      <c r="S774" s="80" t="s">
        <v>1178</v>
      </c>
      <c r="T774" s="100">
        <v>0</v>
      </c>
      <c r="U774" s="100">
        <v>0</v>
      </c>
      <c r="V774" s="100">
        <v>0</v>
      </c>
      <c r="W774" s="100">
        <v>0</v>
      </c>
    </row>
    <row r="775" ht="15.6" spans="2:23">
      <c r="B775"/>
      <c r="C775"/>
      <c r="D775"/>
      <c r="E775"/>
      <c r="F775"/>
      <c r="G775"/>
      <c r="H775"/>
      <c r="I775"/>
      <c r="J775"/>
      <c r="K775" s="101"/>
      <c r="L775" s="101"/>
      <c r="M775" s="80" t="s">
        <v>449</v>
      </c>
      <c r="N775" s="80" t="s">
        <v>450</v>
      </c>
      <c r="O775" s="80" t="s">
        <v>1732</v>
      </c>
      <c r="P775" s="80" t="s">
        <v>450</v>
      </c>
      <c r="Q775" s="80" t="s">
        <v>595</v>
      </c>
      <c r="R775" s="80">
        <v>0</v>
      </c>
      <c r="S775" s="80" t="s">
        <v>1178</v>
      </c>
      <c r="T775" s="100">
        <v>0</v>
      </c>
      <c r="U775" s="100">
        <v>0</v>
      </c>
      <c r="V775" s="100">
        <v>0</v>
      </c>
      <c r="W775" s="100">
        <v>0</v>
      </c>
    </row>
    <row r="776" ht="15.6" spans="2:23">
      <c r="B776"/>
      <c r="C776"/>
      <c r="D776"/>
      <c r="E776"/>
      <c r="F776"/>
      <c r="G776"/>
      <c r="H776"/>
      <c r="I776"/>
      <c r="J776"/>
      <c r="K776" s="101"/>
      <c r="L776" s="101"/>
      <c r="Q776" s="80" t="s">
        <v>597</v>
      </c>
      <c r="R776" s="80">
        <v>0</v>
      </c>
      <c r="S776" s="80" t="s">
        <v>1178</v>
      </c>
      <c r="T776" s="100">
        <v>6</v>
      </c>
      <c r="U776" s="100">
        <v>0</v>
      </c>
      <c r="V776" s="100">
        <v>0</v>
      </c>
      <c r="W776" s="100">
        <v>0</v>
      </c>
    </row>
    <row r="777" ht="15.6" spans="2:23">
      <c r="B777"/>
      <c r="C777"/>
      <c r="D777"/>
      <c r="E777"/>
      <c r="F777"/>
      <c r="G777"/>
      <c r="H777"/>
      <c r="I777"/>
      <c r="J777"/>
      <c r="K777" s="101"/>
      <c r="L777" s="101"/>
      <c r="Q777" s="80" t="s">
        <v>599</v>
      </c>
      <c r="R777" s="80">
        <v>0</v>
      </c>
      <c r="S777" s="80" t="s">
        <v>1178</v>
      </c>
      <c r="T777" s="100">
        <v>0</v>
      </c>
      <c r="U777" s="100">
        <v>0</v>
      </c>
      <c r="V777" s="100">
        <v>0</v>
      </c>
      <c r="W777" s="100">
        <v>0</v>
      </c>
    </row>
    <row r="778" ht="15.6" spans="2:23">
      <c r="B778"/>
      <c r="C778"/>
      <c r="D778"/>
      <c r="E778"/>
      <c r="F778"/>
      <c r="G778"/>
      <c r="H778"/>
      <c r="I778"/>
      <c r="J778"/>
      <c r="K778" s="101"/>
      <c r="L778" s="101"/>
      <c r="M778" s="80" t="s">
        <v>4698</v>
      </c>
      <c r="N778" s="80" t="s">
        <v>4698</v>
      </c>
      <c r="O778" s="80" t="s">
        <v>4698</v>
      </c>
      <c r="P778" s="80" t="s">
        <v>4698</v>
      </c>
      <c r="Q778" s="80" t="s">
        <v>4698</v>
      </c>
      <c r="R778" s="80" t="s">
        <v>4698</v>
      </c>
      <c r="S778" s="80" t="s">
        <v>4698</v>
      </c>
      <c r="T778" s="100"/>
      <c r="U778" s="100"/>
      <c r="V778" s="100"/>
      <c r="W778" s="100"/>
    </row>
    <row r="779" ht="15.6" spans="2:23">
      <c r="B779"/>
      <c r="C779"/>
      <c r="D779"/>
      <c r="E779"/>
      <c r="F779"/>
      <c r="G779"/>
      <c r="H779"/>
      <c r="I779"/>
      <c r="J779"/>
      <c r="K779" s="101"/>
      <c r="L779" s="101"/>
      <c r="M779" s="80" t="s">
        <v>947</v>
      </c>
      <c r="T779" s="100">
        <v>3404.77625</v>
      </c>
      <c r="U779" s="100">
        <v>0</v>
      </c>
      <c r="V779" s="100">
        <v>0</v>
      </c>
      <c r="W779" s="100">
        <v>0</v>
      </c>
    </row>
    <row r="780" spans="2:23">
      <c r="B780"/>
      <c r="C780"/>
      <c r="D780"/>
      <c r="E780"/>
      <c r="F780"/>
      <c r="G780"/>
      <c r="H780"/>
      <c r="I780"/>
      <c r="J780"/>
      <c r="K780" s="101"/>
      <c r="L780" s="101"/>
      <c r="M780"/>
      <c r="N780"/>
      <c r="O780"/>
      <c r="P780"/>
      <c r="Q780"/>
      <c r="R780"/>
      <c r="S780"/>
      <c r="T780"/>
    </row>
    <row r="781" spans="2:23">
      <c r="B781"/>
      <c r="C781"/>
      <c r="D781"/>
      <c r="E781"/>
      <c r="F781"/>
      <c r="G781"/>
      <c r="H781"/>
      <c r="I781"/>
      <c r="J781"/>
      <c r="K781" s="101"/>
      <c r="L781" s="101"/>
      <c r="M781"/>
      <c r="N781"/>
      <c r="O781"/>
      <c r="P781"/>
      <c r="Q781"/>
      <c r="R781"/>
      <c r="S781"/>
      <c r="T781"/>
    </row>
    <row r="782" spans="2:23">
      <c r="B782"/>
      <c r="C782"/>
      <c r="D782"/>
      <c r="E782"/>
      <c r="F782"/>
      <c r="G782"/>
      <c r="H782"/>
      <c r="I782"/>
      <c r="J782"/>
      <c r="K782" s="101"/>
      <c r="L782" s="101"/>
      <c r="M782"/>
      <c r="N782"/>
      <c r="O782"/>
      <c r="P782"/>
      <c r="Q782"/>
      <c r="R782"/>
      <c r="S782"/>
      <c r="T782"/>
    </row>
    <row r="783" spans="2:23">
      <c r="B783"/>
      <c r="C783"/>
      <c r="D783"/>
      <c r="E783"/>
      <c r="F783"/>
      <c r="G783"/>
      <c r="H783"/>
      <c r="I783"/>
      <c r="J783"/>
      <c r="K783" s="101"/>
      <c r="L783" s="101"/>
      <c r="M783"/>
      <c r="N783"/>
      <c r="O783"/>
      <c r="P783"/>
      <c r="Q783"/>
      <c r="R783"/>
      <c r="S783"/>
      <c r="T783"/>
    </row>
    <row r="784" spans="2:23">
      <c r="B784"/>
      <c r="C784"/>
      <c r="D784"/>
      <c r="E784"/>
      <c r="F784"/>
      <c r="G784"/>
      <c r="H784"/>
      <c r="I784"/>
      <c r="J784"/>
      <c r="K784" s="101"/>
      <c r="L784" s="101"/>
      <c r="M784"/>
      <c r="N784"/>
      <c r="O784"/>
      <c r="P784"/>
      <c r="Q784"/>
      <c r="R784"/>
      <c r="S784"/>
      <c r="T784"/>
    </row>
    <row r="785" spans="2:20">
      <c r="B785"/>
      <c r="C785"/>
      <c r="D785"/>
      <c r="E785"/>
      <c r="F785"/>
      <c r="G785"/>
      <c r="H785"/>
      <c r="I785"/>
      <c r="J785"/>
      <c r="K785" s="101"/>
      <c r="L785" s="101"/>
      <c r="M785"/>
      <c r="N785"/>
      <c r="O785"/>
      <c r="P785"/>
      <c r="Q785"/>
      <c r="R785"/>
      <c r="S785"/>
      <c r="T785"/>
    </row>
    <row r="786" spans="2:20">
      <c r="B786"/>
      <c r="C786"/>
      <c r="D786"/>
      <c r="E786"/>
      <c r="F786"/>
      <c r="G786"/>
      <c r="H786"/>
      <c r="I786"/>
      <c r="J786"/>
      <c r="K786" s="101"/>
      <c r="L786" s="101"/>
      <c r="M786"/>
      <c r="N786"/>
      <c r="O786"/>
      <c r="P786"/>
      <c r="Q786"/>
      <c r="R786"/>
      <c r="S786"/>
      <c r="T786"/>
    </row>
    <row r="787" spans="2:20">
      <c r="B787"/>
      <c r="C787"/>
      <c r="D787"/>
      <c r="E787"/>
      <c r="F787"/>
      <c r="G787"/>
      <c r="H787"/>
      <c r="I787"/>
      <c r="J787"/>
      <c r="K787" s="101"/>
      <c r="L787" s="101"/>
      <c r="M787"/>
      <c r="N787"/>
      <c r="O787"/>
      <c r="P787"/>
      <c r="Q787"/>
      <c r="R787"/>
      <c r="S787"/>
      <c r="T787"/>
    </row>
    <row r="788" spans="2:20">
      <c r="B788"/>
      <c r="C788"/>
      <c r="D788"/>
      <c r="E788"/>
      <c r="F788"/>
      <c r="G788"/>
      <c r="H788"/>
      <c r="I788"/>
      <c r="J788"/>
      <c r="K788" s="101"/>
      <c r="L788" s="101"/>
      <c r="M788"/>
      <c r="N788"/>
      <c r="O788"/>
      <c r="P788"/>
      <c r="Q788"/>
      <c r="R788"/>
      <c r="S788"/>
      <c r="T788"/>
    </row>
    <row r="789" spans="2:20">
      <c r="B789"/>
      <c r="C789"/>
      <c r="D789"/>
      <c r="E789"/>
      <c r="F789"/>
      <c r="G789"/>
      <c r="H789"/>
      <c r="I789"/>
      <c r="J789"/>
      <c r="K789" s="101"/>
      <c r="L789" s="101"/>
      <c r="M789"/>
      <c r="N789"/>
      <c r="O789"/>
      <c r="P789"/>
      <c r="Q789"/>
      <c r="R789"/>
      <c r="S789"/>
      <c r="T789"/>
    </row>
    <row r="790" spans="2:20">
      <c r="B790"/>
      <c r="C790"/>
      <c r="D790"/>
      <c r="E790"/>
      <c r="F790"/>
      <c r="G790"/>
      <c r="H790"/>
      <c r="I790"/>
      <c r="J790"/>
      <c r="K790" s="101"/>
      <c r="L790" s="101"/>
      <c r="M790"/>
      <c r="N790"/>
      <c r="O790"/>
      <c r="P790"/>
      <c r="Q790"/>
      <c r="R790"/>
      <c r="S790"/>
      <c r="T790"/>
    </row>
    <row r="791" spans="2:20">
      <c r="B791"/>
      <c r="C791"/>
      <c r="D791"/>
      <c r="E791"/>
      <c r="F791"/>
      <c r="G791"/>
      <c r="H791"/>
      <c r="I791"/>
      <c r="J791"/>
      <c r="K791" s="101"/>
      <c r="L791" s="101"/>
      <c r="M791"/>
      <c r="N791"/>
      <c r="O791"/>
      <c r="P791"/>
      <c r="Q791"/>
      <c r="R791"/>
      <c r="S791"/>
      <c r="T791"/>
    </row>
    <row r="792" spans="2:20">
      <c r="B792"/>
      <c r="C792"/>
      <c r="D792"/>
      <c r="E792"/>
      <c r="F792"/>
      <c r="G792"/>
      <c r="H792"/>
      <c r="I792"/>
      <c r="J792"/>
      <c r="K792" s="101"/>
      <c r="L792" s="101"/>
      <c r="M792"/>
      <c r="N792"/>
      <c r="O792"/>
      <c r="P792"/>
      <c r="Q792"/>
      <c r="R792"/>
      <c r="S792"/>
      <c r="T792"/>
    </row>
    <row r="793" spans="2:20">
      <c r="B793"/>
      <c r="C793"/>
      <c r="D793"/>
      <c r="E793"/>
      <c r="F793"/>
      <c r="G793"/>
      <c r="H793"/>
      <c r="I793"/>
      <c r="J793"/>
      <c r="K793" s="101"/>
      <c r="L793" s="101"/>
      <c r="M793"/>
      <c r="N793"/>
      <c r="O793"/>
      <c r="P793"/>
      <c r="Q793"/>
      <c r="R793"/>
      <c r="S793"/>
      <c r="T793"/>
    </row>
    <row r="794" spans="2:20">
      <c r="B794"/>
      <c r="C794"/>
      <c r="D794"/>
      <c r="E794"/>
      <c r="F794"/>
      <c r="G794"/>
      <c r="H794"/>
      <c r="I794"/>
      <c r="J794"/>
      <c r="K794" s="101"/>
      <c r="L794" s="101"/>
      <c r="M794"/>
      <c r="N794"/>
      <c r="O794"/>
      <c r="P794"/>
      <c r="Q794"/>
      <c r="R794"/>
      <c r="S794"/>
      <c r="T794"/>
    </row>
    <row r="795" spans="2:20">
      <c r="B795"/>
      <c r="C795"/>
      <c r="D795"/>
      <c r="E795"/>
      <c r="F795"/>
      <c r="G795"/>
      <c r="H795"/>
      <c r="I795"/>
      <c r="J795"/>
      <c r="K795" s="101"/>
      <c r="L795" s="101"/>
      <c r="M795"/>
      <c r="N795"/>
      <c r="O795"/>
      <c r="P795"/>
      <c r="Q795"/>
      <c r="R795"/>
      <c r="S795"/>
      <c r="T795"/>
    </row>
    <row r="796" spans="2:20">
      <c r="B796"/>
      <c r="C796"/>
      <c r="D796"/>
      <c r="E796"/>
      <c r="F796"/>
      <c r="G796"/>
      <c r="H796"/>
      <c r="I796"/>
      <c r="J796"/>
      <c r="K796" s="101"/>
      <c r="L796" s="101"/>
      <c r="M796"/>
      <c r="N796"/>
      <c r="O796"/>
      <c r="P796"/>
      <c r="Q796"/>
      <c r="R796"/>
      <c r="S796"/>
      <c r="T796"/>
    </row>
    <row r="797" spans="2:20">
      <c r="B797"/>
      <c r="C797"/>
      <c r="D797"/>
      <c r="E797"/>
      <c r="F797"/>
      <c r="G797"/>
      <c r="H797"/>
      <c r="I797"/>
      <c r="J797"/>
      <c r="K797" s="101"/>
      <c r="L797" s="101"/>
      <c r="M797"/>
      <c r="N797"/>
      <c r="O797"/>
      <c r="P797"/>
      <c r="Q797"/>
      <c r="R797"/>
      <c r="S797"/>
      <c r="T797"/>
    </row>
    <row r="798" spans="2:20">
      <c r="B798"/>
      <c r="C798"/>
      <c r="D798"/>
      <c r="E798"/>
      <c r="F798"/>
      <c r="G798"/>
      <c r="H798"/>
      <c r="I798"/>
      <c r="J798"/>
      <c r="K798" s="101"/>
      <c r="L798" s="101"/>
      <c r="M798"/>
      <c r="N798"/>
      <c r="O798"/>
      <c r="P798"/>
      <c r="Q798"/>
      <c r="R798"/>
      <c r="S798"/>
      <c r="T798"/>
    </row>
    <row r="799" spans="2:20">
      <c r="B799"/>
      <c r="C799"/>
      <c r="D799"/>
      <c r="E799"/>
      <c r="F799"/>
      <c r="G799"/>
      <c r="H799"/>
      <c r="I799"/>
      <c r="J799"/>
      <c r="K799" s="101"/>
      <c r="L799" s="101"/>
      <c r="M799"/>
      <c r="N799"/>
      <c r="O799"/>
      <c r="P799"/>
      <c r="Q799"/>
      <c r="R799"/>
      <c r="S799"/>
      <c r="T799"/>
    </row>
    <row r="800" spans="2:20">
      <c r="B800"/>
      <c r="C800"/>
      <c r="D800"/>
      <c r="E800"/>
      <c r="F800"/>
      <c r="G800"/>
      <c r="H800"/>
      <c r="I800"/>
      <c r="J800"/>
      <c r="K800" s="101"/>
      <c r="L800" s="101"/>
      <c r="M800"/>
      <c r="N800"/>
      <c r="O800"/>
      <c r="P800"/>
      <c r="Q800"/>
      <c r="R800"/>
      <c r="S800"/>
      <c r="T800"/>
    </row>
    <row r="801" spans="2:20">
      <c r="B801"/>
      <c r="C801"/>
      <c r="D801"/>
      <c r="E801"/>
      <c r="F801"/>
      <c r="G801"/>
      <c r="H801"/>
      <c r="I801"/>
      <c r="J801"/>
      <c r="K801" s="101"/>
      <c r="L801" s="101"/>
      <c r="M801"/>
      <c r="N801"/>
      <c r="O801"/>
      <c r="P801"/>
      <c r="Q801"/>
      <c r="R801"/>
      <c r="S801"/>
      <c r="T801"/>
    </row>
    <row r="802" spans="2:20">
      <c r="B802"/>
      <c r="C802"/>
      <c r="D802"/>
      <c r="E802"/>
      <c r="F802"/>
      <c r="G802"/>
      <c r="H802"/>
      <c r="I802"/>
      <c r="J802"/>
      <c r="K802" s="101"/>
      <c r="L802" s="101"/>
      <c r="M802"/>
      <c r="N802"/>
      <c r="O802"/>
      <c r="P802"/>
      <c r="Q802"/>
      <c r="R802"/>
      <c r="S802"/>
      <c r="T802"/>
    </row>
    <row r="803" spans="2:20">
      <c r="B803"/>
      <c r="C803"/>
      <c r="D803"/>
      <c r="E803"/>
      <c r="F803"/>
      <c r="G803"/>
      <c r="H803"/>
      <c r="I803"/>
      <c r="J803"/>
      <c r="K803" s="101"/>
      <c r="L803" s="101"/>
      <c r="M803"/>
      <c r="N803"/>
      <c r="O803"/>
      <c r="P803"/>
      <c r="Q803"/>
      <c r="R803"/>
      <c r="S803"/>
      <c r="T803"/>
    </row>
    <row r="804" spans="2:20">
      <c r="B804"/>
      <c r="C804"/>
      <c r="D804"/>
      <c r="E804"/>
      <c r="F804"/>
      <c r="G804"/>
      <c r="H804"/>
      <c r="I804"/>
      <c r="J804"/>
      <c r="K804" s="101"/>
      <c r="L804" s="101"/>
      <c r="M804"/>
      <c r="N804"/>
      <c r="O804"/>
      <c r="P804"/>
      <c r="Q804"/>
      <c r="R804"/>
      <c r="S804"/>
      <c r="T804"/>
    </row>
    <row r="805" spans="2:20">
      <c r="B805"/>
      <c r="C805"/>
      <c r="D805"/>
      <c r="E805"/>
      <c r="F805"/>
      <c r="G805"/>
      <c r="H805"/>
      <c r="I805"/>
      <c r="J805"/>
      <c r="K805" s="101"/>
      <c r="L805" s="101"/>
      <c r="M805"/>
      <c r="N805"/>
      <c r="O805"/>
      <c r="P805"/>
      <c r="Q805"/>
      <c r="R805"/>
      <c r="S805"/>
      <c r="T805"/>
    </row>
    <row r="806" spans="2:20">
      <c r="B806"/>
      <c r="C806"/>
      <c r="D806"/>
      <c r="E806"/>
      <c r="F806"/>
      <c r="G806"/>
      <c r="H806"/>
      <c r="I806"/>
      <c r="J806"/>
      <c r="K806" s="101"/>
      <c r="L806" s="101"/>
      <c r="M806"/>
      <c r="N806"/>
      <c r="O806"/>
      <c r="P806"/>
      <c r="Q806"/>
      <c r="R806"/>
      <c r="S806"/>
      <c r="T806"/>
    </row>
    <row r="807" spans="2:20">
      <c r="B807"/>
      <c r="C807"/>
      <c r="D807"/>
      <c r="E807"/>
      <c r="F807"/>
      <c r="G807"/>
      <c r="H807"/>
      <c r="I807"/>
      <c r="J807"/>
      <c r="K807" s="101"/>
      <c r="L807" s="101"/>
      <c r="M807"/>
      <c r="N807"/>
      <c r="O807"/>
      <c r="P807"/>
      <c r="Q807"/>
      <c r="R807"/>
      <c r="S807"/>
      <c r="T807"/>
    </row>
    <row r="808" spans="2:20">
      <c r="B808"/>
      <c r="C808"/>
      <c r="D808"/>
      <c r="E808"/>
      <c r="F808"/>
      <c r="G808"/>
      <c r="H808"/>
      <c r="I808"/>
      <c r="J808"/>
      <c r="K808" s="101"/>
      <c r="L808" s="101"/>
      <c r="M808"/>
      <c r="N808"/>
      <c r="O808"/>
      <c r="P808"/>
      <c r="Q808"/>
      <c r="R808"/>
      <c r="S808"/>
      <c r="T808"/>
    </row>
    <row r="809" spans="2:20">
      <c r="B809"/>
      <c r="C809"/>
      <c r="D809"/>
      <c r="E809"/>
      <c r="F809"/>
      <c r="G809"/>
      <c r="H809"/>
      <c r="I809"/>
      <c r="J809"/>
      <c r="K809" s="101"/>
      <c r="L809" s="101"/>
      <c r="M809"/>
      <c r="N809"/>
      <c r="O809"/>
      <c r="P809"/>
      <c r="Q809"/>
      <c r="R809"/>
      <c r="S809"/>
      <c r="T809"/>
    </row>
    <row r="810" spans="2:20">
      <c r="B810"/>
      <c r="C810"/>
      <c r="D810"/>
      <c r="E810"/>
      <c r="F810"/>
      <c r="G810"/>
      <c r="H810"/>
      <c r="I810"/>
      <c r="J810"/>
      <c r="K810" s="101"/>
      <c r="L810" s="101"/>
      <c r="M810"/>
      <c r="N810"/>
      <c r="O810"/>
      <c r="P810"/>
      <c r="Q810"/>
      <c r="R810"/>
      <c r="S810"/>
      <c r="T810"/>
    </row>
    <row r="811" spans="2:20">
      <c r="B811"/>
      <c r="C811"/>
      <c r="D811"/>
      <c r="E811"/>
      <c r="F811"/>
      <c r="G811"/>
      <c r="H811"/>
      <c r="I811"/>
      <c r="J811"/>
      <c r="K811" s="101"/>
      <c r="L811" s="101"/>
      <c r="M811"/>
      <c r="N811"/>
      <c r="O811"/>
      <c r="P811"/>
      <c r="Q811"/>
      <c r="R811"/>
      <c r="S811"/>
      <c r="T811"/>
    </row>
    <row r="812" spans="2:20">
      <c r="B812"/>
      <c r="C812"/>
      <c r="D812"/>
      <c r="E812"/>
      <c r="F812"/>
      <c r="G812"/>
      <c r="H812"/>
      <c r="I812"/>
      <c r="J812"/>
      <c r="K812" s="101"/>
      <c r="L812" s="101"/>
      <c r="M812"/>
      <c r="N812"/>
      <c r="O812"/>
      <c r="P812"/>
      <c r="Q812"/>
      <c r="R812"/>
      <c r="S812"/>
      <c r="T812"/>
    </row>
    <row r="813" spans="2:20">
      <c r="B813"/>
      <c r="C813"/>
      <c r="D813"/>
      <c r="E813"/>
      <c r="F813"/>
      <c r="G813"/>
      <c r="H813"/>
      <c r="I813"/>
      <c r="J813"/>
      <c r="K813" s="101"/>
      <c r="L813" s="101"/>
      <c r="M813"/>
      <c r="N813"/>
      <c r="O813"/>
      <c r="P813"/>
      <c r="Q813"/>
      <c r="R813"/>
      <c r="S813"/>
      <c r="T813"/>
    </row>
    <row r="814" spans="2:20">
      <c r="B814"/>
      <c r="C814"/>
      <c r="D814"/>
      <c r="E814"/>
      <c r="F814"/>
      <c r="G814"/>
      <c r="H814"/>
      <c r="I814"/>
      <c r="J814"/>
      <c r="K814" s="101"/>
      <c r="L814" s="101"/>
      <c r="M814"/>
      <c r="N814"/>
      <c r="O814"/>
      <c r="P814"/>
      <c r="Q814"/>
      <c r="R814"/>
      <c r="S814"/>
      <c r="T814"/>
    </row>
    <row r="815" spans="2:20">
      <c r="B815"/>
      <c r="C815"/>
      <c r="D815"/>
      <c r="E815"/>
      <c r="F815"/>
      <c r="G815"/>
      <c r="H815"/>
      <c r="I815"/>
      <c r="J815"/>
      <c r="K815" s="101"/>
      <c r="L815" s="101"/>
      <c r="M815"/>
      <c r="N815"/>
      <c r="O815"/>
      <c r="P815"/>
      <c r="Q815"/>
      <c r="R815"/>
      <c r="S815"/>
      <c r="T815"/>
    </row>
    <row r="816" spans="2:20">
      <c r="B816"/>
      <c r="C816"/>
      <c r="D816"/>
      <c r="E816"/>
      <c r="F816"/>
      <c r="G816"/>
      <c r="H816"/>
      <c r="I816"/>
      <c r="J816"/>
      <c r="K816" s="101"/>
      <c r="L816" s="101"/>
      <c r="M816"/>
      <c r="N816"/>
      <c r="O816"/>
      <c r="P816"/>
      <c r="Q816"/>
      <c r="R816"/>
      <c r="S816"/>
      <c r="T816"/>
    </row>
    <row r="817" spans="2:20">
      <c r="B817"/>
      <c r="C817"/>
      <c r="D817"/>
      <c r="E817"/>
      <c r="F817"/>
      <c r="G817"/>
      <c r="H817"/>
      <c r="I817"/>
      <c r="J817"/>
      <c r="K817" s="101"/>
      <c r="L817" s="101"/>
      <c r="M817"/>
      <c r="N817"/>
      <c r="O817"/>
      <c r="P817"/>
      <c r="Q817"/>
      <c r="R817"/>
      <c r="S817"/>
      <c r="T817"/>
    </row>
    <row r="818" spans="2:20">
      <c r="B818"/>
      <c r="C818"/>
      <c r="D818"/>
      <c r="E818"/>
      <c r="F818"/>
      <c r="G818"/>
      <c r="H818"/>
      <c r="I818"/>
      <c r="J818"/>
      <c r="K818" s="101"/>
      <c r="L818" s="101"/>
      <c r="M818"/>
      <c r="N818"/>
      <c r="O818"/>
      <c r="P818"/>
      <c r="Q818"/>
      <c r="R818"/>
      <c r="S818"/>
      <c r="T818"/>
    </row>
    <row r="819" spans="2:20">
      <c r="B819"/>
      <c r="C819"/>
      <c r="D819"/>
      <c r="E819"/>
      <c r="F819"/>
      <c r="G819"/>
      <c r="H819"/>
      <c r="I819"/>
      <c r="J819"/>
      <c r="K819" s="101"/>
      <c r="L819" s="101"/>
      <c r="M819"/>
      <c r="N819"/>
      <c r="O819"/>
      <c r="P819"/>
      <c r="Q819"/>
      <c r="R819"/>
      <c r="S819"/>
      <c r="T819"/>
    </row>
    <row r="820" spans="2:20">
      <c r="B820"/>
      <c r="C820"/>
      <c r="D820"/>
      <c r="E820"/>
      <c r="F820"/>
      <c r="G820"/>
      <c r="H820"/>
      <c r="I820"/>
      <c r="J820"/>
      <c r="K820" s="101"/>
      <c r="L820" s="101"/>
      <c r="M820"/>
      <c r="N820"/>
      <c r="O820"/>
      <c r="P820"/>
      <c r="Q820"/>
      <c r="R820"/>
      <c r="S820"/>
      <c r="T820"/>
    </row>
    <row r="821" spans="2:20">
      <c r="B821"/>
      <c r="C821"/>
      <c r="D821"/>
      <c r="E821"/>
      <c r="F821"/>
      <c r="G821"/>
      <c r="H821"/>
      <c r="I821"/>
      <c r="J821"/>
      <c r="K821" s="101"/>
      <c r="L821" s="101"/>
      <c r="M821"/>
      <c r="N821"/>
      <c r="O821"/>
      <c r="P821"/>
      <c r="Q821"/>
      <c r="R821"/>
      <c r="S821"/>
      <c r="T821"/>
    </row>
    <row r="822" spans="2:20">
      <c r="B822"/>
      <c r="C822"/>
      <c r="D822"/>
      <c r="E822"/>
      <c r="F822"/>
      <c r="G822"/>
      <c r="H822"/>
      <c r="I822"/>
      <c r="J822"/>
      <c r="K822" s="101"/>
      <c r="L822" s="101"/>
      <c r="M822"/>
      <c r="N822"/>
      <c r="O822"/>
      <c r="P822"/>
      <c r="Q822"/>
      <c r="R822"/>
      <c r="S822"/>
      <c r="T822"/>
    </row>
    <row r="823" spans="2:20">
      <c r="B823"/>
      <c r="C823"/>
      <c r="D823"/>
      <c r="E823"/>
      <c r="F823"/>
      <c r="G823"/>
      <c r="H823"/>
      <c r="I823"/>
      <c r="J823"/>
      <c r="K823" s="101"/>
      <c r="L823" s="101"/>
      <c r="M823"/>
      <c r="N823"/>
      <c r="O823"/>
      <c r="P823"/>
      <c r="Q823"/>
      <c r="R823"/>
      <c r="S823"/>
      <c r="T823"/>
    </row>
    <row r="824" spans="2:20">
      <c r="B824"/>
      <c r="C824"/>
      <c r="D824"/>
      <c r="E824"/>
      <c r="F824"/>
      <c r="G824"/>
      <c r="H824"/>
      <c r="I824"/>
      <c r="J824"/>
      <c r="K824" s="101"/>
      <c r="L824" s="101"/>
      <c r="M824"/>
      <c r="N824"/>
      <c r="O824"/>
      <c r="P824"/>
      <c r="Q824"/>
      <c r="R824"/>
      <c r="S824"/>
      <c r="T824"/>
    </row>
    <row r="825" spans="2:20">
      <c r="B825"/>
      <c r="C825"/>
      <c r="D825"/>
      <c r="E825"/>
      <c r="F825"/>
      <c r="G825"/>
      <c r="H825"/>
      <c r="I825"/>
      <c r="J825"/>
      <c r="K825" s="101"/>
      <c r="L825" s="101"/>
      <c r="M825"/>
      <c r="N825"/>
      <c r="O825"/>
      <c r="P825"/>
      <c r="Q825"/>
      <c r="R825"/>
      <c r="S825"/>
      <c r="T825"/>
    </row>
    <row r="826" spans="2:20">
      <c r="B826"/>
      <c r="C826"/>
      <c r="D826"/>
      <c r="E826"/>
      <c r="F826"/>
      <c r="G826"/>
      <c r="H826"/>
      <c r="I826"/>
      <c r="J826"/>
      <c r="K826" s="101"/>
      <c r="L826" s="101"/>
      <c r="M826"/>
      <c r="N826"/>
      <c r="O826"/>
      <c r="P826"/>
      <c r="Q826"/>
      <c r="R826"/>
      <c r="S826"/>
      <c r="T826"/>
    </row>
    <row r="827" spans="2:20">
      <c r="B827"/>
      <c r="C827"/>
      <c r="D827"/>
      <c r="E827"/>
      <c r="F827"/>
      <c r="G827"/>
      <c r="H827"/>
      <c r="I827"/>
      <c r="J827"/>
      <c r="K827" s="101"/>
      <c r="L827" s="101"/>
      <c r="M827"/>
      <c r="N827"/>
      <c r="O827"/>
      <c r="P827"/>
      <c r="Q827"/>
      <c r="R827"/>
      <c r="S827"/>
      <c r="T827"/>
    </row>
    <row r="828" spans="2:20">
      <c r="B828"/>
      <c r="C828"/>
      <c r="D828"/>
      <c r="E828"/>
      <c r="F828"/>
      <c r="G828"/>
      <c r="H828"/>
      <c r="I828"/>
      <c r="J828"/>
      <c r="K828" s="101"/>
      <c r="L828" s="101"/>
      <c r="M828"/>
      <c r="N828"/>
      <c r="O828"/>
      <c r="P828"/>
      <c r="Q828"/>
      <c r="R828"/>
      <c r="S828"/>
      <c r="T828"/>
    </row>
    <row r="829" spans="2:20">
      <c r="B829"/>
      <c r="C829"/>
      <c r="D829"/>
      <c r="E829"/>
      <c r="F829"/>
      <c r="G829"/>
      <c r="H829"/>
      <c r="I829"/>
      <c r="J829"/>
      <c r="K829" s="101"/>
      <c r="L829" s="101"/>
      <c r="M829"/>
      <c r="N829"/>
      <c r="O829"/>
      <c r="P829"/>
      <c r="Q829"/>
      <c r="R829"/>
      <c r="S829"/>
      <c r="T829"/>
    </row>
    <row r="830" spans="2:20">
      <c r="B830"/>
      <c r="C830"/>
      <c r="D830"/>
      <c r="E830"/>
      <c r="F830"/>
      <c r="G830"/>
      <c r="H830"/>
      <c r="I830"/>
      <c r="J830"/>
      <c r="K830" s="101"/>
      <c r="L830" s="101"/>
      <c r="M830"/>
      <c r="N830"/>
      <c r="O830"/>
      <c r="P830"/>
      <c r="Q830"/>
      <c r="R830"/>
      <c r="S830"/>
      <c r="T830"/>
    </row>
    <row r="831" spans="2:20">
      <c r="B831"/>
      <c r="C831"/>
      <c r="D831"/>
      <c r="E831"/>
      <c r="F831"/>
      <c r="G831"/>
      <c r="H831"/>
      <c r="I831"/>
      <c r="J831"/>
      <c r="K831" s="101"/>
      <c r="L831" s="101"/>
      <c r="M831"/>
      <c r="N831"/>
      <c r="O831"/>
      <c r="P831"/>
      <c r="Q831"/>
      <c r="R831"/>
      <c r="S831"/>
      <c r="T831"/>
    </row>
    <row r="832" spans="2:20">
      <c r="B832"/>
      <c r="C832"/>
      <c r="D832"/>
      <c r="E832"/>
      <c r="F832"/>
      <c r="G832"/>
      <c r="H832"/>
      <c r="I832"/>
      <c r="J832"/>
      <c r="K832" s="101"/>
      <c r="L832" s="101"/>
      <c r="M832"/>
      <c r="N832"/>
      <c r="O832"/>
      <c r="P832"/>
      <c r="Q832"/>
      <c r="R832"/>
      <c r="S832"/>
      <c r="T832"/>
    </row>
    <row r="833" spans="2:20">
      <c r="B833"/>
      <c r="C833"/>
      <c r="D833"/>
      <c r="E833"/>
      <c r="F833"/>
      <c r="G833"/>
      <c r="H833"/>
      <c r="I833"/>
      <c r="J833"/>
      <c r="K833" s="101"/>
      <c r="L833" s="101"/>
      <c r="M833"/>
      <c r="N833"/>
      <c r="O833"/>
      <c r="P833"/>
      <c r="Q833"/>
      <c r="R833"/>
      <c r="S833"/>
      <c r="T833"/>
    </row>
    <row r="834" spans="2:20">
      <c r="B834"/>
      <c r="C834"/>
      <c r="D834"/>
      <c r="E834"/>
      <c r="F834"/>
      <c r="G834"/>
      <c r="H834"/>
      <c r="I834"/>
      <c r="J834"/>
      <c r="K834" s="101"/>
      <c r="L834" s="101"/>
      <c r="M834"/>
      <c r="N834"/>
      <c r="O834"/>
      <c r="P834"/>
      <c r="Q834"/>
      <c r="R834"/>
      <c r="S834"/>
      <c r="T834"/>
    </row>
    <row r="835" spans="2:20">
      <c r="B835"/>
      <c r="C835"/>
      <c r="D835"/>
      <c r="E835"/>
      <c r="F835"/>
      <c r="G835"/>
      <c r="H835"/>
      <c r="I835"/>
      <c r="J835"/>
      <c r="K835" s="101"/>
      <c r="L835" s="101"/>
      <c r="M835"/>
      <c r="N835"/>
      <c r="O835"/>
      <c r="P835"/>
      <c r="Q835"/>
      <c r="R835"/>
      <c r="S835"/>
      <c r="T835"/>
    </row>
    <row r="836" spans="2:20">
      <c r="B836"/>
      <c r="C836"/>
      <c r="D836"/>
      <c r="E836"/>
      <c r="F836"/>
      <c r="G836"/>
      <c r="H836"/>
      <c r="I836"/>
      <c r="J836"/>
      <c r="K836" s="101"/>
      <c r="L836" s="101"/>
      <c r="M836"/>
      <c r="N836"/>
      <c r="O836"/>
      <c r="P836"/>
      <c r="Q836"/>
      <c r="R836"/>
      <c r="S836"/>
      <c r="T836"/>
    </row>
    <row r="837" spans="2:20">
      <c r="B837"/>
      <c r="C837"/>
      <c r="D837"/>
      <c r="E837"/>
      <c r="F837"/>
      <c r="G837"/>
      <c r="H837"/>
      <c r="I837"/>
      <c r="J837"/>
      <c r="K837" s="101"/>
      <c r="L837" s="101"/>
      <c r="M837"/>
      <c r="N837"/>
      <c r="O837"/>
      <c r="P837"/>
      <c r="Q837"/>
      <c r="R837"/>
      <c r="S837"/>
      <c r="T837"/>
    </row>
    <row r="838" spans="2:20">
      <c r="B838"/>
      <c r="C838"/>
      <c r="D838"/>
      <c r="E838"/>
      <c r="F838"/>
      <c r="G838"/>
      <c r="H838"/>
      <c r="I838"/>
      <c r="J838"/>
      <c r="K838" s="101"/>
      <c r="L838" s="101"/>
      <c r="M838"/>
      <c r="N838"/>
      <c r="O838"/>
      <c r="P838"/>
      <c r="Q838"/>
      <c r="R838"/>
      <c r="S838"/>
      <c r="T838"/>
    </row>
    <row r="839" spans="2:20">
      <c r="B839"/>
      <c r="C839"/>
      <c r="D839"/>
      <c r="E839"/>
      <c r="F839"/>
      <c r="G839"/>
      <c r="H839"/>
      <c r="I839"/>
      <c r="J839"/>
      <c r="K839" s="101"/>
      <c r="L839" s="101"/>
      <c r="M839"/>
      <c r="N839"/>
      <c r="O839"/>
      <c r="P839"/>
      <c r="Q839"/>
      <c r="R839"/>
      <c r="S839"/>
      <c r="T839"/>
    </row>
    <row r="840" spans="2:20">
      <c r="B840"/>
      <c r="C840"/>
      <c r="D840"/>
      <c r="E840"/>
      <c r="F840"/>
      <c r="G840"/>
      <c r="H840"/>
      <c r="I840"/>
      <c r="J840"/>
      <c r="K840" s="101"/>
      <c r="L840" s="101"/>
      <c r="M840"/>
      <c r="N840"/>
      <c r="O840"/>
      <c r="P840"/>
      <c r="Q840"/>
      <c r="R840"/>
      <c r="S840"/>
      <c r="T840"/>
    </row>
    <row r="841" spans="2:20">
      <c r="B841"/>
      <c r="C841"/>
      <c r="D841"/>
      <c r="E841"/>
      <c r="F841"/>
      <c r="G841"/>
      <c r="H841"/>
      <c r="I841"/>
      <c r="J841"/>
      <c r="K841" s="101"/>
      <c r="L841" s="101"/>
      <c r="M841"/>
      <c r="N841"/>
      <c r="O841"/>
      <c r="P841"/>
      <c r="Q841"/>
      <c r="R841"/>
      <c r="S841"/>
      <c r="T841"/>
    </row>
    <row r="842" spans="2:20">
      <c r="B842"/>
      <c r="C842"/>
      <c r="D842"/>
      <c r="E842"/>
      <c r="F842"/>
      <c r="G842"/>
      <c r="H842"/>
      <c r="I842"/>
      <c r="J842"/>
      <c r="K842" s="101"/>
      <c r="L842" s="101"/>
      <c r="M842"/>
      <c r="N842"/>
      <c r="O842"/>
      <c r="P842"/>
      <c r="Q842"/>
      <c r="R842"/>
      <c r="S842"/>
      <c r="T842"/>
    </row>
    <row r="843" spans="2:20">
      <c r="B843"/>
      <c r="C843"/>
      <c r="D843"/>
      <c r="E843"/>
      <c r="F843"/>
      <c r="G843"/>
      <c r="H843"/>
      <c r="I843"/>
      <c r="J843"/>
      <c r="K843" s="101"/>
      <c r="L843" s="101"/>
      <c r="M843"/>
      <c r="N843"/>
      <c r="O843"/>
      <c r="P843"/>
      <c r="Q843"/>
      <c r="R843"/>
      <c r="S843"/>
      <c r="T843"/>
    </row>
    <row r="844" spans="2:20">
      <c r="B844"/>
      <c r="C844"/>
      <c r="D844"/>
      <c r="E844"/>
      <c r="F844"/>
      <c r="G844"/>
      <c r="H844"/>
      <c r="I844"/>
      <c r="J844"/>
      <c r="K844" s="101"/>
      <c r="L844" s="101"/>
      <c r="M844"/>
      <c r="N844"/>
      <c r="O844"/>
      <c r="P844"/>
      <c r="Q844"/>
      <c r="R844"/>
      <c r="S844"/>
      <c r="T844"/>
    </row>
    <row r="845" spans="2:20">
      <c r="B845"/>
      <c r="C845"/>
      <c r="D845"/>
      <c r="E845"/>
      <c r="F845"/>
      <c r="G845"/>
      <c r="H845"/>
      <c r="I845"/>
      <c r="J845"/>
      <c r="K845" s="101"/>
      <c r="L845" s="101"/>
      <c r="M845"/>
      <c r="N845"/>
      <c r="O845"/>
      <c r="P845"/>
      <c r="Q845"/>
      <c r="R845"/>
      <c r="S845"/>
      <c r="T845"/>
    </row>
    <row r="846" spans="2:20">
      <c r="B846"/>
      <c r="C846"/>
      <c r="D846"/>
      <c r="E846"/>
      <c r="F846"/>
      <c r="G846"/>
      <c r="H846"/>
      <c r="I846"/>
      <c r="J846"/>
      <c r="K846" s="101"/>
      <c r="L846" s="101"/>
      <c r="M846"/>
      <c r="N846"/>
      <c r="O846"/>
      <c r="P846"/>
      <c r="Q846"/>
      <c r="R846"/>
      <c r="S846"/>
      <c r="T846"/>
    </row>
    <row r="847" spans="2:20">
      <c r="B847"/>
      <c r="C847"/>
      <c r="D847"/>
      <c r="E847"/>
      <c r="F847"/>
      <c r="G847"/>
      <c r="H847"/>
      <c r="I847"/>
      <c r="J847"/>
      <c r="K847" s="101"/>
      <c r="L847" s="101"/>
      <c r="M847"/>
      <c r="N847"/>
      <c r="O847"/>
      <c r="P847"/>
      <c r="Q847"/>
      <c r="R847"/>
      <c r="S847"/>
      <c r="T847"/>
    </row>
    <row r="848" spans="2:20">
      <c r="B848"/>
      <c r="C848"/>
      <c r="D848"/>
      <c r="E848"/>
      <c r="F848"/>
      <c r="G848"/>
      <c r="H848"/>
      <c r="I848"/>
      <c r="J848"/>
      <c r="K848" s="101"/>
      <c r="L848" s="101"/>
      <c r="M848"/>
      <c r="N848"/>
      <c r="O848"/>
      <c r="P848"/>
      <c r="Q848"/>
      <c r="R848"/>
      <c r="S848"/>
      <c r="T848"/>
    </row>
    <row r="849" spans="2:20">
      <c r="B849"/>
      <c r="C849"/>
      <c r="D849"/>
      <c r="E849"/>
      <c r="F849"/>
      <c r="G849"/>
      <c r="H849"/>
      <c r="I849"/>
      <c r="J849"/>
      <c r="K849" s="101"/>
      <c r="L849" s="101"/>
      <c r="M849"/>
      <c r="N849"/>
      <c r="O849"/>
      <c r="P849"/>
      <c r="Q849"/>
      <c r="R849"/>
      <c r="S849"/>
      <c r="T849"/>
    </row>
    <row r="850" spans="2:20">
      <c r="B850"/>
      <c r="C850"/>
      <c r="D850"/>
      <c r="E850"/>
      <c r="F850"/>
      <c r="G850"/>
      <c r="H850"/>
      <c r="I850"/>
      <c r="J850"/>
      <c r="K850" s="101"/>
      <c r="L850" s="101"/>
      <c r="M850"/>
      <c r="N850"/>
      <c r="O850"/>
      <c r="P850"/>
      <c r="Q850"/>
      <c r="R850"/>
      <c r="S850"/>
      <c r="T850"/>
    </row>
    <row r="851" spans="2:20">
      <c r="B851"/>
      <c r="C851"/>
      <c r="D851"/>
      <c r="E851"/>
      <c r="F851"/>
      <c r="G851"/>
      <c r="H851"/>
      <c r="I851"/>
      <c r="J851"/>
      <c r="K851" s="101"/>
      <c r="L851" s="101"/>
      <c r="M851"/>
      <c r="N851"/>
      <c r="O851"/>
      <c r="P851"/>
      <c r="Q851"/>
      <c r="R851"/>
      <c r="S851"/>
      <c r="T851"/>
    </row>
    <row r="852" spans="2:20">
      <c r="B852"/>
      <c r="C852"/>
      <c r="D852"/>
      <c r="E852"/>
      <c r="F852"/>
      <c r="G852"/>
      <c r="H852"/>
      <c r="I852"/>
      <c r="J852"/>
      <c r="K852" s="101"/>
      <c r="L852" s="101"/>
      <c r="M852"/>
      <c r="N852"/>
      <c r="O852"/>
      <c r="P852"/>
      <c r="Q852"/>
      <c r="R852"/>
      <c r="S852"/>
      <c r="T852"/>
    </row>
    <row r="853" spans="2:20">
      <c r="B853"/>
      <c r="C853"/>
      <c r="D853"/>
      <c r="E853"/>
      <c r="F853"/>
      <c r="G853"/>
      <c r="H853"/>
      <c r="I853"/>
      <c r="J853"/>
      <c r="K853" s="101"/>
      <c r="L853" s="101"/>
      <c r="M853"/>
      <c r="N853"/>
      <c r="O853"/>
      <c r="P853"/>
      <c r="Q853"/>
      <c r="R853"/>
      <c r="S853"/>
      <c r="T853"/>
    </row>
    <row r="854" spans="2:20">
      <c r="B854"/>
      <c r="C854"/>
      <c r="D854"/>
      <c r="E854"/>
      <c r="F854"/>
      <c r="G854"/>
      <c r="H854"/>
      <c r="I854"/>
      <c r="J854"/>
      <c r="K854" s="101"/>
      <c r="L854" s="101"/>
      <c r="M854"/>
      <c r="N854"/>
      <c r="O854"/>
      <c r="P854"/>
      <c r="Q854"/>
      <c r="R854"/>
      <c r="S854"/>
      <c r="T854"/>
    </row>
    <row r="855" spans="2:20">
      <c r="B855"/>
      <c r="C855"/>
      <c r="D855"/>
      <c r="E855"/>
      <c r="F855"/>
      <c r="G855"/>
      <c r="H855"/>
      <c r="I855"/>
      <c r="J855"/>
      <c r="K855" s="101"/>
      <c r="L855" s="101"/>
      <c r="M855"/>
      <c r="N855"/>
      <c r="O855"/>
      <c r="P855"/>
      <c r="Q855"/>
      <c r="R855"/>
      <c r="S855"/>
      <c r="T855"/>
    </row>
    <row r="856" spans="2:20">
      <c r="B856"/>
      <c r="C856"/>
      <c r="D856"/>
      <c r="E856"/>
      <c r="F856"/>
      <c r="G856"/>
      <c r="H856"/>
      <c r="I856"/>
      <c r="J856"/>
      <c r="K856" s="101"/>
      <c r="L856" s="101"/>
      <c r="M856"/>
      <c r="N856"/>
      <c r="O856"/>
      <c r="P856"/>
      <c r="Q856"/>
      <c r="R856"/>
      <c r="S856"/>
      <c r="T856"/>
    </row>
    <row r="857" spans="2:20">
      <c r="B857"/>
      <c r="C857"/>
      <c r="D857"/>
      <c r="E857"/>
      <c r="F857"/>
      <c r="G857"/>
      <c r="H857"/>
      <c r="I857"/>
      <c r="J857"/>
      <c r="K857" s="101"/>
      <c r="L857" s="101"/>
      <c r="M857"/>
      <c r="N857"/>
      <c r="O857"/>
      <c r="P857"/>
      <c r="Q857"/>
      <c r="R857"/>
      <c r="S857"/>
      <c r="T857"/>
    </row>
    <row r="858" spans="2:20">
      <c r="B858"/>
      <c r="C858"/>
      <c r="D858"/>
      <c r="E858"/>
      <c r="F858"/>
      <c r="G858"/>
      <c r="H858"/>
      <c r="I858"/>
      <c r="J858"/>
      <c r="K858" s="101"/>
      <c r="L858" s="101"/>
      <c r="M858"/>
      <c r="N858"/>
      <c r="O858"/>
      <c r="P858"/>
      <c r="Q858"/>
      <c r="R858"/>
      <c r="S858"/>
      <c r="T858"/>
    </row>
    <row r="859" spans="2:20">
      <c r="B859"/>
      <c r="C859"/>
      <c r="D859"/>
      <c r="E859"/>
      <c r="F859"/>
      <c r="G859"/>
      <c r="H859"/>
      <c r="I859"/>
      <c r="J859"/>
      <c r="K859" s="101"/>
      <c r="L859" s="101"/>
      <c r="M859"/>
      <c r="N859"/>
      <c r="O859"/>
      <c r="P859"/>
      <c r="Q859"/>
      <c r="R859"/>
      <c r="S859"/>
      <c r="T859"/>
    </row>
    <row r="860" spans="2:20">
      <c r="B860"/>
      <c r="C860"/>
      <c r="D860"/>
      <c r="E860"/>
      <c r="F860"/>
      <c r="G860"/>
      <c r="H860"/>
      <c r="I860"/>
      <c r="J860"/>
      <c r="K860" s="101"/>
      <c r="L860" s="101"/>
      <c r="M860"/>
      <c r="N860"/>
      <c r="O860"/>
      <c r="P860"/>
      <c r="Q860"/>
      <c r="R860"/>
      <c r="S860"/>
      <c r="T860"/>
    </row>
    <row r="861" spans="2:20">
      <c r="B861"/>
      <c r="C861"/>
      <c r="D861"/>
      <c r="E861"/>
      <c r="F861"/>
      <c r="G861"/>
      <c r="H861"/>
      <c r="I861"/>
      <c r="J861"/>
      <c r="K861" s="101"/>
      <c r="L861" s="101"/>
      <c r="M861"/>
      <c r="N861"/>
      <c r="O861"/>
      <c r="P861"/>
      <c r="Q861"/>
      <c r="R861"/>
      <c r="S861"/>
      <c r="T861"/>
    </row>
    <row r="862" spans="2:20">
      <c r="B862"/>
      <c r="C862"/>
      <c r="D862"/>
      <c r="E862"/>
      <c r="F862"/>
      <c r="G862"/>
      <c r="H862"/>
      <c r="I862"/>
      <c r="J862"/>
      <c r="K862" s="101"/>
      <c r="L862" s="101"/>
      <c r="M862"/>
      <c r="N862"/>
      <c r="O862"/>
      <c r="P862"/>
      <c r="Q862"/>
      <c r="R862"/>
      <c r="S862"/>
      <c r="T862"/>
    </row>
    <row r="863" spans="2:20">
      <c r="B863"/>
      <c r="C863"/>
      <c r="D863"/>
      <c r="E863"/>
      <c r="F863"/>
      <c r="G863"/>
      <c r="H863"/>
      <c r="I863"/>
      <c r="J863"/>
      <c r="K863" s="101"/>
      <c r="L863" s="101"/>
      <c r="M863"/>
      <c r="N863"/>
      <c r="O863"/>
      <c r="P863"/>
      <c r="Q863"/>
      <c r="R863"/>
      <c r="S863"/>
      <c r="T863"/>
    </row>
    <row r="864" spans="2:20">
      <c r="B864"/>
      <c r="C864"/>
      <c r="D864"/>
      <c r="E864"/>
      <c r="F864"/>
      <c r="G864"/>
      <c r="H864"/>
      <c r="I864"/>
      <c r="J864"/>
      <c r="K864" s="101"/>
      <c r="L864" s="101"/>
      <c r="M864"/>
      <c r="N864"/>
      <c r="O864"/>
      <c r="P864"/>
      <c r="Q864"/>
      <c r="R864"/>
      <c r="S864"/>
      <c r="T864"/>
    </row>
    <row r="865" spans="2:20">
      <c r="B865"/>
      <c r="C865"/>
      <c r="D865"/>
      <c r="E865"/>
      <c r="F865"/>
      <c r="G865"/>
      <c r="H865"/>
      <c r="I865"/>
      <c r="J865"/>
      <c r="K865" s="101"/>
      <c r="L865" s="101"/>
      <c r="M865"/>
      <c r="N865"/>
      <c r="O865"/>
      <c r="P865"/>
      <c r="Q865"/>
      <c r="R865"/>
      <c r="S865"/>
      <c r="T865"/>
    </row>
    <row r="866" spans="2:20">
      <c r="B866"/>
      <c r="C866"/>
      <c r="D866"/>
      <c r="E866"/>
      <c r="F866"/>
      <c r="G866"/>
      <c r="H866"/>
      <c r="I866"/>
      <c r="J866"/>
      <c r="K866" s="101"/>
      <c r="L866" s="101"/>
      <c r="M866"/>
      <c r="N866"/>
      <c r="O866"/>
      <c r="P866"/>
      <c r="Q866"/>
      <c r="R866"/>
      <c r="S866"/>
      <c r="T866"/>
    </row>
    <row r="867" spans="2:20">
      <c r="B867"/>
      <c r="C867"/>
      <c r="D867"/>
      <c r="E867"/>
      <c r="F867"/>
      <c r="G867"/>
      <c r="H867"/>
      <c r="I867"/>
      <c r="J867"/>
      <c r="K867" s="101"/>
      <c r="L867" s="101"/>
      <c r="M867"/>
      <c r="N867"/>
      <c r="O867"/>
      <c r="P867"/>
      <c r="Q867"/>
      <c r="R867"/>
      <c r="S867"/>
      <c r="T867"/>
    </row>
    <row r="868" spans="2:20">
      <c r="B868"/>
      <c r="C868"/>
      <c r="D868"/>
      <c r="E868"/>
      <c r="F868"/>
      <c r="G868"/>
      <c r="H868"/>
      <c r="I868"/>
      <c r="J868"/>
      <c r="K868" s="101"/>
      <c r="L868" s="101"/>
      <c r="M868"/>
      <c r="N868"/>
      <c r="O868"/>
      <c r="P868"/>
      <c r="Q868"/>
      <c r="R868"/>
      <c r="S868"/>
      <c r="T868"/>
    </row>
    <row r="869" spans="2:20">
      <c r="B869"/>
      <c r="C869"/>
      <c r="D869"/>
      <c r="E869"/>
      <c r="F869"/>
      <c r="G869"/>
      <c r="H869"/>
      <c r="I869"/>
      <c r="J869"/>
      <c r="K869" s="101"/>
      <c r="L869" s="101"/>
      <c r="M869"/>
      <c r="N869"/>
      <c r="O869"/>
      <c r="P869"/>
      <c r="Q869"/>
      <c r="R869"/>
      <c r="S869"/>
      <c r="T869"/>
    </row>
    <row r="870" spans="2:20">
      <c r="B870"/>
      <c r="C870"/>
      <c r="D870"/>
      <c r="E870"/>
      <c r="F870"/>
      <c r="G870"/>
      <c r="H870"/>
      <c r="I870"/>
      <c r="J870"/>
      <c r="K870" s="101"/>
      <c r="L870" s="101"/>
      <c r="M870"/>
      <c r="N870"/>
      <c r="O870"/>
      <c r="P870"/>
      <c r="Q870"/>
      <c r="R870"/>
      <c r="S870"/>
      <c r="T870"/>
    </row>
    <row r="871" spans="2:20">
      <c r="B871"/>
      <c r="C871"/>
      <c r="D871"/>
      <c r="E871"/>
      <c r="F871"/>
      <c r="G871"/>
      <c r="H871"/>
      <c r="I871"/>
      <c r="J871"/>
      <c r="K871" s="101"/>
      <c r="L871" s="101"/>
      <c r="M871"/>
      <c r="N871"/>
      <c r="O871"/>
      <c r="P871"/>
      <c r="Q871"/>
      <c r="R871"/>
      <c r="S871"/>
      <c r="T871"/>
    </row>
    <row r="872" spans="2:20">
      <c r="B872"/>
      <c r="C872"/>
      <c r="D872"/>
      <c r="E872"/>
      <c r="F872"/>
      <c r="G872"/>
      <c r="H872"/>
      <c r="I872"/>
      <c r="J872"/>
      <c r="K872" s="101"/>
      <c r="L872" s="101"/>
      <c r="M872"/>
      <c r="N872"/>
      <c r="O872"/>
      <c r="P872"/>
      <c r="Q872"/>
      <c r="R872"/>
      <c r="S872"/>
      <c r="T872"/>
    </row>
    <row r="873" spans="2:20">
      <c r="B873"/>
      <c r="C873"/>
      <c r="D873"/>
      <c r="E873"/>
      <c r="F873"/>
      <c r="G873"/>
      <c r="H873"/>
      <c r="I873"/>
      <c r="J873"/>
      <c r="K873" s="101"/>
      <c r="L873" s="101"/>
      <c r="M873"/>
      <c r="N873"/>
      <c r="O873"/>
      <c r="P873"/>
      <c r="Q873"/>
      <c r="R873"/>
      <c r="S873"/>
      <c r="T873"/>
    </row>
    <row r="874" spans="2:20">
      <c r="B874"/>
      <c r="C874"/>
      <c r="D874"/>
      <c r="E874"/>
      <c r="F874"/>
      <c r="G874"/>
      <c r="H874"/>
      <c r="I874"/>
      <c r="J874"/>
      <c r="K874" s="101"/>
      <c r="L874" s="101"/>
      <c r="M874"/>
      <c r="N874"/>
      <c r="O874"/>
      <c r="P874"/>
      <c r="Q874"/>
      <c r="R874"/>
      <c r="S874"/>
      <c r="T874"/>
    </row>
    <row r="875" spans="2:20">
      <c r="B875"/>
      <c r="C875"/>
      <c r="D875"/>
      <c r="E875"/>
      <c r="F875"/>
      <c r="G875"/>
      <c r="H875"/>
      <c r="I875"/>
      <c r="J875"/>
      <c r="K875" s="101"/>
      <c r="L875" s="101"/>
      <c r="M875"/>
      <c r="N875"/>
      <c r="O875"/>
      <c r="P875"/>
      <c r="Q875"/>
      <c r="R875"/>
      <c r="S875"/>
      <c r="T875"/>
    </row>
    <row r="876" spans="2:20">
      <c r="B876"/>
      <c r="C876"/>
      <c r="D876"/>
      <c r="E876"/>
      <c r="F876"/>
      <c r="G876"/>
      <c r="H876"/>
      <c r="I876"/>
      <c r="J876"/>
      <c r="K876" s="101"/>
      <c r="L876" s="101"/>
      <c r="M876"/>
      <c r="N876"/>
      <c r="O876"/>
      <c r="P876"/>
      <c r="Q876"/>
      <c r="R876"/>
      <c r="S876"/>
      <c r="T876"/>
    </row>
    <row r="877" spans="2:20">
      <c r="B877"/>
      <c r="C877"/>
      <c r="D877"/>
      <c r="E877"/>
      <c r="F877"/>
      <c r="G877"/>
      <c r="H877"/>
      <c r="I877"/>
      <c r="J877"/>
      <c r="K877" s="101"/>
      <c r="L877" s="101"/>
      <c r="M877"/>
      <c r="N877"/>
      <c r="O877"/>
      <c r="P877"/>
      <c r="Q877"/>
      <c r="R877"/>
      <c r="S877"/>
      <c r="T877"/>
    </row>
    <row r="878" spans="2:20">
      <c r="B878"/>
      <c r="C878"/>
      <c r="D878"/>
      <c r="E878"/>
      <c r="F878"/>
      <c r="G878"/>
      <c r="H878"/>
      <c r="I878"/>
      <c r="J878"/>
      <c r="K878" s="101"/>
      <c r="L878" s="101"/>
      <c r="M878"/>
      <c r="N878"/>
      <c r="O878"/>
      <c r="P878"/>
      <c r="Q878"/>
      <c r="R878"/>
      <c r="S878"/>
      <c r="T878"/>
    </row>
    <row r="879" spans="2:20">
      <c r="B879"/>
      <c r="C879"/>
      <c r="D879"/>
      <c r="E879"/>
      <c r="F879"/>
      <c r="G879"/>
      <c r="H879"/>
      <c r="I879"/>
      <c r="J879"/>
      <c r="K879" s="101"/>
      <c r="L879" s="101"/>
      <c r="M879"/>
      <c r="N879"/>
      <c r="O879"/>
      <c r="P879"/>
      <c r="Q879"/>
      <c r="R879"/>
      <c r="S879"/>
      <c r="T879"/>
    </row>
    <row r="880" spans="2:20">
      <c r="B880"/>
      <c r="C880"/>
      <c r="D880"/>
      <c r="E880"/>
      <c r="F880"/>
      <c r="G880"/>
      <c r="H880"/>
      <c r="I880"/>
      <c r="J880"/>
      <c r="K880" s="101"/>
      <c r="L880" s="101"/>
      <c r="M880"/>
      <c r="N880"/>
      <c r="O880"/>
      <c r="P880"/>
      <c r="Q880"/>
      <c r="R880"/>
      <c r="S880"/>
      <c r="T880"/>
    </row>
    <row r="881" spans="2:20">
      <c r="B881"/>
      <c r="C881"/>
      <c r="D881"/>
      <c r="E881"/>
      <c r="F881"/>
      <c r="G881"/>
      <c r="H881"/>
      <c r="I881"/>
      <c r="J881"/>
      <c r="K881" s="101"/>
      <c r="L881" s="101"/>
      <c r="M881"/>
      <c r="N881"/>
      <c r="O881"/>
      <c r="P881"/>
      <c r="Q881"/>
      <c r="R881"/>
      <c r="S881"/>
      <c r="T881"/>
    </row>
    <row r="882" spans="2:20">
      <c r="B882"/>
      <c r="C882"/>
      <c r="D882"/>
      <c r="E882"/>
      <c r="F882"/>
      <c r="G882"/>
      <c r="H882"/>
      <c r="I882"/>
      <c r="J882"/>
      <c r="K882" s="101"/>
      <c r="L882" s="101"/>
      <c r="M882"/>
      <c r="N882"/>
      <c r="O882"/>
      <c r="P882"/>
      <c r="Q882"/>
      <c r="R882"/>
      <c r="S882"/>
      <c r="T882"/>
    </row>
    <row r="883" spans="2:20">
      <c r="B883"/>
      <c r="C883"/>
      <c r="D883"/>
      <c r="E883"/>
      <c r="F883"/>
      <c r="G883"/>
      <c r="H883"/>
      <c r="I883"/>
      <c r="J883"/>
      <c r="K883" s="101"/>
      <c r="L883" s="101"/>
      <c r="M883"/>
      <c r="N883"/>
      <c r="O883"/>
      <c r="P883"/>
      <c r="Q883"/>
      <c r="R883"/>
      <c r="S883"/>
      <c r="T883"/>
    </row>
    <row r="884" spans="2:20">
      <c r="B884"/>
      <c r="C884"/>
      <c r="D884"/>
      <c r="E884"/>
      <c r="F884"/>
      <c r="G884"/>
      <c r="H884"/>
      <c r="I884"/>
      <c r="J884"/>
      <c r="K884" s="101"/>
      <c r="L884" s="101"/>
      <c r="M884"/>
      <c r="N884"/>
      <c r="O884"/>
      <c r="P884"/>
      <c r="Q884"/>
      <c r="R884"/>
      <c r="S884"/>
      <c r="T884"/>
    </row>
    <row r="885" spans="2:20">
      <c r="B885"/>
      <c r="C885"/>
      <c r="D885"/>
      <c r="E885"/>
      <c r="F885"/>
      <c r="G885"/>
      <c r="H885"/>
      <c r="I885"/>
      <c r="J885"/>
      <c r="K885" s="101"/>
      <c r="L885" s="101"/>
      <c r="M885"/>
      <c r="N885"/>
      <c r="O885"/>
      <c r="P885"/>
      <c r="Q885"/>
      <c r="R885"/>
      <c r="S885"/>
      <c r="T885"/>
    </row>
    <row r="886" spans="2:20">
      <c r="B886"/>
      <c r="C886"/>
      <c r="D886"/>
      <c r="E886"/>
      <c r="F886"/>
      <c r="G886"/>
      <c r="H886"/>
      <c r="I886"/>
      <c r="J886"/>
      <c r="K886" s="101"/>
      <c r="L886" s="101"/>
      <c r="M886"/>
      <c r="N886"/>
      <c r="O886"/>
      <c r="P886"/>
      <c r="Q886"/>
      <c r="R886"/>
      <c r="S886"/>
      <c r="T886"/>
    </row>
    <row r="887" spans="2:20">
      <c r="B887"/>
      <c r="C887"/>
      <c r="D887"/>
      <c r="E887"/>
      <c r="F887"/>
      <c r="G887"/>
      <c r="H887"/>
      <c r="I887"/>
      <c r="J887"/>
      <c r="K887" s="101"/>
      <c r="L887" s="101"/>
      <c r="M887"/>
      <c r="N887"/>
      <c r="O887"/>
      <c r="P887"/>
      <c r="Q887"/>
      <c r="R887"/>
      <c r="S887"/>
      <c r="T887"/>
    </row>
    <row r="888" spans="2:20">
      <c r="B888"/>
      <c r="C888"/>
      <c r="D888"/>
      <c r="E888"/>
      <c r="F888"/>
      <c r="G888"/>
      <c r="H888"/>
      <c r="I888"/>
      <c r="J888"/>
      <c r="K888" s="101"/>
      <c r="L888" s="101"/>
      <c r="M888"/>
      <c r="N888"/>
      <c r="O888"/>
      <c r="P888"/>
      <c r="Q888"/>
      <c r="R888"/>
      <c r="S888"/>
      <c r="T888"/>
    </row>
    <row r="889" spans="2:20">
      <c r="B889"/>
      <c r="C889"/>
      <c r="D889"/>
      <c r="E889"/>
      <c r="F889"/>
      <c r="G889"/>
      <c r="H889"/>
      <c r="I889"/>
      <c r="J889"/>
      <c r="K889" s="101"/>
      <c r="L889" s="101"/>
      <c r="M889"/>
      <c r="N889"/>
      <c r="O889"/>
      <c r="P889"/>
      <c r="Q889"/>
      <c r="R889"/>
      <c r="S889"/>
      <c r="T889"/>
    </row>
    <row r="890" spans="2:20">
      <c r="B890"/>
      <c r="C890"/>
      <c r="D890"/>
      <c r="E890"/>
      <c r="F890"/>
      <c r="G890"/>
      <c r="H890"/>
      <c r="I890"/>
      <c r="J890"/>
      <c r="K890" s="101"/>
      <c r="L890" s="101"/>
      <c r="M890"/>
      <c r="N890"/>
      <c r="O890"/>
      <c r="P890"/>
      <c r="Q890"/>
      <c r="R890"/>
      <c r="S890"/>
      <c r="T890"/>
    </row>
    <row r="891" spans="2:20">
      <c r="B891"/>
      <c r="C891"/>
      <c r="D891"/>
      <c r="E891"/>
      <c r="F891"/>
      <c r="G891"/>
      <c r="H891"/>
      <c r="I891"/>
      <c r="J891"/>
      <c r="K891" s="101"/>
      <c r="L891" s="101"/>
      <c r="M891"/>
      <c r="N891"/>
      <c r="O891"/>
      <c r="P891"/>
      <c r="Q891"/>
      <c r="R891"/>
      <c r="S891"/>
      <c r="T891"/>
    </row>
    <row r="892" spans="2:20">
      <c r="B892"/>
      <c r="C892"/>
      <c r="D892"/>
      <c r="E892"/>
      <c r="F892"/>
      <c r="G892"/>
      <c r="H892"/>
      <c r="I892"/>
      <c r="J892"/>
      <c r="K892" s="101"/>
      <c r="L892" s="101"/>
      <c r="M892"/>
      <c r="N892"/>
      <c r="O892"/>
      <c r="P892"/>
      <c r="Q892"/>
      <c r="R892"/>
      <c r="S892"/>
      <c r="T892"/>
    </row>
    <row r="893" spans="2:20">
      <c r="B893"/>
      <c r="C893"/>
      <c r="D893"/>
      <c r="E893"/>
      <c r="F893"/>
      <c r="G893"/>
      <c r="H893"/>
      <c r="I893"/>
      <c r="J893"/>
      <c r="K893" s="101"/>
      <c r="L893" s="101"/>
      <c r="M893"/>
      <c r="N893"/>
      <c r="O893"/>
      <c r="P893"/>
      <c r="Q893"/>
      <c r="R893"/>
      <c r="S893"/>
      <c r="T893"/>
    </row>
    <row r="894" spans="2:20">
      <c r="B894"/>
      <c r="C894"/>
      <c r="D894"/>
      <c r="E894"/>
      <c r="F894"/>
      <c r="G894"/>
      <c r="H894"/>
      <c r="I894"/>
      <c r="J894"/>
      <c r="K894" s="101"/>
      <c r="L894" s="101"/>
      <c r="M894"/>
      <c r="N894"/>
      <c r="O894"/>
      <c r="P894"/>
      <c r="Q894"/>
      <c r="R894"/>
      <c r="S894"/>
      <c r="T894"/>
    </row>
    <row r="895" spans="2:20">
      <c r="B895"/>
      <c r="C895"/>
      <c r="D895"/>
      <c r="E895"/>
      <c r="F895"/>
      <c r="G895"/>
      <c r="H895"/>
      <c r="I895"/>
      <c r="J895"/>
      <c r="K895" s="101"/>
      <c r="L895" s="101"/>
      <c r="M895"/>
      <c r="N895"/>
      <c r="O895"/>
      <c r="P895"/>
      <c r="Q895"/>
      <c r="R895"/>
      <c r="S895"/>
      <c r="T895"/>
    </row>
    <row r="896" spans="2:20">
      <c r="B896"/>
      <c r="C896"/>
      <c r="D896"/>
      <c r="E896"/>
      <c r="F896"/>
      <c r="G896"/>
      <c r="H896"/>
      <c r="I896"/>
      <c r="J896"/>
      <c r="K896" s="101"/>
      <c r="L896" s="101"/>
      <c r="M896"/>
      <c r="N896"/>
      <c r="O896"/>
      <c r="P896"/>
      <c r="Q896"/>
      <c r="R896"/>
      <c r="S896"/>
      <c r="T896"/>
    </row>
    <row r="897" spans="2:20">
      <c r="B897"/>
      <c r="C897"/>
      <c r="D897"/>
      <c r="E897"/>
      <c r="F897"/>
      <c r="G897"/>
      <c r="H897"/>
      <c r="I897"/>
      <c r="J897"/>
      <c r="K897" s="101"/>
      <c r="L897" s="101"/>
      <c r="M897"/>
      <c r="N897"/>
      <c r="O897"/>
      <c r="P897"/>
      <c r="Q897"/>
      <c r="R897"/>
      <c r="S897"/>
      <c r="T897"/>
    </row>
    <row r="898" spans="2:20">
      <c r="B898"/>
      <c r="C898"/>
      <c r="D898"/>
      <c r="E898"/>
      <c r="F898"/>
      <c r="G898"/>
      <c r="H898"/>
      <c r="I898"/>
      <c r="J898"/>
      <c r="K898" s="101"/>
      <c r="L898" s="101"/>
      <c r="M898"/>
      <c r="N898"/>
      <c r="O898"/>
      <c r="P898"/>
      <c r="Q898"/>
      <c r="R898"/>
      <c r="S898"/>
      <c r="T898"/>
    </row>
    <row r="899" spans="2:20">
      <c r="B899"/>
      <c r="C899"/>
      <c r="D899"/>
      <c r="E899"/>
      <c r="F899"/>
      <c r="G899"/>
      <c r="H899"/>
      <c r="I899"/>
      <c r="J899"/>
      <c r="K899" s="101"/>
      <c r="L899" s="101"/>
      <c r="M899"/>
      <c r="N899"/>
      <c r="O899"/>
      <c r="P899"/>
      <c r="Q899"/>
      <c r="R899"/>
      <c r="S899"/>
      <c r="T899"/>
    </row>
    <row r="900" spans="2:20">
      <c r="B900"/>
      <c r="C900"/>
      <c r="D900"/>
      <c r="E900"/>
      <c r="F900"/>
      <c r="G900"/>
      <c r="H900"/>
      <c r="I900"/>
      <c r="J900"/>
      <c r="K900" s="101"/>
      <c r="L900" s="101"/>
      <c r="M900"/>
      <c r="N900"/>
      <c r="O900"/>
      <c r="P900"/>
      <c r="Q900"/>
      <c r="R900"/>
      <c r="S900"/>
      <c r="T900"/>
    </row>
    <row r="901" spans="2:20">
      <c r="B901"/>
      <c r="C901"/>
      <c r="D901"/>
      <c r="E901"/>
      <c r="F901"/>
      <c r="G901"/>
      <c r="H901"/>
      <c r="I901"/>
      <c r="J901"/>
      <c r="K901" s="101"/>
      <c r="L901" s="101"/>
      <c r="M901"/>
      <c r="N901"/>
      <c r="O901"/>
      <c r="P901"/>
      <c r="Q901"/>
      <c r="R901"/>
      <c r="S901"/>
      <c r="T901"/>
    </row>
    <row r="902" spans="2:20">
      <c r="B902"/>
      <c r="C902"/>
      <c r="D902"/>
      <c r="E902"/>
      <c r="F902"/>
      <c r="G902"/>
      <c r="H902"/>
      <c r="I902"/>
      <c r="J902"/>
      <c r="K902" s="101"/>
      <c r="L902" s="101"/>
      <c r="M902"/>
      <c r="N902"/>
      <c r="O902"/>
      <c r="P902"/>
      <c r="Q902"/>
      <c r="R902"/>
      <c r="S902"/>
      <c r="T902"/>
    </row>
    <row r="903" spans="2:20">
      <c r="B903"/>
      <c r="C903"/>
      <c r="D903"/>
      <c r="E903"/>
      <c r="F903"/>
      <c r="G903"/>
      <c r="H903"/>
      <c r="I903"/>
      <c r="J903"/>
      <c r="K903" s="101"/>
      <c r="L903" s="101"/>
      <c r="M903"/>
      <c r="N903"/>
      <c r="O903"/>
      <c r="P903"/>
      <c r="Q903"/>
      <c r="R903"/>
      <c r="S903"/>
      <c r="T903"/>
    </row>
    <row r="904" spans="2:20">
      <c r="B904"/>
      <c r="C904"/>
      <c r="D904"/>
      <c r="E904"/>
      <c r="F904"/>
      <c r="G904"/>
      <c r="H904"/>
      <c r="I904"/>
      <c r="J904"/>
      <c r="K904" s="101"/>
      <c r="L904" s="101"/>
      <c r="M904"/>
      <c r="N904"/>
      <c r="O904"/>
      <c r="P904"/>
      <c r="Q904"/>
      <c r="R904"/>
      <c r="S904"/>
      <c r="T904"/>
    </row>
    <row r="905" spans="2:20">
      <c r="B905"/>
      <c r="C905"/>
      <c r="D905"/>
      <c r="E905"/>
      <c r="F905"/>
      <c r="G905"/>
      <c r="H905"/>
      <c r="I905"/>
      <c r="J905"/>
      <c r="K905" s="101"/>
      <c r="L905" s="101"/>
      <c r="M905"/>
      <c r="N905"/>
      <c r="O905"/>
      <c r="P905"/>
      <c r="Q905"/>
      <c r="R905"/>
      <c r="S905"/>
      <c r="T905"/>
    </row>
    <row r="906" spans="2:20">
      <c r="B906"/>
      <c r="C906"/>
      <c r="D906"/>
      <c r="E906"/>
      <c r="F906"/>
      <c r="G906"/>
      <c r="H906"/>
      <c r="I906"/>
      <c r="J906"/>
      <c r="K906" s="101"/>
      <c r="L906" s="101"/>
      <c r="M906"/>
      <c r="N906"/>
      <c r="O906"/>
      <c r="P906"/>
      <c r="Q906"/>
      <c r="R906"/>
      <c r="S906"/>
      <c r="T906"/>
    </row>
    <row r="907" spans="2:20">
      <c r="B907"/>
      <c r="C907"/>
      <c r="D907"/>
      <c r="E907"/>
      <c r="F907"/>
      <c r="G907"/>
      <c r="H907"/>
      <c r="I907"/>
      <c r="J907"/>
      <c r="K907" s="101"/>
      <c r="L907" s="101"/>
      <c r="M907"/>
      <c r="N907"/>
      <c r="O907"/>
      <c r="P907"/>
      <c r="Q907"/>
      <c r="R907"/>
      <c r="S907"/>
      <c r="T907"/>
    </row>
    <row r="908" spans="2:20">
      <c r="B908"/>
      <c r="C908"/>
      <c r="D908"/>
      <c r="E908"/>
      <c r="F908"/>
      <c r="G908"/>
      <c r="H908"/>
      <c r="I908"/>
      <c r="J908"/>
      <c r="K908" s="101"/>
      <c r="L908" s="101"/>
      <c r="M908"/>
      <c r="N908"/>
      <c r="O908"/>
      <c r="P908"/>
      <c r="Q908"/>
      <c r="R908"/>
      <c r="S908"/>
      <c r="T908"/>
    </row>
    <row r="909" spans="2:20">
      <c r="B909"/>
      <c r="C909"/>
      <c r="D909"/>
      <c r="E909"/>
      <c r="F909"/>
      <c r="G909"/>
      <c r="H909"/>
      <c r="I909"/>
      <c r="J909"/>
      <c r="K909" s="101"/>
      <c r="L909" s="101"/>
      <c r="M909"/>
      <c r="N909"/>
      <c r="O909"/>
      <c r="P909"/>
      <c r="Q909"/>
      <c r="R909"/>
      <c r="S909"/>
      <c r="T909"/>
    </row>
    <row r="910" spans="2:20">
      <c r="B910"/>
      <c r="C910"/>
      <c r="D910"/>
      <c r="E910"/>
      <c r="F910"/>
      <c r="G910"/>
      <c r="H910"/>
      <c r="I910"/>
      <c r="J910"/>
      <c r="K910" s="101"/>
      <c r="L910" s="101"/>
      <c r="M910"/>
      <c r="N910"/>
      <c r="O910"/>
      <c r="P910"/>
      <c r="Q910"/>
      <c r="R910"/>
      <c r="S910"/>
      <c r="T910"/>
    </row>
    <row r="911" spans="2:20">
      <c r="B911"/>
      <c r="C911"/>
      <c r="D911"/>
      <c r="E911"/>
      <c r="F911"/>
      <c r="G911"/>
      <c r="H911"/>
      <c r="I911"/>
      <c r="J911"/>
      <c r="K911" s="101"/>
      <c r="L911" s="101"/>
      <c r="M911"/>
      <c r="N911"/>
      <c r="O911"/>
      <c r="P911"/>
      <c r="Q911"/>
      <c r="R911"/>
      <c r="S911"/>
      <c r="T911"/>
    </row>
    <row r="912" spans="2:20">
      <c r="B912"/>
      <c r="C912"/>
      <c r="D912"/>
      <c r="E912"/>
      <c r="F912"/>
      <c r="G912"/>
      <c r="H912"/>
      <c r="I912"/>
      <c r="J912"/>
      <c r="K912" s="101"/>
      <c r="L912" s="101"/>
      <c r="M912"/>
      <c r="N912"/>
      <c r="O912"/>
      <c r="P912"/>
      <c r="Q912"/>
      <c r="R912"/>
      <c r="S912"/>
      <c r="T912"/>
    </row>
    <row r="913" spans="2:20">
      <c r="B913"/>
      <c r="C913"/>
      <c r="D913"/>
      <c r="E913"/>
      <c r="F913"/>
      <c r="G913"/>
      <c r="H913"/>
      <c r="I913"/>
      <c r="J913"/>
      <c r="K913" s="101"/>
      <c r="L913" s="101"/>
      <c r="M913"/>
      <c r="N913"/>
      <c r="O913"/>
      <c r="P913"/>
      <c r="Q913"/>
      <c r="R913"/>
      <c r="S913"/>
      <c r="T913"/>
    </row>
    <row r="914" spans="2:20">
      <c r="B914"/>
      <c r="C914"/>
      <c r="D914"/>
      <c r="E914"/>
      <c r="F914"/>
      <c r="G914"/>
      <c r="H914"/>
      <c r="I914"/>
      <c r="J914"/>
      <c r="K914" s="101"/>
      <c r="L914" s="101"/>
      <c r="M914"/>
      <c r="N914"/>
      <c r="O914"/>
      <c r="P914"/>
      <c r="Q914"/>
      <c r="R914"/>
      <c r="S914"/>
      <c r="T914"/>
    </row>
    <row r="915" spans="2:20">
      <c r="B915"/>
      <c r="C915"/>
      <c r="D915"/>
      <c r="E915"/>
      <c r="F915"/>
      <c r="G915"/>
      <c r="H915"/>
      <c r="I915"/>
      <c r="J915"/>
      <c r="K915" s="101"/>
      <c r="L915" s="101"/>
      <c r="M915"/>
      <c r="N915"/>
      <c r="O915"/>
      <c r="P915"/>
      <c r="Q915"/>
      <c r="R915"/>
      <c r="S915"/>
      <c r="T915"/>
    </row>
    <row r="916" spans="2:20">
      <c r="B916"/>
      <c r="C916"/>
      <c r="D916"/>
      <c r="E916"/>
      <c r="F916"/>
      <c r="G916"/>
      <c r="H916"/>
      <c r="I916"/>
      <c r="J916"/>
      <c r="K916" s="101"/>
      <c r="L916" s="101"/>
      <c r="M916"/>
      <c r="N916"/>
      <c r="O916"/>
      <c r="P916"/>
      <c r="Q916"/>
      <c r="R916"/>
      <c r="S916"/>
      <c r="T916"/>
    </row>
    <row r="917" spans="2:20">
      <c r="B917"/>
      <c r="C917"/>
      <c r="D917"/>
      <c r="E917"/>
      <c r="F917"/>
      <c r="G917"/>
      <c r="H917"/>
      <c r="I917"/>
      <c r="J917"/>
      <c r="K917" s="101"/>
      <c r="L917" s="101"/>
      <c r="M917"/>
      <c r="N917"/>
      <c r="O917"/>
      <c r="P917"/>
      <c r="Q917"/>
      <c r="R917"/>
      <c r="S917"/>
      <c r="T917"/>
    </row>
    <row r="918" spans="2:20">
      <c r="B918"/>
      <c r="C918"/>
      <c r="D918"/>
      <c r="E918"/>
      <c r="F918"/>
      <c r="G918"/>
      <c r="H918"/>
      <c r="I918"/>
      <c r="J918"/>
      <c r="K918" s="101"/>
      <c r="L918" s="101"/>
      <c r="M918"/>
      <c r="N918"/>
      <c r="O918"/>
      <c r="P918"/>
      <c r="Q918"/>
      <c r="R918"/>
      <c r="S918"/>
      <c r="T918"/>
    </row>
    <row r="919" spans="2:20">
      <c r="B919"/>
      <c r="C919"/>
      <c r="D919"/>
      <c r="E919"/>
      <c r="F919"/>
      <c r="G919"/>
      <c r="H919"/>
      <c r="I919"/>
      <c r="J919"/>
      <c r="K919" s="101"/>
      <c r="L919" s="101"/>
      <c r="M919"/>
      <c r="N919"/>
      <c r="O919"/>
      <c r="P919"/>
      <c r="Q919"/>
      <c r="R919"/>
      <c r="S919"/>
      <c r="T919"/>
    </row>
    <row r="920" spans="2:20">
      <c r="B920"/>
      <c r="C920"/>
      <c r="D920"/>
      <c r="E920"/>
      <c r="F920"/>
      <c r="G920"/>
      <c r="H920"/>
      <c r="I920"/>
      <c r="J920"/>
      <c r="K920" s="101"/>
      <c r="L920" s="101"/>
      <c r="M920"/>
      <c r="N920"/>
      <c r="O920"/>
      <c r="P920"/>
      <c r="Q920"/>
      <c r="R920"/>
      <c r="S920"/>
      <c r="T920"/>
    </row>
    <row r="921" spans="2:20">
      <c r="B921"/>
      <c r="C921"/>
      <c r="D921"/>
      <c r="E921"/>
      <c r="F921"/>
      <c r="G921"/>
      <c r="H921"/>
      <c r="I921"/>
      <c r="J921"/>
      <c r="K921" s="101"/>
      <c r="L921" s="101"/>
      <c r="M921"/>
      <c r="N921"/>
      <c r="O921"/>
      <c r="P921"/>
      <c r="Q921"/>
      <c r="R921"/>
      <c r="S921"/>
      <c r="T921"/>
    </row>
    <row r="922" spans="2:20">
      <c r="B922"/>
      <c r="C922"/>
      <c r="D922"/>
      <c r="E922"/>
      <c r="F922"/>
      <c r="G922"/>
      <c r="H922"/>
      <c r="I922"/>
      <c r="J922"/>
      <c r="K922" s="101"/>
      <c r="L922" s="101"/>
      <c r="M922"/>
      <c r="N922"/>
      <c r="O922"/>
      <c r="P922"/>
      <c r="Q922"/>
      <c r="R922"/>
      <c r="S922"/>
      <c r="T922"/>
    </row>
    <row r="923" spans="2:20">
      <c r="B923"/>
      <c r="C923"/>
      <c r="D923"/>
      <c r="E923"/>
      <c r="F923"/>
      <c r="G923"/>
      <c r="H923"/>
      <c r="I923"/>
      <c r="J923"/>
      <c r="K923" s="101"/>
      <c r="L923" s="101"/>
      <c r="M923"/>
      <c r="N923"/>
      <c r="O923"/>
      <c r="P923"/>
      <c r="Q923"/>
      <c r="R923"/>
      <c r="S923"/>
      <c r="T923"/>
    </row>
    <row r="924" spans="2:20">
      <c r="B924"/>
      <c r="C924"/>
      <c r="D924"/>
      <c r="E924"/>
      <c r="F924"/>
      <c r="G924"/>
      <c r="H924"/>
      <c r="I924"/>
      <c r="J924"/>
      <c r="K924" s="101"/>
      <c r="L924" s="101"/>
      <c r="M924"/>
      <c r="N924"/>
      <c r="O924"/>
      <c r="P924"/>
      <c r="Q924"/>
      <c r="R924"/>
      <c r="S924"/>
      <c r="T924"/>
    </row>
    <row r="925" spans="2:20">
      <c r="B925"/>
      <c r="C925"/>
      <c r="D925"/>
      <c r="E925"/>
      <c r="F925"/>
      <c r="G925"/>
      <c r="H925"/>
      <c r="I925"/>
      <c r="J925"/>
      <c r="K925" s="101"/>
      <c r="L925" s="101"/>
      <c r="M925"/>
      <c r="N925"/>
      <c r="O925"/>
      <c r="P925"/>
      <c r="Q925"/>
      <c r="R925"/>
      <c r="S925"/>
      <c r="T925"/>
    </row>
    <row r="926" spans="2:20">
      <c r="B926"/>
      <c r="C926"/>
      <c r="D926"/>
      <c r="E926"/>
      <c r="F926"/>
      <c r="G926"/>
      <c r="H926"/>
      <c r="I926"/>
      <c r="J926"/>
      <c r="K926" s="101"/>
      <c r="L926" s="101"/>
      <c r="M926"/>
      <c r="N926"/>
      <c r="O926"/>
      <c r="P926"/>
      <c r="Q926"/>
      <c r="R926"/>
      <c r="S926"/>
      <c r="T926"/>
    </row>
    <row r="927" spans="2:20">
      <c r="B927"/>
      <c r="C927"/>
      <c r="D927"/>
      <c r="E927"/>
      <c r="F927"/>
      <c r="G927"/>
      <c r="H927"/>
      <c r="I927"/>
      <c r="J927"/>
      <c r="K927" s="101"/>
      <c r="L927" s="101"/>
      <c r="M927"/>
      <c r="N927"/>
      <c r="O927"/>
      <c r="P927"/>
      <c r="Q927"/>
      <c r="R927"/>
      <c r="S927"/>
      <c r="T927"/>
    </row>
    <row r="928" spans="2:20">
      <c r="B928"/>
      <c r="C928"/>
      <c r="D928"/>
      <c r="E928"/>
      <c r="F928"/>
      <c r="G928"/>
      <c r="H928"/>
      <c r="I928"/>
      <c r="J928"/>
      <c r="K928" s="101"/>
      <c r="L928" s="101"/>
      <c r="M928"/>
      <c r="N928"/>
      <c r="O928"/>
      <c r="P928"/>
      <c r="Q928"/>
      <c r="R928"/>
      <c r="S928"/>
      <c r="T928"/>
    </row>
    <row r="929" spans="2:20">
      <c r="B929"/>
      <c r="C929"/>
      <c r="D929"/>
      <c r="E929"/>
      <c r="F929"/>
      <c r="G929"/>
      <c r="H929"/>
      <c r="I929"/>
      <c r="J929"/>
      <c r="K929" s="101"/>
      <c r="L929" s="101"/>
      <c r="M929"/>
      <c r="N929"/>
      <c r="O929"/>
      <c r="P929"/>
      <c r="Q929"/>
      <c r="R929"/>
      <c r="S929"/>
      <c r="T929"/>
    </row>
    <row r="930" spans="2:20">
      <c r="B930"/>
      <c r="C930"/>
      <c r="D930"/>
      <c r="E930"/>
      <c r="F930"/>
      <c r="G930"/>
      <c r="H930"/>
      <c r="I930"/>
      <c r="J930"/>
      <c r="K930" s="101"/>
      <c r="L930" s="101"/>
      <c r="M930"/>
      <c r="N930"/>
      <c r="O930"/>
      <c r="P930"/>
      <c r="Q930"/>
      <c r="R930"/>
      <c r="S930"/>
      <c r="T930"/>
    </row>
    <row r="931" spans="2:20">
      <c r="B931"/>
      <c r="C931"/>
      <c r="D931"/>
      <c r="E931"/>
      <c r="F931"/>
      <c r="G931"/>
      <c r="H931"/>
      <c r="I931"/>
      <c r="J931"/>
      <c r="K931" s="101"/>
      <c r="L931" s="101"/>
      <c r="M931"/>
      <c r="N931"/>
      <c r="O931"/>
      <c r="P931"/>
      <c r="Q931"/>
      <c r="R931"/>
      <c r="S931"/>
      <c r="T931"/>
    </row>
    <row r="932" spans="2:20">
      <c r="B932"/>
      <c r="C932"/>
      <c r="D932"/>
      <c r="E932"/>
      <c r="F932"/>
      <c r="G932"/>
      <c r="H932"/>
      <c r="I932"/>
      <c r="J932"/>
      <c r="K932" s="101"/>
      <c r="L932" s="101"/>
      <c r="M932"/>
      <c r="N932"/>
      <c r="O932"/>
      <c r="P932"/>
      <c r="Q932"/>
      <c r="R932"/>
      <c r="S932"/>
      <c r="T932"/>
    </row>
    <row r="933" spans="2:20">
      <c r="B933"/>
      <c r="C933"/>
      <c r="D933"/>
      <c r="E933"/>
      <c r="F933"/>
      <c r="G933"/>
      <c r="H933"/>
      <c r="I933"/>
      <c r="J933"/>
      <c r="K933" s="101"/>
      <c r="L933" s="101"/>
      <c r="M933"/>
      <c r="N933"/>
      <c r="O933"/>
      <c r="P933"/>
      <c r="Q933"/>
      <c r="R933"/>
      <c r="S933"/>
      <c r="T933"/>
    </row>
    <row r="934" spans="2:20">
      <c r="B934"/>
      <c r="C934"/>
      <c r="D934"/>
      <c r="E934"/>
      <c r="F934"/>
      <c r="G934"/>
      <c r="H934"/>
      <c r="I934"/>
      <c r="J934"/>
      <c r="K934" s="101"/>
      <c r="L934" s="101"/>
      <c r="M934"/>
      <c r="N934"/>
      <c r="O934"/>
      <c r="P934"/>
      <c r="Q934"/>
      <c r="R934"/>
      <c r="S934"/>
      <c r="T934"/>
    </row>
    <row r="935" spans="2:20">
      <c r="B935"/>
      <c r="C935"/>
      <c r="D935"/>
      <c r="E935"/>
      <c r="F935"/>
      <c r="G935"/>
      <c r="H935"/>
      <c r="I935"/>
      <c r="J935"/>
      <c r="K935" s="101"/>
      <c r="L935" s="101"/>
      <c r="M935"/>
      <c r="N935"/>
      <c r="O935"/>
      <c r="P935"/>
      <c r="Q935"/>
      <c r="R935"/>
      <c r="S935"/>
      <c r="T935"/>
    </row>
    <row r="936" spans="2:20">
      <c r="B936"/>
      <c r="C936"/>
      <c r="D936"/>
      <c r="E936"/>
      <c r="F936"/>
      <c r="G936"/>
      <c r="H936"/>
      <c r="I936"/>
      <c r="J936"/>
      <c r="K936" s="101"/>
      <c r="L936" s="101"/>
      <c r="M936"/>
      <c r="N936"/>
      <c r="O936"/>
      <c r="P936"/>
      <c r="Q936"/>
      <c r="R936"/>
      <c r="S936"/>
      <c r="T936"/>
    </row>
    <row r="937" spans="2:20">
      <c r="B937"/>
      <c r="C937"/>
      <c r="D937"/>
      <c r="E937"/>
      <c r="F937"/>
      <c r="G937"/>
      <c r="H937"/>
      <c r="I937"/>
      <c r="J937"/>
      <c r="K937" s="101"/>
      <c r="L937" s="101"/>
      <c r="M937"/>
      <c r="N937"/>
      <c r="O937"/>
      <c r="P937"/>
      <c r="Q937"/>
      <c r="R937"/>
      <c r="S937"/>
      <c r="T937"/>
    </row>
    <row r="938" spans="2:20">
      <c r="B938"/>
      <c r="C938"/>
      <c r="D938"/>
      <c r="E938"/>
      <c r="F938"/>
      <c r="G938"/>
      <c r="H938"/>
      <c r="I938"/>
      <c r="J938"/>
      <c r="K938" s="101"/>
      <c r="L938" s="101"/>
      <c r="M938"/>
      <c r="N938"/>
      <c r="O938"/>
      <c r="P938"/>
      <c r="Q938"/>
      <c r="R938"/>
      <c r="S938"/>
      <c r="T938"/>
    </row>
    <row r="939" spans="2:20">
      <c r="B939"/>
      <c r="C939"/>
      <c r="D939"/>
      <c r="E939"/>
      <c r="F939"/>
      <c r="G939"/>
      <c r="H939"/>
      <c r="I939"/>
      <c r="J939"/>
      <c r="K939" s="101"/>
      <c r="L939" s="101"/>
      <c r="M939"/>
      <c r="N939"/>
      <c r="O939"/>
      <c r="P939"/>
      <c r="Q939"/>
      <c r="R939"/>
      <c r="S939"/>
      <c r="T939"/>
    </row>
    <row r="940" spans="2:20">
      <c r="B940"/>
      <c r="C940"/>
      <c r="D940"/>
      <c r="E940"/>
      <c r="F940"/>
      <c r="G940"/>
      <c r="H940"/>
      <c r="I940"/>
      <c r="J940"/>
      <c r="K940" s="101"/>
      <c r="L940" s="101"/>
      <c r="M940"/>
      <c r="N940"/>
      <c r="O940"/>
      <c r="P940"/>
      <c r="Q940"/>
      <c r="R940"/>
      <c r="S940"/>
      <c r="T940"/>
    </row>
    <row r="941" spans="2:20">
      <c r="B941"/>
      <c r="C941"/>
      <c r="D941"/>
      <c r="E941"/>
      <c r="F941"/>
      <c r="G941"/>
      <c r="H941"/>
      <c r="I941"/>
      <c r="J941"/>
      <c r="K941" s="101"/>
      <c r="L941" s="101"/>
      <c r="M941"/>
      <c r="N941"/>
      <c r="O941"/>
      <c r="P941"/>
      <c r="Q941"/>
      <c r="R941"/>
      <c r="S941"/>
      <c r="T941"/>
    </row>
    <row r="942" spans="2:20">
      <c r="B942"/>
      <c r="C942"/>
      <c r="D942"/>
      <c r="E942"/>
      <c r="F942"/>
      <c r="G942"/>
      <c r="H942"/>
      <c r="I942"/>
      <c r="J942"/>
      <c r="K942" s="101"/>
      <c r="L942" s="101"/>
      <c r="M942"/>
      <c r="N942"/>
      <c r="O942"/>
      <c r="P942"/>
      <c r="Q942"/>
      <c r="R942"/>
      <c r="S942"/>
      <c r="T942"/>
    </row>
    <row r="943" spans="2:20">
      <c r="B943"/>
      <c r="C943"/>
      <c r="D943"/>
      <c r="E943"/>
      <c r="F943"/>
      <c r="G943"/>
      <c r="H943"/>
      <c r="I943"/>
      <c r="J943"/>
      <c r="K943" s="101"/>
      <c r="L943" s="101"/>
      <c r="M943"/>
      <c r="N943"/>
      <c r="O943"/>
      <c r="P943"/>
      <c r="Q943"/>
      <c r="R943"/>
      <c r="S943"/>
      <c r="T943"/>
    </row>
    <row r="944" spans="2:20">
      <c r="B944"/>
      <c r="C944"/>
      <c r="D944"/>
      <c r="E944"/>
      <c r="F944"/>
      <c r="G944"/>
      <c r="H944"/>
      <c r="I944"/>
      <c r="J944"/>
      <c r="K944" s="101"/>
      <c r="L944" s="101"/>
      <c r="M944"/>
      <c r="N944"/>
      <c r="O944"/>
      <c r="P944"/>
      <c r="Q944"/>
      <c r="R944"/>
      <c r="S944"/>
      <c r="T944"/>
    </row>
    <row r="945" spans="2:20">
      <c r="B945"/>
      <c r="C945"/>
      <c r="D945"/>
      <c r="E945"/>
      <c r="F945"/>
      <c r="G945"/>
      <c r="H945"/>
      <c r="I945"/>
      <c r="J945"/>
      <c r="K945" s="101"/>
      <c r="L945" s="101"/>
      <c r="M945"/>
      <c r="N945"/>
      <c r="O945"/>
      <c r="P945"/>
      <c r="Q945"/>
      <c r="R945"/>
      <c r="S945"/>
      <c r="T945"/>
    </row>
    <row r="946" spans="2:20">
      <c r="B946"/>
      <c r="C946"/>
      <c r="D946"/>
      <c r="E946"/>
      <c r="F946"/>
      <c r="G946"/>
      <c r="H946"/>
      <c r="I946"/>
      <c r="J946"/>
      <c r="K946" s="101"/>
      <c r="L946" s="101"/>
      <c r="M946"/>
      <c r="N946"/>
      <c r="O946"/>
      <c r="P946"/>
      <c r="Q946"/>
      <c r="R946"/>
      <c r="S946"/>
      <c r="T946"/>
    </row>
    <row r="947" spans="2:20">
      <c r="B947"/>
      <c r="C947"/>
      <c r="D947"/>
      <c r="E947"/>
      <c r="F947"/>
      <c r="G947"/>
      <c r="H947"/>
      <c r="I947"/>
      <c r="J947"/>
      <c r="K947" s="101"/>
      <c r="L947" s="101"/>
      <c r="M947"/>
      <c r="N947"/>
      <c r="O947"/>
      <c r="P947"/>
      <c r="Q947"/>
      <c r="R947"/>
      <c r="S947"/>
      <c r="T947"/>
    </row>
    <row r="948" spans="2:20">
      <c r="B948"/>
      <c r="C948"/>
      <c r="D948"/>
      <c r="E948"/>
      <c r="F948"/>
      <c r="G948"/>
      <c r="H948"/>
      <c r="I948"/>
      <c r="J948"/>
      <c r="K948" s="101"/>
      <c r="L948" s="101"/>
      <c r="M948"/>
      <c r="N948"/>
      <c r="O948"/>
      <c r="P948"/>
      <c r="Q948"/>
      <c r="R948"/>
      <c r="S948"/>
      <c r="T948"/>
    </row>
    <row r="949" spans="2:20">
      <c r="B949"/>
      <c r="C949"/>
      <c r="D949"/>
      <c r="E949"/>
      <c r="F949"/>
      <c r="G949"/>
      <c r="H949"/>
      <c r="I949"/>
      <c r="J949"/>
      <c r="K949" s="101"/>
      <c r="L949" s="101"/>
      <c r="M949"/>
      <c r="N949"/>
      <c r="O949"/>
      <c r="P949"/>
      <c r="Q949"/>
      <c r="R949"/>
      <c r="S949"/>
      <c r="T949"/>
    </row>
    <row r="950" spans="2:20">
      <c r="B950"/>
      <c r="C950"/>
      <c r="D950"/>
      <c r="E950"/>
      <c r="F950"/>
      <c r="G950"/>
      <c r="H950"/>
      <c r="I950"/>
      <c r="J950"/>
      <c r="K950" s="101"/>
      <c r="L950" s="101"/>
      <c r="M950"/>
      <c r="N950"/>
      <c r="O950"/>
      <c r="P950"/>
      <c r="Q950"/>
      <c r="R950"/>
      <c r="S950"/>
      <c r="T950"/>
    </row>
    <row r="951" spans="2:20">
      <c r="B951"/>
      <c r="C951"/>
      <c r="D951"/>
      <c r="E951"/>
      <c r="F951"/>
      <c r="G951"/>
      <c r="H951"/>
      <c r="I951"/>
      <c r="J951"/>
      <c r="K951" s="101"/>
      <c r="L951" s="101"/>
      <c r="M951"/>
      <c r="N951"/>
      <c r="O951"/>
      <c r="P951"/>
      <c r="Q951"/>
      <c r="R951"/>
      <c r="S951"/>
      <c r="T951"/>
    </row>
    <row r="952" spans="2:20">
      <c r="B952"/>
      <c r="C952"/>
      <c r="D952"/>
      <c r="E952"/>
      <c r="F952"/>
      <c r="G952"/>
      <c r="H952"/>
      <c r="I952"/>
      <c r="J952"/>
      <c r="K952" s="101"/>
      <c r="L952" s="101"/>
      <c r="M952"/>
      <c r="N952"/>
      <c r="O952"/>
      <c r="P952"/>
      <c r="Q952"/>
      <c r="R952"/>
      <c r="S952"/>
      <c r="T952"/>
    </row>
    <row r="953" spans="2:20">
      <c r="B953"/>
      <c r="C953"/>
      <c r="D953"/>
      <c r="E953"/>
      <c r="F953"/>
      <c r="G953"/>
      <c r="H953"/>
      <c r="I953"/>
      <c r="J953"/>
      <c r="K953" s="101"/>
      <c r="L953" s="101"/>
      <c r="M953"/>
      <c r="N953"/>
      <c r="O953"/>
      <c r="P953"/>
      <c r="Q953"/>
      <c r="R953"/>
      <c r="S953"/>
      <c r="T953"/>
    </row>
    <row r="954" spans="2:20">
      <c r="B954"/>
      <c r="C954"/>
      <c r="D954"/>
      <c r="E954"/>
      <c r="F954"/>
      <c r="G954"/>
      <c r="H954"/>
      <c r="I954"/>
      <c r="J954"/>
      <c r="K954" s="101"/>
      <c r="L954" s="101"/>
      <c r="M954"/>
      <c r="N954"/>
      <c r="O954"/>
      <c r="P954"/>
      <c r="Q954"/>
      <c r="R954"/>
      <c r="S954"/>
      <c r="T954"/>
    </row>
    <row r="955" spans="2:20">
      <c r="B955"/>
      <c r="C955"/>
      <c r="D955"/>
      <c r="E955"/>
      <c r="F955"/>
      <c r="G955"/>
      <c r="H955"/>
      <c r="I955"/>
      <c r="J955"/>
      <c r="K955" s="101"/>
      <c r="L955" s="101"/>
      <c r="M955"/>
      <c r="N955"/>
      <c r="O955"/>
      <c r="P955"/>
      <c r="Q955"/>
      <c r="R955"/>
      <c r="S955"/>
      <c r="T955"/>
    </row>
    <row r="956" spans="2:20">
      <c r="B956"/>
      <c r="C956"/>
      <c r="D956"/>
      <c r="E956"/>
      <c r="F956"/>
      <c r="G956"/>
      <c r="H956"/>
      <c r="I956"/>
      <c r="J956"/>
      <c r="K956" s="101"/>
      <c r="L956" s="101"/>
      <c r="M956"/>
      <c r="N956"/>
      <c r="O956"/>
      <c r="P956"/>
      <c r="Q956"/>
      <c r="R956"/>
      <c r="S956"/>
      <c r="T956"/>
    </row>
    <row r="957" spans="2:20">
      <c r="B957"/>
      <c r="C957"/>
      <c r="D957"/>
      <c r="E957"/>
      <c r="F957"/>
      <c r="G957"/>
      <c r="H957"/>
      <c r="I957"/>
      <c r="J957"/>
      <c r="K957" s="101"/>
      <c r="L957" s="101"/>
      <c r="M957"/>
      <c r="N957"/>
      <c r="O957"/>
      <c r="P957"/>
      <c r="Q957"/>
      <c r="R957"/>
      <c r="S957"/>
      <c r="T957"/>
    </row>
    <row r="958" spans="2:20">
      <c r="B958"/>
      <c r="C958"/>
      <c r="D958"/>
      <c r="E958"/>
      <c r="F958"/>
      <c r="G958"/>
      <c r="H958"/>
      <c r="I958"/>
      <c r="J958"/>
      <c r="K958" s="101"/>
      <c r="L958" s="101"/>
      <c r="M958"/>
      <c r="N958"/>
      <c r="O958"/>
      <c r="P958"/>
      <c r="Q958"/>
      <c r="R958"/>
      <c r="S958"/>
      <c r="T958"/>
    </row>
    <row r="959" spans="2:20">
      <c r="B959"/>
      <c r="C959"/>
      <c r="D959"/>
      <c r="E959"/>
      <c r="F959"/>
      <c r="G959"/>
      <c r="H959"/>
      <c r="I959"/>
      <c r="J959"/>
      <c r="K959" s="101"/>
      <c r="L959" s="101"/>
      <c r="M959"/>
      <c r="N959"/>
      <c r="O959"/>
      <c r="P959"/>
      <c r="Q959"/>
      <c r="R959"/>
      <c r="S959"/>
      <c r="T959"/>
    </row>
    <row r="960" spans="2:20">
      <c r="B960"/>
      <c r="C960"/>
      <c r="D960"/>
      <c r="E960"/>
      <c r="F960"/>
      <c r="G960"/>
      <c r="H960"/>
      <c r="I960"/>
      <c r="J960"/>
      <c r="K960" s="101"/>
      <c r="L960" s="101"/>
      <c r="M960"/>
      <c r="N960"/>
      <c r="O960"/>
      <c r="P960"/>
      <c r="Q960"/>
      <c r="R960"/>
      <c r="S960"/>
      <c r="T960"/>
    </row>
    <row r="961" spans="2:20">
      <c r="B961"/>
      <c r="C961"/>
      <c r="D961"/>
      <c r="E961"/>
      <c r="F961"/>
      <c r="G961"/>
      <c r="H961"/>
      <c r="I961"/>
      <c r="J961"/>
      <c r="K961" s="101"/>
      <c r="L961" s="101"/>
      <c r="M961"/>
      <c r="N961"/>
      <c r="O961"/>
      <c r="P961"/>
      <c r="Q961"/>
      <c r="R961"/>
      <c r="S961"/>
      <c r="T961"/>
    </row>
    <row r="962" spans="2:20">
      <c r="B962"/>
      <c r="C962"/>
      <c r="D962"/>
      <c r="E962"/>
      <c r="F962"/>
      <c r="G962"/>
      <c r="H962"/>
      <c r="I962"/>
      <c r="J962"/>
      <c r="K962" s="101"/>
      <c r="L962" s="101"/>
      <c r="M962"/>
      <c r="N962"/>
      <c r="O962"/>
      <c r="P962"/>
      <c r="Q962"/>
      <c r="R962"/>
      <c r="S962"/>
      <c r="T962"/>
    </row>
    <row r="963" spans="2:20">
      <c r="B963"/>
      <c r="C963"/>
      <c r="D963"/>
      <c r="E963"/>
      <c r="F963"/>
      <c r="G963"/>
      <c r="H963"/>
      <c r="I963"/>
      <c r="J963"/>
      <c r="K963" s="101"/>
      <c r="L963" s="101"/>
      <c r="M963"/>
      <c r="N963"/>
      <c r="O963"/>
      <c r="P963"/>
      <c r="Q963"/>
      <c r="R963"/>
      <c r="S963"/>
      <c r="T963"/>
    </row>
    <row r="964" spans="2:20">
      <c r="B964"/>
      <c r="C964"/>
      <c r="D964"/>
      <c r="E964"/>
      <c r="F964"/>
      <c r="G964"/>
      <c r="H964"/>
      <c r="I964"/>
      <c r="J964"/>
      <c r="K964" s="101"/>
      <c r="L964" s="101"/>
      <c r="M964"/>
      <c r="N964"/>
      <c r="O964"/>
      <c r="P964"/>
      <c r="Q964"/>
      <c r="R964"/>
      <c r="S964"/>
      <c r="T964"/>
    </row>
    <row r="965" spans="2:20">
      <c r="B965"/>
      <c r="C965"/>
      <c r="D965"/>
      <c r="E965"/>
      <c r="F965"/>
      <c r="G965"/>
      <c r="H965"/>
      <c r="I965"/>
      <c r="J965"/>
      <c r="K965" s="101"/>
      <c r="L965" s="101"/>
      <c r="M965"/>
      <c r="N965"/>
      <c r="O965"/>
      <c r="P965"/>
      <c r="Q965"/>
      <c r="R965"/>
      <c r="S965"/>
      <c r="T965"/>
    </row>
    <row r="966" spans="2:20">
      <c r="B966"/>
      <c r="C966"/>
      <c r="D966"/>
      <c r="E966"/>
      <c r="F966"/>
      <c r="G966"/>
      <c r="H966"/>
      <c r="I966"/>
      <c r="J966"/>
      <c r="K966" s="101"/>
      <c r="L966" s="101"/>
      <c r="M966"/>
      <c r="N966"/>
      <c r="O966"/>
      <c r="P966"/>
      <c r="Q966"/>
      <c r="R966"/>
      <c r="S966"/>
      <c r="T966"/>
    </row>
    <row r="967" spans="2:20">
      <c r="B967"/>
      <c r="C967"/>
      <c r="D967"/>
      <c r="E967"/>
      <c r="F967"/>
      <c r="G967"/>
      <c r="H967"/>
      <c r="I967"/>
      <c r="J967"/>
      <c r="K967" s="101"/>
      <c r="L967" s="101"/>
      <c r="M967"/>
      <c r="N967"/>
      <c r="O967"/>
      <c r="P967"/>
      <c r="Q967"/>
      <c r="R967"/>
      <c r="S967"/>
      <c r="T967"/>
    </row>
    <row r="968" spans="2:20">
      <c r="B968"/>
      <c r="C968"/>
      <c r="D968"/>
      <c r="E968"/>
      <c r="F968"/>
      <c r="G968"/>
      <c r="H968"/>
      <c r="I968"/>
      <c r="J968"/>
      <c r="K968" s="101"/>
      <c r="L968" s="101"/>
      <c r="M968"/>
      <c r="N968"/>
      <c r="O968"/>
      <c r="P968"/>
      <c r="Q968"/>
      <c r="R968"/>
      <c r="S968"/>
      <c r="T968"/>
    </row>
    <row r="969" spans="2:20">
      <c r="B969"/>
      <c r="C969"/>
      <c r="D969"/>
      <c r="E969"/>
      <c r="F969"/>
      <c r="G969"/>
      <c r="H969"/>
      <c r="I969"/>
      <c r="J969"/>
      <c r="K969" s="101"/>
      <c r="L969" s="101"/>
      <c r="M969"/>
      <c r="N969"/>
      <c r="O969"/>
      <c r="P969"/>
      <c r="Q969"/>
      <c r="R969"/>
      <c r="S969"/>
      <c r="T969"/>
    </row>
    <row r="970" spans="2:20">
      <c r="B970"/>
      <c r="C970"/>
      <c r="D970"/>
      <c r="E970"/>
      <c r="F970"/>
      <c r="G970"/>
      <c r="H970"/>
      <c r="I970"/>
      <c r="J970"/>
      <c r="K970" s="101"/>
      <c r="L970" s="101"/>
      <c r="M970"/>
      <c r="N970"/>
      <c r="O970"/>
      <c r="P970"/>
      <c r="Q970"/>
      <c r="R970"/>
      <c r="S970"/>
      <c r="T970"/>
    </row>
    <row r="971" spans="2:20">
      <c r="B971"/>
      <c r="C971"/>
      <c r="D971"/>
      <c r="E971"/>
      <c r="F971"/>
      <c r="G971"/>
      <c r="H971"/>
      <c r="I971"/>
      <c r="J971"/>
      <c r="K971" s="101"/>
      <c r="L971" s="101"/>
      <c r="M971"/>
      <c r="N971"/>
      <c r="O971"/>
      <c r="P971"/>
      <c r="Q971"/>
      <c r="R971"/>
      <c r="S971"/>
      <c r="T971"/>
    </row>
    <row r="972" spans="2:20">
      <c r="B972"/>
      <c r="C972"/>
      <c r="D972"/>
      <c r="E972"/>
      <c r="F972"/>
      <c r="G972"/>
      <c r="H972"/>
      <c r="I972"/>
      <c r="J972"/>
      <c r="K972" s="101"/>
      <c r="L972" s="101"/>
      <c r="M972"/>
      <c r="N972"/>
      <c r="O972"/>
      <c r="P972"/>
      <c r="Q972"/>
      <c r="R972"/>
      <c r="S972"/>
      <c r="T972"/>
    </row>
    <row r="973" spans="2:20">
      <c r="B973"/>
      <c r="C973"/>
      <c r="D973"/>
      <c r="E973"/>
      <c r="F973"/>
      <c r="G973"/>
      <c r="H973"/>
      <c r="I973"/>
      <c r="J973"/>
      <c r="K973" s="101"/>
      <c r="L973" s="101"/>
      <c r="M973"/>
      <c r="N973"/>
      <c r="O973"/>
      <c r="P973"/>
      <c r="Q973"/>
      <c r="R973"/>
      <c r="S973"/>
      <c r="T973"/>
    </row>
    <row r="974" spans="2:20">
      <c r="B974"/>
      <c r="C974"/>
      <c r="D974"/>
      <c r="E974"/>
      <c r="F974"/>
      <c r="G974"/>
      <c r="H974"/>
      <c r="I974"/>
      <c r="J974"/>
      <c r="K974" s="101"/>
      <c r="L974" s="101"/>
      <c r="M974"/>
      <c r="N974"/>
      <c r="O974"/>
      <c r="P974"/>
      <c r="Q974"/>
      <c r="R974"/>
      <c r="S974"/>
      <c r="T974"/>
    </row>
    <row r="975" spans="2:20">
      <c r="B975"/>
      <c r="C975"/>
      <c r="D975"/>
      <c r="E975"/>
      <c r="F975"/>
      <c r="G975"/>
      <c r="H975"/>
      <c r="I975"/>
      <c r="J975"/>
      <c r="K975" s="101"/>
      <c r="L975" s="101"/>
      <c r="M975"/>
      <c r="N975"/>
      <c r="O975"/>
      <c r="P975"/>
      <c r="Q975"/>
      <c r="R975"/>
      <c r="S975"/>
      <c r="T975"/>
    </row>
    <row r="976" spans="2:20">
      <c r="B976"/>
      <c r="C976"/>
      <c r="D976"/>
      <c r="E976"/>
      <c r="F976"/>
      <c r="G976"/>
      <c r="H976"/>
      <c r="I976"/>
      <c r="J976"/>
      <c r="K976" s="101"/>
      <c r="L976" s="101"/>
      <c r="M976"/>
      <c r="N976"/>
      <c r="O976"/>
      <c r="P976"/>
      <c r="Q976"/>
      <c r="R976"/>
      <c r="S976"/>
      <c r="T976"/>
    </row>
    <row r="977" spans="2:20">
      <c r="B977"/>
      <c r="C977"/>
      <c r="D977"/>
      <c r="E977"/>
      <c r="F977"/>
      <c r="G977"/>
      <c r="H977"/>
      <c r="I977"/>
      <c r="J977"/>
      <c r="K977" s="101"/>
      <c r="L977" s="101"/>
      <c r="M977"/>
      <c r="N977"/>
      <c r="O977"/>
      <c r="P977"/>
      <c r="Q977"/>
      <c r="R977"/>
      <c r="S977"/>
      <c r="T977"/>
    </row>
    <row r="978" spans="2:20">
      <c r="B978"/>
      <c r="C978"/>
      <c r="D978"/>
      <c r="E978"/>
      <c r="F978"/>
      <c r="G978"/>
      <c r="H978"/>
      <c r="I978"/>
      <c r="J978"/>
      <c r="K978" s="101"/>
      <c r="L978" s="101"/>
      <c r="M978"/>
      <c r="N978"/>
      <c r="O978"/>
      <c r="P978"/>
      <c r="Q978"/>
      <c r="R978"/>
      <c r="S978"/>
      <c r="T978"/>
    </row>
    <row r="979" spans="2:20">
      <c r="B979"/>
      <c r="C979"/>
      <c r="D979"/>
      <c r="E979"/>
      <c r="F979"/>
      <c r="G979"/>
      <c r="H979"/>
      <c r="I979"/>
      <c r="J979"/>
      <c r="K979" s="101"/>
      <c r="L979" s="101"/>
      <c r="M979"/>
      <c r="N979"/>
      <c r="O979"/>
      <c r="P979"/>
      <c r="Q979"/>
      <c r="R979"/>
      <c r="S979"/>
      <c r="T979"/>
    </row>
    <row r="980" spans="2:20">
      <c r="B980"/>
      <c r="C980"/>
      <c r="D980"/>
      <c r="E980"/>
      <c r="F980"/>
      <c r="G980"/>
      <c r="H980"/>
      <c r="I980"/>
      <c r="J980"/>
      <c r="K980" s="101"/>
      <c r="L980" s="101"/>
      <c r="M980"/>
      <c r="N980"/>
      <c r="O980"/>
      <c r="P980"/>
      <c r="Q980"/>
      <c r="R980"/>
      <c r="S980"/>
      <c r="T980"/>
    </row>
    <row r="981" spans="2:20">
      <c r="B981"/>
      <c r="C981"/>
      <c r="D981"/>
      <c r="E981"/>
      <c r="F981"/>
      <c r="G981"/>
      <c r="H981"/>
      <c r="I981"/>
      <c r="J981"/>
      <c r="K981" s="101"/>
      <c r="L981" s="101"/>
      <c r="M981"/>
      <c r="N981"/>
      <c r="O981"/>
      <c r="P981"/>
      <c r="Q981"/>
      <c r="R981"/>
      <c r="S981"/>
      <c r="T981"/>
    </row>
    <row r="982" spans="2:20">
      <c r="J982" s="80"/>
    </row>
    <row r="983" spans="2:20">
      <c r="J983" s="80"/>
    </row>
    <row r="984" spans="2:20">
      <c r="J984" s="80"/>
    </row>
    <row r="985" spans="2:20">
      <c r="J985" s="80"/>
    </row>
    <row r="986" spans="2:20">
      <c r="J986" s="80"/>
    </row>
    <row r="987" spans="2:20">
      <c r="J987" s="80"/>
    </row>
    <row r="988" spans="2:20">
      <c r="J988" s="80"/>
    </row>
    <row r="989" spans="2:20">
      <c r="J989" s="80"/>
    </row>
    <row r="990" spans="2:20">
      <c r="J990" s="80"/>
    </row>
    <row r="991" spans="2:20">
      <c r="J991" s="80"/>
    </row>
    <row r="992" spans="2:20">
      <c r="J992" s="80"/>
    </row>
    <row r="993" spans="10:10">
      <c r="J993" s="80"/>
    </row>
    <row r="994" spans="10:10">
      <c r="J994" s="80"/>
    </row>
    <row r="995" spans="10:10">
      <c r="J995" s="80"/>
    </row>
    <row r="996" spans="10:10">
      <c r="J996" s="80"/>
    </row>
    <row r="997" spans="10:10">
      <c r="J997" s="80"/>
    </row>
    <row r="998" spans="10:10">
      <c r="J998" s="80"/>
    </row>
    <row r="999" spans="10:10">
      <c r="J999" s="80"/>
    </row>
    <row r="1000" spans="10:10">
      <c r="J1000" s="80"/>
    </row>
    <row r="1001" spans="10:10">
      <c r="J1001" s="80"/>
    </row>
    <row r="1002" spans="10:10">
      <c r="J1002" s="80"/>
    </row>
    <row r="1003" spans="10:10">
      <c r="J1003" s="80"/>
    </row>
    <row r="1004" spans="10:10">
      <c r="J1004" s="80"/>
    </row>
    <row r="1005" spans="10:10">
      <c r="J1005" s="80"/>
    </row>
    <row r="1006" spans="10:10">
      <c r="J1006" s="80"/>
    </row>
    <row r="1007" spans="10:10">
      <c r="J1007" s="80"/>
    </row>
    <row r="1008" spans="10:10">
      <c r="J1008" s="80"/>
    </row>
    <row r="1009" spans="10:10">
      <c r="J1009" s="80"/>
    </row>
    <row r="1010" spans="10:10">
      <c r="J1010" s="80"/>
    </row>
    <row r="1011" spans="10:10">
      <c r="J1011" s="80"/>
    </row>
    <row r="1012" spans="10:10">
      <c r="J1012" s="80"/>
    </row>
    <row r="1013" spans="10:10">
      <c r="J1013" s="80"/>
    </row>
    <row r="1014" spans="10:10">
      <c r="J1014" s="80"/>
    </row>
    <row r="1015" spans="10:10">
      <c r="J1015" s="80"/>
    </row>
    <row r="1016" spans="10:10">
      <c r="J1016" s="80"/>
    </row>
    <row r="1017" spans="10:10">
      <c r="J1017" s="80"/>
    </row>
    <row r="1018" spans="10:10">
      <c r="J1018" s="80"/>
    </row>
    <row r="1019" spans="10:10">
      <c r="J1019" s="80"/>
    </row>
    <row r="1020" spans="10:10">
      <c r="J1020" s="80"/>
    </row>
    <row r="1021" spans="10:10">
      <c r="J1021" s="80"/>
    </row>
    <row r="1022" spans="10:10">
      <c r="J1022" s="80"/>
    </row>
    <row r="1023" spans="10:10">
      <c r="J1023" s="80"/>
    </row>
    <row r="1024" spans="10:10">
      <c r="J1024" s="80"/>
    </row>
    <row r="1025" spans="10:10">
      <c r="J1025" s="80"/>
    </row>
    <row r="1026" spans="10:10">
      <c r="J1026" s="80"/>
    </row>
    <row r="1027" spans="10:10">
      <c r="J1027" s="80"/>
    </row>
    <row r="1028" spans="10:10">
      <c r="J1028" s="80"/>
    </row>
    <row r="1029" spans="10:10">
      <c r="J1029" s="80"/>
    </row>
    <row r="1030" spans="10:10">
      <c r="J1030" s="80"/>
    </row>
    <row r="1031" spans="10:10">
      <c r="J1031" s="80"/>
    </row>
    <row r="1032" spans="10:10">
      <c r="J1032" s="80"/>
    </row>
    <row r="1033" spans="10:10">
      <c r="J1033" s="80"/>
    </row>
    <row r="1034" spans="10:10">
      <c r="J1034" s="80"/>
    </row>
    <row r="1035" spans="10:10">
      <c r="J1035" s="80"/>
    </row>
    <row r="1036" spans="10:10">
      <c r="J1036" s="80"/>
    </row>
    <row r="1037" spans="10:10">
      <c r="J1037" s="80"/>
    </row>
    <row r="1038" spans="10:10">
      <c r="J1038" s="80"/>
    </row>
    <row r="1039" spans="10:10">
      <c r="J1039" s="80"/>
    </row>
    <row r="1040" spans="10:10">
      <c r="J1040" s="80"/>
    </row>
    <row r="1041" spans="10:10">
      <c r="J1041" s="80"/>
    </row>
    <row r="1042" spans="10:10">
      <c r="J1042" s="80"/>
    </row>
    <row r="1043" spans="10:10">
      <c r="J1043" s="80"/>
    </row>
    <row r="1044" spans="10:10">
      <c r="J1044" s="80"/>
    </row>
    <row r="1045" spans="10:10">
      <c r="J1045" s="80"/>
    </row>
    <row r="1046" spans="10:10">
      <c r="J1046" s="80"/>
    </row>
    <row r="1047" spans="10:10">
      <c r="J1047" s="80"/>
    </row>
    <row r="1048" spans="10:10">
      <c r="J1048" s="80"/>
    </row>
    <row r="1049" spans="10:10">
      <c r="J1049" s="80"/>
    </row>
    <row r="1050" spans="10:10">
      <c r="J1050" s="80"/>
    </row>
    <row r="1051" spans="10:10">
      <c r="J1051" s="80"/>
    </row>
    <row r="1052" spans="10:10">
      <c r="J1052" s="80"/>
    </row>
    <row r="1053" spans="10:10">
      <c r="J1053" s="80"/>
    </row>
    <row r="1054" spans="10:10">
      <c r="J1054" s="80"/>
    </row>
    <row r="1055" spans="10:10">
      <c r="J1055" s="80"/>
    </row>
    <row r="1056" spans="10:10">
      <c r="J1056" s="80"/>
    </row>
    <row r="1057" spans="10:10">
      <c r="J1057" s="80"/>
    </row>
    <row r="1058" spans="10:10">
      <c r="J1058" s="80"/>
    </row>
    <row r="1059" spans="10:10">
      <c r="J1059" s="80"/>
    </row>
    <row r="1060" spans="10:10">
      <c r="J1060" s="80"/>
    </row>
    <row r="1061" spans="10:10">
      <c r="J1061" s="80"/>
    </row>
    <row r="1062" spans="10:10">
      <c r="J1062" s="80"/>
    </row>
    <row r="1063" spans="10:10">
      <c r="J1063" s="80"/>
    </row>
    <row r="1064" spans="10:10">
      <c r="J1064" s="80"/>
    </row>
    <row r="1065" spans="10:10">
      <c r="J1065" s="80"/>
    </row>
    <row r="1066" spans="10:10">
      <c r="J1066" s="80"/>
    </row>
    <row r="1067" spans="10:10">
      <c r="J1067" s="80"/>
    </row>
    <row r="1068" spans="10:10">
      <c r="J1068" s="80"/>
    </row>
    <row r="1069" spans="10:10">
      <c r="J1069" s="80"/>
    </row>
    <row r="1070" spans="10:10">
      <c r="J1070" s="80"/>
    </row>
    <row r="1071" spans="10:10">
      <c r="J1071" s="80"/>
    </row>
    <row r="1072" spans="10:10">
      <c r="J1072" s="80"/>
    </row>
    <row r="1073" spans="10:10">
      <c r="J1073" s="80"/>
    </row>
    <row r="1074" spans="10:10">
      <c r="J1074" s="80"/>
    </row>
    <row r="1075" spans="10:10">
      <c r="J1075" s="80"/>
    </row>
    <row r="1076" spans="10:10">
      <c r="J1076" s="80"/>
    </row>
    <row r="1077" spans="10:10">
      <c r="J1077" s="80"/>
    </row>
    <row r="1078" spans="10:10">
      <c r="J1078" s="80"/>
    </row>
    <row r="1079" spans="10:10">
      <c r="J1079" s="80"/>
    </row>
    <row r="1080" spans="10:10">
      <c r="J1080" s="80"/>
    </row>
    <row r="1081" spans="10:10">
      <c r="J1081" s="80"/>
    </row>
    <row r="1082" spans="10:10">
      <c r="J1082" s="80"/>
    </row>
    <row r="1083" spans="10:10">
      <c r="J1083" s="80"/>
    </row>
    <row r="1084" spans="10:10">
      <c r="J1084" s="80"/>
    </row>
    <row r="1085" spans="10:10">
      <c r="J1085" s="80"/>
    </row>
    <row r="1086" spans="10:10">
      <c r="J1086" s="80"/>
    </row>
    <row r="1087" spans="10:10">
      <c r="J1087" s="80"/>
    </row>
    <row r="1088" spans="10:10">
      <c r="J1088" s="80"/>
    </row>
    <row r="1089" spans="10:10">
      <c r="J1089" s="80"/>
    </row>
    <row r="1090" spans="10:10">
      <c r="J1090" s="80"/>
    </row>
    <row r="1091" spans="10:10">
      <c r="J1091" s="80"/>
    </row>
    <row r="1092" spans="10:10">
      <c r="J1092" s="80"/>
    </row>
    <row r="1093" spans="10:10">
      <c r="J1093" s="80"/>
    </row>
    <row r="1094" spans="10:10">
      <c r="J1094" s="80"/>
    </row>
    <row r="1095" spans="10:10">
      <c r="J1095" s="80"/>
    </row>
    <row r="1096" spans="10:10">
      <c r="J1096" s="80"/>
    </row>
    <row r="1097" spans="10:10">
      <c r="J1097" s="80"/>
    </row>
    <row r="1098" spans="10:10">
      <c r="J1098" s="80"/>
    </row>
    <row r="1099" spans="10:10">
      <c r="J1099" s="80"/>
    </row>
    <row r="1100" spans="10:10">
      <c r="J1100" s="80"/>
    </row>
    <row r="1101" spans="10:10">
      <c r="J1101" s="80"/>
    </row>
    <row r="1102" spans="10:10">
      <c r="J1102" s="80"/>
    </row>
    <row r="1103" spans="10:10">
      <c r="J1103" s="80"/>
    </row>
    <row r="1104" spans="10:10">
      <c r="J1104" s="80"/>
    </row>
    <row r="1105" spans="10:10">
      <c r="J1105" s="80"/>
    </row>
    <row r="1106" spans="10:10">
      <c r="J1106" s="80"/>
    </row>
    <row r="1107" spans="10:10">
      <c r="J1107" s="80"/>
    </row>
    <row r="1108" spans="10:10">
      <c r="J1108" s="80"/>
    </row>
    <row r="1109" spans="10:10">
      <c r="J1109" s="80"/>
    </row>
    <row r="1110" spans="10:10">
      <c r="J1110" s="80"/>
    </row>
    <row r="1111" spans="10:10">
      <c r="J1111" s="80"/>
    </row>
    <row r="1112" spans="10:10">
      <c r="J1112" s="80"/>
    </row>
    <row r="1113" spans="10:10">
      <c r="J1113" s="80"/>
    </row>
    <row r="1114" spans="10:10">
      <c r="J1114" s="80"/>
    </row>
    <row r="1115" spans="10:10">
      <c r="J1115" s="80"/>
    </row>
    <row r="1116" spans="10:10">
      <c r="J1116" s="80"/>
    </row>
    <row r="1117" spans="10:10">
      <c r="J1117" s="80"/>
    </row>
    <row r="1118" spans="10:10">
      <c r="J1118" s="80"/>
    </row>
    <row r="1119" spans="10:10">
      <c r="J1119" s="80"/>
    </row>
    <row r="1120" spans="10:10">
      <c r="J1120" s="80"/>
    </row>
    <row r="1121" spans="10:10">
      <c r="J1121" s="80"/>
    </row>
    <row r="1122" spans="10:10">
      <c r="J1122" s="80"/>
    </row>
    <row r="1123" spans="10:10">
      <c r="J1123" s="80"/>
    </row>
    <row r="1124" spans="10:10">
      <c r="J1124" s="80"/>
    </row>
    <row r="1125" spans="10:10">
      <c r="J1125" s="80"/>
    </row>
    <row r="1126" spans="10:10">
      <c r="J1126" s="80"/>
    </row>
    <row r="1127" spans="10:10">
      <c r="J1127" s="80"/>
    </row>
    <row r="1128" spans="10:10">
      <c r="J1128" s="80"/>
    </row>
    <row r="1129" spans="10:10">
      <c r="J1129" s="80"/>
    </row>
    <row r="1130" spans="10:10">
      <c r="J1130" s="80"/>
    </row>
    <row r="1131" spans="10:10">
      <c r="J1131" s="80"/>
    </row>
    <row r="1132" spans="10:10">
      <c r="J1132" s="80"/>
    </row>
    <row r="1133" spans="10:10">
      <c r="J1133" s="80"/>
    </row>
    <row r="1134" spans="10:10">
      <c r="J1134" s="80"/>
    </row>
    <row r="1135" spans="10:10">
      <c r="J1135" s="80"/>
    </row>
    <row r="1136" spans="10:10">
      <c r="J1136" s="80"/>
    </row>
    <row r="1137" spans="10:10">
      <c r="J1137" s="80"/>
    </row>
    <row r="1138" spans="10:10">
      <c r="J1138" s="80"/>
    </row>
    <row r="1139" spans="10:10">
      <c r="J1139" s="80"/>
    </row>
    <row r="1140" spans="10:10">
      <c r="J1140" s="80"/>
    </row>
    <row r="1141" spans="10:10">
      <c r="J1141" s="80"/>
    </row>
    <row r="1142" spans="10:10">
      <c r="J1142" s="80"/>
    </row>
    <row r="1143" spans="10:10">
      <c r="J1143" s="80"/>
    </row>
    <row r="1144" spans="10:10">
      <c r="J1144" s="80"/>
    </row>
    <row r="1145" spans="10:10">
      <c r="J1145" s="80"/>
    </row>
    <row r="1146" spans="10:10">
      <c r="J1146" s="80"/>
    </row>
    <row r="1147" spans="10:10">
      <c r="J1147" s="80"/>
    </row>
    <row r="1148" spans="10:10">
      <c r="J1148" s="80"/>
    </row>
    <row r="1149" spans="10:10">
      <c r="J1149" s="80"/>
    </row>
    <row r="1150" spans="10:10">
      <c r="J1150" s="80"/>
    </row>
    <row r="1151" spans="10:10">
      <c r="J1151" s="80"/>
    </row>
    <row r="1152" spans="10:10">
      <c r="J1152" s="80"/>
    </row>
    <row r="1153" spans="10:10">
      <c r="J1153" s="80"/>
    </row>
    <row r="1154" spans="10:10">
      <c r="J1154" s="80"/>
    </row>
    <row r="1155" spans="10:10">
      <c r="J1155" s="80"/>
    </row>
    <row r="1156" spans="10:10">
      <c r="J1156" s="80"/>
    </row>
    <row r="1157" spans="10:10">
      <c r="J1157" s="80"/>
    </row>
    <row r="1158" spans="10:10">
      <c r="J1158" s="80"/>
    </row>
    <row r="1159" spans="10:10">
      <c r="J1159" s="80"/>
    </row>
    <row r="1160" spans="10:10">
      <c r="J1160" s="80"/>
    </row>
    <row r="1161" spans="10:10">
      <c r="J1161" s="80"/>
    </row>
    <row r="1162" spans="10:10">
      <c r="J1162" s="80"/>
    </row>
    <row r="1163" spans="10:10">
      <c r="J1163" s="80"/>
    </row>
    <row r="1164" spans="10:10">
      <c r="J1164" s="80"/>
    </row>
    <row r="1165" spans="10:10">
      <c r="J1165" s="80"/>
    </row>
    <row r="1166" spans="10:10">
      <c r="J1166" s="80"/>
    </row>
    <row r="1167" spans="10:10">
      <c r="J1167" s="80"/>
    </row>
    <row r="1168" spans="10:10">
      <c r="J1168" s="80"/>
    </row>
    <row r="1169" spans="10:10">
      <c r="J1169" s="80"/>
    </row>
    <row r="1170" spans="10:10">
      <c r="J1170" s="80"/>
    </row>
    <row r="1171" spans="10:10">
      <c r="J1171" s="80"/>
    </row>
    <row r="1172" spans="10:10">
      <c r="J1172" s="80"/>
    </row>
    <row r="1173" spans="10:10">
      <c r="J1173" s="80"/>
    </row>
    <row r="1174" spans="10:10">
      <c r="J1174" s="80"/>
    </row>
    <row r="1175" spans="10:10">
      <c r="J1175" s="80"/>
    </row>
    <row r="1176" spans="10:10">
      <c r="J1176" s="80"/>
    </row>
    <row r="1177" spans="10:10">
      <c r="J1177" s="80"/>
    </row>
    <row r="1178" spans="10:10">
      <c r="J1178" s="80"/>
    </row>
    <row r="1179" spans="10:10">
      <c r="J1179" s="80"/>
    </row>
    <row r="1180" spans="10:10">
      <c r="J1180" s="80"/>
    </row>
    <row r="1181" spans="10:10">
      <c r="J1181" s="80"/>
    </row>
    <row r="1182" spans="10:10">
      <c r="J1182" s="80"/>
    </row>
    <row r="1183" spans="10:10">
      <c r="J1183" s="80"/>
    </row>
    <row r="1184" spans="10:10">
      <c r="J1184" s="80"/>
    </row>
    <row r="1185" spans="10:10">
      <c r="J1185" s="80"/>
    </row>
    <row r="1186" spans="10:10">
      <c r="J1186" s="80"/>
    </row>
    <row r="1187" spans="10:10">
      <c r="J1187" s="80"/>
    </row>
    <row r="1188" spans="10:10">
      <c r="J1188" s="80"/>
    </row>
    <row r="1189" spans="10:10">
      <c r="J1189" s="80"/>
    </row>
    <row r="1190" spans="10:10">
      <c r="J1190" s="80"/>
    </row>
    <row r="1191" spans="10:10">
      <c r="J1191" s="80"/>
    </row>
    <row r="1192" spans="10:10">
      <c r="J1192" s="80"/>
    </row>
    <row r="1193" spans="10:10">
      <c r="J1193" s="80"/>
    </row>
    <row r="1194" spans="10:10">
      <c r="J1194" s="80"/>
    </row>
    <row r="1195" spans="10:10">
      <c r="J1195" s="80"/>
    </row>
    <row r="1196" spans="10:10">
      <c r="J1196" s="80"/>
    </row>
    <row r="1197" spans="10:10">
      <c r="J1197" s="80"/>
    </row>
    <row r="1198" spans="10:10">
      <c r="J1198" s="80"/>
    </row>
    <row r="1199" spans="10:10">
      <c r="J1199" s="80"/>
    </row>
    <row r="1200" spans="10:10">
      <c r="J1200" s="80"/>
    </row>
    <row r="1201" spans="10:10">
      <c r="J1201" s="80"/>
    </row>
    <row r="1202" spans="10:10">
      <c r="J1202" s="80"/>
    </row>
    <row r="1203" spans="10:10">
      <c r="J1203" s="80"/>
    </row>
    <row r="1204" spans="10:10">
      <c r="J1204" s="80"/>
    </row>
    <row r="1205" spans="10:10">
      <c r="J1205" s="80"/>
    </row>
    <row r="1206" spans="10:10">
      <c r="J1206" s="80"/>
    </row>
    <row r="1207" spans="10:10">
      <c r="J1207" s="80"/>
    </row>
    <row r="1208" spans="10:10">
      <c r="J1208" s="80"/>
    </row>
    <row r="1209" spans="10:10">
      <c r="J1209" s="80"/>
    </row>
    <row r="1210" spans="10:10">
      <c r="J1210" s="80"/>
    </row>
    <row r="1211" spans="10:10">
      <c r="J1211" s="80"/>
    </row>
    <row r="1212" spans="10:10">
      <c r="J1212" s="80"/>
    </row>
    <row r="1213" spans="10:10">
      <c r="J1213" s="80"/>
    </row>
    <row r="1214" spans="10:10">
      <c r="J1214" s="80"/>
    </row>
    <row r="1215" spans="10:10">
      <c r="J1215" s="80"/>
    </row>
    <row r="1216" spans="10:10">
      <c r="J1216" s="80"/>
    </row>
    <row r="1217" spans="10:10">
      <c r="J1217" s="80"/>
    </row>
    <row r="1218" spans="10:10">
      <c r="J1218" s="80"/>
    </row>
    <row r="1219" spans="10:10">
      <c r="J1219" s="80"/>
    </row>
    <row r="1220" spans="10:10">
      <c r="J1220" s="80"/>
    </row>
    <row r="1221" spans="10:10">
      <c r="J1221" s="80"/>
    </row>
    <row r="1222" spans="10:10">
      <c r="J1222" s="80"/>
    </row>
    <row r="1223" spans="10:10">
      <c r="J1223" s="80"/>
    </row>
    <row r="1224" spans="10:10">
      <c r="J1224" s="80"/>
    </row>
    <row r="1225" spans="10:10">
      <c r="J1225" s="80"/>
    </row>
    <row r="1226" spans="10:10">
      <c r="J1226" s="80"/>
    </row>
    <row r="1227" spans="10:10">
      <c r="J1227" s="80"/>
    </row>
    <row r="1228" spans="10:10">
      <c r="J1228" s="80"/>
    </row>
    <row r="1229" spans="10:10">
      <c r="J1229" s="80"/>
    </row>
    <row r="1230" spans="10:10">
      <c r="J1230" s="80"/>
    </row>
    <row r="1231" spans="10:10">
      <c r="J1231" s="80"/>
    </row>
    <row r="1232" spans="10:10">
      <c r="J1232" s="80"/>
    </row>
    <row r="1233" spans="10:10">
      <c r="J1233" s="80"/>
    </row>
    <row r="1234" spans="10:10">
      <c r="J1234" s="80"/>
    </row>
    <row r="1235" spans="10:10">
      <c r="J1235" s="80"/>
    </row>
    <row r="1236" spans="10:10">
      <c r="J1236" s="80"/>
    </row>
    <row r="1237" spans="10:10">
      <c r="J1237" s="80"/>
    </row>
    <row r="1238" spans="10:10">
      <c r="J1238" s="80"/>
    </row>
    <row r="1239" spans="10:10">
      <c r="J1239" s="80"/>
    </row>
    <row r="1240" spans="10:10">
      <c r="J1240" s="80"/>
    </row>
    <row r="1241" spans="10:10">
      <c r="J1241" s="80"/>
    </row>
    <row r="1242" spans="10:10">
      <c r="J1242" s="80"/>
    </row>
    <row r="1243" spans="10:10">
      <c r="J1243" s="80"/>
    </row>
    <row r="1244" spans="10:10">
      <c r="J1244" s="80"/>
    </row>
    <row r="1245" spans="10:10">
      <c r="J1245" s="80"/>
    </row>
    <row r="1246" spans="10:10">
      <c r="J1246" s="80"/>
    </row>
    <row r="1247" spans="10:10">
      <c r="J1247" s="80"/>
    </row>
    <row r="1248" spans="10:10">
      <c r="J1248" s="80"/>
    </row>
    <row r="1249" spans="10:10">
      <c r="J1249" s="80"/>
    </row>
    <row r="1250" spans="10:10">
      <c r="J1250" s="80"/>
    </row>
    <row r="1251" spans="10:10">
      <c r="J1251" s="80"/>
    </row>
    <row r="1252" spans="10:10">
      <c r="J1252" s="80"/>
    </row>
    <row r="1253" spans="10:10">
      <c r="J1253" s="80"/>
    </row>
    <row r="1254" spans="10:10">
      <c r="J1254" s="80"/>
    </row>
    <row r="1255" spans="10:10">
      <c r="J1255" s="80"/>
    </row>
    <row r="1256" spans="10:10">
      <c r="J1256" s="80"/>
    </row>
    <row r="1257" spans="10:10">
      <c r="J1257" s="80"/>
    </row>
    <row r="1258" spans="10:10">
      <c r="J1258" s="80"/>
    </row>
    <row r="1259" spans="10:10">
      <c r="J1259" s="80"/>
    </row>
    <row r="1260" spans="10:10">
      <c r="J1260" s="80"/>
    </row>
    <row r="1261" spans="10:10">
      <c r="J1261" s="80"/>
    </row>
    <row r="1262" spans="10:10">
      <c r="J1262" s="80"/>
    </row>
    <row r="1263" spans="10:10">
      <c r="J1263" s="80"/>
    </row>
    <row r="1264" spans="10:10">
      <c r="J1264" s="80"/>
    </row>
    <row r="1265" spans="10:10">
      <c r="J1265" s="80"/>
    </row>
    <row r="1266" spans="10:10">
      <c r="J1266" s="80"/>
    </row>
    <row r="1267" spans="10:10">
      <c r="J1267" s="80"/>
    </row>
    <row r="1268" spans="10:10">
      <c r="J1268" s="80"/>
    </row>
    <row r="1269" spans="10:10">
      <c r="J1269" s="80"/>
    </row>
    <row r="1270" spans="10:10">
      <c r="J1270" s="80"/>
    </row>
    <row r="1271" spans="10:10">
      <c r="J1271" s="80"/>
    </row>
    <row r="1272" spans="10:10">
      <c r="J1272" s="80"/>
    </row>
    <row r="1273" spans="10:10">
      <c r="J1273" s="80"/>
    </row>
    <row r="1274" spans="10:10">
      <c r="J1274" s="80"/>
    </row>
    <row r="1275" spans="10:10">
      <c r="J1275" s="80"/>
    </row>
    <row r="1276" spans="10:10">
      <c r="J1276" s="80"/>
    </row>
    <row r="1277" spans="10:10">
      <c r="J1277" s="80"/>
    </row>
    <row r="1278" spans="10:10">
      <c r="J1278" s="80"/>
    </row>
    <row r="1279" spans="10:10">
      <c r="J1279" s="80"/>
    </row>
    <row r="1280" spans="10:10">
      <c r="J1280" s="80"/>
    </row>
    <row r="1281" spans="10:10">
      <c r="J1281" s="80"/>
    </row>
    <row r="1282" spans="10:10">
      <c r="J1282" s="80"/>
    </row>
    <row r="1283" spans="10:10">
      <c r="J1283" s="80"/>
    </row>
    <row r="1284" spans="10:10">
      <c r="J1284" s="80"/>
    </row>
    <row r="1285" spans="10:10">
      <c r="J1285" s="80"/>
    </row>
    <row r="1286" spans="10:10">
      <c r="J1286" s="80"/>
    </row>
    <row r="1287" spans="10:10">
      <c r="J1287" s="80"/>
    </row>
    <row r="1288" spans="10:10">
      <c r="J1288" s="80"/>
    </row>
    <row r="1289" spans="10:10">
      <c r="J1289" s="80"/>
    </row>
    <row r="1290" spans="10:10">
      <c r="J1290" s="80"/>
    </row>
    <row r="1291" spans="10:10">
      <c r="J1291" s="80"/>
    </row>
    <row r="1292" spans="10:10">
      <c r="J1292" s="80"/>
    </row>
    <row r="1293" spans="10:10">
      <c r="J1293" s="80"/>
    </row>
    <row r="1294" spans="10:10">
      <c r="J1294" s="80"/>
    </row>
    <row r="1295" spans="10:10">
      <c r="J1295" s="80"/>
    </row>
    <row r="1296" spans="10:10">
      <c r="J1296" s="80"/>
    </row>
    <row r="1297" spans="10:10">
      <c r="J1297" s="80"/>
    </row>
    <row r="1298" spans="10:10">
      <c r="J1298" s="80"/>
    </row>
    <row r="1299" spans="10:10">
      <c r="J1299" s="80"/>
    </row>
    <row r="1300" spans="10:10">
      <c r="J1300" s="80"/>
    </row>
    <row r="1301" spans="10:10">
      <c r="J1301" s="80"/>
    </row>
    <row r="1302" spans="10:10">
      <c r="J1302" s="80"/>
    </row>
    <row r="1303" spans="10:10">
      <c r="J1303" s="80"/>
    </row>
    <row r="1304" spans="10:10">
      <c r="J1304" s="80"/>
    </row>
    <row r="1305" spans="10:10">
      <c r="J1305" s="80"/>
    </row>
    <row r="1306" spans="10:10">
      <c r="J1306" s="80"/>
    </row>
    <row r="1307" spans="10:10">
      <c r="J1307" s="80"/>
    </row>
    <row r="1308" spans="10:10">
      <c r="J1308" s="80"/>
    </row>
    <row r="1309" spans="10:10">
      <c r="J1309" s="80"/>
    </row>
    <row r="1310" spans="10:10">
      <c r="J1310" s="80"/>
    </row>
    <row r="1311" spans="10:10">
      <c r="J1311" s="80"/>
    </row>
    <row r="1312" spans="10:10">
      <c r="J1312" s="80"/>
    </row>
    <row r="1313" spans="10:10">
      <c r="J1313" s="80"/>
    </row>
    <row r="1314" spans="10:10">
      <c r="J1314" s="80"/>
    </row>
    <row r="1315" spans="10:10">
      <c r="J1315" s="80"/>
    </row>
    <row r="1316" spans="10:10">
      <c r="J1316" s="80"/>
    </row>
    <row r="1317" spans="10:10">
      <c r="J1317" s="80"/>
    </row>
    <row r="1318" spans="10:10">
      <c r="J1318" s="80"/>
    </row>
    <row r="1319" spans="10:10">
      <c r="J1319" s="80"/>
    </row>
    <row r="1320" spans="10:10">
      <c r="J1320" s="80"/>
    </row>
    <row r="1321" spans="10:10">
      <c r="J1321" s="80"/>
    </row>
    <row r="1322" spans="10:10">
      <c r="J1322" s="80"/>
    </row>
    <row r="1323" spans="10:10">
      <c r="J1323" s="80"/>
    </row>
    <row r="1324" spans="10:10">
      <c r="J1324" s="80"/>
    </row>
    <row r="1325" spans="10:10">
      <c r="J1325" s="80"/>
    </row>
    <row r="1326" spans="10:10">
      <c r="J1326" s="80"/>
    </row>
    <row r="1327" spans="10:10">
      <c r="J1327" s="80"/>
    </row>
    <row r="1328" spans="10:10">
      <c r="J1328" s="80"/>
    </row>
    <row r="1329" spans="10:10">
      <c r="J1329" s="80"/>
    </row>
    <row r="1330" spans="10:10">
      <c r="J1330" s="80"/>
    </row>
    <row r="1331" spans="10:10">
      <c r="J1331" s="80"/>
    </row>
    <row r="1332" spans="10:10">
      <c r="J1332" s="80"/>
    </row>
    <row r="1333" spans="10:10">
      <c r="J1333" s="80"/>
    </row>
    <row r="1334" spans="10:10">
      <c r="J1334" s="80"/>
    </row>
    <row r="1335" spans="10:10">
      <c r="J1335" s="80"/>
    </row>
    <row r="1336" spans="10:10">
      <c r="J1336" s="80"/>
    </row>
    <row r="1337" spans="10:10">
      <c r="J1337" s="80"/>
    </row>
    <row r="1338" spans="10:10">
      <c r="J1338" s="80"/>
    </row>
    <row r="1339" spans="10:10">
      <c r="J1339" s="80"/>
    </row>
    <row r="1340" spans="10:10">
      <c r="J1340" s="80"/>
    </row>
    <row r="1341" spans="10:10">
      <c r="J1341" s="80"/>
    </row>
    <row r="1342" spans="10:10">
      <c r="J1342" s="80"/>
    </row>
    <row r="1343" spans="10:10">
      <c r="J1343" s="80"/>
    </row>
    <row r="1344" spans="10:10">
      <c r="J1344" s="80"/>
    </row>
    <row r="1345" spans="10:10">
      <c r="J1345" s="80"/>
    </row>
    <row r="1346" spans="10:10">
      <c r="J1346" s="80"/>
    </row>
    <row r="1347" spans="10:10">
      <c r="J1347" s="80"/>
    </row>
    <row r="1348" spans="10:10">
      <c r="J1348" s="80"/>
    </row>
    <row r="1349" spans="10:10">
      <c r="J1349" s="80"/>
    </row>
    <row r="1350" spans="10:10">
      <c r="J1350" s="80"/>
    </row>
    <row r="1351" spans="10:10">
      <c r="J1351" s="80"/>
    </row>
    <row r="1352" spans="10:10">
      <c r="J1352" s="80"/>
    </row>
    <row r="1353" spans="10:10">
      <c r="J1353" s="80"/>
    </row>
    <row r="1354" spans="10:10">
      <c r="J1354" s="80"/>
    </row>
    <row r="1355" spans="10:10">
      <c r="J1355" s="80"/>
    </row>
    <row r="1356" spans="10:10">
      <c r="J1356" s="80"/>
    </row>
    <row r="1357" spans="10:10">
      <c r="J1357" s="80"/>
    </row>
    <row r="1358" spans="10:10">
      <c r="J1358" s="80"/>
    </row>
    <row r="1359" spans="10:10">
      <c r="J1359" s="80"/>
    </row>
    <row r="1360" spans="10:10">
      <c r="J1360" s="80"/>
    </row>
    <row r="1361" spans="10:10">
      <c r="J1361" s="80"/>
    </row>
    <row r="1362" spans="10:10">
      <c r="J1362" s="80"/>
    </row>
    <row r="1363" spans="10:10">
      <c r="J1363" s="80"/>
    </row>
    <row r="1364" spans="10:10">
      <c r="J1364" s="80"/>
    </row>
    <row r="1365" spans="10:10">
      <c r="J1365" s="80"/>
    </row>
    <row r="1366" spans="10:10">
      <c r="J1366" s="80"/>
    </row>
    <row r="1367" spans="10:10">
      <c r="J1367" s="80"/>
    </row>
    <row r="1368" spans="10:10">
      <c r="J1368" s="80"/>
    </row>
    <row r="1369" spans="10:10">
      <c r="J1369" s="80"/>
    </row>
    <row r="1370" spans="10:10">
      <c r="J1370" s="80"/>
    </row>
    <row r="1371" spans="10:10">
      <c r="J1371" s="80"/>
    </row>
    <row r="1372" spans="10:10">
      <c r="J1372" s="80"/>
    </row>
    <row r="1373" spans="10:10">
      <c r="J1373" s="80"/>
    </row>
    <row r="1374" spans="10:10">
      <c r="J1374" s="80"/>
    </row>
    <row r="1375" spans="10:10">
      <c r="J1375" s="80"/>
    </row>
    <row r="1376" spans="10:10">
      <c r="J1376" s="80"/>
    </row>
    <row r="1377" spans="10:10">
      <c r="J1377" s="80"/>
    </row>
    <row r="1378" spans="10:10">
      <c r="J1378" s="80"/>
    </row>
    <row r="1379" spans="10:10">
      <c r="J1379" s="80"/>
    </row>
    <row r="1380" spans="10:10">
      <c r="J1380" s="80"/>
    </row>
    <row r="1381" spans="10:10">
      <c r="J1381" s="80"/>
    </row>
    <row r="1382" spans="10:10">
      <c r="J1382" s="80"/>
    </row>
    <row r="1383" spans="10:10">
      <c r="J1383" s="80"/>
    </row>
    <row r="1384" spans="10:10">
      <c r="J1384" s="80"/>
    </row>
    <row r="1385" spans="10:10">
      <c r="J1385" s="80"/>
    </row>
    <row r="1386" spans="10:10">
      <c r="J1386" s="80"/>
    </row>
    <row r="1387" spans="10:10">
      <c r="J1387" s="80"/>
    </row>
    <row r="1388" spans="10:10">
      <c r="J1388" s="80"/>
    </row>
    <row r="1389" spans="10:10">
      <c r="J1389" s="80"/>
    </row>
    <row r="1390" spans="10:10">
      <c r="J1390" s="80"/>
    </row>
    <row r="1391" spans="10:10">
      <c r="J1391" s="80"/>
    </row>
    <row r="1392" spans="10:10">
      <c r="J1392" s="80"/>
    </row>
    <row r="1393" spans="10:10">
      <c r="J1393" s="80"/>
    </row>
    <row r="1394" spans="10:10">
      <c r="J1394" s="80"/>
    </row>
    <row r="1395" spans="10:10">
      <c r="J1395" s="80"/>
    </row>
    <row r="1396" spans="10:10">
      <c r="J1396" s="80"/>
    </row>
    <row r="1397" spans="10:10">
      <c r="J1397" s="80"/>
    </row>
    <row r="1398" spans="10:10">
      <c r="J1398" s="80"/>
    </row>
    <row r="1399" spans="10:10">
      <c r="J1399" s="80"/>
    </row>
    <row r="1400" spans="10:10">
      <c r="J1400" s="80"/>
    </row>
    <row r="1401" spans="10:10">
      <c r="J1401" s="80"/>
    </row>
    <row r="1402" spans="10:10">
      <c r="J1402" s="80"/>
    </row>
    <row r="1403" spans="10:10">
      <c r="J1403" s="80"/>
    </row>
    <row r="1404" spans="10:10">
      <c r="J1404" s="80"/>
    </row>
    <row r="1405" spans="10:10">
      <c r="J1405" s="80"/>
    </row>
    <row r="1406" spans="10:10">
      <c r="J1406" s="80"/>
    </row>
    <row r="1407" spans="10:10">
      <c r="J1407" s="80"/>
    </row>
    <row r="1408" spans="10:10">
      <c r="J1408" s="80"/>
    </row>
    <row r="1409" spans="10:10">
      <c r="J1409" s="80"/>
    </row>
    <row r="1410" spans="10:10">
      <c r="J1410" s="80"/>
    </row>
    <row r="1411" spans="10:10">
      <c r="J1411" s="80"/>
    </row>
    <row r="1412" spans="10:10">
      <c r="J1412" s="80"/>
    </row>
    <row r="1413" spans="10:10">
      <c r="J1413" s="80"/>
    </row>
    <row r="1414" spans="10:10">
      <c r="J1414" s="80"/>
    </row>
    <row r="1415" spans="10:10">
      <c r="J1415" s="80"/>
    </row>
    <row r="1416" spans="10:10">
      <c r="J1416" s="80"/>
    </row>
    <row r="1417" spans="10:10">
      <c r="J1417" s="80"/>
    </row>
    <row r="1418" spans="10:10">
      <c r="J1418" s="80"/>
    </row>
    <row r="1419" spans="10:10">
      <c r="J1419" s="80"/>
    </row>
    <row r="1420" spans="10:10">
      <c r="J1420" s="80"/>
    </row>
    <row r="1421" spans="10:10">
      <c r="J1421" s="80"/>
    </row>
    <row r="1422" spans="10:10">
      <c r="J1422" s="80"/>
    </row>
    <row r="1423" spans="10:10">
      <c r="J1423" s="80"/>
    </row>
    <row r="1424" spans="10:10">
      <c r="J1424" s="80"/>
    </row>
    <row r="1425" spans="10:10">
      <c r="J1425" s="80"/>
    </row>
    <row r="1426" spans="10:10">
      <c r="J1426" s="80"/>
    </row>
    <row r="1427" spans="10:10">
      <c r="J1427" s="80"/>
    </row>
    <row r="1428" spans="10:10">
      <c r="J1428" s="80"/>
    </row>
    <row r="1429" spans="10:10">
      <c r="J1429" s="80"/>
    </row>
    <row r="1430" spans="10:10">
      <c r="J1430" s="80"/>
    </row>
    <row r="1431" spans="10:10">
      <c r="J1431" s="80"/>
    </row>
    <row r="1432" spans="10:10">
      <c r="J1432" s="80"/>
    </row>
    <row r="1433" spans="10:10">
      <c r="J1433" s="80"/>
    </row>
    <row r="1434" spans="10:10">
      <c r="J1434" s="80"/>
    </row>
    <row r="1435" spans="10:10">
      <c r="J1435" s="80"/>
    </row>
    <row r="1436" spans="10:10">
      <c r="J1436" s="80"/>
    </row>
    <row r="1437" spans="10:10">
      <c r="J1437" s="80"/>
    </row>
    <row r="1438" spans="10:10">
      <c r="J1438" s="80"/>
    </row>
    <row r="1439" spans="10:10">
      <c r="J1439" s="80"/>
    </row>
    <row r="1440" spans="10:10">
      <c r="J1440" s="80"/>
    </row>
    <row r="1441" spans="10:10">
      <c r="J1441" s="80"/>
    </row>
    <row r="1442" spans="10:10">
      <c r="J1442" s="80"/>
    </row>
    <row r="1443" spans="10:10">
      <c r="J1443" s="80"/>
    </row>
    <row r="1444" spans="10:10">
      <c r="J1444" s="80"/>
    </row>
    <row r="1445" spans="10:10">
      <c r="J1445" s="80"/>
    </row>
    <row r="1446" spans="10:10">
      <c r="J1446" s="80"/>
    </row>
    <row r="1447" spans="10:10">
      <c r="J1447" s="80"/>
    </row>
    <row r="1448" spans="10:10">
      <c r="J1448" s="80"/>
    </row>
    <row r="1449" spans="10:10">
      <c r="J1449" s="80"/>
    </row>
    <row r="1450" spans="10:10">
      <c r="J1450" s="80"/>
    </row>
    <row r="1451" spans="10:10">
      <c r="J1451" s="80"/>
    </row>
    <row r="1452" spans="10:10">
      <c r="J1452" s="80"/>
    </row>
    <row r="1453" spans="10:10">
      <c r="J1453" s="80"/>
    </row>
    <row r="1454" spans="10:10">
      <c r="J1454" s="80"/>
    </row>
    <row r="1455" spans="10:10">
      <c r="J1455" s="80"/>
    </row>
    <row r="1456" spans="10:10">
      <c r="J1456" s="80"/>
    </row>
    <row r="1457" spans="10:10">
      <c r="J1457" s="80"/>
    </row>
    <row r="1458" spans="10:10">
      <c r="J1458" s="80"/>
    </row>
    <row r="1459" spans="10:10">
      <c r="J1459" s="80"/>
    </row>
    <row r="1460" spans="10:10">
      <c r="J1460" s="80"/>
    </row>
    <row r="1461" spans="10:10">
      <c r="J1461" s="80"/>
    </row>
    <row r="1462" spans="10:10">
      <c r="J1462" s="80"/>
    </row>
    <row r="1463" spans="10:10">
      <c r="J1463" s="80"/>
    </row>
    <row r="1464" spans="10:10">
      <c r="J1464" s="80"/>
    </row>
    <row r="1465" spans="10:10">
      <c r="J1465" s="80"/>
    </row>
    <row r="1466" spans="10:10">
      <c r="J1466" s="80"/>
    </row>
    <row r="1467" spans="10:10">
      <c r="J1467" s="80"/>
    </row>
    <row r="1468" spans="10:10">
      <c r="J1468" s="80"/>
    </row>
    <row r="1469" spans="10:10">
      <c r="J1469" s="80"/>
    </row>
    <row r="1470" spans="10:10">
      <c r="J1470" s="80"/>
    </row>
    <row r="1471" spans="10:10">
      <c r="J1471" s="80"/>
    </row>
    <row r="1472" spans="10:10">
      <c r="J1472" s="80"/>
    </row>
    <row r="1473" spans="10:10">
      <c r="J1473" s="80"/>
    </row>
    <row r="1474" spans="10:10">
      <c r="J1474" s="80"/>
    </row>
    <row r="1475" spans="10:10">
      <c r="J1475" s="80"/>
    </row>
    <row r="1476" spans="10:10">
      <c r="J1476" s="80"/>
    </row>
    <row r="1477" spans="10:10">
      <c r="J1477" s="80"/>
    </row>
    <row r="1478" spans="10:10">
      <c r="J1478" s="80"/>
    </row>
    <row r="1479" spans="10:10">
      <c r="J1479" s="80"/>
    </row>
    <row r="1480" spans="10:10">
      <c r="J1480" s="80"/>
    </row>
    <row r="1481" spans="10:10">
      <c r="J1481" s="80"/>
    </row>
    <row r="1482" spans="10:10">
      <c r="J1482" s="80"/>
    </row>
    <row r="1483" spans="10:10">
      <c r="J1483" s="80"/>
    </row>
    <row r="1484" spans="10:10">
      <c r="J1484" s="80"/>
    </row>
    <row r="1485" spans="10:10">
      <c r="J1485" s="80"/>
    </row>
    <row r="1486" spans="10:10">
      <c r="J1486" s="80"/>
    </row>
    <row r="1487" spans="10:10">
      <c r="J1487" s="80"/>
    </row>
    <row r="1488" spans="10:10">
      <c r="J1488" s="80"/>
    </row>
    <row r="1489" spans="10:10">
      <c r="J1489" s="80"/>
    </row>
    <row r="1490" spans="10:10">
      <c r="J1490" s="80"/>
    </row>
    <row r="1491" spans="10:10">
      <c r="J1491" s="80"/>
    </row>
    <row r="1492" spans="10:10">
      <c r="J1492" s="80"/>
    </row>
    <row r="1493" spans="10:10">
      <c r="J1493" s="80"/>
    </row>
    <row r="1494" spans="10:10">
      <c r="J1494" s="80"/>
    </row>
    <row r="1495" spans="10:10">
      <c r="J1495" s="80"/>
    </row>
    <row r="1496" spans="10:10">
      <c r="J1496" s="80"/>
    </row>
    <row r="1497" spans="10:10">
      <c r="J1497" s="80"/>
    </row>
    <row r="1498" spans="10:10">
      <c r="J1498" s="80"/>
    </row>
    <row r="1499" spans="10:10">
      <c r="J1499" s="80"/>
    </row>
    <row r="1500" spans="10:10">
      <c r="J1500" s="80"/>
    </row>
    <row r="1501" spans="10:10">
      <c r="J1501" s="80"/>
    </row>
    <row r="1502" spans="10:10">
      <c r="J1502" s="80"/>
    </row>
    <row r="1503" spans="10:10">
      <c r="J1503" s="80"/>
    </row>
    <row r="1504" spans="10:10">
      <c r="J1504" s="80"/>
    </row>
    <row r="1505" spans="10:10">
      <c r="J1505" s="80"/>
    </row>
    <row r="1506" spans="10:10">
      <c r="J1506" s="80"/>
    </row>
    <row r="1507" spans="10:10">
      <c r="J1507" s="80"/>
    </row>
    <row r="1508" spans="10:10">
      <c r="J1508" s="80"/>
    </row>
    <row r="1509" spans="10:10">
      <c r="J1509" s="80"/>
    </row>
    <row r="1510" spans="10:10">
      <c r="J1510" s="80"/>
    </row>
    <row r="1511" spans="10:10">
      <c r="J1511" s="80"/>
    </row>
    <row r="1512" spans="10:10">
      <c r="J1512" s="80"/>
    </row>
    <row r="1513" spans="10:10">
      <c r="J1513" s="80"/>
    </row>
    <row r="1514" spans="10:10">
      <c r="J1514" s="80"/>
    </row>
    <row r="1515" spans="10:10">
      <c r="J1515" s="80"/>
    </row>
    <row r="1516" spans="10:10">
      <c r="J1516" s="80"/>
    </row>
    <row r="1517" spans="10:10">
      <c r="J1517" s="80"/>
    </row>
    <row r="1518" spans="10:10">
      <c r="J1518" s="80"/>
    </row>
    <row r="1519" spans="10:10">
      <c r="J1519" s="80"/>
    </row>
    <row r="1520" spans="10:10">
      <c r="J1520" s="80"/>
    </row>
    <row r="1521" spans="10:10">
      <c r="J1521" s="80"/>
    </row>
    <row r="1522" spans="10:10">
      <c r="J1522" s="80"/>
    </row>
    <row r="1523" spans="10:10">
      <c r="J1523" s="80"/>
    </row>
    <row r="1524" spans="10:10">
      <c r="J1524" s="80"/>
    </row>
    <row r="1525" spans="10:10">
      <c r="J1525" s="80"/>
    </row>
    <row r="1526" spans="10:10">
      <c r="J1526" s="80"/>
    </row>
    <row r="1527" spans="10:10">
      <c r="J1527" s="80"/>
    </row>
    <row r="1528" spans="10:10">
      <c r="J1528" s="80"/>
    </row>
    <row r="1529" spans="10:10">
      <c r="J1529" s="80"/>
    </row>
    <row r="1530" spans="10:10">
      <c r="J1530" s="80"/>
    </row>
    <row r="1531" spans="10:10">
      <c r="J1531" s="80"/>
    </row>
    <row r="1532" spans="10:10">
      <c r="J1532" s="80"/>
    </row>
    <row r="1533" spans="10:10">
      <c r="J1533" s="80"/>
    </row>
    <row r="1534" spans="10:10">
      <c r="J1534" s="80"/>
    </row>
    <row r="1535" spans="10:10">
      <c r="J1535" s="80"/>
    </row>
    <row r="1536" spans="10:10">
      <c r="J1536" s="80"/>
    </row>
    <row r="1537" spans="10:10">
      <c r="J1537" s="80"/>
    </row>
    <row r="1538" spans="10:10">
      <c r="J1538" s="80"/>
    </row>
    <row r="1539" spans="10:10">
      <c r="J1539" s="80"/>
    </row>
    <row r="1540" spans="10:10">
      <c r="J1540" s="80"/>
    </row>
    <row r="1541" spans="10:10">
      <c r="J1541" s="80"/>
    </row>
    <row r="1542" spans="10:10">
      <c r="J1542" s="80"/>
    </row>
    <row r="1543" spans="10:10">
      <c r="J1543" s="80"/>
    </row>
    <row r="1544" spans="10:10">
      <c r="J1544" s="80"/>
    </row>
    <row r="1545" spans="10:10">
      <c r="J1545" s="80"/>
    </row>
    <row r="1546" spans="10:10">
      <c r="J1546" s="80"/>
    </row>
    <row r="1547" spans="10:10">
      <c r="J1547" s="80"/>
    </row>
    <row r="1548" spans="10:10">
      <c r="J1548" s="80"/>
    </row>
    <row r="1549" spans="10:10">
      <c r="J1549" s="80"/>
    </row>
    <row r="1550" spans="10:10">
      <c r="J1550" s="80"/>
    </row>
    <row r="1551" spans="10:10">
      <c r="J1551" s="80"/>
    </row>
    <row r="1552" spans="10:10">
      <c r="J1552" s="80"/>
    </row>
    <row r="1553" spans="10:10">
      <c r="J1553" s="80"/>
    </row>
    <row r="1554" spans="10:10">
      <c r="J1554" s="80"/>
    </row>
    <row r="1555" spans="10:10">
      <c r="J1555" s="80"/>
    </row>
    <row r="1556" spans="10:10">
      <c r="J1556" s="80"/>
    </row>
    <row r="1557" spans="10:10">
      <c r="J1557" s="80"/>
    </row>
    <row r="1558" spans="10:10">
      <c r="J1558" s="80"/>
    </row>
    <row r="1559" spans="10:10">
      <c r="J1559" s="80"/>
    </row>
    <row r="1560" spans="10:10">
      <c r="J1560" s="80"/>
    </row>
    <row r="1561" spans="10:10">
      <c r="J1561" s="80"/>
    </row>
    <row r="1562" spans="10:10">
      <c r="J1562" s="80"/>
    </row>
    <row r="1563" spans="10:10">
      <c r="J1563" s="80"/>
    </row>
    <row r="1564" spans="10:10">
      <c r="J1564" s="80"/>
    </row>
    <row r="1565" spans="10:10">
      <c r="J1565" s="80"/>
    </row>
    <row r="1566" spans="10:10">
      <c r="J1566" s="80"/>
    </row>
    <row r="1567" spans="10:10">
      <c r="J1567" s="80"/>
    </row>
    <row r="1568" spans="10:10">
      <c r="J1568" s="80"/>
    </row>
    <row r="1569" spans="10:10">
      <c r="J1569" s="80"/>
    </row>
    <row r="1570" spans="10:10">
      <c r="J1570" s="80"/>
    </row>
    <row r="1571" spans="10:10">
      <c r="J1571" s="80"/>
    </row>
    <row r="1572" spans="10:10">
      <c r="J1572" s="80"/>
    </row>
    <row r="1573" spans="10:10">
      <c r="J1573" s="80"/>
    </row>
    <row r="1574" spans="10:10">
      <c r="J1574" s="80"/>
    </row>
    <row r="1575" spans="10:10">
      <c r="J1575" s="80"/>
    </row>
    <row r="1576" spans="10:10">
      <c r="J1576" s="80"/>
    </row>
    <row r="1577" spans="10:10">
      <c r="J1577" s="80"/>
    </row>
    <row r="1578" spans="10:10">
      <c r="J1578" s="80"/>
    </row>
    <row r="1579" spans="10:10">
      <c r="J1579" s="80"/>
    </row>
    <row r="1580" spans="10:10">
      <c r="J1580" s="80"/>
    </row>
    <row r="1581" spans="10:10">
      <c r="J1581" s="80"/>
    </row>
    <row r="1582" spans="10:10">
      <c r="J1582" s="80"/>
    </row>
    <row r="1583" spans="10:10">
      <c r="J1583" s="80"/>
    </row>
    <row r="1584" spans="10:10">
      <c r="J1584" s="80"/>
    </row>
    <row r="1585" spans="10:10">
      <c r="J1585" s="80"/>
    </row>
    <row r="1586" spans="10:10">
      <c r="J1586" s="80"/>
    </row>
    <row r="1587" spans="10:10">
      <c r="J1587" s="80"/>
    </row>
    <row r="1588" spans="10:10">
      <c r="J1588" s="80"/>
    </row>
    <row r="1589" spans="10:10">
      <c r="J1589" s="80"/>
    </row>
    <row r="1590" spans="10:10">
      <c r="J1590" s="80"/>
    </row>
    <row r="1591" spans="10:10">
      <c r="J1591" s="80"/>
    </row>
    <row r="1592" spans="10:10">
      <c r="J1592" s="80"/>
    </row>
    <row r="1593" spans="10:10">
      <c r="J1593" s="80"/>
    </row>
    <row r="1594" spans="10:10">
      <c r="J1594" s="80"/>
    </row>
    <row r="1595" spans="10:10">
      <c r="J1595" s="80"/>
    </row>
    <row r="1596" spans="10:10">
      <c r="J1596" s="80"/>
    </row>
    <row r="1597" spans="10:10">
      <c r="J1597" s="80"/>
    </row>
    <row r="1598" spans="10:10">
      <c r="J1598" s="80"/>
    </row>
    <row r="1599" spans="10:10">
      <c r="J1599" s="80"/>
    </row>
    <row r="1600" spans="10:10">
      <c r="J1600" s="80"/>
    </row>
    <row r="1601" spans="10:10">
      <c r="J1601" s="80"/>
    </row>
    <row r="1602" spans="10:10">
      <c r="J1602" s="80"/>
    </row>
    <row r="1603" spans="10:10">
      <c r="J1603" s="80"/>
    </row>
    <row r="1604" spans="10:10">
      <c r="J1604" s="80"/>
    </row>
    <row r="1605" spans="10:10">
      <c r="J1605" s="80"/>
    </row>
    <row r="1606" spans="10:10">
      <c r="J1606" s="80"/>
    </row>
    <row r="1607" spans="10:10">
      <c r="J1607" s="80"/>
    </row>
    <row r="1608" spans="10:10">
      <c r="J1608" s="80"/>
    </row>
    <row r="1609" spans="10:10">
      <c r="J1609" s="80"/>
    </row>
    <row r="1610" spans="10:10">
      <c r="J1610" s="80"/>
    </row>
    <row r="1611" spans="10:10">
      <c r="J1611" s="80"/>
    </row>
    <row r="1612" spans="10:10">
      <c r="J1612" s="80"/>
    </row>
    <row r="1613" spans="10:10">
      <c r="J1613" s="80"/>
    </row>
    <row r="1614" spans="10:10">
      <c r="J1614" s="80"/>
    </row>
    <row r="1615" spans="10:10">
      <c r="J1615" s="80"/>
    </row>
    <row r="1616" spans="10:10">
      <c r="J1616" s="80"/>
    </row>
    <row r="1617" spans="10:10">
      <c r="J1617" s="80"/>
    </row>
    <row r="1618" spans="10:10">
      <c r="J1618" s="80"/>
    </row>
    <row r="1619" spans="10:10">
      <c r="J1619" s="80"/>
    </row>
    <row r="1620" spans="10:10">
      <c r="J1620" s="80"/>
    </row>
    <row r="1621" spans="10:10">
      <c r="J1621" s="80"/>
    </row>
    <row r="1622" spans="10:10">
      <c r="J1622" s="80"/>
    </row>
    <row r="1623" spans="10:10">
      <c r="J1623" s="80"/>
    </row>
    <row r="1624" spans="10:10">
      <c r="J1624" s="80"/>
    </row>
    <row r="1625" spans="10:10">
      <c r="J1625" s="80"/>
    </row>
    <row r="1626" spans="10:10">
      <c r="J1626" s="80"/>
    </row>
    <row r="1627" spans="10:10">
      <c r="J1627" s="80"/>
    </row>
    <row r="1628" spans="10:10">
      <c r="J1628" s="80"/>
    </row>
    <row r="1629" spans="10:10">
      <c r="J1629" s="80"/>
    </row>
    <row r="1630" spans="10:10">
      <c r="J1630" s="80"/>
    </row>
    <row r="1631" spans="10:10">
      <c r="J1631" s="80"/>
    </row>
    <row r="1632" spans="10:10">
      <c r="J1632" s="80"/>
    </row>
    <row r="1633" spans="10:10">
      <c r="J1633" s="80"/>
    </row>
    <row r="1634" spans="10:10">
      <c r="J1634" s="80"/>
    </row>
    <row r="1635" spans="10:10">
      <c r="J1635" s="80"/>
    </row>
    <row r="1636" spans="10:10">
      <c r="J1636" s="80"/>
    </row>
    <row r="1637" spans="10:10">
      <c r="J1637" s="80"/>
    </row>
    <row r="1638" spans="10:10">
      <c r="J1638" s="80"/>
    </row>
    <row r="1639" spans="10:10">
      <c r="J1639" s="80"/>
    </row>
    <row r="1640" spans="10:10">
      <c r="J1640" s="80"/>
    </row>
    <row r="1641" spans="10:10">
      <c r="J1641" s="80"/>
    </row>
    <row r="1642" spans="10:10">
      <c r="J1642" s="80"/>
    </row>
    <row r="1643" spans="10:10">
      <c r="J1643" s="80"/>
    </row>
    <row r="1644" spans="10:10">
      <c r="J1644" s="80"/>
    </row>
    <row r="1645" spans="10:10">
      <c r="J1645" s="80"/>
    </row>
    <row r="1646" spans="10:10">
      <c r="J1646" s="80"/>
    </row>
    <row r="1647" spans="10:10">
      <c r="J1647" s="80"/>
    </row>
    <row r="1648" spans="10:10">
      <c r="J1648" s="80"/>
    </row>
    <row r="1649" spans="10:10">
      <c r="J1649" s="80"/>
    </row>
    <row r="1650" spans="10:10">
      <c r="J1650" s="80"/>
    </row>
    <row r="1651" spans="10:10">
      <c r="J1651" s="80"/>
    </row>
    <row r="1652" spans="10:10">
      <c r="J1652" s="80"/>
    </row>
    <row r="1653" spans="10:10">
      <c r="J1653" s="80"/>
    </row>
    <row r="1654" spans="10:10">
      <c r="J1654" s="80"/>
    </row>
    <row r="1655" spans="10:10">
      <c r="J1655" s="80"/>
    </row>
    <row r="1656" spans="10:10">
      <c r="J1656" s="80"/>
    </row>
    <row r="1657" spans="10:10">
      <c r="J1657" s="80"/>
    </row>
    <row r="1658" spans="10:10">
      <c r="J1658" s="80"/>
    </row>
    <row r="1659" spans="10:10">
      <c r="J1659" s="80"/>
    </row>
    <row r="1660" spans="10:10">
      <c r="J1660" s="80"/>
    </row>
    <row r="1661" spans="10:10">
      <c r="J1661" s="80"/>
    </row>
    <row r="1662" spans="10:10">
      <c r="J1662" s="80"/>
    </row>
    <row r="1663" spans="10:10">
      <c r="J1663" s="80"/>
    </row>
    <row r="1664" spans="10:10">
      <c r="J1664" s="80"/>
    </row>
    <row r="1665" spans="10:10">
      <c r="J1665" s="80"/>
    </row>
    <row r="1666" spans="10:10">
      <c r="J1666" s="80"/>
    </row>
    <row r="1667" spans="10:10">
      <c r="J1667" s="80"/>
    </row>
    <row r="1668" spans="10:10">
      <c r="J1668" s="80"/>
    </row>
    <row r="1669" spans="10:10">
      <c r="J1669" s="80"/>
    </row>
    <row r="1670" spans="10:10">
      <c r="J1670" s="80"/>
    </row>
    <row r="1671" spans="10:10">
      <c r="J1671" s="80"/>
    </row>
    <row r="1672" spans="10:10">
      <c r="J1672" s="80"/>
    </row>
    <row r="1673" spans="10:10">
      <c r="J1673" s="80"/>
    </row>
    <row r="1674" spans="10:10">
      <c r="J1674" s="80"/>
    </row>
    <row r="1675" spans="10:10">
      <c r="J1675" s="80"/>
    </row>
    <row r="1676" spans="10:10">
      <c r="J1676" s="80"/>
    </row>
    <row r="1677" spans="10:10">
      <c r="J1677" s="80"/>
    </row>
    <row r="1678" spans="10:10">
      <c r="J1678" s="80"/>
    </row>
    <row r="1679" spans="10:10">
      <c r="J1679" s="80"/>
    </row>
    <row r="1680" spans="10:10">
      <c r="J1680" s="80"/>
    </row>
    <row r="1681" spans="10:10">
      <c r="J1681" s="80"/>
    </row>
    <row r="1682" spans="10:10">
      <c r="J1682" s="80"/>
    </row>
    <row r="1683" spans="10:10">
      <c r="J1683" s="80"/>
    </row>
    <row r="1684" spans="10:10">
      <c r="J1684" s="80"/>
    </row>
    <row r="1685" spans="10:10">
      <c r="J1685" s="80"/>
    </row>
    <row r="1686" spans="10:10">
      <c r="J1686" s="80"/>
    </row>
    <row r="1687" spans="10:10">
      <c r="J1687" s="80"/>
    </row>
    <row r="1688" spans="10:10">
      <c r="J1688" s="80"/>
    </row>
    <row r="1689" spans="10:10">
      <c r="J1689" s="80"/>
    </row>
    <row r="1690" spans="10:10">
      <c r="J1690" s="80"/>
    </row>
    <row r="1691" spans="10:10">
      <c r="J1691" s="80"/>
    </row>
    <row r="1692" spans="10:10">
      <c r="J1692" s="80"/>
    </row>
    <row r="1693" spans="10:10">
      <c r="J1693" s="80"/>
    </row>
    <row r="1694" spans="10:10">
      <c r="J1694" s="80"/>
    </row>
    <row r="1695" spans="10:10">
      <c r="J1695" s="80"/>
    </row>
    <row r="1696" spans="10:10">
      <c r="J1696" s="80"/>
    </row>
    <row r="1697" spans="10:10">
      <c r="J1697" s="80"/>
    </row>
    <row r="1698" spans="10:10">
      <c r="J1698" s="80"/>
    </row>
    <row r="1699" spans="10:10">
      <c r="J1699" s="80"/>
    </row>
    <row r="1700" spans="10:10">
      <c r="J1700" s="80"/>
    </row>
    <row r="1701" spans="10:10">
      <c r="J1701" s="80"/>
    </row>
    <row r="1702" spans="10:10">
      <c r="J1702" s="80"/>
    </row>
    <row r="1703" spans="10:10">
      <c r="J1703" s="80"/>
    </row>
    <row r="1704" spans="10:10">
      <c r="J1704" s="80"/>
    </row>
    <row r="1705" spans="10:10">
      <c r="J1705" s="80"/>
    </row>
    <row r="1706" spans="10:10">
      <c r="J1706" s="80"/>
    </row>
    <row r="1707" spans="10:10">
      <c r="J1707" s="80"/>
    </row>
    <row r="1708" spans="10:10">
      <c r="J1708" s="80"/>
    </row>
    <row r="1709" spans="10:10">
      <c r="J1709" s="80"/>
    </row>
    <row r="1710" spans="10:10">
      <c r="J1710" s="80"/>
    </row>
    <row r="1711" spans="10:10">
      <c r="J1711" s="80"/>
    </row>
    <row r="1712" spans="10:10">
      <c r="J1712" s="80"/>
    </row>
    <row r="1713" spans="10:10">
      <c r="J1713" s="80"/>
    </row>
    <row r="1714" spans="10:10">
      <c r="J1714" s="80"/>
    </row>
    <row r="1715" spans="10:10">
      <c r="J1715" s="80"/>
    </row>
    <row r="1716" spans="10:10">
      <c r="J1716" s="80"/>
    </row>
    <row r="1717" spans="10:10">
      <c r="J1717" s="80"/>
    </row>
    <row r="1718" spans="10:10">
      <c r="J1718" s="80"/>
    </row>
    <row r="1719" spans="10:10">
      <c r="J1719" s="80"/>
    </row>
    <row r="1720" spans="10:10">
      <c r="J1720" s="80"/>
    </row>
    <row r="1721" spans="10:10">
      <c r="J1721" s="80"/>
    </row>
    <row r="1722" spans="10:10">
      <c r="J1722" s="80"/>
    </row>
    <row r="1723" spans="10:10">
      <c r="J1723" s="80"/>
    </row>
    <row r="1724" spans="10:10">
      <c r="J1724" s="80"/>
    </row>
    <row r="1725" spans="10:10">
      <c r="J1725" s="80"/>
    </row>
    <row r="1726" spans="10:10">
      <c r="J1726" s="80"/>
    </row>
    <row r="1727" spans="10:10">
      <c r="J1727" s="80"/>
    </row>
    <row r="1728" spans="10:10">
      <c r="J1728" s="80"/>
    </row>
    <row r="1729" spans="10:10">
      <c r="J1729" s="80"/>
    </row>
    <row r="1730" spans="10:10">
      <c r="J1730" s="80"/>
    </row>
    <row r="1731" spans="10:10">
      <c r="J1731" s="80"/>
    </row>
    <row r="1732" spans="10:10">
      <c r="J1732" s="80"/>
    </row>
    <row r="1733" spans="10:10">
      <c r="J1733" s="80"/>
    </row>
    <row r="1734" spans="10:10">
      <c r="J1734" s="80"/>
    </row>
    <row r="1735" spans="10:10">
      <c r="J1735" s="80"/>
    </row>
    <row r="1736" spans="10:10">
      <c r="J1736" s="80"/>
    </row>
    <row r="1737" spans="10:10">
      <c r="J1737" s="80"/>
    </row>
    <row r="1738" spans="10:10">
      <c r="J1738" s="80"/>
    </row>
    <row r="1739" spans="10:10">
      <c r="J1739" s="80"/>
    </row>
    <row r="1740" spans="10:10">
      <c r="J1740" s="80"/>
    </row>
    <row r="1741" spans="10:10">
      <c r="J1741" s="80"/>
    </row>
    <row r="1742" spans="10:10">
      <c r="J1742" s="80"/>
    </row>
    <row r="1743" spans="10:10">
      <c r="J1743" s="80"/>
    </row>
    <row r="1744" spans="10:10">
      <c r="J1744" s="80"/>
    </row>
    <row r="1745" spans="10:10">
      <c r="J1745" s="80"/>
    </row>
    <row r="1746" spans="10:10">
      <c r="J1746" s="80"/>
    </row>
    <row r="1747" spans="10:10">
      <c r="J1747" s="80"/>
    </row>
    <row r="1748" spans="10:10">
      <c r="J1748" s="80"/>
    </row>
    <row r="1749" spans="10:10">
      <c r="J1749" s="80"/>
    </row>
    <row r="1750" spans="10:10">
      <c r="J1750" s="80"/>
    </row>
    <row r="1751" spans="10:10">
      <c r="J1751" s="80"/>
    </row>
    <row r="1752" spans="10:10">
      <c r="J1752" s="80"/>
    </row>
    <row r="1753" spans="10:10">
      <c r="J1753" s="80"/>
    </row>
    <row r="1754" spans="10:10">
      <c r="J1754" s="80"/>
    </row>
    <row r="1755" spans="10:10">
      <c r="J1755" s="80"/>
    </row>
    <row r="1756" spans="10:10">
      <c r="J1756" s="80"/>
    </row>
    <row r="1757" spans="10:10">
      <c r="J1757" s="80"/>
    </row>
    <row r="1758" spans="10:10">
      <c r="J1758" s="80"/>
    </row>
    <row r="1759" spans="10:10">
      <c r="J1759" s="80"/>
    </row>
    <row r="1760" spans="10:10">
      <c r="J1760" s="80"/>
    </row>
    <row r="1761" spans="10:10">
      <c r="J1761" s="80"/>
    </row>
    <row r="1762" spans="10:10">
      <c r="J1762" s="80"/>
    </row>
    <row r="1763" spans="10:10">
      <c r="J1763" s="80"/>
    </row>
    <row r="1764" spans="10:10">
      <c r="J1764" s="80"/>
    </row>
    <row r="1765" spans="10:10">
      <c r="J1765" s="80"/>
    </row>
    <row r="1766" spans="10:10">
      <c r="J1766" s="80"/>
    </row>
    <row r="1767" spans="10:10">
      <c r="J1767" s="80"/>
    </row>
    <row r="1768" spans="10:10">
      <c r="J1768" s="80"/>
    </row>
    <row r="1769" spans="10:10">
      <c r="J1769" s="80"/>
    </row>
    <row r="1770" spans="10:10">
      <c r="J1770" s="80"/>
    </row>
    <row r="1771" spans="10:10">
      <c r="J1771" s="80"/>
    </row>
    <row r="1772" spans="10:10">
      <c r="J1772" s="80"/>
    </row>
    <row r="1773" spans="10:10">
      <c r="J1773" s="80"/>
    </row>
    <row r="1774" spans="10:10">
      <c r="J1774" s="80"/>
    </row>
    <row r="1775" spans="10:10">
      <c r="J1775" s="80"/>
    </row>
    <row r="1776" spans="10:10">
      <c r="J1776" s="80"/>
    </row>
    <row r="1777" spans="10:10">
      <c r="J1777" s="80"/>
    </row>
    <row r="1778" spans="10:10">
      <c r="J1778" s="80"/>
    </row>
    <row r="1779" spans="10:10">
      <c r="J1779" s="80"/>
    </row>
    <row r="1780" spans="10:10">
      <c r="J1780" s="80"/>
    </row>
    <row r="1781" spans="10:10">
      <c r="J1781" s="80"/>
    </row>
    <row r="1782" spans="10:10">
      <c r="J1782" s="80"/>
    </row>
    <row r="1783" spans="10:10">
      <c r="J1783" s="80"/>
    </row>
    <row r="1784" spans="10:10">
      <c r="J1784" s="80"/>
    </row>
    <row r="1785" spans="10:10">
      <c r="J1785" s="80"/>
    </row>
    <row r="1786" spans="10:10">
      <c r="J1786" s="80"/>
    </row>
    <row r="1787" spans="10:10">
      <c r="J1787" s="80"/>
    </row>
    <row r="1788" spans="10:10">
      <c r="J1788" s="80"/>
    </row>
    <row r="1789" spans="10:10">
      <c r="J1789" s="80"/>
    </row>
    <row r="1790" spans="10:10">
      <c r="J1790" s="80"/>
    </row>
    <row r="1791" spans="10:10">
      <c r="J1791" s="80"/>
    </row>
    <row r="1792" spans="10:10">
      <c r="J1792" s="80"/>
    </row>
    <row r="1793" spans="10:10">
      <c r="J1793" s="80"/>
    </row>
    <row r="1794" spans="10:10">
      <c r="J1794" s="80"/>
    </row>
    <row r="1795" spans="10:10">
      <c r="J1795" s="80"/>
    </row>
    <row r="1796" spans="10:10">
      <c r="J1796" s="80"/>
    </row>
    <row r="1797" spans="10:10">
      <c r="J1797" s="80"/>
    </row>
    <row r="1798" spans="10:10">
      <c r="J1798" s="80"/>
    </row>
    <row r="1799" spans="10:10">
      <c r="J1799" s="80"/>
    </row>
    <row r="1800" spans="10:10">
      <c r="J1800" s="80"/>
    </row>
    <row r="1801" spans="10:10">
      <c r="J1801" s="80"/>
    </row>
    <row r="1802" spans="10:10">
      <c r="J1802" s="80"/>
    </row>
    <row r="1803" spans="10:10">
      <c r="J1803" s="80"/>
    </row>
    <row r="1804" spans="10:10">
      <c r="J1804" s="80"/>
    </row>
    <row r="1805" spans="10:10">
      <c r="J1805" s="80"/>
    </row>
    <row r="1806" spans="10:10">
      <c r="J1806" s="80"/>
    </row>
    <row r="1807" spans="10:10">
      <c r="J1807" s="80"/>
    </row>
    <row r="1808" spans="10:10">
      <c r="J1808" s="80"/>
    </row>
    <row r="1809" spans="10:10">
      <c r="J1809" s="80"/>
    </row>
    <row r="1810" spans="10:10">
      <c r="J1810" s="80"/>
    </row>
    <row r="1811" spans="10:10">
      <c r="J1811" s="80"/>
    </row>
    <row r="1812" spans="10:10">
      <c r="J1812" s="80"/>
    </row>
    <row r="1813" spans="10:10">
      <c r="J1813" s="80"/>
    </row>
    <row r="1814" spans="10:10">
      <c r="J1814" s="80"/>
    </row>
    <row r="1815" spans="10:10">
      <c r="J1815" s="80"/>
    </row>
    <row r="1816" spans="10:10">
      <c r="J1816" s="80"/>
    </row>
    <row r="1817" spans="10:10">
      <c r="J1817" s="80"/>
    </row>
    <row r="1818" spans="10:10">
      <c r="J1818" s="80"/>
    </row>
    <row r="1819" spans="10:10">
      <c r="J1819" s="80"/>
    </row>
    <row r="1820" spans="10:10">
      <c r="J1820" s="80"/>
    </row>
    <row r="1821" spans="10:10">
      <c r="J1821" s="80"/>
    </row>
    <row r="1822" spans="10:10">
      <c r="J1822" s="80"/>
    </row>
    <row r="1823" spans="10:10">
      <c r="J1823" s="80"/>
    </row>
    <row r="1824" spans="10:10">
      <c r="J1824" s="80"/>
    </row>
    <row r="1825" spans="10:10">
      <c r="J1825" s="80"/>
    </row>
    <row r="1826" spans="10:10">
      <c r="J1826" s="80"/>
    </row>
    <row r="1827" spans="10:10">
      <c r="J1827" s="80"/>
    </row>
    <row r="1828" spans="10:10">
      <c r="J1828" s="80"/>
    </row>
    <row r="1829" spans="10:10">
      <c r="J1829" s="80"/>
    </row>
    <row r="1830" spans="10:10">
      <c r="J1830" s="80"/>
    </row>
    <row r="1831" spans="10:10">
      <c r="J1831" s="80"/>
    </row>
    <row r="1832" spans="10:10">
      <c r="J1832" s="80"/>
    </row>
    <row r="1833" spans="10:10">
      <c r="J1833" s="80"/>
    </row>
    <row r="1834" spans="10:10">
      <c r="J1834" s="80"/>
    </row>
    <row r="1835" spans="10:10">
      <c r="J1835" s="80"/>
    </row>
    <row r="1836" spans="10:10">
      <c r="J1836" s="80"/>
    </row>
    <row r="1837" spans="10:10">
      <c r="J1837" s="80"/>
    </row>
    <row r="1838" spans="10:10">
      <c r="J1838" s="80"/>
    </row>
    <row r="1839" spans="10:10">
      <c r="J1839" s="80"/>
    </row>
    <row r="1840" spans="10:10">
      <c r="J1840" s="80"/>
    </row>
    <row r="1841" spans="10:10">
      <c r="J1841" s="80"/>
    </row>
    <row r="1842" spans="10:10">
      <c r="J1842" s="80"/>
    </row>
    <row r="1843" spans="10:10">
      <c r="J1843" s="80"/>
    </row>
    <row r="1844" spans="10:10">
      <c r="J1844" s="80"/>
    </row>
    <row r="1845" spans="10:10">
      <c r="J1845" s="80"/>
    </row>
    <row r="1846" spans="10:10">
      <c r="J1846" s="80"/>
    </row>
    <row r="1847" spans="10:10">
      <c r="J1847" s="80"/>
    </row>
    <row r="1848" spans="10:10">
      <c r="J1848" s="80"/>
    </row>
    <row r="1849" spans="10:10">
      <c r="J1849" s="80"/>
    </row>
    <row r="1850" spans="10:10">
      <c r="J1850" s="80"/>
    </row>
    <row r="1851" spans="10:10">
      <c r="J1851" s="80"/>
    </row>
    <row r="1852" spans="10:10">
      <c r="J1852" s="80"/>
    </row>
    <row r="1853" spans="10:10">
      <c r="J1853" s="80"/>
    </row>
    <row r="1854" spans="10:10">
      <c r="J1854" s="80"/>
    </row>
    <row r="1855" spans="10:10">
      <c r="J1855" s="80"/>
    </row>
    <row r="1856" spans="10:10">
      <c r="J1856" s="80"/>
    </row>
    <row r="1857" spans="10:10">
      <c r="J1857" s="80"/>
    </row>
    <row r="1858" spans="10:10">
      <c r="J1858" s="80"/>
    </row>
    <row r="1859" spans="10:10">
      <c r="J1859" s="80"/>
    </row>
    <row r="1860" spans="10:10">
      <c r="J1860" s="80"/>
    </row>
    <row r="1861" spans="10:10">
      <c r="J1861" s="80"/>
    </row>
    <row r="1862" spans="10:10">
      <c r="J1862" s="80"/>
    </row>
    <row r="1863" spans="10:10">
      <c r="J1863" s="80"/>
    </row>
    <row r="1864" spans="10:10">
      <c r="J1864" s="80"/>
    </row>
    <row r="1865" spans="10:10">
      <c r="J1865" s="80"/>
    </row>
    <row r="1866" spans="10:10">
      <c r="J1866" s="80"/>
    </row>
    <row r="1867" spans="10:10">
      <c r="J1867" s="80"/>
    </row>
    <row r="1868" spans="10:10">
      <c r="J1868" s="80"/>
    </row>
    <row r="1869" spans="10:10">
      <c r="J1869" s="80"/>
    </row>
    <row r="1870" spans="10:10">
      <c r="J1870" s="80"/>
    </row>
    <row r="1871" spans="10:10">
      <c r="J1871" s="80"/>
    </row>
    <row r="1872" spans="10:10">
      <c r="J1872" s="80"/>
    </row>
    <row r="1873" spans="10:10">
      <c r="J1873" s="80"/>
    </row>
    <row r="1874" spans="10:10">
      <c r="J1874" s="80"/>
    </row>
    <row r="1875" spans="10:10">
      <c r="J1875" s="80"/>
    </row>
    <row r="1876" spans="10:10">
      <c r="J1876" s="80"/>
    </row>
    <row r="1877" spans="10:10">
      <c r="J1877" s="80"/>
    </row>
    <row r="1878" spans="10:10">
      <c r="J1878" s="80"/>
    </row>
    <row r="1879" spans="10:10">
      <c r="J1879" s="80"/>
    </row>
    <row r="1880" spans="10:10">
      <c r="J1880" s="80"/>
    </row>
    <row r="1881" spans="10:10">
      <c r="J1881" s="80"/>
    </row>
    <row r="1882" spans="10:10">
      <c r="J1882" s="80"/>
    </row>
    <row r="1883" spans="10:10">
      <c r="J1883" s="80"/>
    </row>
    <row r="1884" spans="10:10">
      <c r="J1884" s="80"/>
    </row>
    <row r="1885" spans="10:10">
      <c r="J1885" s="80"/>
    </row>
    <row r="1886" spans="10:10">
      <c r="J1886" s="80"/>
    </row>
    <row r="1887" spans="10:10">
      <c r="J1887" s="80"/>
    </row>
    <row r="1888" spans="10:10">
      <c r="J1888" s="80"/>
    </row>
    <row r="1889" spans="10:10">
      <c r="J1889" s="80"/>
    </row>
    <row r="1890" spans="10:10">
      <c r="J1890" s="80"/>
    </row>
    <row r="1891" spans="10:10">
      <c r="J1891" s="80"/>
    </row>
    <row r="1892" spans="10:10">
      <c r="J1892" s="80"/>
    </row>
    <row r="1893" spans="10:10">
      <c r="J1893" s="80"/>
    </row>
    <row r="1894" spans="10:10">
      <c r="J1894" s="80"/>
    </row>
    <row r="1895" spans="10:10">
      <c r="J1895" s="80"/>
    </row>
    <row r="1896" spans="10:10">
      <c r="J1896" s="80"/>
    </row>
    <row r="1897" spans="10:10">
      <c r="J1897" s="80"/>
    </row>
    <row r="1898" spans="10:10">
      <c r="J1898" s="80"/>
    </row>
    <row r="1899" spans="10:10">
      <c r="J1899" s="80"/>
    </row>
    <row r="1900" spans="10:10">
      <c r="J1900" s="80"/>
    </row>
    <row r="1901" spans="10:10">
      <c r="J1901" s="80"/>
    </row>
    <row r="1902" spans="10:10">
      <c r="J1902" s="80"/>
    </row>
    <row r="1903" spans="10:10">
      <c r="J1903" s="80"/>
    </row>
    <row r="1904" spans="10:10">
      <c r="J1904" s="80"/>
    </row>
    <row r="1905" spans="10:10">
      <c r="J1905" s="80"/>
    </row>
    <row r="1906" spans="10:10">
      <c r="J1906" s="80"/>
    </row>
    <row r="1907" spans="10:10">
      <c r="J1907" s="80"/>
    </row>
    <row r="1908" spans="10:10">
      <c r="J1908" s="80"/>
    </row>
    <row r="1909" spans="10:10">
      <c r="J1909" s="80"/>
    </row>
    <row r="1910" spans="10:10">
      <c r="J1910" s="80"/>
    </row>
    <row r="1911" spans="10:10">
      <c r="J1911" s="80"/>
    </row>
    <row r="1912" spans="10:10">
      <c r="J1912" s="80"/>
    </row>
    <row r="1913" spans="10:10">
      <c r="J1913" s="80"/>
    </row>
    <row r="1914" spans="10:10">
      <c r="J1914" s="80"/>
    </row>
    <row r="1915" spans="10:10">
      <c r="J1915" s="80"/>
    </row>
    <row r="1916" spans="10:10">
      <c r="J1916" s="80"/>
    </row>
    <row r="1917" spans="10:10">
      <c r="J1917" s="80"/>
    </row>
    <row r="1918" spans="10:10">
      <c r="J1918" s="80"/>
    </row>
    <row r="1919" spans="10:10">
      <c r="J1919" s="80"/>
    </row>
    <row r="1920" spans="10:10">
      <c r="J1920" s="80"/>
    </row>
    <row r="1921" spans="10:10">
      <c r="J1921" s="80"/>
    </row>
    <row r="1922" spans="10:10">
      <c r="J1922" s="80"/>
    </row>
    <row r="1923" spans="10:10">
      <c r="J1923" s="80"/>
    </row>
    <row r="1924" spans="10:10">
      <c r="J1924" s="80"/>
    </row>
    <row r="1925" spans="10:10">
      <c r="J1925" s="80"/>
    </row>
    <row r="1926" spans="10:10">
      <c r="J1926" s="80"/>
    </row>
    <row r="1927" spans="10:10">
      <c r="J1927" s="80"/>
    </row>
    <row r="1928" spans="10:10">
      <c r="J1928" s="80"/>
    </row>
    <row r="1929" spans="10:10">
      <c r="J1929" s="80"/>
    </row>
    <row r="1930" spans="10:10">
      <c r="J1930" s="80"/>
    </row>
    <row r="1931" spans="10:10">
      <c r="J1931" s="80"/>
    </row>
    <row r="1932" spans="10:10">
      <c r="J1932" s="80"/>
    </row>
    <row r="1933" spans="10:10">
      <c r="J1933" s="80"/>
    </row>
    <row r="1934" spans="10:10">
      <c r="J1934" s="80"/>
    </row>
    <row r="1935" spans="10:10">
      <c r="J1935" s="80"/>
    </row>
    <row r="1936" spans="10:10">
      <c r="J1936" s="80"/>
    </row>
    <row r="1937" spans="10:10">
      <c r="J1937" s="80"/>
    </row>
    <row r="1938" spans="10:10">
      <c r="J1938" s="80"/>
    </row>
    <row r="1939" spans="10:10">
      <c r="J1939" s="80"/>
    </row>
    <row r="1940" spans="10:10">
      <c r="J1940" s="80"/>
    </row>
    <row r="1941" spans="10:10">
      <c r="J1941" s="80"/>
    </row>
    <row r="1942" spans="10:10">
      <c r="J1942" s="80"/>
    </row>
    <row r="1943" spans="10:10">
      <c r="J1943" s="80"/>
    </row>
    <row r="1944" spans="10:10">
      <c r="J1944" s="80"/>
    </row>
    <row r="1945" spans="10:10">
      <c r="J1945" s="80"/>
    </row>
    <row r="1946" spans="10:10">
      <c r="J1946" s="80"/>
    </row>
    <row r="1947" spans="10:10">
      <c r="J1947" s="80"/>
    </row>
    <row r="1948" spans="10:10">
      <c r="J1948" s="80"/>
    </row>
    <row r="1949" spans="10:10">
      <c r="J1949" s="80"/>
    </row>
    <row r="1950" spans="10:10">
      <c r="J1950" s="80"/>
    </row>
    <row r="1951" spans="10:10">
      <c r="J1951" s="80"/>
    </row>
    <row r="1952" spans="10:10">
      <c r="J1952" s="80"/>
    </row>
    <row r="1953" spans="10:10">
      <c r="J1953" s="80"/>
    </row>
    <row r="1954" spans="10:10">
      <c r="J1954" s="80"/>
    </row>
    <row r="1955" spans="10:10">
      <c r="J1955" s="80"/>
    </row>
    <row r="1956" spans="10:10">
      <c r="J1956" s="80"/>
    </row>
    <row r="1957" spans="10:10">
      <c r="J1957" s="80"/>
    </row>
    <row r="1958" spans="10:10">
      <c r="J1958" s="80"/>
    </row>
    <row r="1959" spans="10:10">
      <c r="J1959" s="80"/>
    </row>
    <row r="1960" spans="10:10">
      <c r="J1960" s="80"/>
    </row>
    <row r="1961" spans="10:10">
      <c r="J1961" s="80"/>
    </row>
    <row r="1962" spans="10:10">
      <c r="J1962" s="80"/>
    </row>
    <row r="1963" spans="10:10">
      <c r="J1963" s="80"/>
    </row>
    <row r="1964" spans="10:10">
      <c r="J1964" s="80"/>
    </row>
    <row r="1965" spans="10:10">
      <c r="J1965" s="80"/>
    </row>
    <row r="1966" spans="10:10">
      <c r="J1966" s="80"/>
    </row>
    <row r="1967" spans="10:10">
      <c r="J1967" s="80"/>
    </row>
    <row r="1968" spans="10:10">
      <c r="J1968" s="80"/>
    </row>
    <row r="1969" spans="10:10">
      <c r="J1969" s="80"/>
    </row>
    <row r="1970" spans="10:10">
      <c r="J1970" s="80"/>
    </row>
    <row r="1971" spans="10:10">
      <c r="J1971" s="80"/>
    </row>
    <row r="1972" spans="10:10">
      <c r="J1972" s="80"/>
    </row>
    <row r="1973" spans="10:10">
      <c r="J1973" s="80"/>
    </row>
    <row r="1974" spans="10:10">
      <c r="J1974" s="80"/>
    </row>
    <row r="1975" spans="10:10">
      <c r="J1975" s="80"/>
    </row>
    <row r="1976" spans="10:10">
      <c r="J1976" s="80"/>
    </row>
    <row r="1977" spans="10:10">
      <c r="J1977" s="80"/>
    </row>
    <row r="1978" spans="10:10">
      <c r="J1978" s="80"/>
    </row>
    <row r="1979" spans="10:10">
      <c r="J1979" s="80"/>
    </row>
    <row r="1980" spans="10:10">
      <c r="J1980" s="80"/>
    </row>
    <row r="1981" spans="10:10">
      <c r="J1981" s="80"/>
    </row>
    <row r="1982" spans="10:10">
      <c r="J1982" s="80"/>
    </row>
    <row r="1983" spans="10:10">
      <c r="J1983" s="80"/>
    </row>
    <row r="1984" spans="10:10">
      <c r="J1984" s="80"/>
    </row>
    <row r="1985" spans="10:10">
      <c r="J1985" s="80"/>
    </row>
    <row r="1986" spans="10:10">
      <c r="J1986" s="80"/>
    </row>
    <row r="1987" spans="10:10">
      <c r="J1987" s="80"/>
    </row>
    <row r="1988" spans="10:10">
      <c r="J1988" s="80"/>
    </row>
    <row r="1989" spans="10:10">
      <c r="J1989" s="80"/>
    </row>
    <row r="1990" spans="10:10">
      <c r="J1990" s="80"/>
    </row>
    <row r="1991" spans="10:10">
      <c r="J1991" s="80"/>
    </row>
    <row r="1992" spans="10:10">
      <c r="J1992" s="80"/>
    </row>
    <row r="1993" spans="10:10">
      <c r="J1993" s="80"/>
    </row>
    <row r="1994" spans="10:10">
      <c r="J1994" s="80"/>
    </row>
    <row r="1995" spans="10:10">
      <c r="J1995" s="80"/>
    </row>
    <row r="1996" spans="10:10">
      <c r="J1996" s="80"/>
    </row>
    <row r="1997" spans="10:10">
      <c r="J1997" s="80"/>
    </row>
    <row r="1998" spans="10:10">
      <c r="J1998" s="80"/>
    </row>
    <row r="1999" spans="10:10">
      <c r="J1999" s="80"/>
    </row>
    <row r="2000" spans="10:10">
      <c r="J2000" s="80"/>
    </row>
    <row r="2001" spans="10:10">
      <c r="J2001" s="80"/>
    </row>
    <row r="2002" spans="10:10">
      <c r="J2002" s="80"/>
    </row>
    <row r="2003" spans="10:10">
      <c r="J2003" s="80"/>
    </row>
    <row r="2004" spans="10:10">
      <c r="J2004" s="80"/>
    </row>
    <row r="2005" spans="10:10">
      <c r="J2005" s="80"/>
    </row>
    <row r="2006" spans="10:10">
      <c r="J2006" s="80"/>
    </row>
    <row r="2007" spans="10:10">
      <c r="J2007" s="80"/>
    </row>
    <row r="2008" spans="10:10">
      <c r="J2008" s="80"/>
    </row>
    <row r="2009" spans="10:10">
      <c r="J2009" s="80"/>
    </row>
    <row r="2010" spans="10:10">
      <c r="J2010" s="80"/>
    </row>
    <row r="2011" spans="10:10">
      <c r="J2011" s="80"/>
    </row>
    <row r="2012" spans="10:10">
      <c r="J2012" s="80"/>
    </row>
    <row r="2013" spans="10:10">
      <c r="J2013" s="80"/>
    </row>
    <row r="2014" spans="10:10">
      <c r="J2014" s="80"/>
    </row>
    <row r="2015" spans="10:10">
      <c r="J2015" s="80"/>
    </row>
    <row r="2016" spans="10:10">
      <c r="J2016" s="80"/>
    </row>
    <row r="2017" spans="10:10">
      <c r="J2017" s="80"/>
    </row>
    <row r="2018" spans="10:10">
      <c r="J2018" s="80"/>
    </row>
    <row r="2019" spans="10:10">
      <c r="J2019" s="80"/>
    </row>
    <row r="2020" spans="10:10">
      <c r="J2020" s="80"/>
    </row>
    <row r="2021" spans="10:10">
      <c r="J2021" s="80"/>
    </row>
    <row r="2022" spans="10:10">
      <c r="J2022" s="80"/>
    </row>
    <row r="2023" spans="10:10">
      <c r="J2023" s="80"/>
    </row>
    <row r="2024" spans="10:10">
      <c r="J2024" s="80"/>
    </row>
    <row r="2025" spans="10:10">
      <c r="J2025" s="80"/>
    </row>
    <row r="2026" spans="10:10">
      <c r="J2026" s="80"/>
    </row>
    <row r="2027" spans="10:10">
      <c r="J2027" s="80"/>
    </row>
    <row r="2028" spans="10:10">
      <c r="J2028" s="80"/>
    </row>
    <row r="2029" spans="10:10">
      <c r="J2029" s="80"/>
    </row>
    <row r="2030" spans="10:10">
      <c r="J2030" s="80"/>
    </row>
    <row r="2031" spans="10:10">
      <c r="J2031" s="80"/>
    </row>
    <row r="2032" spans="10:10">
      <c r="J2032" s="80"/>
    </row>
    <row r="2033" spans="10:10">
      <c r="J2033" s="80"/>
    </row>
    <row r="2034" spans="10:10">
      <c r="J2034" s="80"/>
    </row>
    <row r="2035" spans="10:10">
      <c r="J2035" s="80"/>
    </row>
    <row r="2036" spans="10:10">
      <c r="J2036" s="80"/>
    </row>
    <row r="2037" spans="10:10">
      <c r="J2037" s="80"/>
    </row>
    <row r="2038" spans="10:10">
      <c r="J2038" s="80"/>
    </row>
    <row r="2039" spans="10:10">
      <c r="J2039" s="80"/>
    </row>
    <row r="2040" spans="10:10">
      <c r="J2040" s="80"/>
    </row>
    <row r="2041" spans="10:10">
      <c r="J2041" s="80"/>
    </row>
    <row r="2042" spans="10:10">
      <c r="J2042" s="80"/>
    </row>
    <row r="2043" spans="10:10">
      <c r="J2043" s="80"/>
    </row>
    <row r="2044" spans="10:10">
      <c r="J2044" s="80"/>
    </row>
    <row r="2045" spans="10:10">
      <c r="J2045" s="80"/>
    </row>
    <row r="2046" spans="10:10">
      <c r="J2046" s="80"/>
    </row>
    <row r="2047" spans="10:10">
      <c r="J2047" s="80"/>
    </row>
    <row r="2048" spans="10:10">
      <c r="J2048" s="80"/>
    </row>
    <row r="2049" spans="10:10">
      <c r="J2049" s="80"/>
    </row>
    <row r="2050" spans="10:10">
      <c r="J2050" s="80"/>
    </row>
    <row r="2051" spans="10:10">
      <c r="J2051" s="80"/>
    </row>
    <row r="2052" spans="10:10">
      <c r="J2052" s="80"/>
    </row>
    <row r="2053" spans="10:10">
      <c r="J2053" s="80"/>
    </row>
    <row r="2054" spans="10:10">
      <c r="J2054" s="80"/>
    </row>
    <row r="2055" spans="10:10">
      <c r="J2055" s="80"/>
    </row>
    <row r="2056" spans="10:10">
      <c r="J2056" s="80"/>
    </row>
    <row r="2057" spans="10:10">
      <c r="J2057" s="80"/>
    </row>
    <row r="2058" spans="10:10">
      <c r="J2058" s="80"/>
    </row>
    <row r="2059" spans="10:10">
      <c r="J2059" s="80"/>
    </row>
    <row r="2060" spans="10:10">
      <c r="J2060" s="80"/>
    </row>
    <row r="2061" spans="10:10">
      <c r="J2061" s="80"/>
    </row>
    <row r="2062" spans="10:10">
      <c r="J2062" s="80"/>
    </row>
    <row r="2063" spans="10:10">
      <c r="J2063" s="80"/>
    </row>
    <row r="2064" spans="10:10">
      <c r="J2064" s="80"/>
    </row>
    <row r="2065" spans="10:10">
      <c r="J2065" s="80"/>
    </row>
    <row r="2066" spans="10:10">
      <c r="J2066" s="80"/>
    </row>
    <row r="2067" spans="10:10">
      <c r="J2067" s="80"/>
    </row>
    <row r="2068" spans="10:10">
      <c r="J2068" s="80"/>
    </row>
    <row r="2069" spans="10:10">
      <c r="J2069" s="80"/>
    </row>
    <row r="2070" spans="10:10">
      <c r="J2070" s="80"/>
    </row>
    <row r="2071" spans="10:10">
      <c r="J2071" s="80"/>
    </row>
    <row r="2072" spans="10:10">
      <c r="J2072" s="80"/>
    </row>
    <row r="2073" spans="10:10">
      <c r="J2073" s="80"/>
    </row>
    <row r="2074" spans="10:10">
      <c r="J2074" s="80"/>
    </row>
    <row r="2075" spans="10:10">
      <c r="J2075" s="80"/>
    </row>
    <row r="2076" spans="10:10">
      <c r="J2076" s="80"/>
    </row>
    <row r="2077" spans="10:10">
      <c r="J2077" s="80"/>
    </row>
    <row r="2078" spans="10:10">
      <c r="J2078" s="80"/>
    </row>
    <row r="2079" spans="10:10">
      <c r="J2079" s="80"/>
    </row>
    <row r="2080" spans="10:10">
      <c r="J2080" s="80"/>
    </row>
    <row r="2081" spans="10:10">
      <c r="J2081" s="80"/>
    </row>
    <row r="2082" spans="10:10">
      <c r="J2082" s="80"/>
    </row>
    <row r="2083" spans="10:10">
      <c r="J2083" s="80"/>
    </row>
    <row r="2084" spans="10:10">
      <c r="J2084" s="80"/>
    </row>
    <row r="2085" spans="10:10">
      <c r="J2085" s="80"/>
    </row>
    <row r="2086" spans="10:10">
      <c r="J2086" s="80"/>
    </row>
    <row r="2087" spans="10:10">
      <c r="J2087" s="80"/>
    </row>
    <row r="2088" spans="10:10">
      <c r="J2088" s="80"/>
    </row>
    <row r="2089" spans="10:10">
      <c r="J2089" s="80"/>
    </row>
    <row r="2090" spans="10:10">
      <c r="J2090" s="80"/>
    </row>
    <row r="2091" spans="10:10">
      <c r="J2091" s="80"/>
    </row>
    <row r="2092" spans="10:10">
      <c r="J2092" s="80"/>
    </row>
    <row r="2093" spans="10:10">
      <c r="J2093" s="80"/>
    </row>
    <row r="2094" spans="10:10">
      <c r="J2094" s="80"/>
    </row>
    <row r="2095" spans="10:10">
      <c r="J2095" s="80"/>
    </row>
    <row r="2096" spans="10:10">
      <c r="J2096" s="80"/>
    </row>
    <row r="2097" spans="10:10">
      <c r="J2097" s="80"/>
    </row>
    <row r="2098" spans="10:10">
      <c r="J2098" s="80"/>
    </row>
    <row r="2099" spans="10:10">
      <c r="J2099" s="80"/>
    </row>
    <row r="2100" spans="10:10">
      <c r="J2100" s="80"/>
    </row>
    <row r="2101" spans="10:10">
      <c r="J2101" s="80"/>
    </row>
    <row r="2102" spans="10:10">
      <c r="J2102" s="80"/>
    </row>
    <row r="2103" spans="10:10">
      <c r="J2103" s="80"/>
    </row>
    <row r="2104" spans="10:10">
      <c r="J2104" s="80"/>
    </row>
    <row r="2105" spans="10:10">
      <c r="J2105" s="80"/>
    </row>
    <row r="2106" spans="10:10">
      <c r="J2106" s="80"/>
    </row>
    <row r="2107" spans="10:10">
      <c r="J2107" s="80"/>
    </row>
    <row r="2108" spans="10:10">
      <c r="J2108" s="80"/>
    </row>
    <row r="2109" spans="10:10">
      <c r="J2109" s="80"/>
    </row>
    <row r="2110" spans="10:10">
      <c r="J2110" s="80"/>
    </row>
    <row r="2111" spans="10:10">
      <c r="J2111" s="80"/>
    </row>
    <row r="2112" spans="10:10">
      <c r="J2112" s="80"/>
    </row>
    <row r="2113" spans="10:10">
      <c r="J2113" s="80"/>
    </row>
    <row r="2114" spans="10:10">
      <c r="J2114" s="80"/>
    </row>
    <row r="2115" spans="10:10">
      <c r="J2115" s="80"/>
    </row>
    <row r="2116" spans="10:10">
      <c r="J2116" s="80"/>
    </row>
    <row r="2117" spans="10:10">
      <c r="J2117" s="80"/>
    </row>
    <row r="2118" spans="10:10">
      <c r="J2118" s="80"/>
    </row>
    <row r="2119" spans="10:10">
      <c r="J2119" s="80"/>
    </row>
    <row r="2120" spans="10:10">
      <c r="J2120" s="80"/>
    </row>
    <row r="2121" spans="10:10">
      <c r="J2121" s="80"/>
    </row>
    <row r="2122" spans="10:10">
      <c r="J2122" s="80"/>
    </row>
    <row r="2123" spans="10:10">
      <c r="J2123" s="80"/>
    </row>
    <row r="2124" spans="10:10">
      <c r="J2124" s="80"/>
    </row>
    <row r="2125" spans="10:10">
      <c r="J2125" s="80"/>
    </row>
    <row r="2126" spans="10:10">
      <c r="J2126" s="80"/>
    </row>
    <row r="2127" spans="10:10">
      <c r="J2127" s="80"/>
    </row>
    <row r="2128" spans="10:10">
      <c r="J2128" s="80"/>
    </row>
    <row r="2129" spans="10:10">
      <c r="J2129" s="80"/>
    </row>
    <row r="2130" spans="10:10">
      <c r="J2130" s="80"/>
    </row>
    <row r="2131" spans="10:10">
      <c r="J2131" s="80"/>
    </row>
    <row r="2132" spans="10:10">
      <c r="J2132" s="80"/>
    </row>
    <row r="2133" spans="10:10">
      <c r="J2133" s="80"/>
    </row>
    <row r="2134" spans="10:10">
      <c r="J2134" s="80"/>
    </row>
    <row r="2135" spans="10:10">
      <c r="J2135" s="80"/>
    </row>
    <row r="2136" spans="10:10">
      <c r="J2136" s="80"/>
    </row>
    <row r="2137" spans="10:10">
      <c r="J2137" s="80"/>
    </row>
    <row r="2138" spans="10:10">
      <c r="J2138" s="80"/>
    </row>
    <row r="2139" spans="10:10">
      <c r="J2139" s="80"/>
    </row>
    <row r="2140" spans="10:10">
      <c r="J2140" s="80"/>
    </row>
    <row r="2141" spans="10:10">
      <c r="J2141" s="80"/>
    </row>
    <row r="2142" spans="10:10">
      <c r="J2142" s="80"/>
    </row>
    <row r="2143" spans="10:10">
      <c r="J2143" s="80"/>
    </row>
    <row r="2144" spans="10:10">
      <c r="J2144" s="80"/>
    </row>
    <row r="2145" spans="10:10">
      <c r="J2145" s="80"/>
    </row>
    <row r="2146" spans="10:10">
      <c r="J2146" s="80"/>
    </row>
    <row r="2147" spans="10:10">
      <c r="J2147" s="80"/>
    </row>
    <row r="2148" spans="10:10">
      <c r="J2148" s="80"/>
    </row>
    <row r="2149" spans="10:10">
      <c r="J2149" s="80"/>
    </row>
    <row r="2150" spans="10:10">
      <c r="J2150" s="80"/>
    </row>
    <row r="2151" spans="10:10">
      <c r="J2151" s="80"/>
    </row>
    <row r="2152" spans="10:10">
      <c r="J2152" s="80"/>
    </row>
    <row r="2153" spans="10:10">
      <c r="J2153" s="80"/>
    </row>
    <row r="2154" spans="10:10">
      <c r="J2154" s="80"/>
    </row>
    <row r="2155" spans="10:10">
      <c r="J2155" s="80"/>
    </row>
    <row r="2156" spans="10:10">
      <c r="J2156" s="80"/>
    </row>
    <row r="2157" spans="10:10">
      <c r="J2157" s="80"/>
    </row>
    <row r="2158" spans="10:10">
      <c r="J2158" s="80"/>
    </row>
    <row r="2159" spans="10:10">
      <c r="J2159" s="80"/>
    </row>
    <row r="2160" spans="10:10">
      <c r="J2160" s="80"/>
    </row>
    <row r="2161" spans="10:10">
      <c r="J2161" s="80"/>
    </row>
    <row r="2162" spans="10:10">
      <c r="J2162" s="80"/>
    </row>
    <row r="2163" spans="10:10">
      <c r="J2163" s="80"/>
    </row>
    <row r="2164" spans="10:10">
      <c r="J2164" s="80"/>
    </row>
    <row r="2165" spans="10:10">
      <c r="J2165" s="80"/>
    </row>
    <row r="2166" spans="10:10">
      <c r="J2166" s="80"/>
    </row>
    <row r="2167" spans="10:10">
      <c r="J2167" s="80"/>
    </row>
    <row r="2168" spans="10:10">
      <c r="J2168" s="80"/>
    </row>
    <row r="2169" spans="10:10">
      <c r="J2169" s="80"/>
    </row>
    <row r="2170" spans="10:10">
      <c r="J2170" s="80"/>
    </row>
    <row r="2171" spans="10:10">
      <c r="J2171" s="80"/>
    </row>
    <row r="2172" spans="10:10">
      <c r="J2172" s="80"/>
    </row>
    <row r="2173" spans="10:10">
      <c r="J2173" s="80"/>
    </row>
    <row r="2174" spans="10:10">
      <c r="J2174" s="80"/>
    </row>
    <row r="2175" spans="10:10">
      <c r="J2175" s="80"/>
    </row>
    <row r="2176" spans="10:10">
      <c r="J2176" s="80"/>
    </row>
    <row r="2177" spans="10:10">
      <c r="J2177" s="80"/>
    </row>
    <row r="2178" spans="10:10">
      <c r="J2178" s="80"/>
    </row>
    <row r="2179" spans="10:10">
      <c r="J2179" s="80"/>
    </row>
    <row r="2180" spans="10:10">
      <c r="J2180" s="80"/>
    </row>
    <row r="2181" spans="10:10">
      <c r="J2181" s="80"/>
    </row>
    <row r="2182" spans="10:10">
      <c r="J2182" s="80"/>
    </row>
    <row r="2183" spans="10:10">
      <c r="J2183" s="80"/>
    </row>
    <row r="2184" spans="10:10">
      <c r="J2184" s="80"/>
    </row>
    <row r="2185" spans="10:10">
      <c r="J2185" s="80"/>
    </row>
    <row r="2186" spans="10:10">
      <c r="J2186" s="80"/>
    </row>
    <row r="2187" spans="10:10">
      <c r="J2187" s="80"/>
    </row>
    <row r="2188" spans="10:10">
      <c r="J2188" s="80"/>
    </row>
    <row r="2189" spans="10:10">
      <c r="J2189" s="80"/>
    </row>
    <row r="2190" spans="10:10">
      <c r="J2190" s="80"/>
    </row>
    <row r="2191" spans="10:10">
      <c r="J2191" s="80"/>
    </row>
    <row r="2192" spans="10:10">
      <c r="J2192" s="80"/>
    </row>
    <row r="2193" spans="10:10">
      <c r="J2193" s="80"/>
    </row>
    <row r="2194" spans="10:10">
      <c r="J2194" s="80"/>
    </row>
    <row r="2195" spans="10:10">
      <c r="J2195" s="80"/>
    </row>
    <row r="2196" spans="10:10">
      <c r="J2196" s="80"/>
    </row>
    <row r="2197" spans="10:10">
      <c r="J2197" s="80"/>
    </row>
    <row r="2198" spans="10:10">
      <c r="J2198" s="80"/>
    </row>
    <row r="2199" spans="10:10">
      <c r="J2199" s="80"/>
    </row>
    <row r="2200" spans="10:10">
      <c r="J2200" s="80"/>
    </row>
    <row r="2201" spans="10:10">
      <c r="J2201" s="80"/>
    </row>
    <row r="2202" spans="10:10">
      <c r="J2202" s="80"/>
    </row>
    <row r="2203" spans="10:10">
      <c r="J2203" s="80"/>
    </row>
    <row r="2204" spans="10:10">
      <c r="J2204" s="80"/>
    </row>
    <row r="2205" spans="10:10">
      <c r="J2205" s="80"/>
    </row>
    <row r="2206" spans="10:10">
      <c r="J2206" s="80"/>
    </row>
    <row r="2207" spans="10:10">
      <c r="J2207" s="80"/>
    </row>
    <row r="2208" spans="10:10">
      <c r="J2208" s="80"/>
    </row>
    <row r="2209" spans="10:10">
      <c r="J2209" s="80"/>
    </row>
    <row r="2210" spans="10:10">
      <c r="J2210" s="80"/>
    </row>
    <row r="2211" spans="10:10">
      <c r="J2211" s="80"/>
    </row>
    <row r="2212" spans="10:10">
      <c r="J2212" s="80"/>
    </row>
    <row r="2213" spans="10:10">
      <c r="J2213" s="80"/>
    </row>
    <row r="2214" spans="10:10">
      <c r="J2214" s="80"/>
    </row>
    <row r="2215" spans="10:10">
      <c r="J2215" s="80"/>
    </row>
    <row r="2216" spans="10:10">
      <c r="J2216" s="80"/>
    </row>
    <row r="2217" spans="10:10">
      <c r="J2217" s="80"/>
    </row>
    <row r="2218" spans="10:10">
      <c r="J2218" s="80"/>
    </row>
    <row r="2219" spans="10:10">
      <c r="J2219" s="80"/>
    </row>
    <row r="2220" spans="10:10">
      <c r="J2220" s="80"/>
    </row>
    <row r="2221" spans="10:10">
      <c r="J2221" s="80"/>
    </row>
    <row r="2222" spans="10:10">
      <c r="J2222" s="80"/>
    </row>
    <row r="2223" spans="10:10">
      <c r="J2223" s="80"/>
    </row>
    <row r="2224" spans="10:10">
      <c r="J2224" s="80"/>
    </row>
    <row r="2225" spans="10:10">
      <c r="J2225" s="80"/>
    </row>
    <row r="2226" spans="10:10">
      <c r="J2226" s="80"/>
    </row>
    <row r="2227" spans="10:10">
      <c r="J2227" s="80"/>
    </row>
    <row r="2228" spans="10:10">
      <c r="J2228" s="80"/>
    </row>
    <row r="2229" spans="10:10">
      <c r="J2229" s="80"/>
    </row>
    <row r="2230" spans="10:10">
      <c r="J2230" s="80"/>
    </row>
    <row r="2231" spans="10:10">
      <c r="J2231" s="80"/>
    </row>
    <row r="2232" spans="10:10">
      <c r="J2232" s="80"/>
    </row>
    <row r="2233" spans="10:10">
      <c r="J2233" s="80"/>
    </row>
    <row r="2234" spans="10:10">
      <c r="J2234" s="80"/>
    </row>
    <row r="2235" spans="10:10">
      <c r="J2235" s="80"/>
    </row>
    <row r="2236" spans="10:10">
      <c r="J2236" s="80"/>
    </row>
    <row r="2237" spans="10:10">
      <c r="J2237" s="80"/>
    </row>
    <row r="2238" spans="10:10">
      <c r="J2238" s="80"/>
    </row>
    <row r="2239" spans="10:10">
      <c r="J2239" s="80"/>
    </row>
    <row r="2240" spans="10:10">
      <c r="J2240" s="80"/>
    </row>
    <row r="2241" spans="10:10">
      <c r="J2241" s="80"/>
    </row>
    <row r="2242" spans="10:10">
      <c r="J2242" s="80"/>
    </row>
    <row r="2243" spans="10:10">
      <c r="J2243" s="80"/>
    </row>
    <row r="2244" spans="10:10">
      <c r="J2244" s="80"/>
    </row>
    <row r="2245" spans="10:10">
      <c r="J2245" s="80"/>
    </row>
    <row r="2246" spans="10:10">
      <c r="J2246" s="80"/>
    </row>
    <row r="2247" spans="10:10">
      <c r="J2247" s="80"/>
    </row>
    <row r="2248" spans="10:10">
      <c r="J2248" s="80"/>
    </row>
    <row r="2249" spans="10:10">
      <c r="J2249" s="80"/>
    </row>
    <row r="2250" spans="10:10">
      <c r="J2250" s="80"/>
    </row>
    <row r="2251" spans="10:10">
      <c r="J2251" s="80"/>
    </row>
    <row r="2252" spans="10:10">
      <c r="J2252" s="80"/>
    </row>
    <row r="2253" spans="10:10">
      <c r="J2253" s="80"/>
    </row>
    <row r="2254" spans="10:10">
      <c r="J2254" s="80"/>
    </row>
    <row r="2255" spans="10:10">
      <c r="J2255" s="80"/>
    </row>
    <row r="2256" spans="10:10">
      <c r="J2256" s="80"/>
    </row>
    <row r="2257" spans="10:10">
      <c r="J2257" s="80"/>
    </row>
    <row r="2258" spans="10:10">
      <c r="J2258" s="80"/>
    </row>
    <row r="2259" spans="10:10">
      <c r="J2259" s="80"/>
    </row>
    <row r="2260" spans="10:10">
      <c r="J2260" s="80"/>
    </row>
    <row r="2261" spans="10:10">
      <c r="J2261" s="80"/>
    </row>
    <row r="2262" spans="10:10">
      <c r="J2262" s="80"/>
    </row>
    <row r="2263" spans="10:10">
      <c r="J2263" s="80"/>
    </row>
    <row r="2264" spans="10:10">
      <c r="J2264" s="80"/>
    </row>
    <row r="2265" spans="10:10">
      <c r="J2265" s="80"/>
    </row>
    <row r="2266" spans="10:10">
      <c r="J2266" s="80"/>
    </row>
    <row r="2267" spans="10:10">
      <c r="J2267" s="80"/>
    </row>
    <row r="2268" spans="10:10">
      <c r="J2268" s="80"/>
    </row>
    <row r="2269" spans="10:10">
      <c r="J2269" s="80"/>
    </row>
    <row r="2270" spans="10:10">
      <c r="J2270" s="80"/>
    </row>
    <row r="2271" spans="10:10">
      <c r="J2271" s="80"/>
    </row>
    <row r="2272" spans="10:10">
      <c r="J2272" s="80"/>
    </row>
    <row r="2273" spans="10:10">
      <c r="J2273" s="80"/>
    </row>
    <row r="2274" spans="10:10">
      <c r="J2274" s="80"/>
    </row>
    <row r="2275" spans="10:10">
      <c r="J2275" s="80"/>
    </row>
    <row r="2276" spans="10:10">
      <c r="J2276" s="80"/>
    </row>
    <row r="2277" spans="10:10">
      <c r="J2277" s="80"/>
    </row>
    <row r="2278" spans="10:10">
      <c r="J2278" s="80"/>
    </row>
    <row r="2279" spans="10:10">
      <c r="J2279" s="80"/>
    </row>
    <row r="2280" spans="10:10">
      <c r="J2280" s="80"/>
    </row>
    <row r="2281" spans="10:10">
      <c r="J2281" s="80"/>
    </row>
    <row r="2282" spans="10:10">
      <c r="J2282" s="80"/>
    </row>
    <row r="2283" spans="10:10">
      <c r="J2283" s="80"/>
    </row>
    <row r="2284" spans="10:10">
      <c r="J2284" s="80"/>
    </row>
    <row r="2285" spans="10:10">
      <c r="J2285" s="80"/>
    </row>
    <row r="2286" spans="10:10">
      <c r="J2286" s="80"/>
    </row>
    <row r="2287" spans="10:10">
      <c r="J2287" s="80"/>
    </row>
    <row r="2288" spans="10:10">
      <c r="J2288" s="80"/>
    </row>
    <row r="2289" spans="10:10">
      <c r="J2289" s="80"/>
    </row>
    <row r="2290" spans="10:10">
      <c r="J2290" s="80"/>
    </row>
    <row r="2291" spans="10:10">
      <c r="J2291" s="80"/>
    </row>
    <row r="2292" spans="10:10">
      <c r="J2292" s="80"/>
    </row>
    <row r="2293" spans="10:10">
      <c r="J2293" s="80"/>
    </row>
    <row r="2294" spans="10:10">
      <c r="J2294" s="80"/>
    </row>
    <row r="2295" spans="10:10">
      <c r="J2295" s="80"/>
    </row>
    <row r="2296" spans="10:10">
      <c r="J2296" s="80"/>
    </row>
    <row r="2297" spans="10:10">
      <c r="J2297" s="80"/>
    </row>
    <row r="2298" spans="10:10">
      <c r="J2298" s="80"/>
    </row>
    <row r="2299" spans="10:10">
      <c r="J2299" s="80"/>
    </row>
    <row r="2300" spans="10:10">
      <c r="J2300" s="80"/>
    </row>
    <row r="2301" spans="10:10">
      <c r="J2301" s="80"/>
    </row>
    <row r="2302" spans="10:10">
      <c r="J2302" s="80"/>
    </row>
    <row r="2303" spans="10:10">
      <c r="J2303" s="80"/>
    </row>
    <row r="2304" spans="10:10">
      <c r="J2304" s="80"/>
    </row>
    <row r="2305" spans="10:10">
      <c r="J2305" s="80"/>
    </row>
    <row r="2306" spans="10:10">
      <c r="J2306" s="80"/>
    </row>
    <row r="2307" spans="10:10">
      <c r="J2307" s="80"/>
    </row>
    <row r="2308" spans="10:10">
      <c r="J2308" s="80"/>
    </row>
    <row r="2309" spans="10:10">
      <c r="J2309" s="80"/>
    </row>
    <row r="2310" spans="10:10">
      <c r="J2310" s="80"/>
    </row>
    <row r="2311" spans="10:10">
      <c r="J2311" s="80"/>
    </row>
    <row r="2312" spans="10:10">
      <c r="J2312" s="80"/>
    </row>
    <row r="2313" spans="10:10">
      <c r="J2313" s="80"/>
    </row>
    <row r="2314" spans="10:10">
      <c r="J2314" s="80"/>
    </row>
    <row r="2315" spans="10:10">
      <c r="J2315" s="80"/>
    </row>
    <row r="2316" spans="10:10">
      <c r="J2316" s="80"/>
    </row>
    <row r="2317" spans="10:10">
      <c r="J2317" s="80"/>
    </row>
    <row r="2318" spans="10:10">
      <c r="J2318" s="80"/>
    </row>
    <row r="2319" spans="10:10">
      <c r="J2319" s="80"/>
    </row>
    <row r="2320" spans="10:10">
      <c r="J2320" s="80"/>
    </row>
    <row r="2321" spans="10:10">
      <c r="J2321" s="80"/>
    </row>
    <row r="2322" spans="10:10">
      <c r="J2322" s="80"/>
    </row>
    <row r="2323" spans="10:10">
      <c r="J2323" s="80"/>
    </row>
    <row r="2324" spans="10:10">
      <c r="J2324" s="80"/>
    </row>
    <row r="2325" spans="10:10">
      <c r="J2325" s="80"/>
    </row>
    <row r="2326" spans="10:10">
      <c r="J2326" s="80"/>
    </row>
    <row r="2327" spans="10:10">
      <c r="J2327" s="80"/>
    </row>
    <row r="2328" spans="10:10">
      <c r="J2328" s="80"/>
    </row>
    <row r="2329" spans="10:10">
      <c r="J2329" s="80"/>
    </row>
    <row r="2330" spans="10:10">
      <c r="J2330" s="80"/>
    </row>
    <row r="2331" spans="10:10">
      <c r="J2331" s="80"/>
    </row>
    <row r="2332" spans="10:10">
      <c r="J2332" s="80"/>
    </row>
    <row r="2333" spans="10:10">
      <c r="J2333" s="80"/>
    </row>
    <row r="2334" spans="10:10">
      <c r="J2334" s="80"/>
    </row>
    <row r="2335" spans="10:10">
      <c r="J2335" s="80"/>
    </row>
    <row r="2336" spans="10:10">
      <c r="J2336" s="80"/>
    </row>
    <row r="2337" spans="10:10">
      <c r="J2337" s="80"/>
    </row>
    <row r="2338" spans="10:10">
      <c r="J2338" s="80"/>
    </row>
    <row r="2339" spans="10:10">
      <c r="J2339" s="80"/>
    </row>
    <row r="2340" spans="10:10">
      <c r="J2340" s="80"/>
    </row>
    <row r="2341" spans="10:10">
      <c r="J2341" s="80"/>
    </row>
    <row r="2342" spans="10:10">
      <c r="J2342" s="80"/>
    </row>
    <row r="2343" spans="10:10">
      <c r="J2343" s="80"/>
    </row>
    <row r="2344" spans="10:10">
      <c r="J2344" s="80"/>
    </row>
    <row r="2345" spans="10:10">
      <c r="J2345" s="80"/>
    </row>
    <row r="2346" spans="10:10">
      <c r="J2346" s="80"/>
    </row>
    <row r="2347" spans="10:10">
      <c r="J2347" s="80"/>
    </row>
    <row r="2348" spans="10:10">
      <c r="J2348" s="80"/>
    </row>
    <row r="2349" spans="10:10">
      <c r="J2349" s="80"/>
    </row>
    <row r="2350" spans="10:10">
      <c r="J2350" s="80"/>
    </row>
    <row r="2351" spans="10:10">
      <c r="J2351" s="80"/>
    </row>
    <row r="2352" spans="10:10">
      <c r="J2352" s="80"/>
    </row>
    <row r="2353" spans="10:10">
      <c r="J2353" s="80"/>
    </row>
    <row r="2354" spans="10:10">
      <c r="J2354" s="80"/>
    </row>
    <row r="2355" spans="10:10">
      <c r="J2355" s="80"/>
    </row>
    <row r="2356" spans="10:10">
      <c r="J2356" s="80"/>
    </row>
    <row r="2357" spans="10:10">
      <c r="J2357" s="80"/>
    </row>
    <row r="2358" spans="10:10">
      <c r="J2358" s="80"/>
    </row>
    <row r="2359" spans="10:10">
      <c r="J2359" s="80"/>
    </row>
    <row r="2360" spans="10:10">
      <c r="J2360" s="80"/>
    </row>
    <row r="2361" spans="10:10">
      <c r="J2361" s="80"/>
    </row>
    <row r="2362" spans="10:10">
      <c r="J2362" s="80"/>
    </row>
    <row r="2363" spans="10:10">
      <c r="J2363" s="80"/>
    </row>
    <row r="2364" spans="10:10">
      <c r="J2364" s="80"/>
    </row>
    <row r="2365" spans="10:10">
      <c r="J2365" s="80"/>
    </row>
    <row r="2366" spans="10:10">
      <c r="J2366" s="80"/>
    </row>
    <row r="2367" spans="10:10">
      <c r="J2367" s="80"/>
    </row>
    <row r="2368" spans="10:10">
      <c r="J2368" s="80"/>
    </row>
    <row r="2369" spans="10:10">
      <c r="J2369" s="80"/>
    </row>
    <row r="2370" spans="10:10">
      <c r="J2370" s="80"/>
    </row>
    <row r="2371" spans="10:10">
      <c r="J2371" s="80"/>
    </row>
    <row r="2372" spans="10:10">
      <c r="J2372" s="80"/>
    </row>
    <row r="2373" spans="10:10">
      <c r="J2373" s="80"/>
    </row>
    <row r="2374" spans="10:10">
      <c r="J2374" s="80"/>
    </row>
    <row r="2375" spans="10:10">
      <c r="J2375" s="80"/>
    </row>
    <row r="2376" spans="10:10">
      <c r="J2376" s="80"/>
    </row>
    <row r="2377" spans="10:10">
      <c r="J2377" s="80"/>
    </row>
    <row r="2378" spans="10:10">
      <c r="J2378" s="80"/>
    </row>
    <row r="2379" spans="10:10">
      <c r="J2379" s="80"/>
    </row>
    <row r="2380" spans="10:10">
      <c r="J2380" s="80"/>
    </row>
    <row r="2381" spans="10:10">
      <c r="J2381" s="80"/>
    </row>
    <row r="2382" spans="10:10">
      <c r="J2382" s="80"/>
    </row>
    <row r="2383" spans="10:10">
      <c r="J2383" s="80"/>
    </row>
    <row r="2384" spans="10:10">
      <c r="J2384" s="80"/>
    </row>
    <row r="2385" spans="10:10">
      <c r="J2385" s="80"/>
    </row>
    <row r="2386" spans="10:10">
      <c r="J2386" s="80"/>
    </row>
    <row r="2387" spans="10:10">
      <c r="J2387" s="80"/>
    </row>
    <row r="2388" spans="10:10">
      <c r="J2388" s="80"/>
    </row>
    <row r="2389" spans="10:10">
      <c r="J2389" s="80"/>
    </row>
    <row r="2390" spans="10:10">
      <c r="J2390" s="80"/>
    </row>
    <row r="2391" spans="10:10">
      <c r="J2391" s="80"/>
    </row>
    <row r="2392" spans="10:10">
      <c r="J2392" s="80"/>
    </row>
    <row r="2393" spans="10:10">
      <c r="J2393" s="80"/>
    </row>
    <row r="2394" spans="10:10">
      <c r="J2394" s="80"/>
    </row>
    <row r="2395" spans="10:10">
      <c r="J2395" s="80"/>
    </row>
    <row r="2396" spans="10:10">
      <c r="J2396" s="80"/>
    </row>
    <row r="2397" spans="10:10">
      <c r="J2397" s="80"/>
    </row>
    <row r="2398" spans="10:10">
      <c r="J2398" s="80"/>
    </row>
    <row r="2399" spans="10:10">
      <c r="J2399" s="80"/>
    </row>
    <row r="2400" spans="10:10">
      <c r="J2400" s="80"/>
    </row>
    <row r="2401" spans="10:10">
      <c r="J2401" s="80"/>
    </row>
    <row r="2402" spans="10:10">
      <c r="J2402" s="80"/>
    </row>
    <row r="2403" spans="10:10">
      <c r="J2403" s="80"/>
    </row>
    <row r="2404" spans="10:10">
      <c r="J2404" s="80"/>
    </row>
    <row r="2405" spans="10:10">
      <c r="J2405" s="80"/>
    </row>
    <row r="2406" spans="10:10">
      <c r="J2406" s="80"/>
    </row>
    <row r="2407" spans="10:10">
      <c r="J2407" s="80"/>
    </row>
    <row r="2408" spans="10:10">
      <c r="J2408" s="80"/>
    </row>
    <row r="2409" spans="10:10">
      <c r="J2409" s="80"/>
    </row>
    <row r="2410" spans="10:10">
      <c r="J2410" s="80"/>
    </row>
    <row r="2411" spans="10:10">
      <c r="J2411" s="80"/>
    </row>
    <row r="2412" spans="10:10">
      <c r="J2412" s="80"/>
    </row>
    <row r="2413" spans="10:10">
      <c r="J2413" s="80"/>
    </row>
    <row r="2414" spans="10:10">
      <c r="J2414" s="80"/>
    </row>
    <row r="2415" spans="10:10">
      <c r="J2415" s="80"/>
    </row>
    <row r="2416" spans="10:10">
      <c r="J2416" s="80"/>
    </row>
    <row r="2417" spans="10:10">
      <c r="J2417" s="80"/>
    </row>
    <row r="2418" spans="10:10">
      <c r="J2418" s="80"/>
    </row>
    <row r="2419" spans="10:10">
      <c r="J2419" s="80"/>
    </row>
    <row r="2420" spans="10:10">
      <c r="J2420" s="80"/>
    </row>
    <row r="2421" spans="10:10">
      <c r="J2421" s="80"/>
    </row>
    <row r="2422" spans="10:10">
      <c r="J2422" s="80"/>
    </row>
    <row r="2423" spans="10:10">
      <c r="J2423" s="80"/>
    </row>
    <row r="2424" spans="10:10">
      <c r="J2424" s="80"/>
    </row>
    <row r="2425" spans="10:10">
      <c r="J2425" s="80"/>
    </row>
    <row r="2426" spans="10:10">
      <c r="J2426" s="80"/>
    </row>
    <row r="2427" spans="10:10">
      <c r="J2427" s="80"/>
    </row>
    <row r="2428" spans="10:10">
      <c r="J2428" s="80"/>
    </row>
    <row r="2429" spans="10:10">
      <c r="J2429" s="80"/>
    </row>
    <row r="2430" spans="10:10">
      <c r="J2430" s="80"/>
    </row>
    <row r="2431" spans="10:10">
      <c r="J2431" s="80"/>
    </row>
    <row r="2432" spans="10:10">
      <c r="J2432" s="80"/>
    </row>
    <row r="2433" spans="10:10">
      <c r="J2433" s="80"/>
    </row>
    <row r="2434" spans="10:10">
      <c r="J2434" s="80"/>
    </row>
    <row r="2435" spans="10:10">
      <c r="J2435" s="80"/>
    </row>
    <row r="2436" spans="10:10">
      <c r="J2436" s="80"/>
    </row>
    <row r="2437" spans="10:10">
      <c r="J2437" s="80"/>
    </row>
    <row r="2438" spans="10:10">
      <c r="J2438" s="80"/>
    </row>
    <row r="2439" spans="10:10">
      <c r="J2439" s="80"/>
    </row>
    <row r="2440" spans="10:10">
      <c r="J2440" s="80"/>
    </row>
    <row r="2441" spans="10:10">
      <c r="J2441" s="80"/>
    </row>
    <row r="2442" spans="10:10">
      <c r="J2442" s="80"/>
    </row>
    <row r="2443" spans="10:10">
      <c r="J2443" s="80"/>
    </row>
    <row r="2444" spans="10:10">
      <c r="J2444" s="80"/>
    </row>
    <row r="2445" spans="10:10">
      <c r="J2445" s="80"/>
    </row>
    <row r="2446" spans="10:10">
      <c r="J2446" s="80"/>
    </row>
    <row r="2447" spans="10:10">
      <c r="J2447" s="80"/>
    </row>
    <row r="2448" spans="10:10">
      <c r="J2448" s="80"/>
    </row>
    <row r="2449" spans="10:10">
      <c r="J2449" s="80"/>
    </row>
    <row r="2450" spans="10:10">
      <c r="J2450" s="80"/>
    </row>
    <row r="2451" spans="10:10">
      <c r="J2451" s="80"/>
    </row>
    <row r="2452" spans="10:10">
      <c r="J2452" s="80"/>
    </row>
    <row r="2453" spans="10:10">
      <c r="J2453" s="80"/>
    </row>
    <row r="2454" spans="10:10">
      <c r="J2454" s="80"/>
    </row>
    <row r="2455" spans="10:10">
      <c r="J2455" s="80"/>
    </row>
    <row r="2456" spans="10:10">
      <c r="J2456" s="80"/>
    </row>
    <row r="2457" spans="10:10">
      <c r="J2457" s="80"/>
    </row>
    <row r="2458" spans="10:10">
      <c r="J2458" s="80"/>
    </row>
    <row r="2459" spans="10:10">
      <c r="J2459" s="80"/>
    </row>
    <row r="2460" spans="10:10">
      <c r="J2460" s="80"/>
    </row>
    <row r="2461" spans="10:10">
      <c r="J2461" s="80"/>
    </row>
    <row r="2462" spans="10:10">
      <c r="J2462" s="80"/>
    </row>
    <row r="2463" spans="10:10">
      <c r="J2463" s="80"/>
    </row>
    <row r="2464" spans="10:10">
      <c r="J2464" s="80"/>
    </row>
    <row r="2465" spans="10:10">
      <c r="J2465" s="80"/>
    </row>
    <row r="2466" spans="10:10">
      <c r="J2466" s="80"/>
    </row>
    <row r="2467" spans="10:10">
      <c r="J2467" s="80"/>
    </row>
    <row r="2468" spans="10:10">
      <c r="J2468" s="80"/>
    </row>
    <row r="2469" spans="10:10">
      <c r="J2469" s="80"/>
    </row>
    <row r="2470" spans="10:10">
      <c r="J2470" s="80"/>
    </row>
    <row r="2471" spans="10:10">
      <c r="J2471" s="80"/>
    </row>
    <row r="2472" spans="10:10">
      <c r="J2472" s="80"/>
    </row>
    <row r="2473" spans="10:10">
      <c r="J2473" s="80"/>
    </row>
    <row r="2474" spans="10:10">
      <c r="J2474" s="80"/>
    </row>
    <row r="2475" spans="10:10">
      <c r="J2475" s="80"/>
    </row>
    <row r="2476" spans="10:10">
      <c r="J2476" s="80"/>
    </row>
    <row r="2477" spans="10:10">
      <c r="J2477" s="80"/>
    </row>
    <row r="2478" spans="10:10">
      <c r="J2478" s="80"/>
    </row>
    <row r="2479" spans="10:10">
      <c r="J2479" s="80"/>
    </row>
    <row r="2480" spans="10:10">
      <c r="J2480" s="80"/>
    </row>
    <row r="2481" spans="10:10">
      <c r="J2481" s="80"/>
    </row>
    <row r="2482" spans="10:10">
      <c r="J2482" s="80"/>
    </row>
    <row r="2483" spans="10:10">
      <c r="J2483" s="80"/>
    </row>
    <row r="2484" spans="10:10">
      <c r="J2484" s="80"/>
    </row>
    <row r="2485" spans="10:10">
      <c r="J2485" s="80"/>
    </row>
    <row r="2486" spans="10:10">
      <c r="J2486" s="80"/>
    </row>
    <row r="2487" spans="10:10">
      <c r="J2487" s="80"/>
    </row>
    <row r="2488" spans="10:10">
      <c r="J2488" s="80"/>
    </row>
    <row r="2489" spans="10:10">
      <c r="J2489" s="80"/>
    </row>
    <row r="2490" spans="10:10">
      <c r="J2490" s="80"/>
    </row>
    <row r="2491" spans="10:10">
      <c r="J2491" s="80"/>
    </row>
    <row r="2492" spans="10:10">
      <c r="J2492" s="80"/>
    </row>
    <row r="2493" spans="10:10">
      <c r="J2493" s="80"/>
    </row>
    <row r="2494" spans="10:10">
      <c r="J2494" s="80"/>
    </row>
    <row r="2495" spans="10:10">
      <c r="J2495" s="80"/>
    </row>
    <row r="2496" spans="10:10">
      <c r="J2496" s="80"/>
    </row>
    <row r="2497" spans="10:10">
      <c r="J2497" s="80"/>
    </row>
    <row r="2498" spans="10:10">
      <c r="J2498" s="80"/>
    </row>
    <row r="2499" spans="10:10">
      <c r="J2499" s="80"/>
    </row>
    <row r="2500" spans="10:10">
      <c r="J2500" s="80"/>
    </row>
    <row r="2501" spans="10:10">
      <c r="J2501" s="80"/>
    </row>
    <row r="2502" spans="10:10">
      <c r="J2502" s="80"/>
    </row>
    <row r="2503" spans="10:10">
      <c r="J2503" s="80"/>
    </row>
    <row r="2504" spans="10:10">
      <c r="J2504" s="80"/>
    </row>
    <row r="2505" spans="10:10">
      <c r="J2505" s="80"/>
    </row>
    <row r="2506" spans="10:10">
      <c r="J2506" s="80"/>
    </row>
    <row r="2507" spans="10:10">
      <c r="J2507" s="80"/>
    </row>
    <row r="2508" spans="10:10">
      <c r="J2508" s="80"/>
    </row>
    <row r="2509" spans="10:10">
      <c r="J2509" s="80"/>
    </row>
    <row r="2510" spans="10:10">
      <c r="J2510" s="80"/>
    </row>
    <row r="2511" spans="10:10">
      <c r="J2511" s="80"/>
    </row>
    <row r="2512" spans="10:10">
      <c r="J2512" s="80"/>
    </row>
    <row r="2513" spans="10:10">
      <c r="J2513" s="80"/>
    </row>
    <row r="2514" spans="10:10">
      <c r="J2514" s="80"/>
    </row>
    <row r="2515" spans="10:10">
      <c r="J2515" s="80"/>
    </row>
    <row r="2516" spans="10:10">
      <c r="J2516" s="80"/>
    </row>
    <row r="2517" spans="10:10">
      <c r="J2517" s="80"/>
    </row>
    <row r="2518" spans="10:10">
      <c r="J2518" s="80"/>
    </row>
    <row r="2519" spans="10:10">
      <c r="J2519" s="80"/>
    </row>
    <row r="2520" spans="10:10">
      <c r="J2520" s="80"/>
    </row>
    <row r="2521" spans="10:10">
      <c r="J2521" s="80"/>
    </row>
    <row r="2522" spans="10:10">
      <c r="J2522" s="80"/>
    </row>
    <row r="2523" spans="10:10">
      <c r="J2523" s="80"/>
    </row>
    <row r="2524" spans="10:10">
      <c r="J2524" s="80"/>
    </row>
    <row r="2525" spans="10:10">
      <c r="J2525" s="80"/>
    </row>
    <row r="2526" spans="10:10">
      <c r="J2526" s="80"/>
    </row>
    <row r="2527" spans="10:10">
      <c r="J2527" s="80"/>
    </row>
    <row r="2528" spans="10:10">
      <c r="J2528" s="80"/>
    </row>
    <row r="2529" spans="10:10">
      <c r="J2529" s="80"/>
    </row>
    <row r="2530" spans="10:10">
      <c r="J2530" s="80"/>
    </row>
    <row r="2531" spans="10:10">
      <c r="J2531" s="80"/>
    </row>
    <row r="2532" spans="10:10">
      <c r="J2532" s="80"/>
    </row>
    <row r="2533" spans="10:10">
      <c r="J2533" s="80"/>
    </row>
    <row r="2534" spans="10:10">
      <c r="J2534" s="80"/>
    </row>
    <row r="2535" spans="10:10">
      <c r="J2535" s="80"/>
    </row>
    <row r="2536" spans="10:10">
      <c r="J2536" s="80"/>
    </row>
    <row r="2537" spans="10:10">
      <c r="J2537" s="80"/>
    </row>
    <row r="2538" spans="10:10">
      <c r="J2538" s="80"/>
    </row>
    <row r="2539" spans="10:10">
      <c r="J2539" s="80"/>
    </row>
    <row r="2540" spans="10:10">
      <c r="J2540" s="80"/>
    </row>
    <row r="2541" spans="10:10">
      <c r="J2541" s="80"/>
    </row>
    <row r="2542" spans="10:10">
      <c r="J2542" s="80"/>
    </row>
    <row r="2543" spans="10:10">
      <c r="J2543" s="80"/>
    </row>
    <row r="2544" spans="10:10">
      <c r="J2544" s="80"/>
    </row>
    <row r="2545" spans="10:10">
      <c r="J2545" s="80"/>
    </row>
    <row r="2546" spans="10:10">
      <c r="J2546" s="80"/>
    </row>
    <row r="2547" spans="10:10">
      <c r="J2547" s="80"/>
    </row>
    <row r="2548" spans="10:10">
      <c r="J2548" s="80"/>
    </row>
    <row r="2549" spans="10:10">
      <c r="J2549" s="80"/>
    </row>
    <row r="2550" spans="10:10">
      <c r="J2550" s="80"/>
    </row>
    <row r="2551" spans="10:10">
      <c r="J2551" s="80"/>
    </row>
    <row r="2552" spans="10:10">
      <c r="J2552" s="80"/>
    </row>
    <row r="2553" spans="10:10">
      <c r="J2553" s="80"/>
    </row>
    <row r="2554" spans="10:10">
      <c r="J2554" s="80"/>
    </row>
    <row r="2555" spans="10:10">
      <c r="J2555" s="80"/>
    </row>
    <row r="2556" spans="10:10">
      <c r="J2556" s="80"/>
    </row>
    <row r="2557" spans="10:10">
      <c r="J2557" s="80"/>
    </row>
    <row r="2558" spans="10:10">
      <c r="J2558" s="80"/>
    </row>
    <row r="2559" spans="10:10">
      <c r="J2559" s="80"/>
    </row>
    <row r="2560" spans="10:10">
      <c r="J2560" s="80"/>
    </row>
    <row r="2561" spans="10:10">
      <c r="J2561" s="80"/>
    </row>
    <row r="2562" spans="10:10">
      <c r="J2562" s="80"/>
    </row>
    <row r="2563" spans="10:10">
      <c r="J2563" s="80"/>
    </row>
    <row r="2564" spans="10:10">
      <c r="J2564" s="80"/>
    </row>
    <row r="2565" spans="10:10">
      <c r="J2565" s="80"/>
    </row>
    <row r="2566" spans="10:10">
      <c r="J2566" s="80"/>
    </row>
    <row r="2567" spans="10:10">
      <c r="J2567" s="80"/>
    </row>
    <row r="2568" spans="10:10">
      <c r="J2568" s="80"/>
    </row>
    <row r="2569" spans="10:10">
      <c r="J2569" s="80"/>
    </row>
    <row r="2570" spans="10:10">
      <c r="J2570" s="80"/>
    </row>
    <row r="2571" spans="10:10">
      <c r="J2571" s="80"/>
    </row>
    <row r="2572" spans="10:10">
      <c r="J2572" s="80"/>
    </row>
    <row r="2573" spans="10:10">
      <c r="J2573" s="80"/>
    </row>
    <row r="2574" spans="10:10">
      <c r="J2574" s="80"/>
    </row>
    <row r="2575" spans="10:10">
      <c r="J2575" s="80"/>
    </row>
    <row r="2576" spans="10:10">
      <c r="J2576" s="80"/>
    </row>
    <row r="2577" spans="10:10">
      <c r="J2577" s="80"/>
    </row>
    <row r="2578" spans="10:10">
      <c r="J2578" s="80"/>
    </row>
    <row r="2579" spans="10:10">
      <c r="J2579" s="80"/>
    </row>
    <row r="2580" spans="10:10">
      <c r="J2580" s="80"/>
    </row>
    <row r="2581" spans="10:10">
      <c r="J2581" s="80"/>
    </row>
    <row r="2582" spans="10:10">
      <c r="J2582" s="80"/>
    </row>
    <row r="2583" spans="10:10">
      <c r="J2583" s="80"/>
    </row>
    <row r="2584" spans="10:10">
      <c r="J2584" s="80"/>
    </row>
    <row r="2585" spans="10:10">
      <c r="J2585" s="80"/>
    </row>
    <row r="2586" spans="10:10">
      <c r="J2586" s="80"/>
    </row>
    <row r="2587" spans="10:10">
      <c r="J2587" s="80"/>
    </row>
    <row r="2588" spans="10:10">
      <c r="J2588" s="80"/>
    </row>
    <row r="2589" spans="10:10">
      <c r="J2589" s="80"/>
    </row>
    <row r="2590" spans="10:10">
      <c r="J2590" s="80"/>
    </row>
    <row r="2591" spans="10:10">
      <c r="J2591" s="80"/>
    </row>
    <row r="2592" spans="10:10">
      <c r="J2592" s="80"/>
    </row>
    <row r="2593" spans="10:10">
      <c r="J2593" s="80"/>
    </row>
    <row r="2594" spans="10:10">
      <c r="J2594" s="80"/>
    </row>
    <row r="2595" spans="10:10">
      <c r="J2595" s="80"/>
    </row>
    <row r="2596" spans="10:10">
      <c r="J2596" s="80"/>
    </row>
    <row r="2597" spans="10:10">
      <c r="J2597" s="80"/>
    </row>
    <row r="2598" spans="10:10">
      <c r="J2598" s="80"/>
    </row>
    <row r="2599" spans="10:10">
      <c r="J2599" s="80"/>
    </row>
    <row r="2600" spans="10:10">
      <c r="J2600" s="80"/>
    </row>
    <row r="2601" spans="10:10">
      <c r="J2601" s="80"/>
    </row>
    <row r="2602" spans="10:10">
      <c r="J2602" s="80"/>
    </row>
    <row r="2603" spans="10:10">
      <c r="J2603" s="80"/>
    </row>
    <row r="2604" spans="10:10">
      <c r="J2604" s="80"/>
    </row>
    <row r="2605" spans="10:10">
      <c r="J2605" s="80"/>
    </row>
    <row r="2606" spans="10:10">
      <c r="J2606" s="80"/>
    </row>
    <row r="2607" spans="10:10">
      <c r="J2607" s="80"/>
    </row>
    <row r="2608" spans="10:10">
      <c r="J2608" s="80"/>
    </row>
    <row r="2609" spans="10:10">
      <c r="J2609" s="80"/>
    </row>
    <row r="2610" spans="10:10">
      <c r="J2610" s="80"/>
    </row>
    <row r="2611" spans="10:10">
      <c r="J2611" s="80"/>
    </row>
    <row r="2612" spans="10:10">
      <c r="J2612" s="80"/>
    </row>
    <row r="2613" spans="10:10">
      <c r="J2613" s="80"/>
    </row>
    <row r="2614" spans="10:10">
      <c r="J2614" s="80"/>
    </row>
    <row r="2615" spans="10:10">
      <c r="J2615" s="80"/>
    </row>
    <row r="2616" spans="10:10">
      <c r="J2616" s="80"/>
    </row>
    <row r="2617" spans="10:10">
      <c r="J2617" s="80"/>
    </row>
    <row r="2618" spans="10:10">
      <c r="J2618" s="80"/>
    </row>
    <row r="2619" spans="10:10">
      <c r="J2619" s="80"/>
    </row>
    <row r="2620" spans="10:10">
      <c r="J2620" s="80"/>
    </row>
    <row r="2621" spans="10:10">
      <c r="J2621" s="80"/>
    </row>
    <row r="2622" spans="10:10">
      <c r="J2622" s="80"/>
    </row>
    <row r="2623" spans="10:10">
      <c r="J2623" s="80"/>
    </row>
    <row r="2624" spans="10:10">
      <c r="J2624" s="80"/>
    </row>
    <row r="2625" spans="10:10">
      <c r="J2625" s="80"/>
    </row>
    <row r="2626" spans="10:10">
      <c r="J2626" s="80"/>
    </row>
    <row r="2627" spans="10:10">
      <c r="J2627" s="80"/>
    </row>
    <row r="2628" spans="10:10">
      <c r="J2628" s="80"/>
    </row>
    <row r="2629" spans="10:10">
      <c r="J2629" s="80"/>
    </row>
    <row r="2630" spans="10:10">
      <c r="J2630" s="80"/>
    </row>
    <row r="2631" spans="10:10">
      <c r="J2631" s="80"/>
    </row>
    <row r="2632" spans="10:10">
      <c r="J2632" s="80"/>
    </row>
    <row r="2633" spans="10:10">
      <c r="J2633" s="80"/>
    </row>
    <row r="2634" spans="10:10">
      <c r="J2634" s="80"/>
    </row>
    <row r="2635" spans="10:10">
      <c r="J2635" s="80"/>
    </row>
    <row r="2636" spans="10:10">
      <c r="J2636" s="80"/>
    </row>
    <row r="2637" spans="10:10">
      <c r="J2637" s="80"/>
    </row>
    <row r="2638" spans="10:10">
      <c r="J2638" s="80"/>
    </row>
    <row r="2639" spans="10:10">
      <c r="J2639" s="80"/>
    </row>
    <row r="2640" spans="10:10">
      <c r="J2640" s="80"/>
    </row>
    <row r="2641" spans="10:10">
      <c r="J2641" s="80"/>
    </row>
    <row r="2642" spans="10:10">
      <c r="J2642" s="80"/>
    </row>
  </sheetData>
  <conditionalFormatting sqref="O$1:O$1048576">
    <cfRule type="duplicateValues" dxfId="72" priority="1"/>
  </conditionalFormatting>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tabColor theme="1"/>
  </sheetPr>
  <dimension ref="A1:G67"/>
  <sheetViews>
    <sheetView topLeftCell="D1" workbookViewId="0">
      <selection activeCell="B31" sqref="B31"/>
    </sheetView>
  </sheetViews>
  <sheetFormatPr defaultColWidth="8.88888888888889" defaultRowHeight="15.6" outlineLevelCol="6"/>
  <cols>
    <col min="1" max="1" width="10.5555555555556" style="80" hidden="1" customWidth="1" outlineLevel="1"/>
    <col min="2" max="3" width="97.4444444444444" style="80" hidden="1" customWidth="1" outlineLevel="1"/>
    <col min="4" max="4" width="8.88888888888889" style="81" collapsed="1"/>
    <col min="5" max="5" width="10.5555555555556" style="82" customWidth="1"/>
    <col min="6" max="6" width="9.66666666666667" style="82" customWidth="1"/>
    <col min="7" max="7" width="31.5555555555556" style="82" customWidth="1"/>
    <col min="8" max="16384" width="8.88888888888889" style="81"/>
  </cols>
  <sheetData>
    <row r="1" spans="1:7">
      <c r="A1" s="83" t="s">
        <v>4713</v>
      </c>
      <c r="B1" s="84" t="s">
        <v>4714</v>
      </c>
      <c r="C1" s="84" t="s">
        <v>4715</v>
      </c>
      <c r="E1" s="85" t="s">
        <v>4713</v>
      </c>
      <c r="F1" s="85" t="s">
        <v>907</v>
      </c>
      <c r="G1" s="85" t="s">
        <v>1735</v>
      </c>
    </row>
    <row r="2" spans="1:7">
      <c r="A2" s="86" t="s">
        <v>4716</v>
      </c>
      <c r="B2" s="87" t="s">
        <v>4717</v>
      </c>
      <c r="C2" s="87" t="s">
        <v>4718</v>
      </c>
      <c r="F2" s="88" t="s">
        <v>939</v>
      </c>
      <c r="G2" s="88" t="s">
        <v>663</v>
      </c>
    </row>
    <row r="3" spans="1:7">
      <c r="A3" s="86" t="s">
        <v>4719</v>
      </c>
      <c r="B3" s="87" t="s">
        <v>4720</v>
      </c>
      <c r="C3" s="87" t="s">
        <v>4721</v>
      </c>
      <c r="E3" s="82" t="s">
        <v>1751</v>
      </c>
      <c r="F3" s="89" t="s">
        <v>1751</v>
      </c>
      <c r="G3" s="90" t="s">
        <v>4722</v>
      </c>
    </row>
    <row r="4" spans="1:7">
      <c r="A4" s="86" t="s">
        <v>4723</v>
      </c>
      <c r="B4" s="87" t="s">
        <v>4724</v>
      </c>
      <c r="C4" s="87" t="s">
        <v>4725</v>
      </c>
      <c r="E4" s="82" t="s">
        <v>1757</v>
      </c>
      <c r="F4" s="89" t="s">
        <v>1757</v>
      </c>
      <c r="G4" s="90" t="s">
        <v>4726</v>
      </c>
    </row>
    <row r="5" spans="1:7">
      <c r="A5" s="91" t="s">
        <v>4727</v>
      </c>
      <c r="B5" s="87" t="s">
        <v>4728</v>
      </c>
      <c r="C5" s="87" t="s">
        <v>4729</v>
      </c>
      <c r="F5" s="88" t="s">
        <v>941</v>
      </c>
      <c r="G5" s="88" t="s">
        <v>664</v>
      </c>
    </row>
    <row r="6" spans="1:7">
      <c r="A6" s="86" t="s">
        <v>1773</v>
      </c>
      <c r="B6" s="87" t="s">
        <v>4730</v>
      </c>
      <c r="C6" s="87" t="s">
        <v>4731</v>
      </c>
      <c r="E6" s="82" t="s">
        <v>1764</v>
      </c>
      <c r="F6" s="89" t="s">
        <v>1765</v>
      </c>
      <c r="G6" s="90" t="s">
        <v>1766</v>
      </c>
    </row>
    <row r="7" spans="1:7">
      <c r="A7" s="86" t="s">
        <v>1780</v>
      </c>
      <c r="B7" s="87" t="s">
        <v>4732</v>
      </c>
      <c r="C7" s="87" t="s">
        <v>4733</v>
      </c>
      <c r="F7" s="89"/>
      <c r="G7" s="92" t="s">
        <v>1768</v>
      </c>
    </row>
    <row r="8" spans="1:7">
      <c r="A8" s="86" t="s">
        <v>1764</v>
      </c>
      <c r="B8" s="87" t="s">
        <v>4734</v>
      </c>
      <c r="C8" s="87" t="s">
        <v>4735</v>
      </c>
      <c r="F8" s="89"/>
      <c r="G8" s="92" t="s">
        <v>1770</v>
      </c>
    </row>
    <row r="9" spans="1:7">
      <c r="A9" s="86" t="s">
        <v>1882</v>
      </c>
      <c r="B9" s="87" t="s">
        <v>4736</v>
      </c>
      <c r="C9" s="87" t="s">
        <v>4737</v>
      </c>
      <c r="F9" s="89"/>
      <c r="G9" s="92" t="s">
        <v>1772</v>
      </c>
    </row>
    <row r="10" spans="1:7">
      <c r="A10" s="86" t="s">
        <v>4738</v>
      </c>
      <c r="B10" s="87" t="s">
        <v>4739</v>
      </c>
      <c r="C10" s="87" t="s">
        <v>4740</v>
      </c>
      <c r="E10" s="82" t="s">
        <v>1773</v>
      </c>
      <c r="F10" s="89" t="s">
        <v>1774</v>
      </c>
      <c r="G10" s="90" t="s">
        <v>1775</v>
      </c>
    </row>
    <row r="11" spans="1:7">
      <c r="A11" s="86" t="s">
        <v>4741</v>
      </c>
      <c r="B11" s="87" t="s">
        <v>4742</v>
      </c>
      <c r="C11" s="87" t="s">
        <v>4743</v>
      </c>
      <c r="E11" s="82" t="s">
        <v>1773</v>
      </c>
      <c r="F11" s="89" t="s">
        <v>1777</v>
      </c>
      <c r="G11" s="90" t="s">
        <v>4744</v>
      </c>
    </row>
    <row r="12" spans="1:7">
      <c r="A12" s="86" t="s">
        <v>1791</v>
      </c>
      <c r="B12" s="87" t="s">
        <v>4745</v>
      </c>
      <c r="C12" s="87" t="s">
        <v>4746</v>
      </c>
      <c r="E12" s="82" t="s">
        <v>1780</v>
      </c>
      <c r="F12" s="89" t="s">
        <v>1781</v>
      </c>
      <c r="G12" s="90" t="s">
        <v>1782</v>
      </c>
    </row>
    <row r="13" spans="1:7">
      <c r="A13" s="86" t="s">
        <v>4747</v>
      </c>
      <c r="B13" s="87" t="s">
        <v>4748</v>
      </c>
      <c r="C13" s="87" t="s">
        <v>4749</v>
      </c>
      <c r="F13" s="89" t="s">
        <v>1784</v>
      </c>
      <c r="G13" s="90" t="s">
        <v>1785</v>
      </c>
    </row>
    <row r="14" spans="1:7">
      <c r="A14" s="86" t="s">
        <v>1887</v>
      </c>
      <c r="B14" s="87" t="s">
        <v>4750</v>
      </c>
      <c r="C14" s="87" t="s">
        <v>4751</v>
      </c>
      <c r="E14" s="82" t="s">
        <v>1788</v>
      </c>
      <c r="F14" s="89" t="s">
        <v>1789</v>
      </c>
      <c r="G14" s="92" t="s">
        <v>1790</v>
      </c>
    </row>
    <row r="15" spans="1:7">
      <c r="A15" s="86" t="s">
        <v>1788</v>
      </c>
      <c r="B15" s="87" t="s">
        <v>4752</v>
      </c>
      <c r="C15" s="87" t="s">
        <v>1790</v>
      </c>
      <c r="E15" s="82" t="s">
        <v>1791</v>
      </c>
      <c r="F15" s="89" t="s">
        <v>1792</v>
      </c>
      <c r="G15" s="92" t="s">
        <v>1793</v>
      </c>
    </row>
    <row r="16" spans="1:7">
      <c r="A16" s="86" t="s">
        <v>4753</v>
      </c>
      <c r="B16" s="87" t="s">
        <v>4754</v>
      </c>
      <c r="C16" s="87" t="s">
        <v>4755</v>
      </c>
      <c r="E16" s="82" t="s">
        <v>1794</v>
      </c>
      <c r="F16" s="89" t="s">
        <v>1795</v>
      </c>
      <c r="G16" s="92" t="s">
        <v>1796</v>
      </c>
    </row>
    <row r="17" spans="1:7">
      <c r="A17" s="86" t="s">
        <v>4756</v>
      </c>
      <c r="B17" s="87" t="s">
        <v>4757</v>
      </c>
      <c r="C17" s="87" t="s">
        <v>4758</v>
      </c>
      <c r="E17" s="82" t="s">
        <v>1780</v>
      </c>
      <c r="F17" s="88" t="s">
        <v>942</v>
      </c>
      <c r="G17" s="88" t="s">
        <v>665</v>
      </c>
    </row>
    <row r="18" spans="1:7">
      <c r="A18" s="86" t="s">
        <v>1891</v>
      </c>
      <c r="B18" s="87" t="s">
        <v>4759</v>
      </c>
      <c r="C18" s="87" t="s">
        <v>4760</v>
      </c>
      <c r="F18" s="89" t="s">
        <v>1804</v>
      </c>
      <c r="G18" s="90" t="s">
        <v>1805</v>
      </c>
    </row>
    <row r="19" spans="1:7">
      <c r="A19" s="86" t="s">
        <v>4761</v>
      </c>
      <c r="B19" s="87" t="s">
        <v>4762</v>
      </c>
      <c r="C19" s="87" t="s">
        <v>4763</v>
      </c>
      <c r="F19" s="89" t="s">
        <v>1807</v>
      </c>
      <c r="G19" s="90" t="s">
        <v>1808</v>
      </c>
    </row>
    <row r="20" spans="1:7">
      <c r="A20" s="86" t="s">
        <v>4764</v>
      </c>
      <c r="B20" s="87" t="s">
        <v>4765</v>
      </c>
      <c r="C20" s="87" t="s">
        <v>4766</v>
      </c>
      <c r="F20" s="89" t="s">
        <v>1811</v>
      </c>
      <c r="G20" s="90" t="s">
        <v>1809</v>
      </c>
    </row>
    <row r="21" spans="1:7">
      <c r="A21" s="86" t="s">
        <v>4767</v>
      </c>
      <c r="B21" s="87" t="s">
        <v>4768</v>
      </c>
      <c r="C21" s="87" t="s">
        <v>4769</v>
      </c>
      <c r="F21" s="89" t="s">
        <v>1813</v>
      </c>
      <c r="G21" s="90" t="s">
        <v>1812</v>
      </c>
    </row>
    <row r="22" spans="1:7">
      <c r="A22" s="86" t="s">
        <v>1858</v>
      </c>
      <c r="B22" s="87" t="s">
        <v>4770</v>
      </c>
      <c r="C22" s="87" t="s">
        <v>4771</v>
      </c>
      <c r="F22" s="89" t="s">
        <v>1816</v>
      </c>
      <c r="G22" s="90" t="s">
        <v>1814</v>
      </c>
    </row>
    <row r="23" spans="1:7">
      <c r="A23" s="86" t="s">
        <v>1864</v>
      </c>
      <c r="B23" s="87" t="s">
        <v>4772</v>
      </c>
      <c r="C23" s="87" t="s">
        <v>4773</v>
      </c>
      <c r="F23" s="89" t="s">
        <v>1818</v>
      </c>
      <c r="G23" s="90" t="s">
        <v>1817</v>
      </c>
    </row>
    <row r="24" spans="1:7">
      <c r="A24" s="86" t="s">
        <v>1867</v>
      </c>
      <c r="B24" s="87" t="s">
        <v>4774</v>
      </c>
      <c r="C24" s="87" t="s">
        <v>4775</v>
      </c>
      <c r="F24" s="89" t="s">
        <v>1819</v>
      </c>
      <c r="G24" s="90" t="s">
        <v>1820</v>
      </c>
    </row>
    <row r="25" spans="1:7">
      <c r="A25" s="86" t="s">
        <v>1839</v>
      </c>
      <c r="B25" s="87" t="s">
        <v>4776</v>
      </c>
      <c r="C25" s="87" t="s">
        <v>4777</v>
      </c>
      <c r="F25" s="88" t="s">
        <v>943</v>
      </c>
      <c r="G25" s="88" t="s">
        <v>666</v>
      </c>
    </row>
    <row r="26" spans="1:7">
      <c r="A26" s="86" t="s">
        <v>1901</v>
      </c>
      <c r="B26" s="87" t="s">
        <v>4778</v>
      </c>
      <c r="C26" s="87" t="s">
        <v>4779</v>
      </c>
      <c r="E26" s="82" t="s">
        <v>1826</v>
      </c>
      <c r="F26" s="89" t="s">
        <v>1827</v>
      </c>
      <c r="G26" s="90" t="s">
        <v>1828</v>
      </c>
    </row>
    <row r="27" spans="1:7">
      <c r="A27" s="86" t="s">
        <v>1851</v>
      </c>
      <c r="B27" s="87" t="s">
        <v>4780</v>
      </c>
      <c r="C27" s="87" t="s">
        <v>4781</v>
      </c>
      <c r="E27" s="82" t="s">
        <v>1826</v>
      </c>
      <c r="F27" s="89" t="s">
        <v>1827</v>
      </c>
      <c r="G27" s="90" t="s">
        <v>1834</v>
      </c>
    </row>
    <row r="28" spans="1:7">
      <c r="A28" s="86" t="s">
        <v>4782</v>
      </c>
      <c r="B28" s="87" t="s">
        <v>4783</v>
      </c>
      <c r="C28" s="87" t="s">
        <v>4784</v>
      </c>
      <c r="E28" s="82" t="s">
        <v>1839</v>
      </c>
      <c r="F28" s="89" t="s">
        <v>1840</v>
      </c>
      <c r="G28" s="90" t="s">
        <v>1841</v>
      </c>
    </row>
    <row r="29" spans="1:7">
      <c r="A29" s="86" t="s">
        <v>4785</v>
      </c>
      <c r="B29" s="87" t="s">
        <v>4786</v>
      </c>
      <c r="C29" s="87" t="s">
        <v>4787</v>
      </c>
      <c r="F29" s="93"/>
      <c r="G29" s="92" t="s">
        <v>1844</v>
      </c>
    </row>
    <row r="30" spans="1:7">
      <c r="A30" s="86" t="s">
        <v>4788</v>
      </c>
      <c r="B30" s="86" t="s">
        <v>4789</v>
      </c>
      <c r="C30" s="86" t="s">
        <v>4790</v>
      </c>
      <c r="F30" s="93"/>
      <c r="G30" s="92" t="s">
        <v>1848</v>
      </c>
    </row>
    <row r="31" spans="1:7">
      <c r="A31" s="86" t="s">
        <v>4791</v>
      </c>
      <c r="B31" s="87" t="s">
        <v>4792</v>
      </c>
      <c r="C31" s="87" t="s">
        <v>4793</v>
      </c>
      <c r="E31" s="82" t="s">
        <v>1851</v>
      </c>
      <c r="F31" s="89" t="s">
        <v>1852</v>
      </c>
      <c r="G31" s="90" t="s">
        <v>4794</v>
      </c>
    </row>
    <row r="32" spans="1:7">
      <c r="A32" s="86" t="s">
        <v>4795</v>
      </c>
      <c r="B32" s="87" t="s">
        <v>4796</v>
      </c>
      <c r="C32" s="87" t="s">
        <v>4797</v>
      </c>
      <c r="E32" s="82" t="s">
        <v>1851</v>
      </c>
      <c r="F32" s="89" t="s">
        <v>1852</v>
      </c>
      <c r="G32" s="90" t="s">
        <v>1856</v>
      </c>
    </row>
    <row r="33" spans="1:7">
      <c r="A33" s="86" t="s">
        <v>1870</v>
      </c>
      <c r="B33" s="87" t="s">
        <v>4798</v>
      </c>
      <c r="C33" s="87" t="s">
        <v>4799</v>
      </c>
      <c r="E33" s="82" t="s">
        <v>1858</v>
      </c>
      <c r="F33" s="89" t="s">
        <v>1859</v>
      </c>
      <c r="G33" s="90" t="s">
        <v>1860</v>
      </c>
    </row>
    <row r="34" spans="1:7">
      <c r="A34" s="86" t="s">
        <v>1826</v>
      </c>
      <c r="B34" s="87" t="s">
        <v>4800</v>
      </c>
      <c r="C34" s="87" t="s">
        <v>4801</v>
      </c>
      <c r="E34" s="82" t="s">
        <v>1864</v>
      </c>
      <c r="F34" s="89" t="s">
        <v>1859</v>
      </c>
      <c r="G34" s="90" t="s">
        <v>1865</v>
      </c>
    </row>
    <row r="35" spans="1:7">
      <c r="A35" s="86" t="s">
        <v>4802</v>
      </c>
      <c r="B35" s="87" t="s">
        <v>4803</v>
      </c>
      <c r="C35" s="87" t="s">
        <v>4804</v>
      </c>
      <c r="E35" s="82" t="s">
        <v>1867</v>
      </c>
      <c r="F35" s="89" t="s">
        <v>1859</v>
      </c>
      <c r="G35" s="90" t="s">
        <v>1868</v>
      </c>
    </row>
    <row r="36" spans="1:7">
      <c r="A36" s="86" t="s">
        <v>4805</v>
      </c>
      <c r="B36" s="87" t="s">
        <v>4806</v>
      </c>
      <c r="C36" s="87" t="s">
        <v>4807</v>
      </c>
      <c r="E36" s="82" t="s">
        <v>1870</v>
      </c>
      <c r="F36" s="89" t="s">
        <v>1871</v>
      </c>
      <c r="G36" s="90" t="s">
        <v>1752</v>
      </c>
    </row>
    <row r="37" spans="1:7">
      <c r="A37" s="86" t="s">
        <v>4808</v>
      </c>
      <c r="B37" s="87" t="s">
        <v>4809</v>
      </c>
      <c r="C37" s="87" t="s">
        <v>4810</v>
      </c>
      <c r="E37" s="82" t="s">
        <v>1870</v>
      </c>
      <c r="F37" s="89" t="s">
        <v>1876</v>
      </c>
      <c r="G37" s="90" t="s">
        <v>1877</v>
      </c>
    </row>
    <row r="38" spans="1:7">
      <c r="A38" s="86" t="s">
        <v>4811</v>
      </c>
      <c r="B38" s="87" t="s">
        <v>4812</v>
      </c>
      <c r="C38" s="87" t="s">
        <v>4813</v>
      </c>
      <c r="E38" s="82" t="s">
        <v>1870</v>
      </c>
      <c r="F38" s="89" t="s">
        <v>1879</v>
      </c>
      <c r="G38" s="90" t="s">
        <v>1880</v>
      </c>
    </row>
    <row r="39" spans="1:7">
      <c r="A39" s="86" t="s">
        <v>1794</v>
      </c>
      <c r="B39" s="87" t="s">
        <v>4814</v>
      </c>
      <c r="C39" s="87" t="s">
        <v>1900</v>
      </c>
      <c r="E39" s="82" t="s">
        <v>1882</v>
      </c>
      <c r="F39" s="89" t="s">
        <v>1883</v>
      </c>
      <c r="G39" s="90" t="s">
        <v>1884</v>
      </c>
    </row>
    <row r="40" spans="1:7">
      <c r="A40" s="86" t="s">
        <v>4815</v>
      </c>
      <c r="B40" s="87" t="s">
        <v>4816</v>
      </c>
      <c r="C40" s="87" t="s">
        <v>4817</v>
      </c>
      <c r="E40" s="82" t="s">
        <v>1887</v>
      </c>
      <c r="F40" s="89" t="s">
        <v>1888</v>
      </c>
      <c r="G40" s="90" t="s">
        <v>1889</v>
      </c>
    </row>
    <row r="41" spans="1:7">
      <c r="A41" s="86" t="s">
        <v>4818</v>
      </c>
      <c r="B41" s="87" t="s">
        <v>4819</v>
      </c>
      <c r="C41" s="87" t="s">
        <v>4817</v>
      </c>
      <c r="E41" s="82" t="s">
        <v>1891</v>
      </c>
      <c r="F41" s="89" t="s">
        <v>1892</v>
      </c>
      <c r="G41" s="90" t="s">
        <v>1893</v>
      </c>
    </row>
    <row r="42" spans="1:7">
      <c r="A42" s="86" t="s">
        <v>4820</v>
      </c>
      <c r="B42" s="87" t="s">
        <v>4819</v>
      </c>
      <c r="C42" s="87" t="s">
        <v>4821</v>
      </c>
      <c r="E42" s="82" t="s">
        <v>1901</v>
      </c>
      <c r="F42" s="88" t="s">
        <v>944</v>
      </c>
      <c r="G42" s="88" t="s">
        <v>667</v>
      </c>
    </row>
    <row r="43" spans="1:7">
      <c r="A43" s="86" t="s">
        <v>4822</v>
      </c>
      <c r="B43" s="87" t="s">
        <v>4823</v>
      </c>
      <c r="C43" s="87" t="s">
        <v>4824</v>
      </c>
      <c r="F43" s="89" t="s">
        <v>1906</v>
      </c>
      <c r="G43" s="94" t="s">
        <v>1907</v>
      </c>
    </row>
    <row r="44" spans="1:7">
      <c r="A44" s="86" t="s">
        <v>4825</v>
      </c>
      <c r="B44" s="87" t="s">
        <v>4826</v>
      </c>
      <c r="C44" s="87" t="s">
        <v>4827</v>
      </c>
      <c r="F44" s="89" t="s">
        <v>1910</v>
      </c>
      <c r="G44" s="94" t="s">
        <v>4828</v>
      </c>
    </row>
    <row r="45" spans="1:7">
      <c r="F45" s="89"/>
      <c r="G45" s="95" t="s">
        <v>4829</v>
      </c>
    </row>
    <row r="46" spans="1:7">
      <c r="F46" s="89"/>
      <c r="G46" s="95" t="s">
        <v>4830</v>
      </c>
    </row>
    <row r="47" spans="1:7">
      <c r="F47" s="89"/>
      <c r="G47" s="95" t="s">
        <v>4831</v>
      </c>
    </row>
    <row r="48" spans="1:7">
      <c r="F48" s="89" t="s">
        <v>1924</v>
      </c>
      <c r="G48" s="94" t="s">
        <v>1925</v>
      </c>
    </row>
    <row r="49" spans="6:7">
      <c r="F49" s="89"/>
      <c r="G49" s="95" t="s">
        <v>4829</v>
      </c>
    </row>
    <row r="50" spans="6:7">
      <c r="F50" s="89"/>
      <c r="G50" s="95" t="s">
        <v>4830</v>
      </c>
    </row>
    <row r="51" spans="6:7">
      <c r="F51" s="89"/>
      <c r="G51" s="95" t="s">
        <v>4831</v>
      </c>
    </row>
    <row r="52" spans="6:7">
      <c r="F52" s="89" t="s">
        <v>1927</v>
      </c>
      <c r="G52" s="94" t="s">
        <v>1928</v>
      </c>
    </row>
    <row r="53" spans="6:7">
      <c r="F53" s="89"/>
      <c r="G53" s="95" t="s">
        <v>4829</v>
      </c>
    </row>
    <row r="54" spans="6:7">
      <c r="F54" s="89"/>
      <c r="G54" s="95" t="s">
        <v>4830</v>
      </c>
    </row>
    <row r="55" spans="6:7">
      <c r="F55" s="89"/>
      <c r="G55" s="95" t="s">
        <v>4831</v>
      </c>
    </row>
    <row r="56" spans="6:7">
      <c r="F56" s="89" t="s">
        <v>1929</v>
      </c>
      <c r="G56" s="94" t="s">
        <v>1930</v>
      </c>
    </row>
    <row r="57" spans="6:7">
      <c r="F57" s="89" t="s">
        <v>1931</v>
      </c>
      <c r="G57" s="94" t="s">
        <v>1932</v>
      </c>
    </row>
    <row r="58" spans="6:7">
      <c r="F58" s="89" t="s">
        <v>1933</v>
      </c>
      <c r="G58" s="94" t="s">
        <v>4832</v>
      </c>
    </row>
    <row r="59" spans="6:7">
      <c r="F59" s="89" t="s">
        <v>1935</v>
      </c>
      <c r="G59" s="94" t="s">
        <v>4833</v>
      </c>
    </row>
    <row r="60" spans="6:7">
      <c r="F60" s="89" t="s">
        <v>1937</v>
      </c>
      <c r="G60" s="94" t="s">
        <v>4834</v>
      </c>
    </row>
    <row r="61" ht="30" spans="6:7">
      <c r="F61" s="89" t="s">
        <v>1940</v>
      </c>
      <c r="G61" s="94" t="s">
        <v>1941</v>
      </c>
    </row>
    <row r="62" ht="30" spans="6:7">
      <c r="F62" s="89" t="s">
        <v>1943</v>
      </c>
      <c r="G62" s="94" t="s">
        <v>1944</v>
      </c>
    </row>
    <row r="63" spans="6:7">
      <c r="F63" s="89" t="s">
        <v>1945</v>
      </c>
      <c r="G63" s="94" t="s">
        <v>1946</v>
      </c>
    </row>
    <row r="64" spans="6:7">
      <c r="F64" s="89" t="s">
        <v>1947</v>
      </c>
      <c r="G64" s="94" t="s">
        <v>1948</v>
      </c>
    </row>
    <row r="65" spans="6:7">
      <c r="F65" s="89" t="s">
        <v>1950</v>
      </c>
      <c r="G65" s="94" t="s">
        <v>1951</v>
      </c>
    </row>
    <row r="66" spans="6:7">
      <c r="F66" s="89" t="s">
        <v>1952</v>
      </c>
      <c r="G66" s="94" t="s">
        <v>1953</v>
      </c>
    </row>
    <row r="67" ht="30" spans="6:7">
      <c r="F67" s="89" t="s">
        <v>1955</v>
      </c>
      <c r="G67" s="94" t="s">
        <v>4835</v>
      </c>
    </row>
  </sheetData>
  <sheetProtection algorithmName="SHA-512" hashValue="IrtLcIAG1px5cHfOT1qzm4eicUD+LM3+UhMkPCBW9lVfL25kI0aDqgd1JVp+T45pQjKMJZGdd33J5LPldVKfGA==" saltValue="V3vLWO8s1gIO3N9ycHbAUA==" spinCount="100000" sheet="1" objects="1" scenarios="1"/>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tabColor theme="1" tint="0.0499893185216834"/>
  </sheetPr>
  <dimension ref="A1:R54"/>
  <sheetViews>
    <sheetView zoomScale="55" zoomScaleNormal="55" topLeftCell="A14" workbookViewId="0">
      <selection activeCell="F47" sqref="F47"/>
    </sheetView>
  </sheetViews>
  <sheetFormatPr defaultColWidth="8.88888888888889" defaultRowHeight="15.6"/>
  <cols>
    <col min="1" max="1" width="10.6666666666667" style="1" customWidth="1"/>
    <col min="2" max="2" width="23.8888888888889" style="1" customWidth="1"/>
    <col min="3" max="4" width="18.7777777777778" style="1" customWidth="1"/>
    <col min="5" max="5" width="23.1111111111111" style="1" customWidth="1"/>
    <col min="6" max="6" width="21.2222222222222" style="1" customWidth="1"/>
    <col min="7" max="7" width="13.4444444444444" style="1" customWidth="1"/>
    <col min="8" max="9" width="13.4444444444444" style="1" hidden="1" customWidth="1"/>
    <col min="10" max="10" width="16.8888888888889" style="2" customWidth="1" outlineLevel="1"/>
    <col min="11" max="11" width="14.6666666666667" style="3" customWidth="1" outlineLevel="1"/>
    <col min="12" max="13" width="14.6666666666667" style="4" customWidth="1" outlineLevel="1"/>
    <col min="14" max="15" width="12.4444444444444" style="5" customWidth="1" outlineLevel="1"/>
    <col min="16" max="16" width="4" style="5" customWidth="1"/>
    <col min="17" max="17" width="12.4444444444444" style="4" customWidth="1"/>
    <col min="18" max="18" width="39.3333333333333" style="1" customWidth="1"/>
    <col min="19" max="23" width="8.88888888888889" style="1" customWidth="1"/>
    <col min="24" max="16382" width="8.88888888888889" style="1"/>
    <col min="16383" max="16384" width="8.88888888888889" style="6"/>
  </cols>
  <sheetData>
    <row r="1" ht="31.8" customHeight="1" spans="1:18">
      <c r="H1" s="1" t="s">
        <v>4836</v>
      </c>
      <c r="I1" s="4">
        <v>1</v>
      </c>
      <c r="J1" s="7" t="s">
        <v>4837</v>
      </c>
      <c r="K1" s="7" t="s">
        <v>4838</v>
      </c>
      <c r="L1" s="5"/>
      <c r="M1" s="8">
        <v>1.3</v>
      </c>
      <c r="N1" s="4"/>
      <c r="O1" s="1"/>
      <c r="P1" s="1"/>
      <c r="Q1" s="9" t="s">
        <v>4838</v>
      </c>
      <c r="R1" s="10" t="s">
        <v>4839</v>
      </c>
    </row>
    <row r="2" ht="32.4" spans="1:18">
      <c r="A2" s="11" t="s">
        <v>1148</v>
      </c>
      <c r="B2" s="11" t="s">
        <v>587</v>
      </c>
      <c r="C2" s="11" t="s">
        <v>588</v>
      </c>
      <c r="D2" s="11" t="s">
        <v>589</v>
      </c>
      <c r="E2" s="11" t="s">
        <v>590</v>
      </c>
      <c r="F2" s="11" t="s">
        <v>591</v>
      </c>
      <c r="G2" s="12" t="s">
        <v>592</v>
      </c>
      <c r="H2" s="12" t="s">
        <v>1164</v>
      </c>
      <c r="I2" s="12" t="s">
        <v>1173</v>
      </c>
      <c r="J2" s="13" t="s">
        <v>4840</v>
      </c>
      <c r="K2" s="13" t="s">
        <v>4841</v>
      </c>
      <c r="L2" s="13" t="s">
        <v>4842</v>
      </c>
      <c r="M2" s="14" t="s">
        <v>4843</v>
      </c>
      <c r="N2" s="15" t="s">
        <v>4844</v>
      </c>
      <c r="O2" s="1"/>
      <c r="P2" s="1"/>
      <c r="Q2" s="9" t="s">
        <v>4845</v>
      </c>
      <c r="R2" s="10"/>
    </row>
    <row r="3" ht="16.2" spans="1:18">
      <c r="A3" s="16" t="s">
        <v>569</v>
      </c>
      <c r="B3" s="16" t="s">
        <v>569</v>
      </c>
      <c r="C3" s="16" t="s">
        <v>593</v>
      </c>
      <c r="D3" s="16" t="s">
        <v>571</v>
      </c>
      <c r="E3" s="16" t="s">
        <v>594</v>
      </c>
      <c r="F3" s="17" t="s">
        <v>595</v>
      </c>
      <c r="G3" s="17">
        <f>SUMIF(服务费底表!$T:$T,$F3,服务费底表!$AC:$AC)+SUMIF(注册申报底表!$S:$S,$F3,注册申报底表!$Z:$Z)</f>
        <v>2739.5</v>
      </c>
      <c r="H3" s="17">
        <f>SUMIF(服务费底表!$T:$T,$F3,服务费底表!$AT:$AT)+SUMIF(注册申报底表!$S:$S,$F3,注册申报底表!$AW:$AW)</f>
        <v>2711.5</v>
      </c>
      <c r="I3" s="17">
        <f t="shared" ref="I3:I14" si="0">H3*$I$1</f>
        <v>2711.5</v>
      </c>
      <c r="J3" s="18">
        <f>ROUND(_xlfn.IFS(OR(人员场景="标准",人员场景=""),'Rate Card'!$L3,人员场景="审批调整",'Rate Card'!$K3)*通胀系数,0)</f>
        <v>340</v>
      </c>
      <c r="K3" s="18">
        <f t="shared" ref="K3:K14" si="1">ROUND($L3*$Q3,0)</f>
        <v>340</v>
      </c>
      <c r="L3" s="18">
        <v>340</v>
      </c>
      <c r="M3" s="19">
        <f>155*$M$1</f>
        <v>201.5</v>
      </c>
      <c r="N3" s="20" t="s">
        <v>4846</v>
      </c>
      <c r="O3" s="1"/>
      <c r="P3" s="1"/>
      <c r="Q3" s="21">
        <v>1</v>
      </c>
      <c r="R3" s="10" t="s">
        <v>4847</v>
      </c>
    </row>
    <row r="4" ht="16.2" spans="1:18">
      <c r="A4" s="16" t="s">
        <v>569</v>
      </c>
      <c r="B4" s="22" t="s">
        <v>569</v>
      </c>
      <c r="C4" s="16" t="s">
        <v>593</v>
      </c>
      <c r="D4" s="16" t="s">
        <v>571</v>
      </c>
      <c r="E4" s="16" t="s">
        <v>596</v>
      </c>
      <c r="F4" s="17" t="s">
        <v>597</v>
      </c>
      <c r="G4" s="17">
        <f>SUMIF(服务费底表!$T:$T,$F4,服务费底表!$AC:$AC)+SUMIF(注册申报底表!$S:$S,$F4,注册申报底表!$Z:$Z)</f>
        <v>281</v>
      </c>
      <c r="H4" s="17">
        <f>SUMIF(服务费底表!$T:$T,$F4,服务费底表!$AT:$AT)+SUMIF(注册申报底表!$S:$S,$F4,注册申报底表!$AW:$AW)</f>
        <v>281</v>
      </c>
      <c r="I4" s="17">
        <f t="shared" si="0"/>
        <v>281</v>
      </c>
      <c r="J4" s="18">
        <f>ROUND(_xlfn.IFS(OR(人员场景="标准",人员场景=""),'Rate Card'!$L4,人员场景="审批调整",'Rate Card'!$K4)*通胀系数,0)</f>
        <v>220</v>
      </c>
      <c r="K4" s="18">
        <f t="shared" si="1"/>
        <v>220</v>
      </c>
      <c r="L4" s="18">
        <v>220</v>
      </c>
      <c r="M4" s="19">
        <f>89*$M$1</f>
        <v>115.7</v>
      </c>
      <c r="N4" s="20" t="s">
        <v>597</v>
      </c>
      <c r="O4" s="1"/>
      <c r="P4" s="1"/>
      <c r="Q4" s="21">
        <v>1</v>
      </c>
      <c r="R4" s="10" t="s">
        <v>4847</v>
      </c>
    </row>
    <row r="5" ht="16.2" spans="1:18">
      <c r="A5" s="16" t="s">
        <v>569</v>
      </c>
      <c r="B5" s="22" t="s">
        <v>569</v>
      </c>
      <c r="C5" s="16" t="s">
        <v>593</v>
      </c>
      <c r="D5" s="16" t="s">
        <v>570</v>
      </c>
      <c r="E5" s="22" t="s">
        <v>4848</v>
      </c>
      <c r="F5" s="16" t="s">
        <v>599</v>
      </c>
      <c r="G5" s="17">
        <f>SUMIF(服务费底表!$T:$T,$F5,服务费底表!$AC:$AC)+SUMIF(注册申报底表!$S:$S,$F5,注册申报底表!$Z:$Z)</f>
        <v>1291.9</v>
      </c>
      <c r="H5" s="17">
        <f>SUMIF(服务费底表!$T:$T,$F5,服务费底表!$AT:$AT)+SUMIF(注册申报底表!$S:$S,$F5,注册申报底表!$AW:$AW)</f>
        <v>1279.5</v>
      </c>
      <c r="I5" s="17">
        <f t="shared" si="0"/>
        <v>1279.5</v>
      </c>
      <c r="J5" s="18">
        <f>ROUND(_xlfn.IFS(OR(人员场景="标准",人员场景=""),'Rate Card'!$L5,人员场景="审批调整",'Rate Card'!$K5)*通胀系数,0)</f>
        <v>650</v>
      </c>
      <c r="K5" s="18">
        <f t="shared" si="1"/>
        <v>650</v>
      </c>
      <c r="L5" s="18">
        <v>650</v>
      </c>
      <c r="M5" s="19">
        <f>259*M1</f>
        <v>336.7</v>
      </c>
      <c r="N5" s="20" t="s">
        <v>4849</v>
      </c>
      <c r="O5" s="1"/>
      <c r="P5" s="1"/>
      <c r="Q5" s="21">
        <v>1</v>
      </c>
      <c r="R5" s="10" t="s">
        <v>4847</v>
      </c>
    </row>
    <row r="6" ht="16.2" spans="1:18">
      <c r="A6" s="16" t="s">
        <v>569</v>
      </c>
      <c r="B6" s="22" t="s">
        <v>569</v>
      </c>
      <c r="C6" s="16" t="s">
        <v>593</v>
      </c>
      <c r="D6" s="16" t="s">
        <v>570</v>
      </c>
      <c r="E6" s="22" t="s">
        <v>4850</v>
      </c>
      <c r="F6" s="16" t="s">
        <v>601</v>
      </c>
      <c r="G6" s="17">
        <f>SUMIF(服务费底表!$T:$T,$F6,服务费底表!$AC:$AC)+SUMIF(注册申报底表!$S:$S,$F6,注册申报底表!$Z:$Z)</f>
        <v>44.25</v>
      </c>
      <c r="H6" s="17">
        <f>SUMIF(服务费底表!$T:$T,$F6,服务费底表!$AT:$AT)+SUMIF(注册申报底表!$S:$S,$F6,注册申报底表!$AW:$AW)</f>
        <v>44.25</v>
      </c>
      <c r="I6" s="17">
        <f t="shared" si="0"/>
        <v>44.25</v>
      </c>
      <c r="J6" s="18">
        <f>ROUND(_xlfn.IFS(OR(人员场景="标准",人员场景=""),'Rate Card'!$L6,人员场景="审批调整",'Rate Card'!$K6)*通胀系数,0)</f>
        <v>800</v>
      </c>
      <c r="K6" s="18">
        <f t="shared" si="1"/>
        <v>800</v>
      </c>
      <c r="L6" s="18">
        <v>800</v>
      </c>
      <c r="M6" s="19">
        <f>419*M1</f>
        <v>544.7</v>
      </c>
      <c r="N6" s="20" t="s">
        <v>600</v>
      </c>
      <c r="O6" s="1"/>
      <c r="P6" s="1"/>
      <c r="Q6" s="21">
        <v>1</v>
      </c>
      <c r="R6" s="10" t="s">
        <v>4847</v>
      </c>
    </row>
    <row r="7" ht="16.2" spans="1:18">
      <c r="A7" s="16" t="s">
        <v>569</v>
      </c>
      <c r="B7" s="22" t="s">
        <v>569</v>
      </c>
      <c r="C7" s="16" t="s">
        <v>593</v>
      </c>
      <c r="D7" s="16" t="s">
        <v>571</v>
      </c>
      <c r="E7" s="22" t="s">
        <v>602</v>
      </c>
      <c r="F7" s="17" t="s">
        <v>603</v>
      </c>
      <c r="G7" s="17">
        <f>SUMIF(服务费底表!$T:$T,$F7,服务费底表!$AC:$AC)+SUMIF(注册申报底表!$S:$S,$F7,注册申报底表!$Z:$Z)</f>
        <v>97</v>
      </c>
      <c r="H7" s="17">
        <f>SUMIF(服务费底表!$T:$T,$F7,服务费底表!$AT:$AT)+SUMIF(注册申报底表!$S:$S,$F7,注册申报底表!$AW:$AW)</f>
        <v>97</v>
      </c>
      <c r="I7" s="17">
        <f t="shared" si="0"/>
        <v>97</v>
      </c>
      <c r="J7" s="18">
        <f>ROUND(_xlfn.IFS(OR(人员场景="标准",人员场景=""),'Rate Card'!$L7,人员场景="审批调整",'Rate Card'!$K7)*通胀系数,0)</f>
        <v>600</v>
      </c>
      <c r="K7" s="18">
        <f t="shared" si="1"/>
        <v>600</v>
      </c>
      <c r="L7" s="18">
        <v>600</v>
      </c>
      <c r="M7" s="19">
        <f>204*M1</f>
        <v>265.2</v>
      </c>
      <c r="N7" s="20" t="s">
        <v>602</v>
      </c>
      <c r="O7" s="1"/>
      <c r="P7" s="1"/>
      <c r="Q7" s="21">
        <v>1</v>
      </c>
      <c r="R7" s="10" t="s">
        <v>4847</v>
      </c>
    </row>
    <row r="8" ht="16.2" spans="1:18">
      <c r="A8" s="16" t="s">
        <v>581</v>
      </c>
      <c r="B8" s="22" t="s">
        <v>581</v>
      </c>
      <c r="C8" s="16" t="s">
        <v>604</v>
      </c>
      <c r="D8" s="16" t="s">
        <v>605</v>
      </c>
      <c r="E8" s="22" t="s">
        <v>606</v>
      </c>
      <c r="F8" s="17" t="s">
        <v>607</v>
      </c>
      <c r="G8" s="17">
        <f>SUMIF(服务费底表!$T:$T,$F8,服务费底表!$AC:$AC)+SUMIF(注册申报底表!$S:$S,$F8,注册申报底表!$Z:$Z)</f>
        <v>0</v>
      </c>
      <c r="H8" s="17">
        <f>SUMIF(服务费底表!$T:$T,$F8,服务费底表!$AT:$AT)+SUMIF(注册申报底表!$S:$S,$F8,注册申报底表!$AW:$AW)</f>
        <v>0</v>
      </c>
      <c r="I8" s="17">
        <f t="shared" si="0"/>
        <v>0</v>
      </c>
      <c r="J8" s="18">
        <f>ROUND(_xlfn.IFS(OR(人员场景="标准",人员场景=""),'Rate Card'!$L8,人员场景="审批调整",'Rate Card'!$K8)*通胀系数,0)</f>
        <v>650</v>
      </c>
      <c r="K8" s="18">
        <f t="shared" si="1"/>
        <v>650</v>
      </c>
      <c r="L8" s="18">
        <v>650</v>
      </c>
      <c r="M8" s="19">
        <f>233*M1</f>
        <v>302.9</v>
      </c>
      <c r="N8" s="20" t="s">
        <v>606</v>
      </c>
      <c r="O8" s="1"/>
      <c r="P8" s="1"/>
      <c r="Q8" s="21">
        <v>1</v>
      </c>
      <c r="R8" s="10" t="s">
        <v>4847</v>
      </c>
    </row>
    <row r="9" ht="16.2" spans="1:18">
      <c r="A9" s="16" t="s">
        <v>581</v>
      </c>
      <c r="B9" s="22" t="s">
        <v>581</v>
      </c>
      <c r="C9" s="16" t="s">
        <v>604</v>
      </c>
      <c r="D9" s="22" t="s">
        <v>605</v>
      </c>
      <c r="E9" s="22" t="s">
        <v>608</v>
      </c>
      <c r="F9" s="17" t="s">
        <v>609</v>
      </c>
      <c r="G9" s="17">
        <f>SUMIF(服务费底表!$T:$T,$F9,服务费底表!$AC:$AC)+SUMIF(注册申报底表!$S:$S,$F9,注册申报底表!$Z:$Z)</f>
        <v>0</v>
      </c>
      <c r="H9" s="17">
        <f>SUMIF(服务费底表!$T:$T,$F9,服务费底表!$AT:$AT)+SUMIF(注册申报底表!$S:$S,$F9,注册申报底表!$AW:$AW)</f>
        <v>0</v>
      </c>
      <c r="I9" s="17">
        <f t="shared" si="0"/>
        <v>0</v>
      </c>
      <c r="J9" s="18">
        <f>ROUND(_xlfn.IFS(OR(人员场景="标准",人员场景=""),'Rate Card'!$L9,人员场景="审批调整",'Rate Card'!$K9)*通胀系数,0)</f>
        <v>990</v>
      </c>
      <c r="K9" s="18">
        <f t="shared" si="1"/>
        <v>990</v>
      </c>
      <c r="L9" s="18">
        <v>990</v>
      </c>
      <c r="M9" s="19">
        <f>233*M1</f>
        <v>302.9</v>
      </c>
      <c r="N9" s="20" t="s">
        <v>608</v>
      </c>
      <c r="O9" s="1"/>
      <c r="P9" s="1"/>
      <c r="Q9" s="21">
        <v>1</v>
      </c>
      <c r="R9" s="10" t="s">
        <v>4847</v>
      </c>
    </row>
    <row r="10" ht="16.2" spans="1:18">
      <c r="A10" s="16" t="s">
        <v>577</v>
      </c>
      <c r="B10" s="22" t="s">
        <v>577</v>
      </c>
      <c r="C10" s="16" t="s">
        <v>610</v>
      </c>
      <c r="D10" s="22" t="s">
        <v>611</v>
      </c>
      <c r="E10" s="22" t="s">
        <v>612</v>
      </c>
      <c r="F10" s="17" t="s">
        <v>613</v>
      </c>
      <c r="G10" s="17">
        <f>SUMIF(服务费底表!$T:$T,$F10,服务费底表!$AC:$AC)+SUMIF(注册申报底表!$S:$S,$F10,注册申报底表!$Z:$Z)</f>
        <v>121.2</v>
      </c>
      <c r="H10" s="17">
        <f>SUMIF(服务费底表!$T:$T,$F10,服务费底表!$AT:$AT)+SUMIF(注册申报底表!$S:$S,$F10,注册申报底表!$AW:$AW)</f>
        <v>113.6</v>
      </c>
      <c r="I10" s="17">
        <f t="shared" si="0"/>
        <v>113.6</v>
      </c>
      <c r="J10" s="18">
        <f>ROUND(_xlfn.IFS(OR(人员场景="标准",人员场景=""),'Rate Card'!$L10,人员场景="审批调整",'Rate Card'!$K10)*通胀系数,0)</f>
        <v>990</v>
      </c>
      <c r="K10" s="18">
        <f t="shared" si="1"/>
        <v>990</v>
      </c>
      <c r="L10" s="23">
        <v>990</v>
      </c>
      <c r="M10" s="19">
        <f>419*M1</f>
        <v>544.7</v>
      </c>
      <c r="N10" s="20" t="s">
        <v>612</v>
      </c>
      <c r="O10" s="1"/>
      <c r="P10" s="1"/>
      <c r="Q10" s="21">
        <v>1</v>
      </c>
      <c r="R10" s="10" t="s">
        <v>4847</v>
      </c>
    </row>
    <row r="11" ht="16.2" spans="1:18">
      <c r="A11" s="16" t="s">
        <v>577</v>
      </c>
      <c r="B11" s="22" t="s">
        <v>577</v>
      </c>
      <c r="C11" s="16" t="s">
        <v>610</v>
      </c>
      <c r="D11" s="22" t="s">
        <v>611</v>
      </c>
      <c r="E11" s="22" t="s">
        <v>614</v>
      </c>
      <c r="F11" s="17" t="s">
        <v>615</v>
      </c>
      <c r="G11" s="17">
        <f>SUMIF(服务费底表!$T:$T,$F11,服务费底表!$AC:$AC)+SUMIF(注册申报底表!$S:$S,$F11,注册申报底表!$Z:$Z)</f>
        <v>817.75</v>
      </c>
      <c r="H11" s="17">
        <f>SUMIF(服务费底表!$T:$T,$F11,服务费底表!$AT:$AT)+SUMIF(注册申报底表!$S:$S,$F11,注册申报底表!$AW:$AW)</f>
        <v>760.75</v>
      </c>
      <c r="I11" s="17">
        <f t="shared" si="0"/>
        <v>760.75</v>
      </c>
      <c r="J11" s="18">
        <f>ROUND(_xlfn.IFS(OR(人员场景="标准",人员场景=""),'Rate Card'!$L11,人员场景="审批调整",'Rate Card'!$K11)*通胀系数,0)</f>
        <v>650</v>
      </c>
      <c r="K11" s="18">
        <f t="shared" si="1"/>
        <v>650</v>
      </c>
      <c r="L11" s="23">
        <v>650</v>
      </c>
      <c r="M11" s="19">
        <f>233*M1</f>
        <v>302.9</v>
      </c>
      <c r="N11" s="20" t="s">
        <v>4851</v>
      </c>
      <c r="O11" s="1"/>
      <c r="P11" s="1"/>
      <c r="Q11" s="21">
        <v>1</v>
      </c>
      <c r="R11" s="10" t="s">
        <v>4847</v>
      </c>
    </row>
    <row r="12" ht="16.2" spans="1:18">
      <c r="A12" s="16" t="s">
        <v>576</v>
      </c>
      <c r="B12" s="16" t="s">
        <v>576</v>
      </c>
      <c r="C12" s="16" t="s">
        <v>618</v>
      </c>
      <c r="D12" s="22" t="s">
        <v>576</v>
      </c>
      <c r="E12" s="16" t="s">
        <v>619</v>
      </c>
      <c r="F12" s="16" t="s">
        <v>620</v>
      </c>
      <c r="G12" s="17">
        <f>SUMIF(服务费底表!$T:$T,$F12,服务费底表!$AC:$AC)+SUMIF(注册申报底表!$S:$S,$F12,注册申报底表!$Z:$Z)</f>
        <v>157.75</v>
      </c>
      <c r="H12" s="17">
        <f>SUMIF(服务费底表!$T:$T,$F12,服务费底表!$AT:$AT)+SUMIF(注册申报底表!$S:$S,$F12,注册申报底表!$AW:$AW)</f>
        <v>157.75</v>
      </c>
      <c r="I12" s="17">
        <f t="shared" si="0"/>
        <v>157.75</v>
      </c>
      <c r="J12" s="18">
        <f>ROUND(_xlfn.IFS(OR(人员场景="标准",人员场景=""),'Rate Card'!$L12,人员场景="审批调整",'Rate Card'!$K12)*通胀系数,0)</f>
        <v>500</v>
      </c>
      <c r="K12" s="18">
        <f t="shared" si="1"/>
        <v>500</v>
      </c>
      <c r="L12" s="18">
        <v>500</v>
      </c>
      <c r="M12" s="19">
        <f>214*M1</f>
        <v>278.2</v>
      </c>
      <c r="N12" s="20" t="s">
        <v>4852</v>
      </c>
      <c r="O12" s="1"/>
      <c r="P12" s="1"/>
      <c r="Q12" s="21">
        <v>1</v>
      </c>
      <c r="R12" s="10" t="s">
        <v>4847</v>
      </c>
    </row>
    <row r="13" ht="16.2" spans="1:18">
      <c r="A13" s="16" t="s">
        <v>576</v>
      </c>
      <c r="B13" s="16" t="s">
        <v>576</v>
      </c>
      <c r="C13" s="16" t="s">
        <v>618</v>
      </c>
      <c r="D13" s="22" t="s">
        <v>576</v>
      </c>
      <c r="E13" s="16" t="s">
        <v>621</v>
      </c>
      <c r="F13" s="17" t="s">
        <v>622</v>
      </c>
      <c r="G13" s="17">
        <f>SUMIF(服务费底表!$T:$T,$F13,服务费底表!$AC:$AC)+SUMIF(注册申报底表!$S:$S,$F13,注册申报底表!$Z:$Z)</f>
        <v>104.5</v>
      </c>
      <c r="H13" s="17">
        <f>SUMIF(服务费底表!$T:$T,$F13,服务费底表!$AT:$AT)+SUMIF(注册申报底表!$S:$S,$F13,注册申报底表!$AW:$AW)</f>
        <v>104.5</v>
      </c>
      <c r="I13" s="17">
        <f t="shared" si="0"/>
        <v>104.5</v>
      </c>
      <c r="J13" s="18">
        <f>ROUND(_xlfn.IFS(OR(人员场景="标准",人员场景=""),'Rate Card'!$L13,人员场景="审批调整",'Rate Card'!$K13)*通胀系数,0)</f>
        <v>700</v>
      </c>
      <c r="K13" s="18">
        <f t="shared" si="1"/>
        <v>700</v>
      </c>
      <c r="L13" s="18">
        <v>700</v>
      </c>
      <c r="M13" s="19">
        <f>238*M1</f>
        <v>309.4</v>
      </c>
      <c r="N13" s="20" t="s">
        <v>4853</v>
      </c>
      <c r="O13" s="1"/>
      <c r="P13" s="1"/>
      <c r="Q13" s="21">
        <v>1</v>
      </c>
      <c r="R13" s="10" t="s">
        <v>4847</v>
      </c>
    </row>
    <row r="14" ht="16.2" spans="1:18">
      <c r="A14" s="16" t="s">
        <v>576</v>
      </c>
      <c r="B14" s="16" t="s">
        <v>576</v>
      </c>
      <c r="C14" s="16" t="s">
        <v>618</v>
      </c>
      <c r="D14" s="16" t="s">
        <v>576</v>
      </c>
      <c r="E14" s="16" t="s">
        <v>623</v>
      </c>
      <c r="F14" s="17" t="s">
        <v>624</v>
      </c>
      <c r="G14" s="17">
        <f>SUMIF(服务费底表!$T:$T,$F14,服务费底表!$AC:$AC)+SUMIF(注册申报底表!$S:$S,$F14,注册申报底表!$Z:$Z)</f>
        <v>79.5</v>
      </c>
      <c r="H14" s="17">
        <f>SUMIF(服务费底表!$T:$T,$F14,服务费底表!$AT:$AT)+SUMIF(注册申报底表!$S:$S,$F14,注册申报底表!$AW:$AW)</f>
        <v>79.5</v>
      </c>
      <c r="I14" s="17">
        <f t="shared" si="0"/>
        <v>79.5</v>
      </c>
      <c r="J14" s="18">
        <f>ROUND(_xlfn.IFS(OR(人员场景="标准",人员场景=""),'Rate Card'!$L14,人员场景="审批调整",'Rate Card'!$K14)*通胀系数,0)</f>
        <v>300</v>
      </c>
      <c r="K14" s="18">
        <f t="shared" si="1"/>
        <v>300</v>
      </c>
      <c r="L14" s="18">
        <v>300</v>
      </c>
      <c r="M14" s="19">
        <f>124*M1</f>
        <v>161.2</v>
      </c>
      <c r="N14" s="20" t="s">
        <v>4854</v>
      </c>
      <c r="O14" s="1"/>
      <c r="P14" s="1"/>
      <c r="Q14" s="21">
        <v>1</v>
      </c>
      <c r="R14" s="10" t="s">
        <v>4847</v>
      </c>
    </row>
    <row r="15" ht="16.2" spans="1:18">
      <c r="A15" s="16" t="s">
        <v>572</v>
      </c>
      <c r="B15" s="16" t="s">
        <v>573</v>
      </c>
      <c r="C15" s="16" t="s">
        <v>625</v>
      </c>
      <c r="D15" s="16" t="s">
        <v>573</v>
      </c>
      <c r="E15" s="16" t="s">
        <v>4855</v>
      </c>
      <c r="F15" s="22" t="s">
        <v>629</v>
      </c>
      <c r="G15" s="17">
        <f>SUMIF(服务费底表!$T:$T,$F15,服务费底表!$AC:$AC)+SUMIF(注册申报底表!$S:$S,$F15,注册申报底表!$Z:$Z)</f>
        <v>108.35</v>
      </c>
      <c r="H15" s="17">
        <f>SUMIF(服务费底表!$T:$T,$F15,服务费底表!$AT:$AT)+SUMIF(注册申报底表!$S:$S,$F15,注册申报底表!$AW:$AW)</f>
        <v>108.35</v>
      </c>
      <c r="I15" s="17">
        <f t="shared" ref="I15:I26" si="2">H15*$I$1</f>
        <v>108.35</v>
      </c>
      <c r="J15" s="18">
        <f>ROUND(_xlfn.IFS(OR(人员场景="标准",人员场景=""),'Rate Card'!$L15,人员场景="审批调整",'Rate Card'!$K15)*通胀系数,0)</f>
        <v>300</v>
      </c>
      <c r="K15" s="18">
        <f t="shared" ref="K15:K26" si="3">ROUND($L15*$Q15,0)</f>
        <v>300</v>
      </c>
      <c r="L15" s="23">
        <v>300</v>
      </c>
      <c r="M15" s="24">
        <f>148*M1</f>
        <v>192.4</v>
      </c>
      <c r="N15" s="20" t="s">
        <v>4856</v>
      </c>
      <c r="O15" s="1"/>
      <c r="P15" s="1"/>
      <c r="Q15" s="21">
        <v>1</v>
      </c>
      <c r="R15" s="10" t="s">
        <v>4847</v>
      </c>
    </row>
    <row r="16" ht="16.2" spans="1:18">
      <c r="A16" s="16" t="s">
        <v>572</v>
      </c>
      <c r="B16" s="16" t="s">
        <v>573</v>
      </c>
      <c r="C16" s="16" t="s">
        <v>625</v>
      </c>
      <c r="D16" s="16" t="s">
        <v>573</v>
      </c>
      <c r="E16" s="16" t="s">
        <v>630</v>
      </c>
      <c r="F16" s="22" t="s">
        <v>631</v>
      </c>
      <c r="G16" s="17">
        <f>SUMIF(服务费底表!$T:$T,$F16,服务费底表!$AC:$AC)+SUMIF(注册申报底表!$S:$S,$F16,注册申报底表!$Z:$Z)</f>
        <v>525.2</v>
      </c>
      <c r="H16" s="17">
        <f>SUMIF(服务费底表!$T:$T,$F16,服务费底表!$AT:$AT)+SUMIF(注册申报底表!$S:$S,$F16,注册申报底表!$AW:$AW)</f>
        <v>525.2</v>
      </c>
      <c r="I16" s="17">
        <f t="shared" si="2"/>
        <v>525.2</v>
      </c>
      <c r="J16" s="18">
        <f>ROUND(_xlfn.IFS(OR(人员场景="标准",人员场景=""),'Rate Card'!$L16,人员场景="审批调整",'Rate Card'!$K16)*通胀系数,0)</f>
        <v>200</v>
      </c>
      <c r="K16" s="18">
        <f t="shared" si="3"/>
        <v>200</v>
      </c>
      <c r="L16" s="23">
        <v>200</v>
      </c>
      <c r="M16" s="24">
        <f>79*M1</f>
        <v>102.7</v>
      </c>
      <c r="N16" s="20" t="s">
        <v>630</v>
      </c>
      <c r="O16" s="1"/>
      <c r="P16" s="1"/>
      <c r="Q16" s="21">
        <v>1</v>
      </c>
      <c r="R16" s="10" t="s">
        <v>4847</v>
      </c>
    </row>
    <row r="17" ht="16.2" spans="1:18">
      <c r="A17" s="16" t="s">
        <v>572</v>
      </c>
      <c r="B17" s="16" t="s">
        <v>573</v>
      </c>
      <c r="C17" s="16" t="s">
        <v>625</v>
      </c>
      <c r="D17" s="16" t="s">
        <v>573</v>
      </c>
      <c r="E17" s="16" t="s">
        <v>632</v>
      </c>
      <c r="F17" s="22" t="s">
        <v>633</v>
      </c>
      <c r="G17" s="17">
        <f>SUMIF(服务费底表!$T:$T,$F17,服务费底表!$AC:$AC)+SUMIF(注册申报底表!$S:$S,$F17,注册申报底表!$Z:$Z)</f>
        <v>155.15</v>
      </c>
      <c r="H17" s="17">
        <f>SUMIF(服务费底表!$T:$T,$F17,服务费底表!$AT:$AT)+SUMIF(注册申报底表!$S:$S,$F17,注册申报底表!$AW:$AW)</f>
        <v>155.15</v>
      </c>
      <c r="I17" s="17">
        <f t="shared" si="2"/>
        <v>155.15</v>
      </c>
      <c r="J17" s="18">
        <f>ROUND(_xlfn.IFS(OR(人员场景="标准",人员场景=""),'Rate Card'!$L17,人员场景="审批调整",'Rate Card'!$K17)*通胀系数,0)</f>
        <v>360</v>
      </c>
      <c r="K17" s="18">
        <f t="shared" si="3"/>
        <v>360</v>
      </c>
      <c r="L17" s="23">
        <v>360</v>
      </c>
      <c r="M17" s="24">
        <f>194*M1</f>
        <v>252.2</v>
      </c>
      <c r="N17" s="20" t="s">
        <v>4857</v>
      </c>
      <c r="O17" s="1"/>
      <c r="P17" s="1"/>
      <c r="Q17" s="21">
        <v>1</v>
      </c>
      <c r="R17" s="10" t="s">
        <v>4847</v>
      </c>
    </row>
    <row r="18" ht="16.2" spans="1:18">
      <c r="A18" s="16" t="s">
        <v>572</v>
      </c>
      <c r="B18" s="16" t="s">
        <v>634</v>
      </c>
      <c r="C18" s="22" t="s">
        <v>635</v>
      </c>
      <c r="D18" s="22" t="s">
        <v>575</v>
      </c>
      <c r="E18" s="22" t="s">
        <v>636</v>
      </c>
      <c r="F18" s="22" t="s">
        <v>635</v>
      </c>
      <c r="G18" s="17">
        <f>SUMIF(服务费底表!$T:$T,$F18,服务费底表!$AC:$AC)+SUMIF(注册申报底表!$S:$S,$F18,注册申报底表!$Z:$Z)</f>
        <v>712.1</v>
      </c>
      <c r="H18" s="17">
        <f>SUMIF(服务费底表!$T:$T,$F18,服务费底表!$AT:$AT)+SUMIF(注册申报底表!$S:$S,$F18,注册申报底表!$AW:$AW)</f>
        <v>696.1</v>
      </c>
      <c r="I18" s="17">
        <f t="shared" si="2"/>
        <v>696.1</v>
      </c>
      <c r="J18" s="18">
        <f>ROUND(_xlfn.IFS(OR(人员场景="标准",人员场景=""),'Rate Card'!$L18,人员场景="审批调整",'Rate Card'!$K18)*通胀系数,0)</f>
        <v>225</v>
      </c>
      <c r="K18" s="18">
        <f t="shared" si="3"/>
        <v>225</v>
      </c>
      <c r="L18" s="23">
        <v>225</v>
      </c>
      <c r="M18" s="24">
        <f>80*M1</f>
        <v>104</v>
      </c>
      <c r="N18" s="25" t="s">
        <v>4858</v>
      </c>
      <c r="O18" s="26"/>
      <c r="P18" s="1"/>
      <c r="Q18" s="21">
        <v>1</v>
      </c>
      <c r="R18" s="10" t="s">
        <v>4847</v>
      </c>
    </row>
    <row r="19" ht="16.2" spans="1:18">
      <c r="A19" s="16" t="s">
        <v>572</v>
      </c>
      <c r="B19" s="16" t="s">
        <v>634</v>
      </c>
      <c r="C19" s="22" t="s">
        <v>635</v>
      </c>
      <c r="D19" s="22" t="s">
        <v>575</v>
      </c>
      <c r="E19" s="22" t="s">
        <v>637</v>
      </c>
      <c r="F19" s="22" t="s">
        <v>638</v>
      </c>
      <c r="G19" s="17">
        <f>SUMIF(服务费底表!$T:$T,$F19,服务费底表!$AC:$AC)+SUMIF(注册申报底表!$S:$S,$F19,注册申报底表!$Z:$Z)</f>
        <v>49.2</v>
      </c>
      <c r="H19" s="17">
        <f>SUMIF(服务费底表!$T:$T,$F19,服务费底表!$AT:$AT)+SUMIF(注册申报底表!$S:$S,$F19,注册申报底表!$AW:$AW)</f>
        <v>49.2</v>
      </c>
      <c r="I19" s="17">
        <f t="shared" si="2"/>
        <v>49.2</v>
      </c>
      <c r="J19" s="18">
        <f>ROUND(_xlfn.IFS(OR(人员场景="标准",人员场景=""),'Rate Card'!$L19,人员场景="审批调整",'Rate Card'!$K19)*通胀系数,0)</f>
        <v>450</v>
      </c>
      <c r="K19" s="18">
        <f t="shared" si="3"/>
        <v>450</v>
      </c>
      <c r="L19" s="23">
        <v>450</v>
      </c>
      <c r="M19" s="24">
        <f>197*M1</f>
        <v>256.1</v>
      </c>
      <c r="N19" s="25" t="s">
        <v>4859</v>
      </c>
      <c r="O19" s="26"/>
      <c r="P19" s="1"/>
      <c r="Q19" s="21">
        <v>1</v>
      </c>
      <c r="R19" s="10" t="s">
        <v>4847</v>
      </c>
    </row>
    <row r="20" ht="16.2" spans="1:18">
      <c r="A20" s="16" t="s">
        <v>572</v>
      </c>
      <c r="B20" s="16" t="s">
        <v>634</v>
      </c>
      <c r="C20" s="22" t="s">
        <v>639</v>
      </c>
      <c r="D20" s="22" t="s">
        <v>574</v>
      </c>
      <c r="E20" s="22" t="s">
        <v>640</v>
      </c>
      <c r="F20" s="22" t="s">
        <v>639</v>
      </c>
      <c r="G20" s="17">
        <f>SUMIF(服务费底表!$T:$T,$F20,服务费底表!$AC:$AC)+SUMIF(注册申报底表!$S:$S,$F20,注册申报底表!$Z:$Z)</f>
        <v>184.25</v>
      </c>
      <c r="H20" s="17">
        <f>SUMIF(服务费底表!$T:$T,$F20,服务费底表!$AT:$AT)+SUMIF(注册申报底表!$S:$S,$F20,注册申报底表!$AW:$AW)</f>
        <v>184.25</v>
      </c>
      <c r="I20" s="17">
        <f t="shared" si="2"/>
        <v>184.25</v>
      </c>
      <c r="J20" s="18">
        <f>ROUND(_xlfn.IFS(OR(人员场景="标准",人员场景=""),'Rate Card'!$L20,人员场景="审批调整",'Rate Card'!$K20)*通胀系数,0)</f>
        <v>400</v>
      </c>
      <c r="K20" s="18">
        <f t="shared" si="3"/>
        <v>400</v>
      </c>
      <c r="L20" s="23">
        <v>400</v>
      </c>
      <c r="M20" s="24">
        <f>153*M1</f>
        <v>198.9</v>
      </c>
      <c r="N20" s="25" t="s">
        <v>4860</v>
      </c>
      <c r="O20" s="26"/>
      <c r="P20" s="1"/>
      <c r="Q20" s="21">
        <v>1</v>
      </c>
      <c r="R20" s="10" t="s">
        <v>4847</v>
      </c>
    </row>
    <row r="21" ht="16.2" spans="1:18">
      <c r="A21" s="16" t="s">
        <v>572</v>
      </c>
      <c r="B21" s="16" t="s">
        <v>634</v>
      </c>
      <c r="C21" s="22" t="s">
        <v>639</v>
      </c>
      <c r="D21" s="22" t="s">
        <v>574</v>
      </c>
      <c r="E21" s="22" t="s">
        <v>641</v>
      </c>
      <c r="F21" s="22" t="s">
        <v>642</v>
      </c>
      <c r="G21" s="17">
        <f>SUMIF(服务费底表!$T:$T,$F21,服务费底表!$AC:$AC)+SUMIF(注册申报底表!$S:$S,$F21,注册申报底表!$Z:$Z)</f>
        <v>12</v>
      </c>
      <c r="H21" s="17">
        <f>SUMIF(服务费底表!$T:$T,$F21,服务费底表!$AT:$AT)+SUMIF(注册申报底表!$S:$S,$F21,注册申报底表!$AW:$AW)</f>
        <v>12</v>
      </c>
      <c r="I21" s="17">
        <f t="shared" si="2"/>
        <v>12</v>
      </c>
      <c r="J21" s="18">
        <f>ROUND(_xlfn.IFS(OR(人员场景="标准",人员场景=""),'Rate Card'!$L21,人员场景="审批调整",'Rate Card'!$K21)*通胀系数,0)</f>
        <v>700</v>
      </c>
      <c r="K21" s="18">
        <f t="shared" si="3"/>
        <v>700</v>
      </c>
      <c r="L21" s="23">
        <v>700</v>
      </c>
      <c r="M21" s="27">
        <f>386*M1</f>
        <v>501.8</v>
      </c>
      <c r="N21" s="20" t="s">
        <v>641</v>
      </c>
      <c r="O21" s="1"/>
      <c r="P21" s="1"/>
      <c r="Q21" s="21">
        <v>1</v>
      </c>
      <c r="R21" s="10" t="s">
        <v>4847</v>
      </c>
    </row>
    <row r="22" ht="16.2" spans="1:18">
      <c r="A22" s="16" t="s">
        <v>580</v>
      </c>
      <c r="B22" s="22" t="s">
        <v>580</v>
      </c>
      <c r="C22" s="22" t="s">
        <v>643</v>
      </c>
      <c r="D22" s="22" t="s">
        <v>580</v>
      </c>
      <c r="E22" s="22" t="s">
        <v>644</v>
      </c>
      <c r="F22" s="22" t="s">
        <v>645</v>
      </c>
      <c r="G22" s="17">
        <f>SUMIF(服务费底表!$T:$T,$F22,服务费底表!$AC:$AC)+SUMIF(注册申报底表!$S:$S,$F22,注册申报底表!$Z:$Z)</f>
        <v>0</v>
      </c>
      <c r="H22" s="17">
        <f>SUMIF(服务费底表!$T:$T,$F22,服务费底表!$AT:$AT)+SUMIF(注册申报底表!$S:$S,$F22,注册申报底表!$AW:$AW)</f>
        <v>0</v>
      </c>
      <c r="I22" s="17">
        <f t="shared" si="2"/>
        <v>0</v>
      </c>
      <c r="J22" s="18">
        <f>ROUND(_xlfn.IFS(OR(人员场景="标准",人员场景=""),'Rate Card'!$L22,人员场景="审批调整",'Rate Card'!$K22)*通胀系数,0)</f>
        <v>1000</v>
      </c>
      <c r="K22" s="18">
        <f t="shared" si="3"/>
        <v>1000</v>
      </c>
      <c r="L22" s="23">
        <v>1000</v>
      </c>
      <c r="M22" s="27">
        <f>401*M1</f>
        <v>521.3</v>
      </c>
      <c r="N22" s="20" t="s">
        <v>4861</v>
      </c>
      <c r="O22" s="1"/>
      <c r="P22" s="1"/>
      <c r="Q22" s="21">
        <v>1</v>
      </c>
      <c r="R22" s="10" t="s">
        <v>4847</v>
      </c>
    </row>
    <row r="23" ht="16.2" spans="1:18">
      <c r="A23" s="16" t="s">
        <v>580</v>
      </c>
      <c r="B23" s="22" t="s">
        <v>580</v>
      </c>
      <c r="C23" s="22" t="s">
        <v>643</v>
      </c>
      <c r="D23" s="22" t="s">
        <v>580</v>
      </c>
      <c r="E23" s="22" t="s">
        <v>646</v>
      </c>
      <c r="F23" s="22" t="s">
        <v>647</v>
      </c>
      <c r="G23" s="17">
        <f>SUMIF(服务费底表!$T:$T,$F23,服务费底表!$AC:$AC)+SUMIF(注册申报底表!$S:$S,$F23,注册申报底表!$Z:$Z)</f>
        <v>0</v>
      </c>
      <c r="H23" s="17">
        <f>SUMIF(服务费底表!$T:$T,$F23,服务费底表!$AT:$AT)+SUMIF(注册申报底表!$S:$S,$F23,注册申报底表!$AW:$AW)</f>
        <v>0</v>
      </c>
      <c r="I23" s="17">
        <f t="shared" si="2"/>
        <v>0</v>
      </c>
      <c r="J23" s="18">
        <f>ROUND(_xlfn.IFS(OR(人员场景="标准",人员场景=""),'Rate Card'!$L23,人员场景="审批调整",'Rate Card'!$K23)*通胀系数,0)</f>
        <v>600</v>
      </c>
      <c r="K23" s="18">
        <f t="shared" si="3"/>
        <v>600</v>
      </c>
      <c r="L23" s="18">
        <v>600</v>
      </c>
      <c r="M23" s="19">
        <f>236*M1</f>
        <v>306.8</v>
      </c>
      <c r="N23" s="20" t="s">
        <v>646</v>
      </c>
      <c r="O23" s="1"/>
      <c r="P23" s="1"/>
      <c r="Q23" s="21">
        <v>1</v>
      </c>
      <c r="R23" s="10" t="s">
        <v>4847</v>
      </c>
    </row>
    <row r="24" ht="16.2" spans="1:18">
      <c r="A24" s="16" t="s">
        <v>580</v>
      </c>
      <c r="B24" s="22" t="s">
        <v>580</v>
      </c>
      <c r="C24" s="22" t="s">
        <v>643</v>
      </c>
      <c r="D24" s="22" t="s">
        <v>580</v>
      </c>
      <c r="E24" s="22" t="s">
        <v>648</v>
      </c>
      <c r="F24" s="22" t="s">
        <v>649</v>
      </c>
      <c r="G24" s="17">
        <f>SUMIF(服务费底表!$T:$T,$F24,服务费底表!$AC:$AC)+SUMIF(注册申报底表!$S:$S,$F24,注册申报底表!$Z:$Z)</f>
        <v>0</v>
      </c>
      <c r="H24" s="17">
        <f>SUMIF(服务费底表!$T:$T,$F24,服务费底表!$AT:$AT)+SUMIF(注册申报底表!$S:$S,$F24,注册申报底表!$AW:$AW)</f>
        <v>0</v>
      </c>
      <c r="I24" s="17">
        <f t="shared" si="2"/>
        <v>0</v>
      </c>
      <c r="J24" s="18">
        <f>ROUND(_xlfn.IFS(OR(人员场景="标准",人员场景=""),'Rate Card'!$L24,人员场景="审批调整",'Rate Card'!$K24)*通胀系数,0)</f>
        <v>400</v>
      </c>
      <c r="K24" s="18">
        <f t="shared" si="3"/>
        <v>400</v>
      </c>
      <c r="L24" s="18">
        <v>400</v>
      </c>
      <c r="M24" s="19">
        <f>140*M1</f>
        <v>182</v>
      </c>
      <c r="N24" s="20" t="s">
        <v>4862</v>
      </c>
      <c r="O24" s="1"/>
      <c r="P24" s="1"/>
      <c r="Q24" s="21">
        <v>1</v>
      </c>
      <c r="R24" s="10" t="s">
        <v>4847</v>
      </c>
    </row>
    <row r="25" ht="14.4" customHeight="1" spans="1:18">
      <c r="A25" s="16" t="s">
        <v>568</v>
      </c>
      <c r="B25" s="22" t="s">
        <v>568</v>
      </c>
      <c r="C25" s="22" t="s">
        <v>650</v>
      </c>
      <c r="D25" s="22" t="s">
        <v>568</v>
      </c>
      <c r="E25" s="22" t="s">
        <v>651</v>
      </c>
      <c r="F25" s="22" t="s">
        <v>652</v>
      </c>
      <c r="G25" s="17">
        <f>SUMIF(服务费底表!$T:$T,$F25,服务费底表!$AC:$AC)+SUMIF(注册申报底表!$S:$S,$F25,注册申报底表!$Z:$Z)</f>
        <v>131.5</v>
      </c>
      <c r="H25" s="17">
        <f>SUMIF(服务费底表!$T:$T,$F25,服务费底表!$AT:$AT)+SUMIF(注册申报底表!$S:$S,$F25,注册申报底表!$AW:$AW)</f>
        <v>131.5</v>
      </c>
      <c r="I25" s="17">
        <f t="shared" si="2"/>
        <v>131.5</v>
      </c>
      <c r="J25" s="18">
        <f>ROUND(_xlfn.IFS(OR(人员场景="标准",人员场景=""),'Rate Card'!$L25,人员场景="审批调整",'Rate Card'!$K25)*通胀系数,0)</f>
        <v>580</v>
      </c>
      <c r="K25" s="18">
        <f t="shared" si="3"/>
        <v>580</v>
      </c>
      <c r="L25" s="18">
        <v>580</v>
      </c>
      <c r="M25" s="19">
        <f>265*M1</f>
        <v>344.5</v>
      </c>
      <c r="N25" s="20" t="s">
        <v>4863</v>
      </c>
      <c r="O25" s="28"/>
      <c r="P25" s="1"/>
      <c r="Q25" s="21">
        <v>1</v>
      </c>
      <c r="R25" s="10" t="s">
        <v>4847</v>
      </c>
    </row>
    <row r="26" ht="14.4" customHeight="1" spans="1:18">
      <c r="A26" s="16" t="s">
        <v>568</v>
      </c>
      <c r="B26" s="22" t="s">
        <v>568</v>
      </c>
      <c r="C26" s="22" t="s">
        <v>650</v>
      </c>
      <c r="D26" s="22" t="s">
        <v>568</v>
      </c>
      <c r="E26" s="22" t="s">
        <v>653</v>
      </c>
      <c r="F26" s="22" t="s">
        <v>654</v>
      </c>
      <c r="G26" s="17">
        <f>SUMIF(服务费底表!$T:$T,$F26,服务费底表!$AC:$AC)+SUMIF(注册申报底表!$S:$S,$F26,注册申报底表!$Z:$Z)</f>
        <v>86.75</v>
      </c>
      <c r="H26" s="17">
        <f>SUMIF(服务费底表!$T:$T,$F26,服务费底表!$AT:$AT)+SUMIF(注册申报底表!$S:$S,$F26,注册申报底表!$AW:$AW)</f>
        <v>86.75</v>
      </c>
      <c r="I26" s="17">
        <f t="shared" si="2"/>
        <v>86.75</v>
      </c>
      <c r="J26" s="18">
        <f>ROUND(_xlfn.IFS(OR(人员场景="标准",人员场景=""),'Rate Card'!$L26,人员场景="审批调整",'Rate Card'!$K26)*通胀系数,0)</f>
        <v>700</v>
      </c>
      <c r="K26" s="18">
        <f t="shared" si="3"/>
        <v>700</v>
      </c>
      <c r="L26" s="18">
        <v>700</v>
      </c>
      <c r="M26" s="19">
        <f>265*M1</f>
        <v>344.5</v>
      </c>
      <c r="N26" s="20" t="s">
        <v>4864</v>
      </c>
      <c r="O26" s="28"/>
      <c r="P26" s="1"/>
      <c r="Q26" s="21">
        <v>1</v>
      </c>
      <c r="R26" s="10" t="s">
        <v>4847</v>
      </c>
    </row>
    <row r="27" ht="14.4" customHeight="1" spans="1:18">
      <c r="A27" s="29"/>
      <c r="B27" s="30"/>
      <c r="C27" s="30"/>
      <c r="D27" s="30"/>
      <c r="E27" s="30"/>
      <c r="F27" s="30"/>
      <c r="G27" s="30"/>
      <c r="H27" s="30"/>
      <c r="I27" s="30"/>
      <c r="J27" s="31"/>
      <c r="K27" s="31"/>
      <c r="L27" s="31"/>
      <c r="M27" s="31"/>
      <c r="N27" s="1"/>
      <c r="O27" s="28"/>
      <c r="P27" s="1"/>
      <c r="Q27" s="1"/>
    </row>
    <row r="28" ht="14.4" customHeight="1" spans="1:18">
      <c r="A28" s="29"/>
      <c r="B28" s="32" t="s">
        <v>4865</v>
      </c>
      <c r="C28" s="33"/>
      <c r="D28" s="30"/>
      <c r="E28" s="30"/>
      <c r="F28" s="30"/>
      <c r="G28" s="30"/>
      <c r="H28" s="30"/>
      <c r="I28" s="30"/>
      <c r="J28" s="31"/>
      <c r="K28" s="31"/>
      <c r="L28" s="31"/>
      <c r="M28" s="31"/>
      <c r="N28" s="1"/>
      <c r="O28" s="28"/>
      <c r="P28" s="1"/>
      <c r="Q28" s="1"/>
    </row>
    <row r="29" spans="1:18">
      <c r="B29" s="34" t="s">
        <v>4866</v>
      </c>
      <c r="C29" s="35"/>
      <c r="J29" s="5"/>
      <c r="K29" s="5"/>
      <c r="L29" s="5"/>
      <c r="M29" s="5"/>
      <c r="N29" s="1"/>
      <c r="O29" s="1"/>
      <c r="P29" s="1"/>
      <c r="Q29" s="1"/>
    </row>
    <row r="30" spans="1:18">
      <c r="B30" s="36" t="s">
        <v>4867</v>
      </c>
      <c r="C30" s="37" cm="1">
        <f t="array" ref="C30">SUMPRODUCT($G$3:$G$26,M3:M26)+C29+C28</f>
        <v>1790506.9</v>
      </c>
      <c r="D30" s="38"/>
      <c r="E30" s="38"/>
      <c r="F30" s="38"/>
      <c r="G30" s="38"/>
      <c r="H30" s="38"/>
      <c r="I30" s="38"/>
      <c r="J30" s="38"/>
      <c r="K30" s="38"/>
      <c r="L30" s="38"/>
      <c r="M30" s="38"/>
      <c r="N30" s="4"/>
      <c r="O30" s="1"/>
      <c r="P30" s="1"/>
      <c r="Q30" s="1"/>
    </row>
    <row r="31" ht="30" spans="1:18">
      <c r="B31" s="39" t="s">
        <v>4868</v>
      </c>
      <c r="C31" s="37" cm="1">
        <f t="array" ref="C31">SUMPRODUCT($G$3:$G$26,K3:K26)</f>
        <v>3348842</v>
      </c>
      <c r="D31" s="40"/>
      <c r="E31" s="40"/>
      <c r="F31" s="40"/>
      <c r="G31" s="40"/>
      <c r="H31" s="40"/>
      <c r="I31" s="40"/>
      <c r="J31" s="40"/>
      <c r="K31" s="40"/>
      <c r="L31" s="5"/>
      <c r="M31" s="5"/>
      <c r="O31" s="4"/>
      <c r="P31" s="1"/>
      <c r="Q31" s="1"/>
    </row>
    <row r="32" spans="1:18">
      <c r="B32" s="41" t="s">
        <v>4869</v>
      </c>
      <c r="C32" s="42">
        <v>0</v>
      </c>
      <c r="D32" s="43">
        <v>0.1</v>
      </c>
      <c r="E32" s="43">
        <v>0.15</v>
      </c>
      <c r="F32" s="43">
        <v>0.2</v>
      </c>
      <c r="G32" s="43">
        <v>0.25</v>
      </c>
      <c r="H32" s="43">
        <v>0.3</v>
      </c>
      <c r="I32" s="43">
        <v>0.4</v>
      </c>
      <c r="J32" s="43">
        <v>0.43</v>
      </c>
      <c r="K32" s="43">
        <v>0.45</v>
      </c>
      <c r="L32" s="5"/>
      <c r="M32" s="5"/>
      <c r="N32" s="4"/>
      <c r="O32" s="1"/>
      <c r="P32" s="1"/>
      <c r="Q32" s="1"/>
    </row>
    <row r="33" ht="46.8" spans="2:17">
      <c r="B33" s="41" t="s">
        <v>4870</v>
      </c>
      <c r="C33" s="44">
        <f t="shared" ref="C33:L33" si="4">$C$31*(1-C32)</f>
        <v>3348842</v>
      </c>
      <c r="D33" s="45">
        <f t="shared" si="4"/>
        <v>3013957.8</v>
      </c>
      <c r="E33" s="45">
        <f t="shared" si="4"/>
        <v>2846515.7</v>
      </c>
      <c r="F33" s="45">
        <f t="shared" si="4"/>
        <v>2679073.6</v>
      </c>
      <c r="G33" s="45">
        <f t="shared" si="4"/>
        <v>2511631.5</v>
      </c>
      <c r="H33" s="45">
        <f t="shared" si="4"/>
        <v>2344189.4</v>
      </c>
      <c r="I33" s="45">
        <f t="shared" si="4"/>
        <v>2009305.2</v>
      </c>
      <c r="J33" s="45">
        <f t="shared" si="4"/>
        <v>1908839.94</v>
      </c>
      <c r="K33" s="45">
        <f t="shared" si="4"/>
        <v>1841863.1</v>
      </c>
      <c r="L33" s="5"/>
      <c r="M33" s="5"/>
      <c r="N33" s="4"/>
      <c r="O33" s="1"/>
      <c r="P33" s="1"/>
      <c r="Q33" s="1"/>
    </row>
    <row r="34" spans="2:17">
      <c r="B34" s="41" t="s">
        <v>4871</v>
      </c>
      <c r="C34" s="46">
        <f>(C33-$C$30)/C33</f>
        <v>0.465335510006145</v>
      </c>
      <c r="D34" s="47">
        <f t="shared" ref="C34:L34" si="5">(D33-$C$30)/D33</f>
        <v>0.405928344451273</v>
      </c>
      <c r="E34" s="47">
        <f t="shared" si="5"/>
        <v>0.370982952948406</v>
      </c>
      <c r="F34" s="47">
        <f t="shared" si="5"/>
        <v>0.331669387507682</v>
      </c>
      <c r="G34" s="47">
        <f t="shared" si="5"/>
        <v>0.287114013341527</v>
      </c>
      <c r="H34" s="47">
        <f t="shared" si="5"/>
        <v>0.236193585723065</v>
      </c>
      <c r="I34" s="47">
        <f t="shared" si="5"/>
        <v>0.108892516676909</v>
      </c>
      <c r="J34" s="47">
        <f t="shared" si="5"/>
        <v>0.061992122817799</v>
      </c>
      <c r="K34" s="47">
        <f t="shared" si="5"/>
        <v>0.0278827454657189</v>
      </c>
      <c r="L34" s="5"/>
      <c r="M34" s="5"/>
      <c r="N34" s="4"/>
      <c r="O34" s="1"/>
      <c r="P34" s="1"/>
      <c r="Q34" s="1"/>
    </row>
    <row r="35" spans="2:17">
      <c r="B35" s="48"/>
      <c r="C35" s="48"/>
      <c r="D35" s="40"/>
      <c r="E35" s="40"/>
      <c r="F35" s="40"/>
      <c r="G35" s="40"/>
      <c r="H35" s="40"/>
      <c r="I35" s="40"/>
      <c r="J35" s="40"/>
      <c r="K35" s="40"/>
      <c r="L35" s="5"/>
      <c r="M35" s="5"/>
      <c r="N35" s="4"/>
      <c r="O35" s="1"/>
      <c r="P35" s="1"/>
      <c r="Q35" s="1"/>
    </row>
    <row r="36" ht="31.2" spans="2:17">
      <c r="B36" s="41" t="s">
        <v>4872</v>
      </c>
      <c r="C36" s="44">
        <f t="shared" ref="C36:L36" si="6">C33*(1+$C$38)</f>
        <v>3569865.572</v>
      </c>
      <c r="D36" s="45">
        <f t="shared" si="6"/>
        <v>3212879.0148</v>
      </c>
      <c r="E36" s="45">
        <f t="shared" si="6"/>
        <v>3034385.7362</v>
      </c>
      <c r="F36" s="45">
        <f t="shared" si="6"/>
        <v>2855892.4576</v>
      </c>
      <c r="G36" s="45">
        <f t="shared" si="6"/>
        <v>2677399.179</v>
      </c>
      <c r="H36" s="45">
        <f t="shared" si="6"/>
        <v>2498905.9004</v>
      </c>
      <c r="I36" s="45">
        <f t="shared" si="6"/>
        <v>2141919.3432</v>
      </c>
      <c r="J36" s="45">
        <f t="shared" si="6"/>
        <v>2034823.37604</v>
      </c>
      <c r="K36" s="45">
        <f t="shared" si="6"/>
        <v>1963426.0646</v>
      </c>
      <c r="L36" s="5"/>
      <c r="M36" s="5"/>
      <c r="N36" s="4"/>
      <c r="O36" s="1"/>
      <c r="P36" s="1"/>
      <c r="Q36" s="1"/>
    </row>
    <row r="37" spans="2:17">
      <c r="B37" s="38"/>
      <c r="C37" s="38"/>
      <c r="D37" s="38"/>
      <c r="E37" s="38"/>
      <c r="F37" s="38"/>
      <c r="G37" s="38"/>
      <c r="H37" s="38"/>
      <c r="I37" s="38"/>
      <c r="J37" s="38"/>
      <c r="K37" s="38"/>
      <c r="L37" s="5"/>
      <c r="M37" s="5"/>
      <c r="O37" s="4"/>
      <c r="P37" s="1"/>
      <c r="Q37" s="1"/>
    </row>
    <row r="38" spans="2:17">
      <c r="B38" s="38" t="s">
        <v>934</v>
      </c>
      <c r="C38" s="49">
        <v>0.066</v>
      </c>
      <c r="D38" s="38"/>
      <c r="E38" s="38"/>
      <c r="F38" s="38"/>
      <c r="G38" s="38"/>
      <c r="H38" s="38"/>
      <c r="I38" s="38"/>
      <c r="J38" s="38"/>
      <c r="K38" s="38"/>
      <c r="L38" s="38"/>
      <c r="M38" s="38"/>
    </row>
    <row r="39" spans="2:17">
      <c r="B39" s="38"/>
      <c r="C39" s="38"/>
      <c r="D39" s="38"/>
      <c r="E39" s="38"/>
      <c r="F39" s="38"/>
      <c r="G39" s="38"/>
      <c r="H39" s="38"/>
      <c r="I39" s="38"/>
      <c r="J39" s="38"/>
      <c r="K39" s="38"/>
      <c r="L39" s="38"/>
      <c r="M39" s="38"/>
    </row>
    <row r="40" spans="2:17">
      <c r="B40" s="38"/>
      <c r="C40" s="38"/>
      <c r="D40" s="38"/>
      <c r="E40" s="38"/>
      <c r="F40" s="38"/>
      <c r="G40" s="38"/>
      <c r="H40" s="38"/>
      <c r="I40" s="38"/>
      <c r="J40" s="38"/>
      <c r="K40" s="38"/>
      <c r="L40" s="38"/>
      <c r="M40" s="38"/>
    </row>
    <row r="41" spans="2:17">
      <c r="B41" s="50"/>
      <c r="C41" s="51" t="s">
        <v>4873</v>
      </c>
      <c r="D41" s="52" t="s">
        <v>4874</v>
      </c>
      <c r="E41" s="52" t="s">
        <v>4875</v>
      </c>
      <c r="F41" s="53" t="s">
        <v>4876</v>
      </c>
      <c r="G41" s="50" t="s">
        <v>747</v>
      </c>
      <c r="H41" s="54"/>
      <c r="I41" s="54"/>
      <c r="J41" s="55"/>
      <c r="K41" s="51" t="s">
        <v>4877</v>
      </c>
      <c r="M41" s="10" t="s">
        <v>4878</v>
      </c>
    </row>
    <row r="42" spans="2:17">
      <c r="B42" s="56" t="s">
        <v>4879</v>
      </c>
      <c r="C42" s="57" cm="1">
        <f t="array" ref="C42">SUMPRODUCT(G3:G7,K3:K7)</f>
        <v>1926585</v>
      </c>
      <c r="D42" s="57" cm="1">
        <f t="array" ref="D42">SUMPRODUCT(G3:G7,M3:M7)</f>
        <v>1069331.055</v>
      </c>
      <c r="E42" s="57">
        <f>C42-D42</f>
        <v>857253.945</v>
      </c>
      <c r="F42" s="58">
        <f>IFERROR(E42/C42,"")</f>
        <v>0.444960354720918</v>
      </c>
      <c r="G42" s="59"/>
      <c r="H42" s="60"/>
      <c r="I42" s="60"/>
      <c r="J42" s="61">
        <f>(C42*$C$53-D42)/(C42*$C$53)</f>
        <v>0.444960354720918</v>
      </c>
      <c r="K42" s="62">
        <f>C42*$C$53</f>
        <v>1926585</v>
      </c>
      <c r="M42" s="38"/>
    </row>
    <row r="43" hidden="1" outlineLevel="1" spans="2:17">
      <c r="B43" s="63" t="s">
        <v>571</v>
      </c>
      <c r="C43" s="64" cm="1">
        <f t="array" ref="C43">SUMPRODUCT(G3:G4,K3:K4)+SUMPRODUCT(G7,K7)</f>
        <v>1051450</v>
      </c>
      <c r="D43" s="64" cm="1">
        <f t="array" ref="D43">SUMPRODUCT(G3:G4,M3:M4)+SUMPRODUCT(G7,M7)</f>
        <v>610245.35</v>
      </c>
      <c r="E43" s="65">
        <f>C43-D43</f>
        <v>441204.65</v>
      </c>
      <c r="F43" s="66">
        <f>IFERROR(E43/C43,"")</f>
        <v>0.419615435826716</v>
      </c>
      <c r="G43" s="63"/>
      <c r="H43" s="63"/>
      <c r="I43" s="67"/>
      <c r="J43" s="68">
        <f>(C43*$C$53-D43)/(C43*$C$53)</f>
        <v>0.419615435826716</v>
      </c>
      <c r="K43" s="69">
        <f>C43*$C$53</f>
        <v>1051450</v>
      </c>
      <c r="M43" s="38"/>
    </row>
    <row r="44" hidden="1" outlineLevel="1" spans="2:17">
      <c r="B44" s="63" t="s">
        <v>570</v>
      </c>
      <c r="C44" s="64" cm="1">
        <f t="array" ref="C44">SUMPRODUCT(G5:G6,K5:K6)</f>
        <v>875135</v>
      </c>
      <c r="D44" s="64" cm="1">
        <f t="array" ref="D44">SUMPRODUCT(G5:G6,M5:M6)</f>
        <v>459085.705</v>
      </c>
      <c r="E44" s="65">
        <f>C44-D44</f>
        <v>416049.295</v>
      </c>
      <c r="F44" s="66">
        <f>IFERROR(E44/C44,"")</f>
        <v>0.475411559359413</v>
      </c>
      <c r="G44" s="63"/>
      <c r="H44" s="63"/>
      <c r="I44" s="67"/>
      <c r="J44" s="68">
        <f>(C44*$C$53-D44)/(C44*$C$53)</f>
        <v>0.475411559359413</v>
      </c>
      <c r="K44" s="69">
        <f>C44*$C$53</f>
        <v>875135</v>
      </c>
      <c r="M44" s="38"/>
    </row>
    <row r="45" collapsed="1" spans="2:17">
      <c r="B45" s="56" t="s">
        <v>4880</v>
      </c>
      <c r="C45" s="57" cm="1">
        <f t="array" ref="C45">SUMPRODUCT(G8:G9,K8:K9)</f>
        <v>0</v>
      </c>
      <c r="D45" s="57" cm="1">
        <f t="array" ref="D45">SUMPRODUCT(G8:G9,M8:M9)</f>
        <v>0</v>
      </c>
      <c r="E45" s="57">
        <f t="shared" ref="E45:E50" si="7">C45-D45</f>
        <v>0</v>
      </c>
      <c r="F45" s="58" t="str">
        <f>IFERROR(E45/C45,"")</f>
        <v/>
      </c>
      <c r="G45" s="59"/>
      <c r="H45" s="60"/>
      <c r="I45" s="60"/>
      <c r="J45" s="61" t="e">
        <f t="shared" ref="J45:J51" si="8">(C45*$C$53-D45)/(C45*$C$53)</f>
        <v>#DIV/0!</v>
      </c>
      <c r="K45" s="62">
        <f t="shared" ref="K45:K51" si="9">C45*$C$53</f>
        <v>0</v>
      </c>
      <c r="M45" s="38"/>
    </row>
    <row r="46" spans="2:17">
      <c r="B46" s="56" t="s">
        <v>4881</v>
      </c>
      <c r="C46" s="57" cm="1">
        <f t="array" ref="C46">SUMPRODUCT(G10:G11,K10:K11)</f>
        <v>651525.5</v>
      </c>
      <c r="D46" s="57" cm="1">
        <f t="array" ref="D46">SUMPRODUCT(G10:G11,M10:M11)</f>
        <v>313714.115</v>
      </c>
      <c r="E46" s="57">
        <f t="shared" si="7"/>
        <v>337811.385</v>
      </c>
      <c r="F46" s="58">
        <f t="shared" ref="F46:F51" si="10">IFERROR(E46/C46,"")</f>
        <v>0.518492959983915</v>
      </c>
      <c r="G46" s="59"/>
      <c r="H46" s="60"/>
      <c r="I46" s="60"/>
      <c r="J46" s="61">
        <f t="shared" si="8"/>
        <v>0.518492959983915</v>
      </c>
      <c r="K46" s="62">
        <f t="shared" si="9"/>
        <v>651525.5</v>
      </c>
      <c r="M46" s="38"/>
    </row>
    <row r="47" spans="2:17">
      <c r="B47" s="56" t="s">
        <v>4882</v>
      </c>
      <c r="C47" s="57" cm="1">
        <f t="array" ref="C47">SUMPRODUCT(G12:G14,K12:K14)</f>
        <v>175875</v>
      </c>
      <c r="D47" s="57" cm="1">
        <f t="array" ref="D47">SUMPRODUCT(G12:G14,M12:M14)</f>
        <v>89033.75</v>
      </c>
      <c r="E47" s="57">
        <f t="shared" si="7"/>
        <v>86841.25</v>
      </c>
      <c r="F47" s="58">
        <f t="shared" si="10"/>
        <v>0.493766879886283</v>
      </c>
      <c r="G47" s="59"/>
      <c r="H47" s="60"/>
      <c r="I47" s="60"/>
      <c r="J47" s="61">
        <f t="shared" si="8"/>
        <v>0.493766879886283</v>
      </c>
      <c r="K47" s="62">
        <f t="shared" si="9"/>
        <v>175875</v>
      </c>
      <c r="M47" s="38"/>
    </row>
    <row r="48" spans="2:17">
      <c r="B48" s="56" t="s">
        <v>4883</v>
      </c>
      <c r="C48" s="57" cm="1">
        <f t="array" ref="C48">SUMPRODUCT(G15:G21,K15:K21)</f>
        <v>457861.5</v>
      </c>
      <c r="D48" s="57" cm="1">
        <f t="array" ref="D48">SUMPRODUCT(G15:G21,M15:M21)</f>
        <v>243240.855</v>
      </c>
      <c r="E48" s="57">
        <f t="shared" si="7"/>
        <v>214620.645</v>
      </c>
      <c r="F48" s="58">
        <f t="shared" si="10"/>
        <v>0.468745777926294</v>
      </c>
      <c r="G48" s="59"/>
      <c r="H48" s="60"/>
      <c r="I48" s="60"/>
      <c r="J48" s="61">
        <f t="shared" si="8"/>
        <v>0.468745777926294</v>
      </c>
      <c r="K48" s="62">
        <f t="shared" si="9"/>
        <v>457861.5</v>
      </c>
      <c r="M48" s="38"/>
    </row>
    <row r="49" spans="2:13">
      <c r="B49" s="56" t="s">
        <v>568</v>
      </c>
      <c r="C49" s="57" cm="1">
        <f t="array" ref="C49">SUMPRODUCT(G25:G26,K25:K26)</f>
        <v>136995</v>
      </c>
      <c r="D49" s="57" cm="1">
        <f t="array" ref="D49">SUMPRODUCT(G25:G26,M25:M26)</f>
        <v>75187.125</v>
      </c>
      <c r="E49" s="57">
        <f t="shared" si="7"/>
        <v>61807.875</v>
      </c>
      <c r="F49" s="58">
        <f t="shared" si="10"/>
        <v>0.451168838278769</v>
      </c>
      <c r="G49" s="59"/>
      <c r="H49" s="60"/>
      <c r="I49" s="60"/>
      <c r="J49" s="61">
        <f t="shared" si="8"/>
        <v>0.451168838278769</v>
      </c>
      <c r="K49" s="62">
        <f t="shared" si="9"/>
        <v>136995</v>
      </c>
      <c r="M49" s="38"/>
    </row>
    <row r="50" spans="2:13">
      <c r="B50" s="56" t="s">
        <v>4884</v>
      </c>
      <c r="C50" s="57" cm="1">
        <f t="array" ref="C50">SUMPRODUCT(G22:G24,K22:K24)</f>
        <v>0</v>
      </c>
      <c r="D50" s="57" cm="1">
        <f t="array" ref="D50">SUMPRODUCT(G22:G24,M22:M24)</f>
        <v>0</v>
      </c>
      <c r="E50" s="57">
        <f t="shared" si="7"/>
        <v>0</v>
      </c>
      <c r="F50" s="58" t="str">
        <f t="shared" si="10"/>
        <v/>
      </c>
      <c r="G50" s="59"/>
      <c r="H50" s="60"/>
      <c r="I50" s="60"/>
      <c r="J50" s="61" t="e">
        <f t="shared" si="8"/>
        <v>#DIV/0!</v>
      </c>
      <c r="K50" s="62">
        <f t="shared" si="9"/>
        <v>0</v>
      </c>
      <c r="M50" s="38"/>
    </row>
    <row r="51" spans="2:13">
      <c r="B51" s="50" t="s">
        <v>4885</v>
      </c>
      <c r="C51" s="52">
        <f>C42+C45+C46+C47+C48+C49+C50</f>
        <v>3348842</v>
      </c>
      <c r="D51" s="52">
        <f>D42+D45+D46+D47+D48+D49+D50</f>
        <v>1790506.9</v>
      </c>
      <c r="E51" s="52">
        <f>E42+E45+E46+E47+E48+E49+E50</f>
        <v>1558335.1</v>
      </c>
      <c r="F51" s="70">
        <f t="shared" si="10"/>
        <v>0.465335510006145</v>
      </c>
      <c r="G51" s="50"/>
      <c r="H51" s="71"/>
      <c r="I51" s="71"/>
      <c r="J51" s="61">
        <f t="shared" si="8"/>
        <v>0.465335510006145</v>
      </c>
      <c r="K51" s="62">
        <f t="shared" si="9"/>
        <v>3348842</v>
      </c>
      <c r="M51" s="38"/>
    </row>
    <row r="52" spans="2:13">
      <c r="B52" s="72"/>
      <c r="C52" s="72"/>
      <c r="D52" s="72"/>
      <c r="E52" s="72"/>
      <c r="F52" s="72"/>
      <c r="G52" s="72"/>
      <c r="H52" s="38"/>
      <c r="I52" s="38"/>
      <c r="J52" s="38"/>
      <c r="K52" s="73">
        <f>K51*(1+C38)</f>
        <v>3569865.572</v>
      </c>
      <c r="L52" s="74" t="s">
        <v>936</v>
      </c>
      <c r="M52" s="38"/>
    </row>
    <row r="53" spans="2:13">
      <c r="B53" s="75" t="s">
        <v>4886</v>
      </c>
      <c r="C53" s="76">
        <v>1</v>
      </c>
      <c r="D53" s="72"/>
      <c r="E53" s="75" t="s">
        <v>4887</v>
      </c>
      <c r="F53" s="77">
        <v>0.4405</v>
      </c>
      <c r="G53" s="78" t="s">
        <v>4888</v>
      </c>
      <c r="H53" s="38"/>
      <c r="I53" s="38"/>
      <c r="J53" s="38"/>
      <c r="K53" s="38"/>
      <c r="L53" s="38"/>
      <c r="M53" s="38"/>
    </row>
    <row r="54" spans="2:13">
      <c r="B54" s="75" t="s">
        <v>4889</v>
      </c>
      <c r="C54" s="79">
        <f>(C51*C53-D51)/(C51*C53)</f>
        <v>0.465335510006145</v>
      </c>
      <c r="D54" s="72"/>
      <c r="E54" s="75" t="s">
        <v>4886</v>
      </c>
      <c r="F54" s="77">
        <f>(D51/(1-F53))/C51</f>
        <v>0.955611242169535</v>
      </c>
      <c r="G54" s="72"/>
      <c r="H54" s="38"/>
      <c r="I54" s="38"/>
      <c r="J54" s="38"/>
      <c r="K54" s="38"/>
      <c r="L54" s="38"/>
      <c r="M54" s="38"/>
    </row>
  </sheetData>
  <sheetProtection algorithmName="SHA-512" hashValue="dEgqqm9fPn+WJyDb9L9XwpmrXMC0G3wVQdWTq2gJtVVtPCss8avIAglylIcwfIj8WpZmvd0CbUyn6yvqyViuzA==" saltValue="nG962FCw0ac8WZFPf6U7nA==" spinCount="100000" sheet="1" autoFilter="0" objects="1"/>
  <autoFilter xmlns:etc="http://www.wps.cn/officeDocument/2017/etCustomData" ref="A2:W34" etc:filterBottomFollowUsedRange="0">
    <extLst/>
  </autoFilter>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2" master="" otherUserPermission="visible"/>
  <rangeList sheetStid="33" master="" otherUserPermission="visible"/>
  <rangeList sheetStid="17" master="" otherUserPermission="visible"/>
  <rangeList sheetStid="29" master="" otherUserPermission="visible"/>
  <rangeList sheetStid="28" master="" otherUserPermission="visible"/>
  <rangeList sheetStid="26" master="" otherUserPermission="visible"/>
  <rangeList sheetStid="1" master="" otherUserPermission="visible"/>
  <rangeList sheetStid="14" master="" otherUserPermission="visible"/>
  <rangeList sheetStid="10" master="" otherUserPermission="visible"/>
  <rangeList sheetStid="4" master="" otherUserPermission="visible"/>
  <rangeList sheetStid="3" master="" otherUserPermission="visible"/>
  <rangeList sheetStid="9" master="" otherUserPermission="visible"/>
  <rangeList sheetStid="31" master="" otherUserPermission="visible"/>
  <rangeList sheetStid="30" master="" otherUserPermission="visible"/>
  <rangeList sheetStid="2" master="" otherUserPermission="visible"/>
  <rangeList sheetStid="36" master="" otherUserPermission="visible"/>
  <rangeList sheetStid="37" master="" otherUserPermission="visible"/>
  <rangeList sheetStid="38" master="" otherUserPermission="visible"/>
  <rangeList sheetStid="27" master="" otherUserPermission="visible"/>
  <rangeList sheetStid="35" master="" otherUserPermission="visible"/>
  <rangeList sheetStid="5" master="" otherUserPermission="visible"/>
  <rangeList sheetStid="21" master="" otherUserPermission="visible"/>
  <rangeList sheetStid="34" master="" otherUserPermission="visible"/>
  <rangeList sheetStid="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24</vt:i4>
      </vt:variant>
    </vt:vector>
  </HeadingPairs>
  <TitlesOfParts>
    <vt:vector size="24" baseType="lpstr">
      <vt:lpstr>工具维护记录</vt:lpstr>
      <vt:lpstr>模板注意事项</vt:lpstr>
      <vt:lpstr>签批页</vt:lpstr>
      <vt:lpstr>Rebid记录</vt:lpstr>
      <vt:lpstr>合同变更记录</vt:lpstr>
      <vt:lpstr>封面</vt:lpstr>
      <vt:lpstr>项目参数</vt:lpstr>
      <vt:lpstr>费用摘要</vt:lpstr>
      <vt:lpstr>Ballpark报价单</vt:lpstr>
      <vt:lpstr>服务费明细</vt:lpstr>
      <vt:lpstr>服务费底表</vt:lpstr>
      <vt:lpstr>其他费用明细</vt:lpstr>
      <vt:lpstr>注册申报明细</vt:lpstr>
      <vt:lpstr>注册申报底表</vt:lpstr>
      <vt:lpstr>项目时间计划</vt:lpstr>
      <vt:lpstr>增减中心</vt:lpstr>
      <vt:lpstr>增减例数</vt:lpstr>
      <vt:lpstr>增减月数</vt:lpstr>
      <vt:lpstr>SOW-ERP导入表</vt:lpstr>
      <vt:lpstr>数统二级标签</vt:lpstr>
      <vt:lpstr>二三级标准</vt:lpstr>
      <vt:lpstr>服务费底表透视</vt:lpstr>
      <vt:lpstr>其他费用编码对照</vt:lpstr>
      <vt:lpstr>Rate Card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UL-BJ-248</dc:creator>
  <cp:lastModifiedBy>UL-金虹</cp:lastModifiedBy>
  <dcterms:created xsi:type="dcterms:W3CDTF">2015-06-05T18:19:00Z</dcterms:created>
  <cp:lastPrinted>2024-11-18T01:45:00Z</cp:lastPrinted>
  <dcterms:modified xsi:type="dcterms:W3CDTF">2026-09-07T06:56:17Z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A29F2903F1C24DB193D4D00F4C727882_13</vt:lpwstr>
  </property>
  <property fmtid="{D5CDD505-2E9C-101B-9397-08002B2CF9AE}" pid="3" name="KSOProductBuildVer">
    <vt:lpwstr>2052-12.1.0.28505</vt:lpwstr>
  </property>
  <property fmtid="{D5CDD505-2E9C-101B-9397-08002B2CF9AE}" pid="4" name="KSOReadingLayout">
    <vt:bool>false</vt:bool>
  </property>
  <property fmtid="{D5CDD505-2E9C-101B-9397-08002B2CF9AE}" pid="5" name="CalculationRule">
    <vt:i4>0</vt:i4>
  </property>
</Properties>
</file>